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rinterSettings/printerSettings2.bin" ContentType="application/vnd.openxmlformats-officedocument.spreadsheetml.printerSettings"/>
  <Override PartName="/xl/drawings/drawing4.xml" ContentType="application/vnd.openxmlformats-officedocument.drawing+xml"/>
  <Override PartName="/xl/drawings/drawing5.xml" ContentType="application/vnd.openxmlformats-officedocument.drawing+xml"/>
  <Override PartName="/xl/printerSettings/printerSettings3.bin" ContentType="application/vnd.openxmlformats-officedocument.spreadsheetml.printerSettings"/>
  <Override PartName="/xl/drawings/drawing6.xml" ContentType="application/vnd.openxmlformats-officedocument.drawing+xml"/>
  <Override PartName="/xl/drawings/drawing7.xml" ContentType="application/vnd.openxmlformats-officedocument.drawing+xml"/>
  <Override PartName="/xl/printerSettings/printerSettings4.bin" ContentType="application/vnd.openxmlformats-officedocument.spreadsheetml.printerSettings"/>
  <Override PartName="/xl/drawings/drawing8.xml" ContentType="application/vnd.openxmlformats-officedocument.drawing+xml"/>
  <Override PartName="/xl/printerSettings/printerSettings5.bin" ContentType="application/vnd.openxmlformats-officedocument.spreadsheetml.printerSettings"/>
  <Override PartName="/xl/drawings/drawing9.xml" ContentType="application/vnd.openxmlformats-officedocument.drawing+xml"/>
  <Override PartName="/xl/printerSettings/printerSettings6.bin" ContentType="application/vnd.openxmlformats-officedocument.spreadsheetml.printerSettings"/>
  <Override PartName="/xl/drawings/drawing10.xml" ContentType="application/vnd.openxmlformats-officedocument.drawing+xml"/>
  <Override PartName="/xl/printerSettings/printerSettings7.bin" ContentType="application/vnd.openxmlformats-officedocument.spreadsheetml.printerSettings"/>
  <Override PartName="/xl/drawings/drawing11.xml" ContentType="application/vnd.openxmlformats-officedocument.drawing+xml"/>
  <Override PartName="/xl/printerSettings/printerSettings8.bin" ContentType="application/vnd.openxmlformats-officedocument.spreadsheetml.printerSettings"/>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rinterSettings/printerSettings9.bin" ContentType="application/vnd.openxmlformats-officedocument.spreadsheetml.printerSettings"/>
  <Override PartName="/xl/drawings/drawing16.xml" ContentType="application/vnd.openxmlformats-officedocument.drawing+xml"/>
  <Override PartName="/xl/printerSettings/printerSettings10.bin" ContentType="application/vnd.openxmlformats-officedocument.spreadsheetml.printerSettings"/>
  <Override PartName="/xl/drawings/drawing17.xml" ContentType="application/vnd.openxmlformats-officedocument.drawing+xml"/>
  <Override PartName="/xl/drawings/drawing18.xml" ContentType="application/vnd.openxmlformats-officedocument.drawing+xml"/>
  <Override PartName="/xl/printerSettings/printerSettings11.bin" ContentType="application/vnd.openxmlformats-officedocument.spreadsheetml.printerSettings"/>
  <Override PartName="/xl/drawings/drawing19.xml" ContentType="application/vnd.openxmlformats-officedocument.drawing+xml"/>
  <Override PartName="/xl/printerSettings/printerSettings12.bin" ContentType="application/vnd.openxmlformats-officedocument.spreadsheetml.printerSettings"/>
  <Override PartName="/xl/drawings/drawing20.xml" ContentType="application/vnd.openxmlformats-officedocument.drawing+xml"/>
  <Override PartName="/xl/printerSettings/printerSettings13.bin" ContentType="application/vnd.openxmlformats-officedocument.spreadsheetml.printerSettings"/>
  <Override PartName="/xl/drawings/drawing21.xml" ContentType="application/vnd.openxmlformats-officedocument.drawing+xml"/>
  <Override PartName="/xl/printerSettings/printerSettings14.bin" ContentType="application/vnd.openxmlformats-officedocument.spreadsheetml.printerSettings"/>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printerSettings/printerSettings15.bin" ContentType="application/vnd.openxmlformats-officedocument.spreadsheetml.printerSettings"/>
  <Override PartName="/xl/drawings/drawing26.xml" ContentType="application/vnd.openxmlformats-officedocument.drawing+xml"/>
  <Override PartName="/xl/printerSettings/printerSettings16.bin" ContentType="application/vnd.openxmlformats-officedocument.spreadsheetml.printerSettings"/>
  <Override PartName="/xl/drawings/drawing27.xml" ContentType="application/vnd.openxmlformats-officedocument.drawing+xml"/>
  <Override PartName="/xl/printerSettings/printerSettings17.bin" ContentType="application/vnd.openxmlformats-officedocument.spreadsheetml.printerSettings"/>
  <Override PartName="/xl/drawings/drawing28.xml" ContentType="application/vnd.openxmlformats-officedocument.drawing+xml"/>
  <Override PartName="/xl/printerSettings/printerSettings18.bin" ContentType="application/vnd.openxmlformats-officedocument.spreadsheetml.printerSettings"/>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15" yWindow="-75" windowWidth="13470" windowHeight="8070" tabRatio="935" firstSheet="21" activeTab="30"/>
  </bookViews>
  <sheets>
    <sheet name="DV-IDENTITY-0" sheetId="18" state="veryHidden" r:id="rId1"/>
    <sheet name="Planeación" sheetId="292" r:id="rId2"/>
    <sheet name="Planeación 2" sheetId="303" r:id="rId3"/>
    <sheet name="Calidad" sheetId="277" r:id="rId4"/>
    <sheet name="Internacionalización" sheetId="290" r:id="rId5"/>
    <sheet name="Internacionalización 2" sheetId="304" r:id="rId6"/>
    <sheet name="Docencia" sheetId="280" r:id="rId7"/>
    <sheet name="Docencia 2" sheetId="281" r:id="rId8"/>
    <sheet name="EDUC-AGRICOLAS-VICE-POS" sheetId="282" r:id="rId9"/>
    <sheet name="AGRICOLAS-SALUD" sheetId="283" r:id="rId10"/>
    <sheet name="POSGRADO" sheetId="284" r:id="rId11"/>
    <sheet name="Investigación" sheetId="291" r:id="rId12"/>
    <sheet name="Extensión" sheetId="287" r:id="rId13"/>
    <sheet name="Extensión 2" sheetId="288" r:id="rId14"/>
    <sheet name="Biblioteca" sheetId="305" r:id="rId15"/>
    <sheet name="Admisiones" sheetId="275" r:id="rId16"/>
    <sheet name="Financiera" sheetId="289" r:id="rId17"/>
    <sheet name="Dllo. Tecnologico" sheetId="278" r:id="rId18"/>
    <sheet name="Dllo Tecnologico 2" sheetId="279" r:id="rId19"/>
    <sheet name="Talento Humano" sheetId="298" r:id="rId20"/>
    <sheet name="Talento Humano2" sheetId="299" r:id="rId21"/>
    <sheet name="Talento Humano 3" sheetId="300" r:id="rId22"/>
    <sheet name="Contratacion" sheetId="293" r:id="rId23"/>
    <sheet name="Contratacion 2" sheetId="307" r:id="rId24"/>
    <sheet name="Infraestructura" sheetId="301" r:id="rId25"/>
    <sheet name="Infraestructura2" sheetId="297" r:id="rId26"/>
    <sheet name="Documental" sheetId="285" r:id="rId27"/>
    <sheet name="Documental 2" sheetId="286" r:id="rId28"/>
    <sheet name="Gestión Legal" sheetId="306" r:id="rId29"/>
    <sheet name="Seguimiento y Control" sheetId="295" r:id="rId30"/>
    <sheet name="Seg y Control 2" sheetId="302"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xlnm.Print_Area" localSheetId="15">Admisiones!$A$1:$AH$27</definedName>
    <definedName name="_xlnm.Print_Area" localSheetId="9">'AGRICOLAS-SALUD'!$A$1:$AF$15</definedName>
    <definedName name="_xlnm.Print_Area" localSheetId="14">Biblioteca!$A$1:$AH$21</definedName>
    <definedName name="_xlnm.Print_Area" localSheetId="3">Calidad!$A$1:$AH$26</definedName>
    <definedName name="_xlnm.Print_Area" localSheetId="22">Contratacion!$A$1:$AF$15</definedName>
    <definedName name="_xlnm.Print_Area" localSheetId="23">'Contratacion 2'!$A$1:$AH$28</definedName>
    <definedName name="_xlnm.Print_Area" localSheetId="18">'Dllo Tecnologico 2'!$A$1:$AH$25</definedName>
    <definedName name="_xlnm.Print_Area" localSheetId="17">'Dllo. Tecnologico'!$A$1:$AF$20</definedName>
    <definedName name="_xlnm.Print_Area" localSheetId="6">Docencia!$A$1:$AF$24</definedName>
    <definedName name="_xlnm.Print_Area" localSheetId="7">'Docencia 2'!$A$1:$AH$32</definedName>
    <definedName name="_xlnm.Print_Area" localSheetId="26">Documental!$A$1:$AF$24</definedName>
    <definedName name="_xlnm.Print_Area" localSheetId="27">'Documental 2'!$A$1:$AH$31</definedName>
    <definedName name="_xlnm.Print_Area" localSheetId="8">'EDUC-AGRICOLAS-VICE-POS'!$A$1:$AF$19</definedName>
    <definedName name="_xlnm.Print_Area" localSheetId="12">Extensión!$A$1:$AF$21</definedName>
    <definedName name="_xlnm.Print_Area" localSheetId="13">'Extensión 2'!$A$1:$AH$24</definedName>
    <definedName name="_xlnm.Print_Area" localSheetId="16">Financiera!$A$1:$AH$51</definedName>
    <definedName name="_xlnm.Print_Area" localSheetId="28">'Gestión Legal'!$A$1:$AH$22</definedName>
    <definedName name="_xlnm.Print_Area" localSheetId="24">Infraestructura!$A$1:$AF$22</definedName>
    <definedName name="_xlnm.Print_Area" localSheetId="25">Infraestructura2!$A$1:$AH$45</definedName>
    <definedName name="_xlnm.Print_Area" localSheetId="4">Internacionalización!$A$1:$AF$17</definedName>
    <definedName name="_xlnm.Print_Area" localSheetId="5">'Internacionalización 2'!$A$1:$AH$29</definedName>
    <definedName name="_xlnm.Print_Area" localSheetId="11">Investigación!$A$1:$AF$25</definedName>
    <definedName name="_xlnm.Print_Area" localSheetId="1">Planeación!$A$1:$AF$18</definedName>
    <definedName name="_xlnm.Print_Area" localSheetId="2">'Planeación 2'!$A$1:$AH$25</definedName>
    <definedName name="_xlnm.Print_Area" localSheetId="10">POSGRADO!$A$1:$AF$16</definedName>
    <definedName name="_xlnm.Print_Area" localSheetId="30">'Seg y Control 2'!$A$1:$AH$32</definedName>
    <definedName name="_xlnm.Print_Area" localSheetId="29">'Seguimiento y Control'!$A$1:$AF$20</definedName>
    <definedName name="_xlnm.Print_Area" localSheetId="19">'Talento Humano'!$A$1:$AD$16</definedName>
    <definedName name="_xlnm.Print_Area" localSheetId="21">'Talento Humano 3'!$A$1:$AH$62</definedName>
    <definedName name="_xlnm.Print_Area" localSheetId="20">'Talento Humano2'!$A$1:$AF$48</definedName>
    <definedName name="Calidad" localSheetId="9">#REF!</definedName>
    <definedName name="Calidad" localSheetId="14">#REF!</definedName>
    <definedName name="Calidad" localSheetId="22">#REF!</definedName>
    <definedName name="Calidad" localSheetId="23">#REF!</definedName>
    <definedName name="Calidad" localSheetId="18">#REF!</definedName>
    <definedName name="Calidad" localSheetId="17">#REF!</definedName>
    <definedName name="Calidad" localSheetId="6">#REF!</definedName>
    <definedName name="Calidad" localSheetId="7">#REF!</definedName>
    <definedName name="Calidad" localSheetId="26">#REF!</definedName>
    <definedName name="Calidad" localSheetId="27">#REF!</definedName>
    <definedName name="Calidad" localSheetId="8">#REF!</definedName>
    <definedName name="Calidad" localSheetId="12">#REF!</definedName>
    <definedName name="Calidad" localSheetId="13">#REF!</definedName>
    <definedName name="Calidad" localSheetId="16">#REF!</definedName>
    <definedName name="Calidad" localSheetId="28">#REF!</definedName>
    <definedName name="Calidad" localSheetId="25">#REF!</definedName>
    <definedName name="Calidad" localSheetId="4">#REF!</definedName>
    <definedName name="Calidad" localSheetId="5">#REF!</definedName>
    <definedName name="Calidad" localSheetId="11">#REF!</definedName>
    <definedName name="Calidad" localSheetId="1">#REF!</definedName>
    <definedName name="Calidad" localSheetId="2">#REF!</definedName>
    <definedName name="Calidad" localSheetId="10">#REF!</definedName>
    <definedName name="Calidad" localSheetId="30">#REF!</definedName>
    <definedName name="Calidad" localSheetId="29">#REF!</definedName>
    <definedName name="Calidad" localSheetId="19">#REF!</definedName>
    <definedName name="Calidad" localSheetId="21">#REF!</definedName>
    <definedName name="Calidad" localSheetId="20">#REF!</definedName>
    <definedName name="Calidad">#REF!</definedName>
    <definedName name="Contrata" localSheetId="9">#REF!</definedName>
    <definedName name="Contrata" localSheetId="14">#REF!</definedName>
    <definedName name="Contrata" localSheetId="22">#REF!</definedName>
    <definedName name="Contrata" localSheetId="23">#REF!</definedName>
    <definedName name="Contrata" localSheetId="18">#REF!</definedName>
    <definedName name="Contrata" localSheetId="17">#REF!</definedName>
    <definedName name="Contrata" localSheetId="6">#REF!</definedName>
    <definedName name="Contrata" localSheetId="7">#REF!</definedName>
    <definedName name="Contrata" localSheetId="26">#REF!</definedName>
    <definedName name="Contrata" localSheetId="27">#REF!</definedName>
    <definedName name="Contrata" localSheetId="8">#REF!</definedName>
    <definedName name="Contrata" localSheetId="12">#REF!</definedName>
    <definedName name="Contrata" localSheetId="13">#REF!</definedName>
    <definedName name="Contrata" localSheetId="16">#REF!</definedName>
    <definedName name="Contrata" localSheetId="28">#REF!</definedName>
    <definedName name="Contrata" localSheetId="25">#REF!</definedName>
    <definedName name="Contrata" localSheetId="4">#REF!</definedName>
    <definedName name="Contrata" localSheetId="5">#REF!</definedName>
    <definedName name="Contrata" localSheetId="11">#REF!</definedName>
    <definedName name="Contrata" localSheetId="1">#REF!</definedName>
    <definedName name="Contrata" localSheetId="2">#REF!</definedName>
    <definedName name="Contrata" localSheetId="10">#REF!</definedName>
    <definedName name="Contrata" localSheetId="30">#REF!</definedName>
    <definedName name="Contrata" localSheetId="29">#REF!</definedName>
    <definedName name="Contrata" localSheetId="19">#REF!</definedName>
    <definedName name="Contrata" localSheetId="21">#REF!</definedName>
    <definedName name="Contrata" localSheetId="20">#REF!</definedName>
    <definedName name="Contrata">#REF!</definedName>
    <definedName name="DIVISIONES" localSheetId="24">#N/A</definedName>
    <definedName name="DIVISIONES">[1]DATOS!$A$13:$A$227</definedName>
    <definedName name="Docencia" localSheetId="9">#REF!</definedName>
    <definedName name="Docencia" localSheetId="14">#REF!</definedName>
    <definedName name="Docencia" localSheetId="3">#REF!</definedName>
    <definedName name="Docencia" localSheetId="22">#REF!</definedName>
    <definedName name="Docencia" localSheetId="23">#REF!</definedName>
    <definedName name="Docencia" localSheetId="17">#REF!</definedName>
    <definedName name="Docencia" localSheetId="6">#REF!</definedName>
    <definedName name="Docencia" localSheetId="7">#REF!</definedName>
    <definedName name="Docencia" localSheetId="26">#REF!</definedName>
    <definedName name="Docencia" localSheetId="8">#REF!</definedName>
    <definedName name="Docencia" localSheetId="12">#REF!</definedName>
    <definedName name="Docencia" localSheetId="13">#REF!</definedName>
    <definedName name="Docencia" localSheetId="16">#REF!</definedName>
    <definedName name="Docencia" localSheetId="28">#REF!</definedName>
    <definedName name="Docencia" localSheetId="25">#REF!</definedName>
    <definedName name="Docencia" localSheetId="4">#REF!</definedName>
    <definedName name="Docencia" localSheetId="5">#REF!</definedName>
    <definedName name="Docencia" localSheetId="11">#REF!</definedName>
    <definedName name="Docencia" localSheetId="1">#REF!</definedName>
    <definedName name="Docencia" localSheetId="2">#REF!</definedName>
    <definedName name="Docencia" localSheetId="10">#REF!</definedName>
    <definedName name="Docencia" localSheetId="30">#REF!</definedName>
    <definedName name="Docencia" localSheetId="29">#REF!</definedName>
    <definedName name="Docencia" localSheetId="19">#REF!</definedName>
    <definedName name="Docencia" localSheetId="21">#REF!</definedName>
    <definedName name="Docencia" localSheetId="20">#REF!</definedName>
    <definedName name="Docencia">#REF!</definedName>
    <definedName name="Edu" localSheetId="9">#REF!</definedName>
    <definedName name="Edu" localSheetId="14">#REF!</definedName>
    <definedName name="Edu" localSheetId="3">#REF!</definedName>
    <definedName name="Edu" localSheetId="22">#REF!</definedName>
    <definedName name="Edu" localSheetId="23">#REF!</definedName>
    <definedName name="Edu" localSheetId="17">#REF!</definedName>
    <definedName name="Edu" localSheetId="6">#REF!</definedName>
    <definedName name="Edu" localSheetId="7">#REF!</definedName>
    <definedName name="Edu" localSheetId="26">#REF!</definedName>
    <definedName name="Edu" localSheetId="8">#REF!</definedName>
    <definedName name="Edu" localSheetId="12">#REF!</definedName>
    <definedName name="Edu" localSheetId="13">#REF!</definedName>
    <definedName name="Edu" localSheetId="16">#REF!</definedName>
    <definedName name="Edu" localSheetId="28">#REF!</definedName>
    <definedName name="Edu" localSheetId="25">#REF!</definedName>
    <definedName name="Edu" localSheetId="4">#REF!</definedName>
    <definedName name="Edu" localSheetId="5">#REF!</definedName>
    <definedName name="Edu" localSheetId="11">#REF!</definedName>
    <definedName name="Edu" localSheetId="1">#REF!</definedName>
    <definedName name="Edu" localSheetId="2">#REF!</definedName>
    <definedName name="Edu" localSheetId="10">#REF!</definedName>
    <definedName name="Edu" localSheetId="30">#REF!</definedName>
    <definedName name="Edu" localSheetId="29">#REF!</definedName>
    <definedName name="Edu" localSheetId="19">#REF!</definedName>
    <definedName name="Edu" localSheetId="21">#REF!</definedName>
    <definedName name="Edu" localSheetId="20">#REF!</definedName>
    <definedName name="Edu">#REF!</definedName>
    <definedName name="estado" localSheetId="15">[2]Hoja1!#REF!</definedName>
    <definedName name="estado" localSheetId="9">[3]Hoja1!#REF!</definedName>
    <definedName name="estado" localSheetId="14">[2]Hoja1!#REF!</definedName>
    <definedName name="estado" localSheetId="3">[4]Hoja1!#REF!</definedName>
    <definedName name="estado" localSheetId="22">[3]Hoja1!#REF!</definedName>
    <definedName name="estado" localSheetId="23">[10]Hoja1!#REF!</definedName>
    <definedName name="estado" localSheetId="18">[5]Hoja1!#REF!</definedName>
    <definedName name="estado" localSheetId="17">[3]Hoja1!#REF!</definedName>
    <definedName name="estado" localSheetId="6">[3]Hoja1!#REF!</definedName>
    <definedName name="estado" localSheetId="7">[6]Hoja1!#REF!</definedName>
    <definedName name="estado" localSheetId="26">[3]Hoja1!#REF!</definedName>
    <definedName name="estado" localSheetId="27">[7]Hoja1!#REF!</definedName>
    <definedName name="estado" localSheetId="8">[3]Hoja1!#REF!</definedName>
    <definedName name="estado" localSheetId="12">[3]Hoja1!#REF!</definedName>
    <definedName name="estado" localSheetId="13">[8]Hoja1!#REF!</definedName>
    <definedName name="estado" localSheetId="16">[9]Hoja1!#REF!</definedName>
    <definedName name="estado" localSheetId="28">[9]Hoja1!#REF!</definedName>
    <definedName name="estado" localSheetId="24">#N/A</definedName>
    <definedName name="estado" localSheetId="25">[10]Hoja1!#REF!</definedName>
    <definedName name="estado" localSheetId="4">[3]Hoja1!#REF!</definedName>
    <definedName name="estado" localSheetId="5">[4]Hoja1!#REF!</definedName>
    <definedName name="estado" localSheetId="11">[11]Hoja1!#REF!</definedName>
    <definedName name="estado" localSheetId="1">[3]Hoja1!#REF!</definedName>
    <definedName name="estado" localSheetId="2">[4]Hoja1!#REF!</definedName>
    <definedName name="estado" localSheetId="10">[3]Hoja1!#REF!</definedName>
    <definedName name="estado" localSheetId="30">[12]Hoja1!#REF!</definedName>
    <definedName name="estado" localSheetId="29">[3]Hoja1!#REF!</definedName>
    <definedName name="estado" localSheetId="19">#REF!</definedName>
    <definedName name="estado" localSheetId="21">[12]Hoja1!#REF!</definedName>
    <definedName name="estado" localSheetId="20">[13]Hoja1!#REF!</definedName>
    <definedName name="estado">#REF!</definedName>
    <definedName name="Nombre" localSheetId="15">#REF!</definedName>
    <definedName name="Nombre" localSheetId="9">#REF!</definedName>
    <definedName name="Nombre" localSheetId="14">#REF!</definedName>
    <definedName name="Nombre" localSheetId="3">#REF!</definedName>
    <definedName name="Nombre" localSheetId="22">#REF!</definedName>
    <definedName name="Nombre" localSheetId="23">#REF!</definedName>
    <definedName name="Nombre" localSheetId="18">#REF!</definedName>
    <definedName name="Nombre" localSheetId="17">#REF!</definedName>
    <definedName name="Nombre" localSheetId="6">#REF!</definedName>
    <definedName name="Nombre" localSheetId="7">#REF!</definedName>
    <definedName name="Nombre" localSheetId="26">#REF!</definedName>
    <definedName name="Nombre" localSheetId="27">#REF!</definedName>
    <definedName name="Nombre" localSheetId="8">#REF!</definedName>
    <definedName name="Nombre" localSheetId="12">#REF!</definedName>
    <definedName name="Nombre" localSheetId="13">#REF!</definedName>
    <definedName name="Nombre" localSheetId="16">#REF!</definedName>
    <definedName name="Nombre" localSheetId="28">#REF!</definedName>
    <definedName name="Nombre" localSheetId="24">#REF!</definedName>
    <definedName name="Nombre" localSheetId="25">#REF!</definedName>
    <definedName name="Nombre" localSheetId="4">#REF!</definedName>
    <definedName name="Nombre" localSheetId="5">#REF!</definedName>
    <definedName name="Nombre" localSheetId="11">#REF!</definedName>
    <definedName name="Nombre" localSheetId="1">#REF!</definedName>
    <definedName name="Nombre" localSheetId="2">#REF!</definedName>
    <definedName name="Nombre" localSheetId="10">#REF!</definedName>
    <definedName name="Nombre" localSheetId="30">#REF!</definedName>
    <definedName name="Nombre" localSheetId="29">#REF!</definedName>
    <definedName name="Nombre" localSheetId="19">#REF!</definedName>
    <definedName name="Nombre" localSheetId="21">#REF!</definedName>
    <definedName name="Nombre" localSheetId="20">#REF!</definedName>
    <definedName name="Nombre">#REF!</definedName>
    <definedName name="Origen" localSheetId="15">#REF!</definedName>
    <definedName name="Origen" localSheetId="9">#REF!</definedName>
    <definedName name="Origen" localSheetId="14">#REF!</definedName>
    <definedName name="Origen" localSheetId="3">#REF!</definedName>
    <definedName name="Origen" localSheetId="22">#REF!</definedName>
    <definedName name="Origen" localSheetId="23">#REF!</definedName>
    <definedName name="Origen" localSheetId="18">#REF!</definedName>
    <definedName name="Origen" localSheetId="17">#REF!</definedName>
    <definedName name="Origen" localSheetId="6">#REF!</definedName>
    <definedName name="Origen" localSheetId="7">#REF!</definedName>
    <definedName name="Origen" localSheetId="26">#REF!</definedName>
    <definedName name="Origen" localSheetId="27">#REF!</definedName>
    <definedName name="Origen" localSheetId="8">#REF!</definedName>
    <definedName name="Origen" localSheetId="12">#REF!</definedName>
    <definedName name="Origen" localSheetId="13">#REF!</definedName>
    <definedName name="Origen" localSheetId="16">#REF!</definedName>
    <definedName name="Origen" localSheetId="28">#REF!</definedName>
    <definedName name="Origen" localSheetId="24">#REF!</definedName>
    <definedName name="Origen" localSheetId="25">#REF!</definedName>
    <definedName name="Origen" localSheetId="4">#REF!</definedName>
    <definedName name="Origen" localSheetId="5">#REF!</definedName>
    <definedName name="Origen" localSheetId="11">#REF!</definedName>
    <definedName name="Origen" localSheetId="1">#REF!</definedName>
    <definedName name="Origen" localSheetId="2">#REF!</definedName>
    <definedName name="Origen" localSheetId="10">#REF!</definedName>
    <definedName name="Origen" localSheetId="30">#REF!</definedName>
    <definedName name="Origen" localSheetId="29">#REF!</definedName>
    <definedName name="Origen" localSheetId="19">#REF!</definedName>
    <definedName name="Origen" localSheetId="21">#REF!</definedName>
    <definedName name="Origen" localSheetId="20">#REF!</definedName>
    <definedName name="Origen">#REF!</definedName>
    <definedName name="Tipo" localSheetId="15">#REF!</definedName>
    <definedName name="Tipo" localSheetId="9">#REF!</definedName>
    <definedName name="Tipo" localSheetId="14">#REF!</definedName>
    <definedName name="Tipo" localSheetId="3">#REF!</definedName>
    <definedName name="Tipo" localSheetId="22">#REF!</definedName>
    <definedName name="Tipo" localSheetId="23">#REF!</definedName>
    <definedName name="Tipo" localSheetId="18">#REF!</definedName>
    <definedName name="Tipo" localSheetId="17">#REF!</definedName>
    <definedName name="Tipo" localSheetId="6">#REF!</definedName>
    <definedName name="Tipo" localSheetId="7">#REF!</definedName>
    <definedName name="Tipo" localSheetId="26">#REF!</definedName>
    <definedName name="Tipo" localSheetId="27">#REF!</definedName>
    <definedName name="Tipo" localSheetId="8">#REF!</definedName>
    <definedName name="Tipo" localSheetId="12">#REF!</definedName>
    <definedName name="Tipo" localSheetId="13">#REF!</definedName>
    <definedName name="Tipo" localSheetId="16">#REF!</definedName>
    <definedName name="Tipo" localSheetId="28">#REF!</definedName>
    <definedName name="Tipo" localSheetId="24">#REF!</definedName>
    <definedName name="Tipo" localSheetId="25">#REF!</definedName>
    <definedName name="Tipo" localSheetId="4">#REF!</definedName>
    <definedName name="Tipo" localSheetId="5">#REF!</definedName>
    <definedName name="Tipo" localSheetId="11">#REF!</definedName>
    <definedName name="Tipo" localSheetId="1">#REF!</definedName>
    <definedName name="Tipo" localSheetId="2">#REF!</definedName>
    <definedName name="Tipo" localSheetId="10">#REF!</definedName>
    <definedName name="Tipo" localSheetId="30">#REF!</definedName>
    <definedName name="Tipo" localSheetId="29">#REF!</definedName>
    <definedName name="Tipo" localSheetId="19">#REF!</definedName>
    <definedName name="Tipo" localSheetId="21">#REF!</definedName>
    <definedName name="Tipo" localSheetId="20">#REF!</definedName>
    <definedName name="Tipo">#REF!</definedName>
    <definedName name="_xlnm.Print_Titles" localSheetId="22">Contratacion!$1:$4</definedName>
    <definedName name="ViceAca" localSheetId="9">#REF!</definedName>
    <definedName name="ViceAca" localSheetId="14">#REF!</definedName>
    <definedName name="ViceAca" localSheetId="22">#REF!</definedName>
    <definedName name="ViceAca" localSheetId="23">#REF!</definedName>
    <definedName name="ViceAca" localSheetId="17">#REF!</definedName>
    <definedName name="ViceAca" localSheetId="6">#REF!</definedName>
    <definedName name="ViceAca" localSheetId="7">#REF!</definedName>
    <definedName name="ViceAca" localSheetId="26">#REF!</definedName>
    <definedName name="ViceAca" localSheetId="8">#REF!</definedName>
    <definedName name="ViceAca" localSheetId="12">#REF!</definedName>
    <definedName name="ViceAca" localSheetId="13">#REF!</definedName>
    <definedName name="ViceAca" localSheetId="16">#REF!</definedName>
    <definedName name="ViceAca" localSheetId="28">#REF!</definedName>
    <definedName name="ViceAca" localSheetId="25">#REF!</definedName>
    <definedName name="ViceAca" localSheetId="4">#REF!</definedName>
    <definedName name="ViceAca" localSheetId="5">#REF!</definedName>
    <definedName name="ViceAca" localSheetId="11">#REF!</definedName>
    <definedName name="ViceAca" localSheetId="1">#REF!</definedName>
    <definedName name="ViceAca" localSheetId="2">#REF!</definedName>
    <definedName name="ViceAca" localSheetId="10">#REF!</definedName>
    <definedName name="ViceAca" localSheetId="30">#REF!</definedName>
    <definedName name="ViceAca" localSheetId="29">#REF!</definedName>
    <definedName name="ViceAca" localSheetId="19">#REF!</definedName>
    <definedName name="ViceAca" localSheetId="21">#REF!</definedName>
    <definedName name="ViceAca" localSheetId="20">#REF!</definedName>
    <definedName name="ViceAca">#REF!</definedName>
  </definedNames>
  <calcPr calcId="144525"/>
  <fileRecoveryPr repairLoad="1"/>
</workbook>
</file>

<file path=xl/calcChain.xml><?xml version="1.0" encoding="utf-8"?>
<calcChain xmlns="http://schemas.openxmlformats.org/spreadsheetml/2006/main">
  <c r="AD18" i="280" l="1"/>
  <c r="AD15" i="280"/>
  <c r="AD14" i="280"/>
  <c r="A1" i="18" l="1"/>
  <c r="B1" i="18"/>
  <c r="C1" i="18"/>
  <c r="D1" i="18"/>
  <c r="E1" i="18"/>
  <c r="F1" i="18"/>
  <c r="G1" i="18"/>
  <c r="H1" i="18"/>
  <c r="I1" i="18"/>
  <c r="J1" i="18"/>
  <c r="K1" i="18"/>
  <c r="L1" i="18"/>
  <c r="M1" i="18"/>
  <c r="N1" i="18"/>
  <c r="O1" i="18"/>
  <c r="P1" i="18"/>
  <c r="Q1" i="18"/>
  <c r="R1" i="18"/>
  <c r="S1" i="18"/>
  <c r="T1" i="18"/>
  <c r="U1" i="18"/>
  <c r="V1" i="18"/>
  <c r="W1" i="18"/>
  <c r="X1" i="18"/>
  <c r="Y1" i="18"/>
  <c r="Z1" i="18"/>
  <c r="AA1" i="18"/>
  <c r="AB1" i="18"/>
  <c r="AC1" i="18"/>
  <c r="AD1" i="18"/>
  <c r="AE1" i="18"/>
  <c r="AF1" i="18"/>
  <c r="AG1" i="18"/>
  <c r="AH1" i="18"/>
  <c r="AI1" i="18"/>
  <c r="AJ1" i="18"/>
  <c r="AK1" i="18"/>
  <c r="AL1" i="18"/>
  <c r="AM1" i="18"/>
  <c r="AN1" i="18"/>
  <c r="AO1" i="18"/>
  <c r="AP1" i="18"/>
  <c r="AQ1" i="18"/>
  <c r="AR1" i="18"/>
  <c r="AS1" i="18"/>
  <c r="AT1" i="18"/>
  <c r="AU1" i="18"/>
  <c r="AV1" i="18"/>
  <c r="AW1" i="18"/>
  <c r="AX1" i="18"/>
  <c r="AY1" i="18"/>
  <c r="AZ1" i="18"/>
  <c r="BA1" i="18"/>
  <c r="BB1" i="18"/>
  <c r="BC1" i="18"/>
  <c r="BD1" i="18"/>
  <c r="BE1" i="18"/>
  <c r="BF1" i="18"/>
  <c r="BG1" i="18"/>
  <c r="BH1" i="18"/>
  <c r="BI1" i="18"/>
  <c r="BJ1" i="18"/>
  <c r="BK1" i="18"/>
  <c r="BL1" i="18"/>
  <c r="BM1" i="18"/>
  <c r="BN1" i="18"/>
  <c r="BO1" i="18"/>
  <c r="BP1" i="18"/>
  <c r="BQ1" i="18"/>
  <c r="BR1" i="18"/>
  <c r="BS1" i="18"/>
  <c r="BT1" i="18"/>
  <c r="BU1" i="18"/>
  <c r="BV1" i="18"/>
  <c r="BW1" i="18"/>
  <c r="BX1" i="18"/>
  <c r="BY1" i="18"/>
  <c r="BZ1" i="18"/>
  <c r="CA1" i="18"/>
  <c r="CB1" i="18"/>
  <c r="CC1" i="18"/>
  <c r="CD1" i="18"/>
  <c r="CE1" i="18"/>
  <c r="CF1" i="18"/>
  <c r="CG1" i="18"/>
  <c r="CH1" i="18"/>
  <c r="CI1" i="18"/>
  <c r="CJ1" i="18"/>
  <c r="CK1" i="18"/>
  <c r="CL1" i="18"/>
  <c r="CM1" i="18"/>
  <c r="CN1" i="18"/>
  <c r="CO1" i="18"/>
  <c r="CP1" i="18"/>
  <c r="CQ1" i="18"/>
  <c r="CR1" i="18"/>
  <c r="CS1" i="18"/>
  <c r="CT1" i="18"/>
  <c r="CU1" i="18"/>
  <c r="CV1" i="18"/>
  <c r="CW1" i="18"/>
  <c r="CX1" i="18"/>
  <c r="CY1" i="18"/>
  <c r="CZ1" i="18"/>
  <c r="DA1" i="18"/>
  <c r="DB1" i="18"/>
  <c r="DC1" i="18"/>
  <c r="DD1" i="18"/>
  <c r="DE1" i="18"/>
  <c r="DF1" i="18"/>
  <c r="DG1" i="18"/>
  <c r="DH1" i="18"/>
  <c r="DI1" i="18"/>
  <c r="DJ1" i="18"/>
  <c r="DK1" i="18"/>
  <c r="DL1" i="18"/>
  <c r="DM1" i="18"/>
  <c r="DN1" i="18"/>
  <c r="DO1" i="18"/>
  <c r="DP1" i="18"/>
  <c r="DQ1" i="18"/>
  <c r="DR1" i="18"/>
  <c r="DS1" i="18"/>
  <c r="DT1" i="18"/>
  <c r="DU1" i="18"/>
  <c r="DV1" i="18"/>
  <c r="DW1" i="18"/>
  <c r="DX1" i="18"/>
  <c r="DY1" i="18"/>
  <c r="DZ1" i="18"/>
  <c r="EA1" i="18"/>
  <c r="EB1" i="18"/>
  <c r="EC1" i="18"/>
  <c r="ED1" i="18"/>
  <c r="EE1" i="18"/>
  <c r="EF1" i="18"/>
  <c r="EG1" i="18"/>
  <c r="EH1" i="18"/>
  <c r="EI1" i="18"/>
  <c r="EJ1" i="18"/>
  <c r="EK1" i="18"/>
  <c r="EL1" i="18"/>
  <c r="EM1" i="18"/>
  <c r="EN1" i="18"/>
  <c r="EO1" i="18"/>
  <c r="EP1" i="18"/>
  <c r="EQ1" i="18"/>
  <c r="ER1" i="18"/>
  <c r="ES1" i="18"/>
  <c r="ET1" i="18"/>
  <c r="EU1" i="18"/>
  <c r="EV1" i="18"/>
  <c r="EW1" i="18"/>
  <c r="EX1" i="18"/>
  <c r="EY1" i="18"/>
  <c r="EZ1" i="18"/>
  <c r="FA1" i="18"/>
  <c r="FB1" i="18"/>
  <c r="FC1" i="18"/>
  <c r="FD1" i="18"/>
  <c r="FE1" i="18"/>
  <c r="FF1" i="18"/>
  <c r="FG1" i="18"/>
  <c r="FH1" i="18"/>
  <c r="FI1" i="18"/>
  <c r="FJ1" i="18"/>
  <c r="FK1" i="18"/>
  <c r="FL1" i="18"/>
  <c r="FM1" i="18"/>
  <c r="FN1" i="18"/>
  <c r="FO1" i="18"/>
  <c r="FP1" i="18"/>
  <c r="FQ1" i="18"/>
  <c r="FR1" i="18"/>
  <c r="FS1" i="18"/>
  <c r="FT1" i="18"/>
  <c r="FU1" i="18"/>
  <c r="FV1" i="18"/>
  <c r="FW1" i="18"/>
  <c r="FX1" i="18"/>
  <c r="FY1" i="18"/>
  <c r="FZ1" i="18"/>
  <c r="GA1" i="18"/>
  <c r="GB1" i="18"/>
  <c r="GC1" i="18"/>
  <c r="GD1" i="18"/>
  <c r="GE1" i="18"/>
  <c r="GF1" i="18"/>
  <c r="GG1" i="18"/>
  <c r="GH1" i="18"/>
  <c r="GI1" i="18"/>
  <c r="GJ1" i="18"/>
  <c r="GK1" i="18"/>
  <c r="GL1" i="18"/>
  <c r="GM1" i="18"/>
  <c r="GN1" i="18"/>
  <c r="GO1" i="18"/>
  <c r="GP1" i="18"/>
  <c r="GQ1" i="18"/>
  <c r="GR1" i="18"/>
  <c r="GS1" i="18"/>
  <c r="GT1" i="18"/>
  <c r="GU1" i="18"/>
  <c r="GV1" i="18"/>
  <c r="GW1" i="18"/>
  <c r="GX1" i="18"/>
  <c r="GY1" i="18"/>
  <c r="GZ1" i="18"/>
  <c r="HA1" i="18"/>
  <c r="HB1" i="18"/>
  <c r="HC1" i="18"/>
  <c r="HD1" i="18"/>
  <c r="HE1" i="18"/>
  <c r="HF1" i="18"/>
  <c r="HG1" i="18"/>
  <c r="HH1" i="18"/>
  <c r="HI1" i="18"/>
  <c r="HJ1" i="18"/>
  <c r="HK1" i="18"/>
  <c r="HL1" i="18"/>
  <c r="HM1" i="18"/>
  <c r="HN1" i="18"/>
  <c r="HO1" i="18"/>
  <c r="HP1" i="18"/>
  <c r="HQ1" i="18"/>
  <c r="HR1" i="18"/>
  <c r="HS1" i="18"/>
  <c r="HT1" i="18"/>
  <c r="HU1" i="18"/>
  <c r="HV1" i="18"/>
  <c r="HW1" i="18"/>
  <c r="HX1" i="18"/>
  <c r="HY1" i="18"/>
  <c r="HZ1" i="18"/>
  <c r="IA1" i="18"/>
  <c r="IB1" i="18"/>
  <c r="IC1" i="18"/>
  <c r="ID1" i="18"/>
  <c r="IE1" i="18"/>
  <c r="IF1" i="18"/>
  <c r="IG1" i="18"/>
  <c r="IH1" i="18"/>
  <c r="II1" i="18"/>
  <c r="IJ1" i="18"/>
  <c r="IK1" i="18"/>
  <c r="IL1" i="18"/>
  <c r="IM1" i="18"/>
  <c r="IN1" i="18"/>
  <c r="IO1" i="18"/>
  <c r="IP1" i="18"/>
  <c r="IQ1" i="18"/>
  <c r="IR1" i="18"/>
  <c r="IS1" i="18"/>
  <c r="IT1" i="18"/>
  <c r="IU1" i="18"/>
  <c r="IV1" i="18"/>
  <c r="A2" i="18"/>
  <c r="B2" i="18"/>
  <c r="C2" i="18"/>
  <c r="D2" i="18"/>
  <c r="E2" i="18"/>
  <c r="F2" i="18"/>
  <c r="G2" i="18"/>
  <c r="H2" i="18"/>
  <c r="I2" i="18"/>
  <c r="J2" i="18"/>
  <c r="K2" i="18"/>
  <c r="L2" i="18"/>
  <c r="M2" i="18"/>
  <c r="N2" i="18"/>
  <c r="O2" i="18"/>
  <c r="P2" i="18"/>
  <c r="Q2" i="18"/>
  <c r="R2" i="18"/>
  <c r="S2" i="18"/>
  <c r="T2" i="18"/>
  <c r="U2" i="18"/>
  <c r="V2" i="18"/>
  <c r="W2" i="18"/>
  <c r="X2" i="18"/>
  <c r="Y2" i="18"/>
  <c r="Z2" i="18"/>
  <c r="AA2" i="18"/>
  <c r="AB2" i="18"/>
  <c r="AC2" i="18"/>
  <c r="AD2" i="18"/>
  <c r="AE2" i="18"/>
  <c r="AF2" i="18"/>
  <c r="AG2" i="18"/>
  <c r="AH2" i="18"/>
  <c r="AI2" i="18"/>
  <c r="AJ2" i="18"/>
  <c r="AK2" i="18"/>
  <c r="AL2" i="18"/>
  <c r="AM2" i="18"/>
  <c r="AN2" i="18"/>
  <c r="AO2" i="18"/>
  <c r="AP2" i="18"/>
  <c r="AQ2" i="18"/>
  <c r="AR2" i="18"/>
  <c r="AS2" i="18"/>
  <c r="AT2" i="18"/>
  <c r="AU2" i="18"/>
  <c r="AV2" i="18"/>
  <c r="AW2" i="18"/>
  <c r="AX2" i="18"/>
  <c r="AY2" i="18"/>
  <c r="AZ2" i="18"/>
  <c r="BA2" i="18"/>
  <c r="BB2" i="18"/>
  <c r="BC2" i="18"/>
  <c r="BD2" i="18"/>
  <c r="BE2" i="18"/>
  <c r="BF2" i="18"/>
  <c r="BG2" i="18"/>
  <c r="BH2" i="18"/>
  <c r="BI2" i="18"/>
  <c r="BJ2" i="18"/>
  <c r="BK2" i="18"/>
  <c r="BL2" i="18"/>
  <c r="BM2" i="18"/>
  <c r="BN2" i="18"/>
  <c r="BO2" i="18"/>
  <c r="BP2" i="18"/>
  <c r="BQ2" i="18"/>
  <c r="BR2" i="18"/>
  <c r="BS2" i="18"/>
  <c r="BT2" i="18"/>
  <c r="BU2" i="18"/>
  <c r="BV2" i="18"/>
  <c r="BW2" i="18"/>
  <c r="BX2" i="18"/>
  <c r="BY2" i="18"/>
  <c r="BZ2" i="18"/>
  <c r="CA2" i="18"/>
  <c r="CB2" i="18"/>
  <c r="CC2" i="18"/>
  <c r="CD2" i="18"/>
  <c r="CE2" i="18"/>
  <c r="CF2" i="18"/>
  <c r="CG2" i="18"/>
  <c r="CH2" i="18"/>
  <c r="CI2" i="18"/>
  <c r="CJ2" i="18"/>
  <c r="CK2" i="18"/>
  <c r="CL2" i="18"/>
  <c r="CM2" i="18"/>
  <c r="CN2" i="18"/>
  <c r="CO2" i="18"/>
  <c r="CP2" i="18"/>
  <c r="CQ2" i="18"/>
  <c r="CR2" i="18"/>
  <c r="CS2" i="18"/>
  <c r="CT2" i="18"/>
  <c r="CU2" i="18"/>
  <c r="CV2" i="18"/>
  <c r="CW2" i="18"/>
  <c r="CX2" i="18"/>
  <c r="CY2" i="18"/>
  <c r="CZ2" i="18"/>
  <c r="DA2" i="18"/>
  <c r="DB2" i="18"/>
  <c r="DC2" i="18"/>
  <c r="DD2" i="18"/>
  <c r="DE2" i="18"/>
  <c r="DF2" i="18"/>
  <c r="DG2" i="18"/>
  <c r="DH2" i="18"/>
  <c r="DI2" i="18"/>
  <c r="DJ2" i="18"/>
  <c r="DK2" i="18"/>
  <c r="DL2" i="18"/>
  <c r="DM2" i="18"/>
  <c r="DN2" i="18"/>
  <c r="DO2" i="18"/>
  <c r="DP2" i="18"/>
  <c r="DQ2" i="18"/>
  <c r="DR2" i="18"/>
  <c r="DS2" i="18"/>
  <c r="DT2" i="18"/>
  <c r="DU2" i="18"/>
  <c r="DV2" i="18"/>
  <c r="DW2" i="18"/>
  <c r="DX2" i="18"/>
  <c r="DY2" i="18"/>
  <c r="DZ2" i="18"/>
  <c r="EA2" i="18"/>
  <c r="EB2" i="18"/>
  <c r="EC2" i="18"/>
  <c r="ED2" i="18"/>
  <c r="EE2" i="18"/>
  <c r="EF2" i="18"/>
  <c r="EG2" i="18"/>
  <c r="EH2" i="18"/>
  <c r="EI2" i="18"/>
  <c r="EJ2" i="18"/>
  <c r="EK2" i="18"/>
  <c r="EL2" i="18"/>
  <c r="EM2" i="18"/>
  <c r="EN2" i="18"/>
  <c r="EO2" i="18"/>
  <c r="EP2" i="18"/>
  <c r="EQ2" i="18"/>
  <c r="ER2" i="18"/>
  <c r="ES2" i="18"/>
  <c r="ET2" i="18"/>
  <c r="EU2" i="18"/>
  <c r="EV2" i="18"/>
  <c r="EW2" i="18"/>
  <c r="EX2" i="18"/>
  <c r="EY2" i="18"/>
  <c r="EZ2" i="18"/>
  <c r="FA2" i="18"/>
  <c r="FB2" i="18"/>
  <c r="FC2" i="18"/>
  <c r="FD2" i="18"/>
  <c r="FE2" i="18"/>
  <c r="FF2" i="18"/>
  <c r="FG2" i="18"/>
  <c r="FH2" i="18"/>
  <c r="FI2" i="18"/>
  <c r="FJ2" i="18"/>
  <c r="FK2" i="18"/>
  <c r="FL2" i="18"/>
  <c r="FM2" i="18"/>
  <c r="FN2" i="18"/>
  <c r="FO2" i="18"/>
  <c r="FP2" i="18"/>
  <c r="FQ2" i="18"/>
  <c r="FR2" i="18"/>
  <c r="FS2" i="18"/>
  <c r="FT2" i="18"/>
  <c r="FU2" i="18"/>
  <c r="FV2" i="18"/>
  <c r="FW2" i="18"/>
  <c r="FX2" i="18"/>
  <c r="FY2" i="18"/>
  <c r="FZ2" i="18"/>
  <c r="GA2" i="18"/>
  <c r="GB2" i="18"/>
  <c r="GC2" i="18"/>
  <c r="GD2" i="18"/>
  <c r="GE2" i="18"/>
  <c r="GF2" i="18"/>
  <c r="GG2" i="18"/>
  <c r="GH2" i="18"/>
  <c r="GI2" i="18"/>
  <c r="GJ2" i="18"/>
  <c r="GK2" i="18"/>
  <c r="GL2" i="18"/>
  <c r="GM2" i="18"/>
  <c r="GN2" i="18"/>
  <c r="GO2" i="18"/>
  <c r="GP2" i="18"/>
  <c r="GQ2" i="18"/>
  <c r="GR2" i="18"/>
  <c r="GS2" i="18"/>
  <c r="GT2" i="18"/>
  <c r="GU2" i="18"/>
  <c r="GV2" i="18"/>
  <c r="GW2" i="18"/>
  <c r="GX2" i="18"/>
  <c r="GY2" i="18"/>
  <c r="GZ2" i="18"/>
  <c r="HA2" i="18"/>
  <c r="HB2" i="18"/>
  <c r="HC2" i="18"/>
  <c r="HD2" i="18"/>
  <c r="HE2" i="18"/>
  <c r="HF2" i="18"/>
  <c r="HG2" i="18"/>
  <c r="HH2" i="18"/>
  <c r="HI2" i="18"/>
  <c r="HJ2" i="18"/>
  <c r="HK2" i="18"/>
  <c r="HL2" i="18"/>
  <c r="HM2" i="18"/>
  <c r="HN2" i="18"/>
  <c r="HO2" i="18"/>
  <c r="HP2" i="18"/>
  <c r="HQ2" i="18"/>
  <c r="HR2" i="18"/>
  <c r="HS2" i="18"/>
  <c r="HT2" i="18"/>
  <c r="HU2" i="18"/>
  <c r="HV2" i="18"/>
  <c r="HW2" i="18"/>
  <c r="HX2" i="18"/>
  <c r="HY2" i="18"/>
  <c r="HZ2" i="18"/>
  <c r="IA2" i="18"/>
  <c r="IB2" i="18"/>
  <c r="IC2" i="18"/>
  <c r="ID2" i="18"/>
  <c r="IE2" i="18"/>
  <c r="IF2" i="18"/>
  <c r="IG2" i="18"/>
  <c r="IH2" i="18"/>
  <c r="II2" i="18"/>
  <c r="IJ2" i="18"/>
  <c r="IK2" i="18"/>
  <c r="IL2" i="18"/>
  <c r="IM2" i="18"/>
  <c r="IN2" i="18"/>
  <c r="IO2" i="18"/>
  <c r="IP2" i="18"/>
  <c r="IQ2" i="18"/>
  <c r="IR2" i="18"/>
  <c r="IS2" i="18"/>
  <c r="IT2" i="18"/>
  <c r="IU2" i="18"/>
  <c r="IV2" i="18"/>
  <c r="A3" i="18"/>
  <c r="B3" i="18"/>
  <c r="C3" i="18"/>
  <c r="D3" i="18"/>
  <c r="E3" i="18"/>
  <c r="F3" i="18"/>
  <c r="G3" i="18"/>
  <c r="H3" i="18"/>
  <c r="I3" i="18"/>
  <c r="J3" i="18"/>
  <c r="K3" i="18"/>
  <c r="L3" i="18"/>
  <c r="M3" i="18"/>
  <c r="N3" i="18"/>
  <c r="O3" i="18"/>
  <c r="P3" i="18"/>
  <c r="Q3" i="18"/>
  <c r="R3" i="18"/>
  <c r="S3" i="18"/>
  <c r="T3" i="18"/>
  <c r="U3" i="18"/>
  <c r="V3" i="18"/>
  <c r="W3" i="18"/>
  <c r="X3" i="18"/>
  <c r="Y3" i="18"/>
  <c r="Z3" i="18"/>
  <c r="AA3" i="18"/>
  <c r="AB3" i="18"/>
  <c r="AC3" i="18"/>
  <c r="AD3" i="18"/>
  <c r="AE3" i="18"/>
  <c r="AF3" i="18"/>
  <c r="AG3" i="18"/>
  <c r="AH3" i="18"/>
  <c r="AI3" i="18"/>
  <c r="AJ3" i="18"/>
  <c r="AK3" i="18"/>
  <c r="AL3" i="18"/>
  <c r="AM3" i="18"/>
  <c r="AN3" i="18"/>
  <c r="AO3" i="18"/>
  <c r="AP3" i="18"/>
  <c r="AQ3" i="18"/>
  <c r="AR3" i="18"/>
  <c r="AS3" i="18"/>
  <c r="AT3" i="18"/>
  <c r="AU3" i="18"/>
  <c r="AV3" i="18"/>
  <c r="AW3" i="18"/>
  <c r="AX3" i="18"/>
  <c r="AY3" i="18"/>
  <c r="AZ3" i="18"/>
  <c r="BA3" i="18"/>
  <c r="BB3" i="18"/>
  <c r="BC3" i="18"/>
  <c r="BD3" i="18"/>
  <c r="BE3" i="18"/>
  <c r="BF3" i="18"/>
  <c r="BG3" i="18"/>
  <c r="BH3" i="18"/>
  <c r="BI3" i="18"/>
  <c r="BJ3" i="18"/>
  <c r="BK3" i="18"/>
  <c r="BL3" i="18"/>
  <c r="BM3" i="18"/>
  <c r="BN3" i="18"/>
  <c r="BO3" i="18"/>
  <c r="BP3" i="18"/>
  <c r="BQ3" i="18"/>
  <c r="BR3" i="18"/>
  <c r="BS3" i="18"/>
  <c r="BT3" i="18"/>
  <c r="BU3" i="18"/>
  <c r="BV3" i="18"/>
  <c r="BW3" i="18"/>
  <c r="BX3" i="18"/>
  <c r="BY3" i="18"/>
  <c r="BZ3" i="18"/>
  <c r="CA3" i="18"/>
  <c r="CB3" i="18"/>
  <c r="CC3" i="18"/>
  <c r="CD3" i="18"/>
  <c r="CE3" i="18"/>
  <c r="CF3" i="18"/>
  <c r="CG3" i="18"/>
  <c r="CH3" i="18"/>
  <c r="CI3" i="18"/>
  <c r="CJ3" i="18"/>
  <c r="CK3" i="18"/>
  <c r="CL3" i="18"/>
  <c r="CM3" i="18"/>
  <c r="CN3" i="18"/>
  <c r="CO3" i="18"/>
  <c r="CP3" i="18"/>
  <c r="CQ3" i="18"/>
  <c r="CR3" i="18"/>
  <c r="CS3" i="18"/>
  <c r="CT3" i="18"/>
  <c r="CU3" i="18"/>
  <c r="CV3" i="18"/>
  <c r="CW3" i="18"/>
  <c r="CX3" i="18"/>
  <c r="CY3" i="18"/>
  <c r="CZ3" i="18"/>
  <c r="DA3" i="18"/>
  <c r="DB3" i="18"/>
  <c r="DC3" i="18"/>
  <c r="DD3" i="18"/>
  <c r="DE3" i="18"/>
  <c r="DF3" i="18"/>
  <c r="DG3" i="18"/>
  <c r="DH3" i="18"/>
  <c r="DI3" i="18"/>
  <c r="DJ3" i="18"/>
  <c r="DK3" i="18"/>
  <c r="DL3" i="18"/>
  <c r="DM3" i="18"/>
  <c r="DN3" i="18"/>
  <c r="DO3" i="18"/>
  <c r="DP3" i="18"/>
  <c r="DQ3" i="18"/>
  <c r="DR3" i="18"/>
  <c r="DS3" i="18"/>
  <c r="DT3" i="18"/>
  <c r="DU3" i="18"/>
  <c r="DV3" i="18"/>
  <c r="DW3" i="18"/>
  <c r="DX3" i="18"/>
  <c r="DY3" i="18"/>
  <c r="DZ3" i="18"/>
  <c r="EA3" i="18"/>
  <c r="EB3" i="18"/>
  <c r="EC3" i="18"/>
  <c r="ED3" i="18"/>
  <c r="EE3" i="18"/>
  <c r="EF3" i="18"/>
  <c r="EG3" i="18"/>
  <c r="EH3" i="18"/>
  <c r="EI3" i="18"/>
  <c r="EJ3" i="18"/>
  <c r="EK3" i="18"/>
  <c r="EL3" i="18"/>
  <c r="EM3" i="18"/>
  <c r="EN3" i="18"/>
  <c r="EO3" i="18"/>
  <c r="EP3" i="18"/>
  <c r="EQ3" i="18"/>
  <c r="ER3" i="18"/>
  <c r="ES3" i="18"/>
  <c r="ET3" i="18"/>
  <c r="EU3" i="18"/>
  <c r="EV3" i="18"/>
  <c r="EW3" i="18"/>
  <c r="EX3" i="18"/>
  <c r="EY3" i="18"/>
  <c r="EZ3" i="18"/>
  <c r="FA3" i="18"/>
  <c r="FB3" i="18"/>
  <c r="FC3" i="18"/>
  <c r="FD3" i="18"/>
  <c r="FE3" i="18"/>
  <c r="FF3" i="18"/>
  <c r="FG3" i="18"/>
  <c r="FH3" i="18"/>
  <c r="FI3" i="18"/>
  <c r="FJ3" i="18"/>
  <c r="FK3" i="18"/>
  <c r="FL3" i="18"/>
  <c r="FM3" i="18"/>
  <c r="FN3" i="18"/>
  <c r="FO3" i="18"/>
  <c r="FP3" i="18"/>
  <c r="FQ3" i="18"/>
  <c r="FR3" i="18"/>
  <c r="FS3" i="18"/>
  <c r="FT3" i="18"/>
  <c r="FU3" i="18"/>
  <c r="FV3" i="18"/>
  <c r="FW3" i="18"/>
  <c r="FX3" i="18"/>
  <c r="FY3" i="18"/>
  <c r="FZ3" i="18"/>
  <c r="GA3" i="18"/>
  <c r="GB3" i="18"/>
  <c r="GC3" i="18"/>
  <c r="GD3" i="18"/>
  <c r="GE3" i="18"/>
  <c r="GF3" i="18"/>
  <c r="GG3" i="18"/>
  <c r="GH3" i="18"/>
  <c r="GI3" i="18"/>
  <c r="GJ3" i="18"/>
  <c r="GK3" i="18"/>
  <c r="GL3" i="18"/>
  <c r="GM3" i="18"/>
  <c r="GN3" i="18"/>
  <c r="GO3" i="18"/>
  <c r="GP3" i="18"/>
  <c r="GQ3" i="18"/>
  <c r="GR3" i="18"/>
  <c r="GS3" i="18"/>
  <c r="GT3" i="18"/>
  <c r="GU3" i="18"/>
  <c r="GV3" i="18"/>
  <c r="GW3" i="18"/>
  <c r="GX3" i="18"/>
  <c r="GY3" i="18"/>
  <c r="GZ3" i="18"/>
  <c r="HA3" i="18"/>
  <c r="HB3" i="18"/>
  <c r="HC3" i="18"/>
  <c r="HD3" i="18"/>
  <c r="HE3" i="18"/>
  <c r="HF3" i="18"/>
  <c r="HG3" i="18"/>
  <c r="HH3" i="18"/>
  <c r="HI3" i="18"/>
  <c r="HJ3" i="18"/>
  <c r="HK3" i="18"/>
  <c r="HL3" i="18"/>
  <c r="HM3" i="18"/>
  <c r="HN3" i="18"/>
  <c r="HO3" i="18"/>
  <c r="HP3" i="18"/>
  <c r="HQ3" i="18"/>
  <c r="HR3" i="18"/>
  <c r="HS3" i="18"/>
  <c r="HT3" i="18"/>
  <c r="HU3" i="18"/>
  <c r="HV3" i="18"/>
  <c r="HW3" i="18"/>
  <c r="HX3" i="18"/>
  <c r="HY3" i="18"/>
  <c r="HZ3" i="18"/>
  <c r="IA3" i="18"/>
  <c r="IB3" i="18"/>
  <c r="IC3" i="18"/>
  <c r="ID3" i="18"/>
  <c r="IE3" i="18"/>
  <c r="IF3" i="18"/>
  <c r="IG3" i="18"/>
  <c r="IH3" i="18"/>
  <c r="II3" i="18"/>
  <c r="IJ3" i="18"/>
  <c r="IK3" i="18"/>
  <c r="IL3" i="18"/>
  <c r="IM3" i="18"/>
  <c r="IN3" i="18"/>
  <c r="IO3" i="18"/>
  <c r="IP3" i="18"/>
  <c r="IQ3" i="18"/>
  <c r="IR3" i="18"/>
  <c r="IS3" i="18"/>
  <c r="IT3" i="18"/>
  <c r="IU3" i="18"/>
  <c r="IV3" i="18"/>
  <c r="A4" i="18"/>
  <c r="B4" i="18"/>
  <c r="C4" i="18"/>
  <c r="D4" i="18"/>
  <c r="E4" i="18"/>
  <c r="F4" i="18"/>
  <c r="G4" i="18"/>
  <c r="H4" i="18"/>
  <c r="I4" i="18"/>
  <c r="J4" i="18"/>
  <c r="K4" i="18"/>
  <c r="L4" i="18"/>
  <c r="M4" i="18"/>
  <c r="N4" i="18"/>
  <c r="O4" i="18"/>
  <c r="P4" i="18"/>
  <c r="Q4" i="18"/>
  <c r="R4" i="18"/>
  <c r="S4" i="18"/>
  <c r="T4" i="18"/>
  <c r="U4" i="18"/>
  <c r="V4" i="18"/>
  <c r="W4" i="18"/>
  <c r="X4" i="18"/>
  <c r="Y4" i="18"/>
  <c r="Z4" i="18"/>
  <c r="AA4" i="18"/>
  <c r="AB4" i="18"/>
  <c r="AC4" i="18"/>
  <c r="AD4" i="18"/>
  <c r="AE4" i="18"/>
  <c r="AF4" i="18"/>
  <c r="AG4" i="18"/>
  <c r="AH4" i="18"/>
  <c r="AI4" i="18"/>
  <c r="AJ4" i="18"/>
  <c r="AK4" i="18"/>
  <c r="AL4" i="18"/>
  <c r="AM4" i="18"/>
  <c r="AN4" i="18"/>
  <c r="AO4" i="18"/>
  <c r="AP4" i="18"/>
  <c r="AQ4" i="18"/>
  <c r="AR4" i="18"/>
  <c r="AS4" i="18"/>
  <c r="AT4" i="18"/>
  <c r="AU4" i="18"/>
  <c r="AV4" i="18"/>
  <c r="AW4" i="18"/>
  <c r="AX4" i="18"/>
  <c r="AY4" i="18"/>
  <c r="AZ4" i="18"/>
  <c r="BA4" i="18"/>
  <c r="BB4" i="18"/>
  <c r="BC4" i="18"/>
  <c r="BD4" i="18"/>
  <c r="BE4" i="18"/>
  <c r="BF4" i="18"/>
  <c r="BG4" i="18"/>
  <c r="BH4" i="18"/>
  <c r="BI4" i="18"/>
  <c r="BJ4" i="18"/>
  <c r="BK4" i="18"/>
  <c r="BL4" i="18"/>
  <c r="BM4" i="18"/>
  <c r="BN4" i="18"/>
  <c r="BO4" i="18"/>
  <c r="BP4" i="18"/>
  <c r="BQ4" i="18"/>
  <c r="BR4" i="18"/>
  <c r="BS4" i="18"/>
  <c r="BT4" i="18"/>
  <c r="BU4" i="18"/>
  <c r="BV4" i="18"/>
  <c r="BW4" i="18"/>
  <c r="BX4" i="18"/>
  <c r="BY4" i="18"/>
  <c r="BZ4" i="18"/>
  <c r="CA4" i="18"/>
  <c r="CB4" i="18"/>
  <c r="CC4" i="18"/>
  <c r="CD4" i="18"/>
  <c r="CE4" i="18"/>
  <c r="CF4" i="18"/>
  <c r="CG4" i="18"/>
  <c r="CH4" i="18"/>
  <c r="CI4" i="18"/>
  <c r="CJ4" i="18"/>
  <c r="CK4" i="18"/>
  <c r="CL4" i="18"/>
  <c r="CM4" i="18"/>
  <c r="CN4" i="18"/>
  <c r="CO4" i="18"/>
  <c r="CP4" i="18"/>
  <c r="CQ4" i="18"/>
  <c r="CR4" i="18"/>
  <c r="CS4" i="18"/>
  <c r="CT4" i="18"/>
  <c r="CU4" i="18"/>
  <c r="CV4" i="18"/>
  <c r="CW4" i="18"/>
  <c r="CX4" i="18"/>
  <c r="CY4" i="18"/>
  <c r="CZ4" i="18"/>
  <c r="DA4" i="18"/>
  <c r="DB4" i="18"/>
  <c r="DC4" i="18"/>
  <c r="DD4" i="18"/>
  <c r="DE4" i="18"/>
  <c r="DF4" i="18"/>
  <c r="DG4" i="18"/>
  <c r="DH4" i="18"/>
  <c r="DI4" i="18"/>
  <c r="DJ4" i="18"/>
  <c r="DK4" i="18"/>
  <c r="DL4" i="18"/>
  <c r="DM4" i="18"/>
  <c r="DN4" i="18"/>
  <c r="DO4" i="18"/>
  <c r="DP4" i="18"/>
  <c r="DQ4" i="18"/>
  <c r="DR4" i="18"/>
  <c r="DS4" i="18"/>
  <c r="DT4" i="18"/>
  <c r="DU4" i="18"/>
  <c r="DV4" i="18"/>
  <c r="DW4" i="18"/>
  <c r="DX4" i="18"/>
  <c r="DY4" i="18"/>
  <c r="DZ4" i="18"/>
  <c r="EA4" i="18"/>
  <c r="EB4" i="18"/>
  <c r="EC4" i="18"/>
  <c r="ED4" i="18"/>
  <c r="EE4" i="18"/>
  <c r="EF4" i="18"/>
  <c r="EG4" i="18"/>
  <c r="EH4" i="18"/>
  <c r="EI4" i="18"/>
  <c r="EJ4" i="18"/>
  <c r="EK4" i="18"/>
  <c r="EL4" i="18"/>
  <c r="EM4" i="18"/>
  <c r="EN4" i="18"/>
  <c r="EO4" i="18"/>
  <c r="EP4" i="18"/>
  <c r="EQ4" i="18"/>
  <c r="ER4" i="18"/>
  <c r="ES4" i="18"/>
  <c r="ET4" i="18"/>
  <c r="EU4" i="18"/>
  <c r="EV4" i="18"/>
  <c r="EW4" i="18"/>
  <c r="EX4" i="18"/>
  <c r="EY4" i="18"/>
  <c r="EZ4" i="18"/>
  <c r="FA4" i="18"/>
  <c r="FB4" i="18"/>
  <c r="FC4" i="18"/>
  <c r="FD4" i="18"/>
  <c r="FE4" i="18"/>
  <c r="FF4" i="18"/>
  <c r="FG4" i="18"/>
  <c r="FH4" i="18"/>
  <c r="FI4" i="18"/>
  <c r="FJ4" i="18"/>
  <c r="FK4" i="18"/>
  <c r="FL4" i="18"/>
  <c r="FM4" i="18"/>
  <c r="FN4" i="18"/>
  <c r="FO4" i="18"/>
  <c r="FP4" i="18"/>
  <c r="FQ4" i="18"/>
  <c r="FR4" i="18"/>
  <c r="FS4" i="18"/>
  <c r="FT4" i="18"/>
  <c r="FU4" i="18"/>
  <c r="FV4" i="18"/>
  <c r="FW4" i="18"/>
  <c r="FX4" i="18"/>
  <c r="FY4" i="18"/>
  <c r="FZ4" i="18"/>
  <c r="GA4" i="18"/>
  <c r="GB4" i="18"/>
  <c r="GC4" i="18"/>
  <c r="GD4" i="18"/>
  <c r="GE4" i="18"/>
  <c r="GF4" i="18"/>
  <c r="GG4" i="18"/>
  <c r="GH4" i="18"/>
  <c r="GI4" i="18"/>
  <c r="GJ4" i="18"/>
  <c r="GK4" i="18"/>
  <c r="GL4" i="18"/>
  <c r="GM4" i="18"/>
  <c r="GN4" i="18"/>
  <c r="GO4" i="18"/>
  <c r="GP4" i="18"/>
  <c r="GQ4" i="18"/>
  <c r="GR4" i="18"/>
  <c r="GS4" i="18"/>
  <c r="GT4" i="18"/>
  <c r="GU4" i="18"/>
  <c r="GV4" i="18"/>
  <c r="GW4" i="18"/>
  <c r="GX4" i="18"/>
  <c r="GY4" i="18"/>
  <c r="GZ4" i="18"/>
  <c r="HA4" i="18"/>
  <c r="HB4" i="18"/>
  <c r="HC4" i="18"/>
  <c r="HD4" i="18"/>
  <c r="HE4" i="18"/>
  <c r="HF4" i="18"/>
  <c r="HG4" i="18"/>
  <c r="HH4" i="18"/>
  <c r="HI4" i="18"/>
  <c r="HJ4" i="18"/>
  <c r="HK4" i="18"/>
  <c r="HL4" i="18"/>
  <c r="HM4" i="18"/>
  <c r="HN4" i="18"/>
  <c r="HO4" i="18"/>
  <c r="HP4" i="18"/>
  <c r="HQ4" i="18"/>
  <c r="HR4" i="18"/>
  <c r="HS4" i="18"/>
  <c r="HT4" i="18"/>
  <c r="HU4" i="18"/>
  <c r="HV4" i="18"/>
  <c r="HW4" i="18"/>
  <c r="HX4" i="18"/>
  <c r="HY4" i="18"/>
  <c r="HZ4" i="18"/>
  <c r="IA4" i="18"/>
  <c r="IB4" i="18"/>
  <c r="IC4" i="18"/>
  <c r="ID4" i="18"/>
  <c r="IE4" i="18"/>
  <c r="IF4" i="18"/>
  <c r="IG4" i="18"/>
  <c r="IH4" i="18"/>
  <c r="II4" i="18"/>
  <c r="IJ4" i="18"/>
  <c r="IK4" i="18"/>
  <c r="IL4" i="18"/>
  <c r="IM4" i="18"/>
  <c r="IN4" i="18"/>
  <c r="IO4" i="18"/>
  <c r="IP4" i="18"/>
  <c r="IQ4" i="18"/>
  <c r="IR4" i="18"/>
  <c r="IS4" i="18"/>
  <c r="IT4" i="18"/>
  <c r="IU4" i="18"/>
  <c r="IV4" i="18"/>
  <c r="A5" i="18"/>
  <c r="B5" i="18"/>
  <c r="C5" i="18"/>
  <c r="D5" i="18"/>
  <c r="E5" i="18"/>
  <c r="F5" i="18"/>
  <c r="G5" i="18"/>
  <c r="H5" i="18"/>
  <c r="I5" i="18"/>
  <c r="J5" i="18"/>
  <c r="K5" i="18"/>
  <c r="L5" i="18"/>
  <c r="M5" i="18"/>
  <c r="N5" i="18"/>
  <c r="O5" i="18"/>
  <c r="P5" i="18"/>
  <c r="Q5" i="18"/>
  <c r="R5" i="18"/>
  <c r="S5" i="18"/>
  <c r="T5" i="18"/>
  <c r="U5" i="18"/>
  <c r="V5" i="18"/>
  <c r="W5" i="18"/>
  <c r="X5" i="18"/>
  <c r="Y5" i="18"/>
  <c r="Z5" i="18"/>
  <c r="AA5" i="18"/>
  <c r="AB5" i="18"/>
  <c r="AC5" i="18"/>
  <c r="AD5" i="18"/>
  <c r="AE5" i="18"/>
  <c r="AF5" i="18"/>
  <c r="AG5" i="18"/>
  <c r="AH5" i="18"/>
  <c r="AI5" i="18"/>
  <c r="AJ5" i="18"/>
  <c r="AK5" i="18"/>
  <c r="AL5" i="18"/>
  <c r="AM5" i="18"/>
  <c r="AN5" i="18"/>
  <c r="AO5" i="18"/>
  <c r="AP5" i="18"/>
  <c r="AQ5" i="18"/>
  <c r="AR5" i="18"/>
  <c r="AS5" i="18"/>
  <c r="AT5" i="18"/>
  <c r="AU5" i="18"/>
  <c r="AV5" i="18"/>
  <c r="AW5" i="18"/>
  <c r="AX5" i="18"/>
  <c r="AY5" i="18"/>
  <c r="AZ5" i="18"/>
  <c r="BA5" i="18"/>
  <c r="BB5" i="18"/>
  <c r="BC5" i="18"/>
  <c r="BD5" i="18"/>
  <c r="BE5" i="18"/>
  <c r="BF5" i="18"/>
  <c r="BG5" i="18"/>
  <c r="BH5" i="18"/>
  <c r="BI5" i="18"/>
  <c r="BJ5" i="18"/>
  <c r="BK5" i="18"/>
  <c r="BL5" i="18"/>
  <c r="BM5" i="18"/>
  <c r="BN5" i="18"/>
  <c r="BO5" i="18"/>
  <c r="BP5" i="18"/>
  <c r="BQ5" i="18"/>
  <c r="BR5" i="18"/>
  <c r="BS5" i="18"/>
  <c r="BT5" i="18"/>
  <c r="BU5" i="18"/>
  <c r="BV5" i="18"/>
  <c r="BW5" i="18"/>
  <c r="BX5" i="18"/>
  <c r="BY5" i="18"/>
  <c r="BZ5" i="18"/>
  <c r="CA5" i="18"/>
  <c r="CB5" i="18"/>
  <c r="CC5" i="18"/>
  <c r="CD5" i="18"/>
  <c r="CE5" i="18"/>
  <c r="CF5" i="18"/>
  <c r="CG5" i="18"/>
  <c r="CH5" i="18"/>
  <c r="CI5" i="18"/>
  <c r="CJ5" i="18"/>
  <c r="CK5" i="18"/>
  <c r="CL5" i="18"/>
  <c r="CM5" i="18"/>
  <c r="CN5" i="18"/>
  <c r="CO5" i="18"/>
  <c r="CP5" i="18"/>
  <c r="CQ5" i="18"/>
  <c r="CR5" i="18"/>
  <c r="CS5" i="18"/>
  <c r="CT5" i="18"/>
  <c r="CU5" i="18"/>
  <c r="CV5" i="18"/>
  <c r="CW5" i="18"/>
  <c r="CX5" i="18"/>
  <c r="CY5" i="18"/>
  <c r="CZ5" i="18"/>
  <c r="DA5" i="18"/>
  <c r="DB5" i="18"/>
  <c r="DC5" i="18"/>
  <c r="DD5" i="18"/>
  <c r="DE5" i="18"/>
  <c r="DF5" i="18"/>
  <c r="DG5" i="18"/>
  <c r="DH5" i="18"/>
  <c r="DI5" i="18"/>
  <c r="DJ5" i="18"/>
  <c r="DK5" i="18"/>
  <c r="DL5" i="18"/>
  <c r="DM5" i="18"/>
  <c r="DN5" i="18"/>
  <c r="DO5" i="18"/>
  <c r="DP5" i="18"/>
  <c r="DQ5" i="18"/>
  <c r="DR5" i="18"/>
  <c r="DS5" i="18"/>
  <c r="DT5" i="18"/>
  <c r="DU5" i="18"/>
  <c r="DV5" i="18"/>
  <c r="DW5" i="18"/>
  <c r="DX5" i="18"/>
  <c r="DY5" i="18"/>
  <c r="DZ5" i="18"/>
  <c r="EA5" i="18"/>
  <c r="EB5" i="18"/>
  <c r="EC5" i="18"/>
  <c r="ED5" i="18"/>
  <c r="EE5" i="18"/>
  <c r="EF5" i="18"/>
  <c r="EG5" i="18"/>
  <c r="EH5" i="18"/>
  <c r="EI5" i="18"/>
  <c r="EJ5" i="18"/>
  <c r="EK5" i="18"/>
  <c r="EL5" i="18"/>
  <c r="EM5" i="18"/>
  <c r="EN5" i="18"/>
  <c r="EO5" i="18"/>
  <c r="EP5" i="18"/>
  <c r="EQ5" i="18"/>
  <c r="ER5" i="18"/>
  <c r="ES5" i="18"/>
  <c r="ET5" i="18"/>
  <c r="EU5" i="18"/>
  <c r="EV5" i="18"/>
  <c r="EW5" i="18"/>
  <c r="EX5" i="18"/>
  <c r="EY5" i="18"/>
  <c r="EZ5" i="18"/>
  <c r="FA5" i="18"/>
  <c r="FB5" i="18"/>
  <c r="FC5" i="18"/>
  <c r="FD5" i="18"/>
  <c r="FE5" i="18"/>
  <c r="FF5" i="18"/>
  <c r="FG5" i="18"/>
  <c r="FH5" i="18"/>
  <c r="FI5" i="18"/>
  <c r="FJ5" i="18"/>
  <c r="FK5" i="18"/>
  <c r="FL5" i="18"/>
  <c r="FM5" i="18"/>
  <c r="FN5" i="18"/>
  <c r="FO5" i="18"/>
  <c r="FP5" i="18"/>
  <c r="FQ5" i="18"/>
  <c r="FR5" i="18"/>
  <c r="FS5" i="18"/>
  <c r="FT5" i="18"/>
  <c r="FU5" i="18"/>
  <c r="FV5" i="18"/>
  <c r="FW5" i="18"/>
  <c r="FX5" i="18"/>
  <c r="FY5" i="18"/>
  <c r="FZ5" i="18"/>
  <c r="GA5" i="18"/>
  <c r="GB5" i="18"/>
  <c r="GC5" i="18"/>
  <c r="GD5" i="18"/>
  <c r="GE5" i="18"/>
  <c r="GF5" i="18"/>
  <c r="GG5" i="18"/>
  <c r="GH5" i="18"/>
  <c r="GI5" i="18"/>
  <c r="GJ5" i="18"/>
  <c r="GK5" i="18"/>
  <c r="GL5" i="18"/>
  <c r="GM5" i="18"/>
  <c r="GN5" i="18"/>
  <c r="GO5" i="18"/>
  <c r="GP5" i="18"/>
  <c r="GQ5" i="18"/>
  <c r="GR5" i="18"/>
  <c r="GS5" i="18"/>
  <c r="GT5" i="18"/>
  <c r="GU5" i="18"/>
  <c r="GV5" i="18"/>
  <c r="GW5" i="18"/>
  <c r="GX5" i="18"/>
  <c r="GY5" i="18"/>
  <c r="GZ5" i="18"/>
  <c r="HA5" i="18"/>
  <c r="HB5" i="18"/>
  <c r="HC5" i="18"/>
  <c r="HD5" i="18"/>
  <c r="HE5" i="18"/>
  <c r="HF5" i="18"/>
  <c r="HG5" i="18"/>
  <c r="HH5" i="18"/>
  <c r="HI5" i="18"/>
  <c r="HJ5" i="18"/>
  <c r="HK5" i="18"/>
  <c r="HL5" i="18"/>
  <c r="HM5" i="18"/>
  <c r="HN5" i="18"/>
  <c r="HO5" i="18"/>
  <c r="HP5" i="18"/>
  <c r="HQ5" i="18"/>
  <c r="HR5" i="18"/>
  <c r="HS5" i="18"/>
  <c r="HT5" i="18"/>
  <c r="HU5" i="18"/>
  <c r="HV5" i="18"/>
  <c r="HW5" i="18"/>
  <c r="HX5" i="18"/>
  <c r="HY5" i="18"/>
  <c r="HZ5" i="18"/>
  <c r="IA5" i="18"/>
  <c r="IB5" i="18"/>
  <c r="IC5" i="18"/>
  <c r="ID5" i="18"/>
  <c r="IE5" i="18"/>
  <c r="IF5" i="18"/>
  <c r="IG5" i="18"/>
  <c r="IH5" i="18"/>
  <c r="II5" i="18"/>
  <c r="IJ5" i="18"/>
  <c r="IK5" i="18"/>
  <c r="IL5" i="18"/>
  <c r="IM5" i="18"/>
  <c r="IN5" i="18"/>
  <c r="IO5" i="18"/>
  <c r="IP5" i="18"/>
  <c r="IQ5" i="18"/>
  <c r="IR5" i="18"/>
  <c r="IS5" i="18"/>
  <c r="IT5" i="18"/>
  <c r="IU5" i="18"/>
  <c r="IV5" i="18"/>
  <c r="A6" i="18"/>
  <c r="B6" i="18"/>
  <c r="C6" i="18"/>
  <c r="D6" i="18"/>
  <c r="E6" i="18"/>
  <c r="F6" i="18"/>
  <c r="G6" i="18"/>
  <c r="H6" i="18"/>
  <c r="I6" i="18"/>
  <c r="J6" i="18"/>
  <c r="K6" i="18"/>
  <c r="L6" i="18"/>
  <c r="M6" i="18"/>
  <c r="N6" i="18"/>
  <c r="O6" i="18"/>
  <c r="P6" i="18"/>
  <c r="Q6" i="18"/>
  <c r="R6" i="18"/>
  <c r="S6" i="18"/>
  <c r="T6" i="18"/>
  <c r="U6" i="18"/>
  <c r="V6" i="18"/>
  <c r="W6" i="18"/>
  <c r="X6" i="18"/>
  <c r="Y6" i="18"/>
  <c r="Z6" i="18"/>
  <c r="AA6" i="18"/>
  <c r="AB6" i="18"/>
  <c r="AC6" i="18"/>
  <c r="AD6" i="18"/>
  <c r="AE6" i="18"/>
  <c r="AF6" i="18"/>
  <c r="AG6" i="18"/>
  <c r="AH6" i="18"/>
  <c r="AI6" i="18"/>
  <c r="AJ6" i="18"/>
  <c r="AK6" i="18"/>
  <c r="AL6" i="18"/>
  <c r="AM6" i="18"/>
  <c r="AN6" i="18"/>
  <c r="AO6" i="18"/>
  <c r="AP6" i="18"/>
  <c r="AQ6" i="18"/>
  <c r="AR6" i="18"/>
  <c r="AS6" i="18"/>
  <c r="AT6" i="18"/>
  <c r="AU6" i="18"/>
  <c r="AV6" i="18"/>
  <c r="AW6" i="18"/>
  <c r="AX6" i="18"/>
  <c r="AY6" i="18"/>
  <c r="AZ6" i="18"/>
  <c r="BA6" i="18"/>
  <c r="BB6" i="18"/>
  <c r="BC6" i="18"/>
  <c r="BD6" i="18"/>
  <c r="BE6" i="18"/>
  <c r="BF6" i="18"/>
  <c r="BG6" i="18"/>
  <c r="BH6" i="18"/>
  <c r="BI6" i="18"/>
  <c r="BJ6" i="18"/>
  <c r="BK6" i="18"/>
  <c r="BL6" i="18"/>
  <c r="BM6" i="18"/>
  <c r="BN6" i="18"/>
  <c r="BO6" i="18"/>
  <c r="BP6" i="18"/>
  <c r="BQ6" i="18"/>
  <c r="BR6" i="18"/>
  <c r="BS6" i="18"/>
  <c r="BT6" i="18"/>
  <c r="BU6" i="18"/>
  <c r="BV6" i="18"/>
  <c r="BW6" i="18"/>
  <c r="BX6" i="18"/>
  <c r="BY6" i="18"/>
  <c r="BZ6" i="18"/>
  <c r="CA6" i="18"/>
  <c r="CB6" i="18"/>
  <c r="CC6" i="18"/>
  <c r="CD6" i="18"/>
  <c r="CE6" i="18"/>
  <c r="CF6" i="18"/>
  <c r="CG6" i="18"/>
  <c r="CH6" i="18"/>
  <c r="CI6" i="18"/>
  <c r="CJ6" i="18"/>
  <c r="CK6" i="18"/>
  <c r="CL6" i="18"/>
  <c r="CM6" i="18"/>
  <c r="CN6" i="18"/>
  <c r="CO6" i="18"/>
  <c r="CP6" i="18"/>
  <c r="CQ6" i="18"/>
  <c r="CR6" i="18"/>
  <c r="CS6" i="18"/>
  <c r="CT6" i="18"/>
  <c r="CU6" i="18"/>
  <c r="CV6" i="18"/>
  <c r="CW6" i="18"/>
  <c r="CX6" i="18"/>
  <c r="CY6" i="18"/>
  <c r="CZ6" i="18"/>
  <c r="DA6" i="18"/>
  <c r="DB6" i="18"/>
  <c r="DC6" i="18"/>
  <c r="DD6" i="18"/>
  <c r="DE6" i="18"/>
  <c r="DF6" i="18"/>
  <c r="DG6" i="18"/>
  <c r="DH6" i="18"/>
  <c r="DI6" i="18"/>
  <c r="DJ6" i="18"/>
  <c r="DK6" i="18"/>
  <c r="DL6" i="18"/>
  <c r="DM6" i="18"/>
  <c r="DN6" i="18"/>
  <c r="DO6" i="18"/>
  <c r="DP6" i="18"/>
  <c r="DQ6" i="18"/>
  <c r="DR6" i="18"/>
  <c r="DS6" i="18"/>
  <c r="DT6" i="18"/>
  <c r="DU6" i="18"/>
  <c r="DV6" i="18"/>
  <c r="DW6" i="18"/>
  <c r="DX6" i="18"/>
  <c r="DY6" i="18"/>
  <c r="DZ6" i="18"/>
  <c r="EA6" i="18"/>
  <c r="EB6" i="18"/>
  <c r="EC6" i="18"/>
  <c r="ED6" i="18"/>
  <c r="EE6" i="18"/>
  <c r="EF6" i="18"/>
  <c r="EG6" i="18"/>
  <c r="EH6" i="18"/>
  <c r="EI6" i="18"/>
  <c r="EJ6" i="18"/>
  <c r="EK6" i="18"/>
  <c r="EL6" i="18"/>
  <c r="EM6" i="18"/>
  <c r="EN6" i="18"/>
  <c r="EO6" i="18"/>
  <c r="EP6" i="18"/>
  <c r="EQ6" i="18"/>
  <c r="ER6" i="18"/>
  <c r="ES6" i="18"/>
  <c r="ET6" i="18"/>
  <c r="EU6" i="18"/>
  <c r="EV6" i="18"/>
  <c r="EW6" i="18"/>
  <c r="EX6" i="18"/>
  <c r="EY6" i="18"/>
  <c r="EZ6" i="18"/>
  <c r="FA6" i="18"/>
  <c r="FB6" i="18"/>
  <c r="FC6" i="18"/>
  <c r="FD6" i="18"/>
  <c r="FE6" i="18"/>
  <c r="FF6" i="18"/>
  <c r="FG6" i="18"/>
  <c r="FH6" i="18"/>
  <c r="FI6" i="18"/>
  <c r="FJ6" i="18"/>
  <c r="FK6" i="18"/>
  <c r="FL6" i="18"/>
  <c r="FM6" i="18"/>
  <c r="FN6" i="18"/>
  <c r="FO6" i="18"/>
  <c r="FP6" i="18"/>
  <c r="FQ6" i="18"/>
  <c r="FR6" i="18"/>
  <c r="FS6" i="18"/>
  <c r="FT6" i="18"/>
  <c r="FU6" i="18"/>
  <c r="FV6" i="18"/>
  <c r="FW6" i="18"/>
  <c r="FX6" i="18"/>
  <c r="FY6" i="18"/>
  <c r="FZ6" i="18"/>
  <c r="GA6" i="18"/>
  <c r="GB6" i="18"/>
  <c r="GC6" i="18"/>
  <c r="GD6" i="18"/>
  <c r="GE6" i="18"/>
  <c r="GF6" i="18"/>
  <c r="GG6" i="18"/>
  <c r="GH6" i="18"/>
  <c r="GI6" i="18"/>
  <c r="GJ6" i="18"/>
  <c r="GK6" i="18"/>
  <c r="GL6" i="18"/>
  <c r="GM6" i="18"/>
  <c r="GN6" i="18"/>
  <c r="GO6" i="18"/>
  <c r="GP6" i="18"/>
  <c r="GQ6" i="18"/>
  <c r="GR6" i="18"/>
  <c r="GS6" i="18"/>
  <c r="GT6" i="18"/>
  <c r="GU6" i="18"/>
  <c r="GV6" i="18"/>
  <c r="GW6" i="18"/>
  <c r="GX6" i="18"/>
  <c r="GY6" i="18"/>
  <c r="GZ6" i="18"/>
  <c r="HA6" i="18"/>
  <c r="HB6" i="18"/>
  <c r="HC6" i="18"/>
  <c r="HD6" i="18"/>
  <c r="HE6" i="18"/>
  <c r="HF6" i="18"/>
  <c r="HG6" i="18"/>
  <c r="HH6" i="18"/>
  <c r="HI6" i="18"/>
  <c r="HJ6" i="18"/>
  <c r="HK6" i="18"/>
  <c r="HL6" i="18"/>
  <c r="HM6" i="18"/>
  <c r="HN6" i="18"/>
  <c r="HO6" i="18"/>
  <c r="HP6" i="18"/>
  <c r="HQ6" i="18"/>
  <c r="HR6" i="18"/>
  <c r="HS6" i="18"/>
  <c r="HT6" i="18"/>
  <c r="HU6" i="18"/>
  <c r="HV6" i="18"/>
  <c r="HW6" i="18"/>
  <c r="HX6" i="18"/>
  <c r="HY6" i="18"/>
  <c r="HZ6" i="18"/>
  <c r="IA6" i="18"/>
  <c r="IB6" i="18"/>
  <c r="IC6" i="18"/>
  <c r="ID6" i="18"/>
  <c r="IE6" i="18"/>
  <c r="IF6" i="18"/>
  <c r="IG6" i="18"/>
  <c r="IH6" i="18"/>
  <c r="II6" i="18"/>
  <c r="IJ6" i="18"/>
  <c r="IK6" i="18"/>
  <c r="IL6" i="18"/>
  <c r="IM6" i="18"/>
  <c r="IN6" i="18"/>
  <c r="IO6" i="18"/>
  <c r="IP6" i="18"/>
  <c r="IQ6" i="18"/>
  <c r="IR6" i="18"/>
  <c r="IS6" i="18"/>
  <c r="IT6" i="18"/>
  <c r="IU6" i="18"/>
  <c r="IV6" i="18"/>
  <c r="A7" i="18"/>
  <c r="B7" i="18"/>
  <c r="C7" i="18"/>
  <c r="D7" i="18"/>
  <c r="E7" i="18"/>
  <c r="F7" i="18"/>
  <c r="G7" i="18"/>
  <c r="H7" i="18"/>
  <c r="I7" i="18"/>
  <c r="J7" i="18"/>
  <c r="K7" i="18"/>
  <c r="L7" i="18"/>
  <c r="M7" i="18"/>
  <c r="N7" i="18"/>
  <c r="O7" i="18"/>
  <c r="P7" i="18"/>
  <c r="Q7" i="18"/>
  <c r="R7" i="18"/>
  <c r="S7" i="18"/>
  <c r="T7" i="18"/>
  <c r="U7" i="18"/>
  <c r="V7" i="18"/>
  <c r="W7" i="18"/>
  <c r="X7" i="18"/>
  <c r="Y7" i="18"/>
  <c r="Z7" i="18"/>
  <c r="AA7" i="18"/>
  <c r="AB7" i="18"/>
  <c r="AC7" i="18"/>
  <c r="AD7" i="18"/>
  <c r="AE7" i="18"/>
  <c r="AF7" i="18"/>
  <c r="AG7" i="18"/>
  <c r="AH7" i="18"/>
  <c r="AI7" i="18"/>
  <c r="AJ7" i="18"/>
  <c r="AK7" i="18"/>
  <c r="AL7" i="18"/>
  <c r="AM7" i="18"/>
  <c r="AN7" i="18"/>
  <c r="AO7" i="18"/>
  <c r="AP7" i="18"/>
  <c r="AQ7" i="18"/>
  <c r="AR7" i="18"/>
  <c r="AS7" i="18"/>
  <c r="AT7" i="18"/>
  <c r="AU7" i="18"/>
  <c r="AV7" i="18"/>
  <c r="AW7" i="18"/>
  <c r="AX7" i="18"/>
  <c r="AY7" i="18"/>
  <c r="AZ7" i="18"/>
  <c r="BA7" i="18"/>
  <c r="BB7" i="18"/>
  <c r="BC7" i="18"/>
  <c r="BD7" i="18"/>
  <c r="BE7" i="18"/>
  <c r="BF7" i="18"/>
  <c r="BG7" i="18"/>
  <c r="BH7" i="18"/>
  <c r="BI7" i="18"/>
  <c r="BJ7" i="18"/>
  <c r="BK7" i="18"/>
  <c r="BL7" i="18"/>
  <c r="BM7" i="18"/>
  <c r="BN7" i="18"/>
  <c r="BO7" i="18"/>
  <c r="BP7" i="18"/>
  <c r="BQ7" i="18"/>
  <c r="BR7" i="18"/>
  <c r="BS7" i="18"/>
  <c r="BT7" i="18"/>
  <c r="BU7" i="18"/>
  <c r="BV7" i="18"/>
  <c r="BW7" i="18"/>
  <c r="BX7" i="18"/>
  <c r="BY7" i="18"/>
  <c r="BZ7" i="18"/>
  <c r="CA7" i="18"/>
  <c r="CB7" i="18"/>
  <c r="CC7" i="18"/>
  <c r="CD7" i="18"/>
  <c r="CE7" i="18"/>
  <c r="CF7" i="18"/>
  <c r="CG7" i="18"/>
  <c r="CH7" i="18"/>
  <c r="CI7" i="18"/>
  <c r="CJ7" i="18"/>
  <c r="CK7" i="18"/>
  <c r="CL7" i="18"/>
  <c r="CM7" i="18"/>
  <c r="CN7" i="18"/>
  <c r="CO7" i="18"/>
  <c r="CP7" i="18"/>
  <c r="CQ7" i="18"/>
  <c r="CR7" i="18"/>
  <c r="CS7" i="18"/>
  <c r="CT7" i="18"/>
  <c r="CU7" i="18"/>
  <c r="CV7" i="18"/>
  <c r="CW7" i="18"/>
  <c r="CX7" i="18"/>
  <c r="CY7" i="18"/>
  <c r="CZ7" i="18"/>
  <c r="DA7" i="18"/>
  <c r="DB7" i="18"/>
  <c r="DC7" i="18"/>
  <c r="DD7" i="18"/>
  <c r="DE7" i="18"/>
  <c r="DF7" i="18"/>
  <c r="DG7" i="18"/>
  <c r="DH7" i="18"/>
  <c r="DI7" i="18"/>
  <c r="DJ7" i="18"/>
  <c r="DK7" i="18"/>
  <c r="DL7" i="18"/>
  <c r="DM7" i="18"/>
  <c r="DN7" i="18"/>
  <c r="DO7" i="18"/>
  <c r="DP7" i="18"/>
  <c r="DQ7" i="18"/>
  <c r="DR7" i="18"/>
  <c r="DS7" i="18"/>
  <c r="DT7" i="18"/>
  <c r="DU7" i="18"/>
  <c r="DV7" i="18"/>
  <c r="DW7" i="18"/>
  <c r="DX7" i="18"/>
  <c r="DY7" i="18"/>
  <c r="DZ7" i="18"/>
  <c r="EA7" i="18"/>
  <c r="EB7" i="18"/>
  <c r="EC7" i="18"/>
  <c r="ED7" i="18"/>
  <c r="EE7" i="18"/>
  <c r="EF7" i="18"/>
  <c r="EG7" i="18"/>
  <c r="EH7" i="18"/>
  <c r="EI7" i="18"/>
  <c r="EJ7" i="18"/>
  <c r="EK7" i="18"/>
  <c r="EL7" i="18"/>
  <c r="EM7" i="18"/>
  <c r="EN7" i="18"/>
  <c r="EO7" i="18"/>
  <c r="EP7" i="18"/>
  <c r="EQ7" i="18"/>
  <c r="ER7" i="18"/>
  <c r="ES7" i="18"/>
  <c r="ET7" i="18"/>
  <c r="EU7" i="18"/>
  <c r="EV7" i="18"/>
  <c r="EW7" i="18"/>
  <c r="EX7" i="18"/>
  <c r="EY7" i="18"/>
  <c r="EZ7" i="18"/>
  <c r="FA7" i="18"/>
  <c r="FB7" i="18"/>
  <c r="FC7" i="18"/>
  <c r="FD7" i="18"/>
  <c r="FE7" i="18"/>
  <c r="FF7" i="18"/>
  <c r="FG7" i="18"/>
  <c r="FH7" i="18"/>
  <c r="FI7" i="18"/>
  <c r="FJ7" i="18"/>
  <c r="FK7" i="18"/>
  <c r="FL7" i="18"/>
  <c r="FM7" i="18"/>
  <c r="FN7" i="18"/>
  <c r="FO7" i="18"/>
  <c r="FP7" i="18"/>
  <c r="FQ7" i="18"/>
  <c r="FR7" i="18"/>
  <c r="FS7" i="18"/>
  <c r="FT7" i="18"/>
  <c r="FU7" i="18"/>
  <c r="FV7" i="18"/>
  <c r="FW7" i="18"/>
  <c r="FX7" i="18"/>
  <c r="FY7" i="18"/>
  <c r="FZ7" i="18"/>
  <c r="GA7" i="18"/>
  <c r="GB7" i="18"/>
  <c r="GC7" i="18"/>
  <c r="GD7" i="18"/>
  <c r="GE7" i="18"/>
  <c r="GF7" i="18"/>
  <c r="GG7" i="18"/>
  <c r="GH7" i="18"/>
  <c r="GI7" i="18"/>
  <c r="GJ7" i="18"/>
  <c r="GK7" i="18"/>
  <c r="GL7" i="18"/>
  <c r="GM7" i="18"/>
  <c r="GN7" i="18"/>
  <c r="GO7" i="18"/>
  <c r="GP7" i="18"/>
  <c r="GQ7" i="18"/>
  <c r="GR7" i="18"/>
  <c r="GS7" i="18"/>
  <c r="GT7" i="18"/>
  <c r="GU7" i="18"/>
  <c r="GV7" i="18"/>
  <c r="GW7" i="18"/>
  <c r="GX7" i="18"/>
  <c r="GY7" i="18"/>
  <c r="GZ7" i="18"/>
  <c r="HA7" i="18"/>
  <c r="HB7" i="18"/>
  <c r="HC7" i="18"/>
  <c r="HD7" i="18"/>
  <c r="HE7" i="18"/>
  <c r="HF7" i="18"/>
  <c r="HG7" i="18"/>
  <c r="HH7" i="18"/>
  <c r="HI7" i="18"/>
  <c r="HJ7" i="18"/>
  <c r="HK7" i="18"/>
  <c r="HL7" i="18"/>
  <c r="HM7" i="18"/>
  <c r="HN7" i="18"/>
  <c r="HO7" i="18"/>
  <c r="HP7" i="18"/>
  <c r="HQ7" i="18"/>
  <c r="HR7" i="18"/>
  <c r="HS7" i="18"/>
  <c r="HT7" i="18"/>
  <c r="HU7" i="18"/>
  <c r="HV7" i="18"/>
  <c r="HW7" i="18"/>
  <c r="HX7" i="18"/>
  <c r="HY7" i="18"/>
  <c r="HZ7" i="18"/>
  <c r="IA7" i="18"/>
  <c r="IB7" i="18"/>
  <c r="IC7" i="18"/>
  <c r="ID7" i="18"/>
  <c r="IE7" i="18"/>
  <c r="IF7" i="18"/>
  <c r="IG7" i="18"/>
  <c r="IH7" i="18"/>
  <c r="II7" i="18"/>
  <c r="IJ7" i="18"/>
  <c r="IK7" i="18"/>
  <c r="IL7" i="18"/>
  <c r="IM7" i="18"/>
  <c r="IN7" i="18"/>
  <c r="IO7" i="18"/>
  <c r="IP7" i="18"/>
  <c r="IQ7" i="18"/>
  <c r="IR7" i="18"/>
  <c r="IS7" i="18"/>
  <c r="IT7" i="18"/>
  <c r="IU7" i="18"/>
  <c r="IV7" i="18"/>
  <c r="A8" i="18"/>
  <c r="B8" i="18"/>
  <c r="C8" i="18"/>
  <c r="D8" i="18"/>
  <c r="E8" i="18"/>
  <c r="F8" i="18"/>
  <c r="G8" i="18"/>
  <c r="H8" i="18"/>
  <c r="I8" i="18"/>
  <c r="J8" i="18"/>
  <c r="K8" i="18"/>
  <c r="L8" i="18"/>
  <c r="M8" i="18"/>
  <c r="N8" i="18"/>
  <c r="O8" i="18"/>
  <c r="P8" i="18"/>
  <c r="Q8" i="18"/>
  <c r="R8" i="18"/>
  <c r="S8" i="18"/>
  <c r="T8" i="18"/>
  <c r="U8" i="18"/>
  <c r="V8" i="18"/>
  <c r="W8" i="18"/>
  <c r="X8" i="18"/>
  <c r="Y8" i="18"/>
  <c r="Z8" i="18"/>
  <c r="AA8" i="18"/>
  <c r="AB8" i="18"/>
  <c r="AC8" i="18"/>
  <c r="AD8" i="18"/>
  <c r="AE8" i="18"/>
  <c r="AF8" i="18"/>
  <c r="AG8" i="18"/>
  <c r="AH8" i="18"/>
  <c r="AI8" i="18"/>
  <c r="AJ8" i="18"/>
  <c r="AK8" i="18"/>
  <c r="AL8" i="18"/>
  <c r="AM8" i="18"/>
  <c r="AN8" i="18"/>
  <c r="AO8" i="18"/>
  <c r="AP8" i="18"/>
  <c r="AQ8" i="18"/>
  <c r="AR8" i="18"/>
  <c r="AS8" i="18"/>
  <c r="AT8" i="18"/>
  <c r="AU8" i="18"/>
  <c r="AV8" i="18"/>
  <c r="AW8" i="18"/>
  <c r="AX8" i="18"/>
  <c r="AY8" i="18"/>
  <c r="AZ8" i="18"/>
  <c r="BA8" i="18"/>
  <c r="BB8" i="18"/>
  <c r="BC8" i="18"/>
  <c r="BD8" i="18"/>
  <c r="BE8" i="18"/>
  <c r="BF8" i="18"/>
  <c r="BG8" i="18"/>
  <c r="BH8" i="18"/>
  <c r="BI8" i="18"/>
  <c r="BJ8" i="18"/>
  <c r="BK8" i="18"/>
  <c r="BL8" i="18"/>
  <c r="BM8" i="18"/>
  <c r="BN8" i="18"/>
  <c r="BO8" i="18"/>
  <c r="BP8" i="18"/>
  <c r="BQ8" i="18"/>
  <c r="BR8" i="18"/>
  <c r="BS8" i="18"/>
  <c r="BT8" i="18"/>
  <c r="BU8" i="18"/>
  <c r="BV8" i="18"/>
  <c r="BW8" i="18"/>
  <c r="BX8" i="18"/>
  <c r="BY8" i="18"/>
  <c r="BZ8" i="18"/>
  <c r="CA8" i="18"/>
  <c r="CB8" i="18"/>
  <c r="CC8" i="18"/>
  <c r="CD8" i="18"/>
  <c r="CE8" i="18"/>
  <c r="CF8" i="18"/>
  <c r="CG8" i="18"/>
  <c r="CH8" i="18"/>
  <c r="CI8" i="18"/>
  <c r="CJ8" i="18"/>
  <c r="CK8" i="18"/>
  <c r="CL8" i="18"/>
  <c r="CM8" i="18"/>
  <c r="CN8" i="18"/>
  <c r="CO8" i="18"/>
  <c r="CP8" i="18"/>
  <c r="CQ8" i="18"/>
  <c r="CR8" i="18"/>
  <c r="CS8" i="18"/>
  <c r="CT8" i="18"/>
  <c r="CU8" i="18"/>
  <c r="CV8" i="18"/>
  <c r="CW8" i="18"/>
  <c r="CX8" i="18"/>
  <c r="CY8" i="18"/>
  <c r="CZ8" i="18"/>
  <c r="DA8" i="18"/>
  <c r="DB8" i="18"/>
  <c r="DC8" i="18"/>
  <c r="DD8" i="18"/>
  <c r="DE8" i="18"/>
  <c r="DF8" i="18"/>
  <c r="DG8" i="18"/>
  <c r="DH8" i="18"/>
  <c r="DI8" i="18"/>
  <c r="DJ8" i="18"/>
  <c r="DK8" i="18"/>
  <c r="DL8" i="18"/>
  <c r="DM8" i="18"/>
  <c r="DN8" i="18"/>
  <c r="DO8" i="18"/>
  <c r="DP8" i="18"/>
  <c r="DQ8" i="18"/>
  <c r="DR8" i="18"/>
  <c r="DS8" i="18"/>
  <c r="DT8" i="18"/>
  <c r="DU8" i="18"/>
  <c r="DV8" i="18"/>
  <c r="DW8" i="18"/>
  <c r="DX8" i="18"/>
  <c r="DY8" i="18"/>
  <c r="DZ8" i="18"/>
  <c r="EA8" i="18"/>
  <c r="EB8" i="18"/>
  <c r="EC8" i="18"/>
  <c r="ED8" i="18"/>
  <c r="EE8" i="18"/>
  <c r="EF8" i="18"/>
  <c r="EG8" i="18"/>
  <c r="EH8" i="18"/>
  <c r="EI8" i="18"/>
  <c r="EJ8" i="18"/>
  <c r="EK8" i="18"/>
  <c r="EL8" i="18"/>
  <c r="EM8" i="18"/>
  <c r="EN8" i="18"/>
  <c r="EO8" i="18"/>
  <c r="EP8" i="18"/>
  <c r="EQ8" i="18"/>
  <c r="ER8" i="18"/>
  <c r="ES8" i="18"/>
  <c r="ET8" i="18"/>
  <c r="EU8" i="18"/>
  <c r="EV8" i="18"/>
  <c r="EW8" i="18"/>
  <c r="EX8" i="18"/>
  <c r="EY8" i="18"/>
  <c r="EZ8" i="18"/>
  <c r="FA8" i="18"/>
  <c r="FB8" i="18"/>
  <c r="FC8" i="18"/>
  <c r="FD8" i="18"/>
  <c r="FE8" i="18"/>
  <c r="FF8" i="18"/>
  <c r="FG8" i="18"/>
  <c r="FH8" i="18"/>
  <c r="FI8" i="18"/>
  <c r="FJ8" i="18"/>
  <c r="FK8" i="18"/>
  <c r="FL8" i="18"/>
  <c r="FM8" i="18"/>
  <c r="FN8" i="18"/>
  <c r="FO8" i="18"/>
  <c r="FP8" i="18"/>
  <c r="FQ8" i="18"/>
  <c r="FR8" i="18"/>
  <c r="FS8" i="18"/>
  <c r="FT8" i="18"/>
  <c r="FU8" i="18"/>
  <c r="FV8" i="18"/>
  <c r="FW8" i="18"/>
  <c r="FX8" i="18"/>
  <c r="FY8" i="18"/>
  <c r="FZ8" i="18"/>
  <c r="GA8" i="18"/>
  <c r="GB8" i="18"/>
  <c r="GC8" i="18"/>
  <c r="GD8" i="18"/>
  <c r="GE8" i="18"/>
  <c r="GF8" i="18"/>
  <c r="GG8" i="18"/>
  <c r="GH8" i="18"/>
  <c r="GI8" i="18"/>
  <c r="GJ8" i="18"/>
  <c r="GK8" i="18"/>
  <c r="GL8" i="18"/>
  <c r="GM8" i="18"/>
  <c r="GN8" i="18"/>
  <c r="GO8" i="18"/>
  <c r="GP8" i="18"/>
  <c r="GQ8" i="18"/>
  <c r="GR8" i="18"/>
  <c r="GS8" i="18"/>
  <c r="GT8" i="18"/>
  <c r="GU8" i="18"/>
  <c r="GV8" i="18"/>
  <c r="GW8" i="18"/>
  <c r="GX8" i="18"/>
  <c r="GY8" i="18"/>
  <c r="GZ8" i="18"/>
  <c r="HA8" i="18"/>
  <c r="HB8" i="18"/>
  <c r="HC8" i="18"/>
  <c r="HD8" i="18"/>
  <c r="HE8" i="18"/>
  <c r="HF8" i="18"/>
  <c r="HG8" i="18"/>
  <c r="HH8" i="18"/>
  <c r="HI8" i="18"/>
  <c r="HJ8" i="18"/>
  <c r="HK8" i="18"/>
  <c r="HL8" i="18"/>
  <c r="HM8" i="18"/>
  <c r="HN8" i="18"/>
  <c r="HO8" i="18"/>
  <c r="HP8" i="18"/>
  <c r="HQ8" i="18"/>
  <c r="HR8" i="18"/>
  <c r="HS8" i="18"/>
  <c r="HT8" i="18"/>
  <c r="HU8" i="18"/>
  <c r="HV8" i="18"/>
  <c r="HW8" i="18"/>
  <c r="HX8" i="18"/>
  <c r="HY8" i="18"/>
  <c r="HZ8" i="18"/>
  <c r="IA8" i="18"/>
  <c r="IB8" i="18"/>
  <c r="IC8" i="18"/>
  <c r="ID8" i="18"/>
  <c r="IE8" i="18"/>
  <c r="IF8" i="18"/>
  <c r="IG8" i="18"/>
  <c r="IH8" i="18"/>
  <c r="II8" i="18"/>
  <c r="IJ8" i="18"/>
  <c r="IK8" i="18"/>
  <c r="IL8" i="18"/>
  <c r="IM8" i="18"/>
  <c r="IN8" i="18"/>
  <c r="IO8" i="18"/>
  <c r="IP8" i="18"/>
  <c r="IQ8" i="18"/>
  <c r="IR8" i="18"/>
  <c r="IS8" i="18"/>
  <c r="IT8" i="18"/>
  <c r="IU8" i="18"/>
  <c r="IV8" i="18"/>
  <c r="A9" i="18"/>
  <c r="B9" i="18"/>
  <c r="C9" i="18"/>
  <c r="D9" i="18"/>
  <c r="E9" i="18"/>
  <c r="F9" i="18"/>
  <c r="G9" i="18"/>
  <c r="H9" i="18"/>
  <c r="I9" i="18"/>
  <c r="J9" i="18"/>
  <c r="K9" i="18"/>
  <c r="L9" i="18"/>
  <c r="M9" i="18"/>
  <c r="N9" i="18"/>
  <c r="O9" i="18"/>
  <c r="P9" i="18"/>
  <c r="Q9" i="18"/>
  <c r="R9" i="18"/>
  <c r="S9" i="18"/>
  <c r="T9" i="18"/>
  <c r="U9" i="18"/>
  <c r="V9" i="18"/>
  <c r="W9" i="18"/>
  <c r="X9" i="18"/>
  <c r="Y9" i="18"/>
  <c r="Z9" i="18"/>
  <c r="AA9" i="18"/>
  <c r="AB9" i="18"/>
  <c r="AC9" i="18"/>
  <c r="AD9" i="18"/>
  <c r="AE9" i="18"/>
  <c r="AF9" i="18"/>
  <c r="AG9" i="18"/>
  <c r="AH9" i="18"/>
  <c r="AI9" i="18"/>
  <c r="AJ9" i="18"/>
  <c r="AK9" i="18"/>
  <c r="AL9" i="18"/>
  <c r="AM9" i="18"/>
  <c r="AN9" i="18"/>
  <c r="AO9" i="18"/>
  <c r="AP9" i="18"/>
  <c r="AQ9" i="18"/>
  <c r="AR9" i="18"/>
  <c r="AS9" i="18"/>
  <c r="AT9" i="18"/>
  <c r="AU9" i="18"/>
  <c r="AV9" i="18"/>
  <c r="AW9" i="18"/>
  <c r="AX9" i="18"/>
  <c r="AY9" i="18"/>
  <c r="AZ9" i="18"/>
  <c r="BA9" i="18"/>
  <c r="BB9" i="18"/>
  <c r="BC9" i="18"/>
  <c r="BD9" i="18"/>
  <c r="BE9" i="18"/>
  <c r="BF9" i="18"/>
  <c r="BG9" i="18"/>
  <c r="BH9" i="18"/>
  <c r="BI9" i="18"/>
  <c r="BJ9" i="18"/>
  <c r="BK9" i="18"/>
  <c r="BL9" i="18"/>
  <c r="BM9" i="18"/>
  <c r="BN9" i="18"/>
  <c r="BO9" i="18"/>
  <c r="BP9" i="18"/>
  <c r="BQ9" i="18"/>
  <c r="BR9" i="18"/>
  <c r="BS9" i="18"/>
  <c r="BT9" i="18"/>
  <c r="BU9" i="18"/>
  <c r="BV9" i="18"/>
  <c r="BW9" i="18"/>
  <c r="BX9" i="18"/>
  <c r="BY9" i="18"/>
  <c r="BZ9" i="18"/>
  <c r="CA9" i="18"/>
  <c r="CB9" i="18"/>
  <c r="CC9" i="18"/>
  <c r="CD9" i="18"/>
  <c r="CE9" i="18"/>
  <c r="CF9" i="18"/>
  <c r="CG9" i="18"/>
  <c r="CH9" i="18"/>
  <c r="CI9" i="18"/>
  <c r="CJ9" i="18"/>
  <c r="CK9" i="18"/>
  <c r="CL9" i="18"/>
  <c r="CM9" i="18"/>
  <c r="CN9" i="18"/>
  <c r="CO9" i="18"/>
  <c r="CP9" i="18"/>
  <c r="CQ9" i="18"/>
  <c r="CR9" i="18"/>
  <c r="CS9" i="18"/>
  <c r="CT9" i="18"/>
  <c r="CU9" i="18"/>
  <c r="CV9" i="18"/>
  <c r="CW9" i="18"/>
  <c r="CX9" i="18"/>
  <c r="CY9" i="18"/>
  <c r="CZ9" i="18"/>
  <c r="DA9" i="18"/>
  <c r="DB9" i="18"/>
  <c r="DC9" i="18"/>
  <c r="DD9" i="18"/>
  <c r="DE9" i="18"/>
  <c r="DF9" i="18"/>
  <c r="DG9" i="18"/>
  <c r="DH9" i="18"/>
  <c r="DI9" i="18"/>
  <c r="DJ9" i="18"/>
  <c r="DK9" i="18"/>
  <c r="DL9" i="18"/>
  <c r="DM9" i="18"/>
  <c r="DN9" i="18"/>
  <c r="DO9" i="18"/>
  <c r="DP9" i="18"/>
  <c r="DQ9" i="18"/>
  <c r="DR9" i="18"/>
  <c r="DS9" i="18"/>
  <c r="DT9" i="18"/>
  <c r="DU9" i="18"/>
  <c r="DV9" i="18"/>
  <c r="DW9" i="18"/>
  <c r="DX9" i="18"/>
  <c r="DY9" i="18"/>
  <c r="DZ9" i="18"/>
  <c r="EA9" i="18"/>
  <c r="EB9" i="18"/>
  <c r="EC9" i="18"/>
  <c r="ED9" i="18"/>
  <c r="EE9" i="18"/>
  <c r="EF9" i="18"/>
  <c r="EG9" i="18"/>
  <c r="EH9" i="18"/>
  <c r="EI9" i="18"/>
  <c r="EJ9" i="18"/>
  <c r="EK9" i="18"/>
  <c r="EL9" i="18"/>
  <c r="EM9" i="18"/>
  <c r="EN9" i="18"/>
  <c r="EO9" i="18"/>
  <c r="EP9" i="18"/>
  <c r="EQ9" i="18"/>
  <c r="ER9" i="18"/>
  <c r="ES9" i="18"/>
  <c r="ET9" i="18"/>
  <c r="EU9" i="18"/>
  <c r="EV9" i="18"/>
  <c r="EW9" i="18"/>
  <c r="EX9" i="18"/>
  <c r="EY9" i="18"/>
  <c r="EZ9" i="18"/>
  <c r="FA9" i="18"/>
  <c r="FB9" i="18"/>
  <c r="FC9" i="18"/>
  <c r="FD9" i="18"/>
  <c r="FE9" i="18"/>
  <c r="FF9" i="18"/>
  <c r="FG9" i="18"/>
  <c r="FH9" i="18"/>
  <c r="FI9" i="18"/>
  <c r="FJ9" i="18"/>
  <c r="FK9" i="18"/>
  <c r="FL9" i="18"/>
  <c r="FM9" i="18"/>
  <c r="FN9" i="18"/>
  <c r="FO9" i="18"/>
  <c r="FP9" i="18"/>
  <c r="FQ9" i="18"/>
  <c r="FR9" i="18"/>
  <c r="FS9" i="18"/>
  <c r="FT9" i="18"/>
  <c r="FU9" i="18"/>
  <c r="FV9" i="18"/>
  <c r="FW9" i="18"/>
  <c r="FX9" i="18"/>
  <c r="FY9" i="18"/>
  <c r="FZ9" i="18"/>
  <c r="GA9" i="18"/>
  <c r="GB9" i="18"/>
  <c r="GC9" i="18"/>
  <c r="GD9" i="18"/>
  <c r="GE9" i="18"/>
  <c r="GF9" i="18"/>
  <c r="GG9" i="18"/>
  <c r="GH9" i="18"/>
  <c r="GI9" i="18"/>
  <c r="GJ9" i="18"/>
  <c r="GK9" i="18"/>
  <c r="GL9" i="18"/>
  <c r="GM9" i="18"/>
  <c r="GN9" i="18"/>
  <c r="GO9" i="18"/>
  <c r="GP9" i="18"/>
  <c r="GQ9" i="18"/>
  <c r="GR9" i="18"/>
  <c r="GS9" i="18"/>
  <c r="GT9" i="18"/>
  <c r="GU9" i="18"/>
  <c r="GV9" i="18"/>
  <c r="GW9" i="18"/>
  <c r="GX9" i="18"/>
  <c r="GY9" i="18"/>
  <c r="GZ9" i="18"/>
  <c r="HA9" i="18"/>
  <c r="HB9" i="18"/>
  <c r="HC9" i="18"/>
  <c r="HD9" i="18"/>
  <c r="HE9" i="18"/>
  <c r="HF9" i="18"/>
  <c r="HG9" i="18"/>
  <c r="HH9" i="18"/>
  <c r="HI9" i="18"/>
  <c r="HJ9" i="18"/>
  <c r="HK9" i="18"/>
  <c r="HL9" i="18"/>
  <c r="HM9" i="18"/>
  <c r="HN9" i="18"/>
  <c r="HO9" i="18"/>
  <c r="HP9" i="18"/>
  <c r="HQ9" i="18"/>
  <c r="HR9" i="18"/>
  <c r="HS9" i="18"/>
  <c r="HT9" i="18"/>
  <c r="HU9" i="18"/>
  <c r="HV9" i="18"/>
  <c r="HW9" i="18"/>
  <c r="HX9" i="18"/>
  <c r="HY9" i="18"/>
  <c r="HZ9" i="18"/>
  <c r="IA9" i="18"/>
  <c r="IB9" i="18"/>
  <c r="IC9" i="18"/>
  <c r="ID9" i="18"/>
  <c r="IE9" i="18"/>
  <c r="IF9" i="18"/>
  <c r="IG9" i="18"/>
  <c r="IH9" i="18"/>
  <c r="II9" i="18"/>
  <c r="IJ9" i="18"/>
  <c r="IK9" i="18"/>
  <c r="IL9" i="18"/>
  <c r="IM9" i="18"/>
  <c r="IN9" i="18"/>
  <c r="IO9" i="18"/>
  <c r="IP9" i="18"/>
  <c r="IQ9" i="18"/>
  <c r="IR9" i="18"/>
  <c r="IS9" i="18"/>
  <c r="IT9" i="18"/>
  <c r="IU9" i="18"/>
  <c r="IV9" i="18"/>
  <c r="A10" i="18"/>
  <c r="B10" i="18"/>
  <c r="C10" i="18"/>
  <c r="D10" i="18"/>
  <c r="E10" i="18"/>
  <c r="F10" i="18"/>
  <c r="G10" i="18"/>
  <c r="H10" i="18"/>
  <c r="I10" i="18"/>
  <c r="J10" i="18"/>
  <c r="K10" i="18"/>
  <c r="L10" i="18"/>
  <c r="M10" i="18"/>
  <c r="N10" i="18"/>
  <c r="O10" i="18"/>
  <c r="P10" i="18"/>
  <c r="Q10" i="18"/>
  <c r="R10" i="18"/>
  <c r="S10" i="18"/>
  <c r="T10" i="18"/>
  <c r="U10" i="18"/>
  <c r="V10" i="18"/>
  <c r="W10" i="18"/>
  <c r="X10" i="18"/>
  <c r="Y10" i="18"/>
  <c r="Z10" i="18"/>
  <c r="AA10" i="18"/>
  <c r="AB10" i="18"/>
  <c r="AC10" i="18"/>
  <c r="AD10" i="18"/>
  <c r="AE10" i="18"/>
  <c r="AF10" i="18"/>
  <c r="AG10" i="18"/>
  <c r="AH10" i="18"/>
  <c r="AI10" i="18"/>
  <c r="AJ10" i="18"/>
  <c r="AK10" i="18"/>
  <c r="AL10" i="18"/>
  <c r="AM10" i="18"/>
  <c r="AN10" i="18"/>
  <c r="AO10" i="18"/>
  <c r="AP10" i="18"/>
  <c r="AQ10" i="18"/>
  <c r="AR10" i="18"/>
  <c r="AS10" i="18"/>
  <c r="AT10" i="18"/>
  <c r="AU10" i="18"/>
  <c r="AV10" i="18"/>
  <c r="AW10" i="18"/>
  <c r="AX10" i="18"/>
  <c r="AY10" i="18"/>
  <c r="AZ10" i="18"/>
  <c r="BA10" i="18"/>
  <c r="BB10" i="18"/>
  <c r="BC10" i="18"/>
  <c r="BD10" i="18"/>
  <c r="BE10" i="18"/>
  <c r="BF10" i="18"/>
  <c r="BG10" i="18"/>
  <c r="BH10" i="18"/>
  <c r="BI10" i="18"/>
  <c r="BJ10" i="18"/>
  <c r="BK10" i="18"/>
  <c r="BL10" i="18"/>
  <c r="BM10" i="18"/>
  <c r="BN10" i="18"/>
  <c r="BO10" i="18"/>
  <c r="BP10" i="18"/>
  <c r="BQ10" i="18"/>
  <c r="BR10" i="18"/>
  <c r="BS10" i="18"/>
  <c r="BT10" i="18"/>
  <c r="BU10" i="18"/>
  <c r="BV10" i="18"/>
  <c r="BW10" i="18"/>
  <c r="BX10" i="18"/>
  <c r="BY10" i="18"/>
  <c r="BZ10" i="18"/>
  <c r="CA10" i="18"/>
  <c r="CB10" i="18"/>
  <c r="CC10" i="18"/>
  <c r="CD10" i="18"/>
  <c r="CE10" i="18"/>
  <c r="CF10" i="18"/>
  <c r="CG10" i="18"/>
  <c r="CH10" i="18"/>
  <c r="CI10" i="18"/>
  <c r="CJ10" i="18"/>
  <c r="CK10" i="18"/>
  <c r="CL10" i="18"/>
  <c r="CM10" i="18"/>
  <c r="CN10" i="18"/>
  <c r="CO10" i="18"/>
  <c r="CP10" i="18"/>
  <c r="CQ10" i="18"/>
  <c r="CR10" i="18"/>
  <c r="CS10" i="18"/>
  <c r="CT10" i="18"/>
  <c r="CU10" i="18"/>
  <c r="CV10" i="18"/>
  <c r="CW10" i="18"/>
  <c r="CX10" i="18"/>
  <c r="CY10" i="18"/>
  <c r="CZ10" i="18"/>
  <c r="DA10" i="18"/>
  <c r="DB10" i="18"/>
  <c r="DC10" i="18"/>
  <c r="DD10" i="18"/>
  <c r="DE10" i="18"/>
  <c r="DF10" i="18"/>
  <c r="DG10" i="18"/>
  <c r="DH10" i="18"/>
  <c r="DI10" i="18"/>
  <c r="DJ10" i="18"/>
  <c r="DK10" i="18"/>
  <c r="DL10" i="18"/>
  <c r="DM10" i="18"/>
  <c r="DN10" i="18"/>
  <c r="DO10" i="18"/>
  <c r="DP10" i="18"/>
  <c r="DQ10" i="18"/>
  <c r="DR10" i="18"/>
  <c r="DS10" i="18"/>
  <c r="DT10" i="18"/>
  <c r="DU10" i="18"/>
  <c r="DV10" i="18"/>
  <c r="DW10" i="18"/>
  <c r="DX10" i="18"/>
  <c r="DY10" i="18"/>
  <c r="DZ10" i="18"/>
  <c r="EA10" i="18"/>
  <c r="EB10" i="18"/>
  <c r="EC10" i="18"/>
  <c r="ED10" i="18"/>
  <c r="EE10" i="18"/>
  <c r="EF10" i="18"/>
  <c r="EG10" i="18"/>
  <c r="EH10" i="18"/>
  <c r="EI10" i="18"/>
  <c r="EJ10" i="18"/>
  <c r="EK10" i="18"/>
  <c r="EL10" i="18"/>
  <c r="EM10" i="18"/>
  <c r="EN10" i="18"/>
  <c r="EO10" i="18"/>
  <c r="EP10" i="18"/>
  <c r="EQ10" i="18"/>
  <c r="ER10" i="18"/>
  <c r="ES10" i="18"/>
  <c r="ET10" i="18"/>
  <c r="EU10" i="18"/>
  <c r="EV10" i="18"/>
  <c r="EW10" i="18"/>
  <c r="EX10" i="18"/>
  <c r="EY10" i="18"/>
  <c r="EZ10" i="18"/>
  <c r="FA10" i="18"/>
  <c r="FB10" i="18"/>
  <c r="FC10" i="18"/>
  <c r="FD10" i="18"/>
  <c r="FE10" i="18"/>
  <c r="FF10" i="18"/>
  <c r="FG10" i="18"/>
  <c r="FH10" i="18"/>
  <c r="FI10" i="18"/>
  <c r="FJ10" i="18"/>
  <c r="FK10" i="18"/>
  <c r="FL10" i="18"/>
  <c r="FM10" i="18"/>
  <c r="FN10" i="18"/>
  <c r="FO10" i="18"/>
  <c r="FP10" i="18"/>
  <c r="FQ10" i="18"/>
  <c r="FR10" i="18"/>
  <c r="FS10" i="18"/>
  <c r="FT10" i="18"/>
  <c r="FU10" i="18"/>
  <c r="FV10" i="18"/>
  <c r="FW10" i="18"/>
  <c r="FX10" i="18"/>
  <c r="FY10" i="18"/>
  <c r="FZ10" i="18"/>
  <c r="GA10" i="18"/>
  <c r="GB10" i="18"/>
  <c r="GC10" i="18"/>
  <c r="GD10" i="18"/>
  <c r="GE10" i="18"/>
  <c r="GF10" i="18"/>
  <c r="GG10" i="18"/>
  <c r="GH10" i="18"/>
  <c r="GI10" i="18"/>
  <c r="GJ10" i="18"/>
  <c r="GK10" i="18"/>
  <c r="GL10" i="18"/>
  <c r="GM10" i="18"/>
  <c r="GN10" i="18"/>
  <c r="GO10" i="18"/>
  <c r="GP10" i="18"/>
  <c r="GQ10" i="18"/>
  <c r="GR10" i="18"/>
  <c r="GS10" i="18"/>
  <c r="GT10" i="18"/>
  <c r="GU10" i="18"/>
  <c r="GV10" i="18"/>
  <c r="GW10" i="18"/>
  <c r="GX10" i="18"/>
  <c r="GY10" i="18"/>
  <c r="GZ10" i="18"/>
  <c r="HA10" i="18"/>
  <c r="HB10" i="18"/>
  <c r="HC10" i="18"/>
  <c r="HD10" i="18"/>
  <c r="HE10" i="18"/>
  <c r="HF10" i="18"/>
  <c r="HG10" i="18"/>
  <c r="HH10" i="18"/>
  <c r="HI10" i="18"/>
  <c r="HJ10" i="18"/>
  <c r="HK10" i="18"/>
  <c r="HL10" i="18"/>
  <c r="HM10" i="18"/>
  <c r="HN10" i="18"/>
  <c r="HO10" i="18"/>
  <c r="HP10" i="18"/>
  <c r="HQ10" i="18"/>
  <c r="HR10" i="18"/>
  <c r="HS10" i="18"/>
  <c r="HT10" i="18"/>
  <c r="HU10" i="18"/>
  <c r="HV10" i="18"/>
  <c r="HW10" i="18"/>
  <c r="HX10" i="18"/>
  <c r="HY10" i="18"/>
  <c r="HZ10" i="18"/>
  <c r="IA10" i="18"/>
  <c r="IB10" i="18"/>
  <c r="IC10" i="18"/>
  <c r="ID10" i="18"/>
  <c r="IE10" i="18"/>
  <c r="IF10" i="18"/>
  <c r="IG10" i="18"/>
  <c r="IH10" i="18"/>
  <c r="II10" i="18"/>
  <c r="IJ10" i="18"/>
  <c r="IK10" i="18"/>
  <c r="IL10" i="18"/>
  <c r="IM10" i="18"/>
  <c r="IN10" i="18"/>
  <c r="IO10" i="18"/>
  <c r="IP10" i="18"/>
  <c r="IQ10" i="18"/>
  <c r="IR10" i="18"/>
  <c r="IS10" i="18"/>
  <c r="IT10" i="18"/>
  <c r="IU10" i="18"/>
  <c r="IV10" i="18"/>
  <c r="A11" i="18"/>
  <c r="B11" i="18"/>
  <c r="C11" i="18"/>
  <c r="D11" i="18"/>
  <c r="E11" i="18"/>
  <c r="F11" i="18"/>
  <c r="G11" i="18"/>
  <c r="H11" i="18"/>
  <c r="I11" i="18"/>
  <c r="J11" i="18"/>
  <c r="K11" i="18"/>
  <c r="L11" i="18"/>
  <c r="M11" i="18"/>
  <c r="N11" i="18"/>
  <c r="O11" i="18"/>
  <c r="P11" i="18"/>
  <c r="Q11" i="18"/>
  <c r="R11" i="18"/>
  <c r="S11" i="18"/>
  <c r="T11" i="18"/>
  <c r="U11" i="18"/>
  <c r="V11" i="18"/>
  <c r="W11" i="18"/>
  <c r="X11" i="18"/>
  <c r="Y11" i="18"/>
  <c r="Z11" i="18"/>
  <c r="AA11" i="18"/>
  <c r="AB11" i="18"/>
  <c r="AC11" i="18"/>
  <c r="AD11" i="18"/>
  <c r="AE11" i="18"/>
  <c r="AF11" i="18"/>
  <c r="AG11" i="18"/>
  <c r="AH11" i="18"/>
  <c r="AI11" i="18"/>
  <c r="AJ11" i="18"/>
  <c r="AK11" i="18"/>
  <c r="AL11" i="18"/>
  <c r="AM11" i="18"/>
  <c r="AN11" i="18"/>
  <c r="AO11" i="18"/>
  <c r="AP11" i="18"/>
  <c r="AQ11" i="18"/>
  <c r="AR11" i="18"/>
  <c r="AS11" i="18"/>
  <c r="AT11" i="18"/>
  <c r="AU11" i="18"/>
  <c r="AV11" i="18"/>
  <c r="AW11" i="18"/>
  <c r="AX11" i="18"/>
  <c r="AY11" i="18"/>
  <c r="AZ11" i="18"/>
  <c r="BA11" i="18"/>
  <c r="BB11" i="18"/>
  <c r="BC11" i="18"/>
  <c r="BD11" i="18"/>
  <c r="BE11" i="18"/>
  <c r="BF11" i="18"/>
  <c r="BG11" i="18"/>
  <c r="BH11" i="18"/>
  <c r="BI11" i="18"/>
  <c r="BJ11" i="18"/>
  <c r="BK11" i="18"/>
  <c r="BL11" i="18"/>
  <c r="BM11" i="18"/>
  <c r="BN11" i="18"/>
  <c r="BO11" i="18"/>
  <c r="BP11" i="18"/>
  <c r="BQ11" i="18"/>
  <c r="BR11" i="18"/>
  <c r="BS11" i="18"/>
  <c r="BT11" i="18"/>
  <c r="BU11" i="18"/>
  <c r="BV11" i="18"/>
  <c r="BW11" i="18"/>
  <c r="BX11" i="18"/>
  <c r="BY11" i="18"/>
  <c r="BZ11" i="18"/>
  <c r="CA11" i="18"/>
  <c r="CB11" i="18"/>
  <c r="CC11" i="18"/>
  <c r="CD11" i="18"/>
  <c r="CE11" i="18"/>
  <c r="CF11" i="18"/>
  <c r="CG11" i="18"/>
  <c r="CH11" i="18"/>
  <c r="CI11" i="18"/>
  <c r="CJ11" i="18"/>
  <c r="CK11" i="18"/>
  <c r="CL11" i="18"/>
  <c r="CM11" i="18"/>
  <c r="CN11" i="18"/>
  <c r="CO11" i="18"/>
  <c r="CP11" i="18"/>
  <c r="CQ11" i="18"/>
  <c r="CR11" i="18"/>
  <c r="CS11" i="18"/>
  <c r="CT11" i="18"/>
  <c r="CU11" i="18"/>
  <c r="CV11" i="18"/>
  <c r="CW11" i="18"/>
  <c r="CX11" i="18"/>
  <c r="CY11" i="18"/>
  <c r="CZ11" i="18"/>
  <c r="DA11" i="18"/>
  <c r="DB11" i="18"/>
  <c r="DC11" i="18"/>
  <c r="DD11" i="18"/>
  <c r="DE11" i="18"/>
  <c r="DF11" i="18"/>
  <c r="DG11" i="18"/>
  <c r="DH11" i="18"/>
  <c r="DI11" i="18"/>
  <c r="DJ11" i="18"/>
  <c r="DK11" i="18"/>
  <c r="DL11" i="18"/>
  <c r="DM11" i="18"/>
  <c r="DN11" i="18"/>
  <c r="DO11" i="18"/>
  <c r="DP11" i="18"/>
  <c r="DQ11" i="18"/>
  <c r="DR11" i="18"/>
  <c r="DS11" i="18"/>
  <c r="DT11" i="18"/>
  <c r="DU11" i="18"/>
  <c r="DV11" i="18"/>
  <c r="DW11" i="18"/>
  <c r="DX11" i="18"/>
  <c r="DY11" i="18"/>
  <c r="DZ11" i="18"/>
  <c r="EA11" i="18"/>
  <c r="EB11" i="18"/>
  <c r="EC11" i="18"/>
  <c r="ED11" i="18"/>
  <c r="EE11" i="18"/>
  <c r="EF11" i="18"/>
  <c r="EG11" i="18"/>
  <c r="EH11" i="18"/>
  <c r="EI11" i="18"/>
  <c r="EJ11" i="18"/>
  <c r="EK11" i="18"/>
  <c r="EL11" i="18"/>
  <c r="EM11" i="18"/>
  <c r="EN11" i="18"/>
  <c r="EO11" i="18"/>
  <c r="EP11" i="18"/>
  <c r="EQ11" i="18"/>
  <c r="ER11" i="18"/>
  <c r="ES11" i="18"/>
  <c r="ET11" i="18"/>
  <c r="EU11" i="18"/>
  <c r="EV11" i="18"/>
  <c r="EW11" i="18"/>
  <c r="EX11" i="18"/>
  <c r="EY11" i="18"/>
  <c r="EZ11" i="18"/>
  <c r="FA11" i="18"/>
  <c r="FB11" i="18"/>
  <c r="FC11" i="18"/>
  <c r="FD11" i="18"/>
  <c r="FE11" i="18"/>
  <c r="FF11" i="18"/>
  <c r="FG11" i="18"/>
  <c r="FH11" i="18"/>
  <c r="FI11" i="18"/>
  <c r="FJ11" i="18"/>
  <c r="FK11" i="18"/>
  <c r="FL11" i="18"/>
  <c r="FM11" i="18"/>
  <c r="FN11" i="18"/>
  <c r="FO11" i="18"/>
  <c r="FP11" i="18"/>
  <c r="FQ11" i="18"/>
  <c r="FR11" i="18"/>
  <c r="FS11" i="18"/>
  <c r="FT11" i="18"/>
  <c r="FU11" i="18"/>
  <c r="FV11" i="18"/>
  <c r="FW11" i="18"/>
  <c r="FX11" i="18"/>
  <c r="FY11" i="18"/>
  <c r="FZ11" i="18"/>
  <c r="GA11" i="18"/>
  <c r="GB11" i="18"/>
  <c r="GC11" i="18"/>
  <c r="GD11" i="18"/>
  <c r="GE11" i="18"/>
  <c r="GF11" i="18"/>
  <c r="GG11" i="18"/>
  <c r="GH11" i="18"/>
  <c r="GI11" i="18"/>
  <c r="GJ11" i="18"/>
  <c r="GK11" i="18"/>
  <c r="GL11" i="18"/>
  <c r="GM11" i="18"/>
  <c r="GN11" i="18"/>
  <c r="GO11" i="18"/>
  <c r="GP11" i="18"/>
  <c r="GQ11" i="18"/>
  <c r="GR11" i="18"/>
  <c r="GS11" i="18"/>
  <c r="GT11" i="18"/>
  <c r="GU11" i="18"/>
  <c r="GV11" i="18"/>
  <c r="GW11" i="18"/>
  <c r="GX11" i="18"/>
  <c r="GY11" i="18"/>
  <c r="GZ11" i="18"/>
  <c r="HA11" i="18"/>
  <c r="HB11" i="18"/>
  <c r="HC11" i="18"/>
  <c r="HD11" i="18"/>
  <c r="HE11" i="18"/>
  <c r="HF11" i="18"/>
  <c r="HG11" i="18"/>
  <c r="HH11" i="18"/>
  <c r="HI11" i="18"/>
  <c r="HJ11" i="18"/>
  <c r="HK11" i="18"/>
  <c r="HL11" i="18"/>
  <c r="HM11" i="18"/>
  <c r="HN11" i="18"/>
  <c r="HO11" i="18"/>
  <c r="HP11" i="18"/>
  <c r="HQ11" i="18"/>
  <c r="HR11" i="18"/>
  <c r="HS11" i="18"/>
  <c r="HT11" i="18"/>
  <c r="HU11" i="18"/>
  <c r="HV11" i="18"/>
  <c r="HW11" i="18"/>
  <c r="HX11" i="18"/>
  <c r="HY11" i="18"/>
  <c r="HZ11" i="18"/>
  <c r="IA11" i="18"/>
  <c r="IB11" i="18"/>
  <c r="IC11" i="18"/>
  <c r="ID11" i="18"/>
  <c r="IE11" i="18"/>
  <c r="IF11" i="18"/>
  <c r="IG11" i="18"/>
  <c r="IH11" i="18"/>
  <c r="II11" i="18"/>
  <c r="IJ11" i="18"/>
  <c r="IK11" i="18"/>
  <c r="IL11" i="18"/>
  <c r="IM11" i="18"/>
  <c r="IN11" i="18"/>
  <c r="IO11" i="18"/>
  <c r="IP11" i="18"/>
  <c r="IQ11" i="18"/>
  <c r="IR11" i="18"/>
  <c r="IS11" i="18"/>
  <c r="IT11" i="18"/>
  <c r="IU11" i="18"/>
  <c r="IV11" i="18"/>
  <c r="A12" i="18"/>
  <c r="B12" i="18"/>
  <c r="C12" i="18"/>
  <c r="D12" i="18"/>
  <c r="E12" i="18"/>
  <c r="F12" i="18"/>
  <c r="G12" i="18"/>
  <c r="H12" i="18"/>
  <c r="I12" i="18"/>
  <c r="J12" i="18"/>
  <c r="K12" i="18"/>
  <c r="L12" i="18"/>
  <c r="M12" i="18"/>
  <c r="N12" i="18"/>
  <c r="O12" i="18"/>
  <c r="P12" i="18"/>
  <c r="Q12" i="18"/>
  <c r="R12" i="18"/>
  <c r="S12" i="18"/>
  <c r="T12" i="18"/>
  <c r="U12" i="18"/>
  <c r="V12" i="18"/>
  <c r="W12" i="18"/>
  <c r="X12" i="18"/>
  <c r="Y12" i="18"/>
  <c r="Z12" i="18"/>
  <c r="AA12" i="18"/>
  <c r="AB12" i="18"/>
  <c r="AC12" i="18"/>
  <c r="AD12" i="18"/>
  <c r="AE12" i="18"/>
  <c r="AF12" i="18"/>
  <c r="AG12" i="18"/>
  <c r="AH12" i="18"/>
  <c r="AI12" i="18"/>
  <c r="AJ12" i="18"/>
  <c r="AK12" i="18"/>
  <c r="AL12" i="18"/>
  <c r="AM12" i="18"/>
  <c r="AN12" i="18"/>
  <c r="AO12" i="18"/>
  <c r="AP12" i="18"/>
  <c r="AQ12" i="18"/>
  <c r="AR12" i="18"/>
  <c r="AS12" i="18"/>
  <c r="AT12" i="18"/>
  <c r="AU12" i="18"/>
  <c r="AV12" i="18"/>
  <c r="AW12" i="18"/>
  <c r="AX12" i="18"/>
  <c r="AY12" i="18"/>
  <c r="AZ12" i="18"/>
  <c r="BA12" i="18"/>
  <c r="BB12" i="18"/>
  <c r="BC12" i="18"/>
  <c r="BD12" i="18"/>
  <c r="BE12" i="18"/>
  <c r="BF12" i="18"/>
  <c r="BG12" i="18"/>
  <c r="BH12" i="18"/>
  <c r="BI12" i="18"/>
  <c r="BJ12" i="18"/>
  <c r="BK12" i="18"/>
  <c r="BL12" i="18"/>
  <c r="BM12" i="18"/>
  <c r="BN12" i="18"/>
  <c r="BO12" i="18"/>
  <c r="BP12" i="18"/>
  <c r="BQ12" i="18"/>
  <c r="BR12" i="18"/>
  <c r="BS12" i="18"/>
  <c r="BT12" i="18"/>
  <c r="BU12" i="18"/>
  <c r="BV12" i="18"/>
  <c r="BW12" i="18"/>
  <c r="BX12" i="18"/>
  <c r="BY12" i="18"/>
  <c r="BZ12" i="18"/>
  <c r="CA12" i="18"/>
  <c r="CB12" i="18"/>
  <c r="CC12" i="18"/>
  <c r="CD12" i="18"/>
  <c r="CE12" i="18"/>
  <c r="CF12" i="18"/>
  <c r="CG12" i="18"/>
  <c r="CH12" i="18"/>
  <c r="CI12" i="18"/>
  <c r="CJ12" i="18"/>
  <c r="CK12" i="18"/>
  <c r="CL12" i="18"/>
  <c r="CM12" i="18"/>
  <c r="CN12" i="18"/>
  <c r="CO12" i="18"/>
  <c r="CP12" i="18"/>
  <c r="CQ12" i="18"/>
  <c r="CR12" i="18"/>
  <c r="CS12" i="18"/>
  <c r="CT12" i="18"/>
  <c r="CU12" i="18"/>
  <c r="CV12" i="18"/>
  <c r="CW12" i="18"/>
  <c r="CX12" i="18"/>
  <c r="CY12" i="18"/>
  <c r="CZ12" i="18"/>
  <c r="DA12" i="18"/>
  <c r="DB12" i="18"/>
  <c r="DC12" i="18"/>
  <c r="DD12" i="18"/>
  <c r="DE12" i="18"/>
  <c r="DF12" i="18"/>
  <c r="DG12" i="18"/>
  <c r="DH12" i="18"/>
  <c r="DI12" i="18"/>
  <c r="DJ12" i="18"/>
  <c r="DK12" i="18"/>
  <c r="DL12" i="18"/>
  <c r="DM12" i="18"/>
  <c r="DN12" i="18"/>
  <c r="DO12" i="18"/>
  <c r="DP12" i="18"/>
  <c r="DQ12" i="18"/>
  <c r="DR12" i="18"/>
  <c r="DS12" i="18"/>
  <c r="DT12" i="18"/>
  <c r="DU12" i="18"/>
  <c r="DV12" i="18"/>
  <c r="DW12" i="18"/>
  <c r="DX12" i="18"/>
  <c r="DY12" i="18"/>
  <c r="DZ12" i="18"/>
  <c r="EA12" i="18"/>
  <c r="EB12" i="18"/>
  <c r="EC12" i="18"/>
  <c r="ED12" i="18"/>
  <c r="EE12" i="18"/>
  <c r="EF12" i="18"/>
  <c r="EG12" i="18"/>
  <c r="EH12" i="18"/>
  <c r="EI12" i="18"/>
  <c r="EJ12" i="18"/>
  <c r="EK12" i="18"/>
  <c r="EL12" i="18"/>
  <c r="EM12" i="18"/>
  <c r="EN12" i="18"/>
  <c r="EO12" i="18"/>
  <c r="EP12" i="18"/>
  <c r="EQ12" i="18"/>
  <c r="ER12" i="18"/>
  <c r="ES12" i="18"/>
  <c r="ET12" i="18"/>
  <c r="EU12" i="18"/>
  <c r="EV12" i="18"/>
  <c r="EW12" i="18"/>
  <c r="EX12" i="18"/>
  <c r="EY12" i="18"/>
  <c r="EZ12" i="18"/>
  <c r="FA12" i="18"/>
  <c r="FB12" i="18"/>
  <c r="FC12" i="18"/>
  <c r="FD12" i="18"/>
  <c r="FE12" i="18"/>
  <c r="FF12" i="18"/>
  <c r="FG12" i="18"/>
  <c r="FH12" i="18"/>
  <c r="FI12" i="18"/>
  <c r="FJ12" i="18"/>
  <c r="FK12" i="18"/>
  <c r="FL12" i="18"/>
  <c r="FM12" i="18"/>
  <c r="FN12" i="18"/>
  <c r="FO12" i="18"/>
  <c r="FP12" i="18"/>
  <c r="FQ12" i="18"/>
  <c r="FR12" i="18"/>
  <c r="FS12" i="18"/>
  <c r="FT12" i="18"/>
  <c r="FU12" i="18"/>
  <c r="FV12" i="18"/>
  <c r="FW12" i="18"/>
  <c r="FX12" i="18"/>
  <c r="FY12" i="18"/>
  <c r="FZ12" i="18"/>
  <c r="GA12" i="18"/>
  <c r="GB12" i="18"/>
  <c r="GC12" i="18"/>
  <c r="GD12" i="18"/>
  <c r="GE12" i="18"/>
  <c r="GF12" i="18"/>
  <c r="GG12" i="18"/>
  <c r="GH12" i="18"/>
  <c r="GI12" i="18"/>
  <c r="GJ12" i="18"/>
  <c r="GK12" i="18"/>
  <c r="GL12" i="18"/>
  <c r="GM12" i="18"/>
  <c r="GN12" i="18"/>
  <c r="GO12" i="18"/>
  <c r="GP12" i="18"/>
  <c r="GQ12" i="18"/>
  <c r="GR12" i="18"/>
  <c r="GS12" i="18"/>
  <c r="GT12" i="18"/>
  <c r="GU12" i="18"/>
  <c r="GV12" i="18"/>
  <c r="GW12" i="18"/>
  <c r="GX12" i="18"/>
  <c r="GY12" i="18"/>
  <c r="GZ12" i="18"/>
  <c r="HA12" i="18"/>
  <c r="HB12" i="18"/>
  <c r="HC12" i="18"/>
  <c r="HD12" i="18"/>
  <c r="HE12" i="18"/>
  <c r="HF12" i="18"/>
  <c r="HG12" i="18"/>
  <c r="HH12" i="18"/>
  <c r="HI12" i="18"/>
  <c r="HJ12" i="18"/>
  <c r="HK12" i="18"/>
  <c r="HL12" i="18"/>
  <c r="HM12" i="18"/>
  <c r="HN12" i="18"/>
  <c r="HO12" i="18"/>
  <c r="HP12" i="18"/>
  <c r="HQ12" i="18"/>
  <c r="HR12" i="18"/>
  <c r="HS12" i="18"/>
  <c r="HT12" i="18"/>
  <c r="HU12" i="18"/>
  <c r="HV12" i="18"/>
  <c r="HW12" i="18"/>
  <c r="HX12" i="18"/>
  <c r="HY12" i="18"/>
  <c r="HZ12" i="18"/>
  <c r="IA12" i="18"/>
  <c r="IB12" i="18"/>
  <c r="IC12" i="18"/>
  <c r="ID12" i="18"/>
  <c r="IE12" i="18"/>
  <c r="IF12" i="18"/>
  <c r="IG12" i="18"/>
  <c r="IH12" i="18"/>
  <c r="II12" i="18"/>
  <c r="IJ12" i="18"/>
  <c r="IK12" i="18"/>
  <c r="IL12" i="18"/>
  <c r="IM12" i="18"/>
  <c r="IN12" i="18"/>
  <c r="IO12" i="18"/>
  <c r="IP12" i="18"/>
  <c r="IQ12" i="18"/>
  <c r="IR12" i="18"/>
  <c r="IS12" i="18"/>
  <c r="IT12" i="18"/>
  <c r="IU12" i="18"/>
  <c r="IV12" i="18"/>
  <c r="A13" i="18"/>
  <c r="B13" i="18"/>
  <c r="C13" i="18"/>
  <c r="D13" i="18"/>
  <c r="E13" i="18"/>
  <c r="F13" i="18"/>
  <c r="G13" i="18"/>
  <c r="H13" i="18"/>
  <c r="I13" i="18"/>
  <c r="J13" i="18"/>
  <c r="K13" i="18"/>
  <c r="L13" i="18"/>
  <c r="M13" i="18"/>
  <c r="N13" i="18"/>
  <c r="O13" i="18"/>
  <c r="P13" i="18"/>
  <c r="Q13" i="18"/>
  <c r="R13" i="18"/>
  <c r="S13" i="18"/>
  <c r="T13" i="18"/>
  <c r="U13" i="18"/>
  <c r="V13" i="18"/>
  <c r="W13" i="18"/>
  <c r="X13" i="18"/>
  <c r="Y13" i="18"/>
  <c r="Z13" i="18"/>
  <c r="AA13" i="18"/>
  <c r="AB13" i="18"/>
  <c r="AC13" i="18"/>
  <c r="AD13" i="18"/>
  <c r="AE13" i="18"/>
  <c r="AF13" i="18"/>
  <c r="AG13" i="18"/>
  <c r="AH13" i="18"/>
  <c r="AI13" i="18"/>
  <c r="AJ13" i="18"/>
  <c r="AK13" i="18"/>
  <c r="AL13" i="18"/>
  <c r="AM13" i="18"/>
  <c r="AN13" i="18"/>
  <c r="AO13" i="18"/>
  <c r="AP13" i="18"/>
  <c r="AQ13" i="18"/>
  <c r="AR13" i="18"/>
  <c r="AS13" i="18"/>
  <c r="AT13" i="18"/>
  <c r="AU13" i="18"/>
  <c r="AV13" i="18"/>
  <c r="AW13" i="18"/>
  <c r="AX13" i="18"/>
  <c r="AY13" i="18"/>
  <c r="AZ13" i="18"/>
  <c r="BA13" i="18"/>
  <c r="BB13" i="18"/>
  <c r="BC13" i="18"/>
  <c r="BD13" i="18"/>
  <c r="BE13" i="18"/>
  <c r="BF13" i="18"/>
  <c r="BG13" i="18"/>
  <c r="BH13" i="18"/>
  <c r="BI13" i="18"/>
  <c r="BJ13" i="18"/>
  <c r="BK13" i="18"/>
  <c r="BL13" i="18"/>
  <c r="BM13" i="18"/>
  <c r="BN13" i="18"/>
  <c r="BO13" i="18"/>
  <c r="BP13" i="18"/>
  <c r="BQ13" i="18"/>
  <c r="BR13" i="18"/>
  <c r="BS13" i="18"/>
  <c r="BT13" i="18"/>
  <c r="BU13" i="18"/>
  <c r="BV13" i="18"/>
  <c r="BW13" i="18"/>
  <c r="BX13" i="18"/>
  <c r="BY13" i="18"/>
  <c r="BZ13" i="18"/>
  <c r="CA13" i="18"/>
  <c r="CB13" i="18"/>
  <c r="CC13" i="18"/>
  <c r="CD13" i="18"/>
  <c r="CE13" i="18"/>
  <c r="CF13" i="18"/>
  <c r="CG13" i="18"/>
  <c r="CH13" i="18"/>
  <c r="CI13" i="18"/>
  <c r="CJ13" i="18"/>
  <c r="CK13" i="18"/>
  <c r="CL13" i="18"/>
  <c r="CM13" i="18"/>
  <c r="CN13" i="18"/>
  <c r="CO13" i="18"/>
  <c r="CP13" i="18"/>
  <c r="CQ13" i="18"/>
  <c r="CR13" i="18"/>
  <c r="CS13" i="18"/>
  <c r="CT13" i="18"/>
  <c r="CU13" i="18"/>
  <c r="CV13" i="18"/>
  <c r="CW13" i="18"/>
  <c r="CX13" i="18"/>
  <c r="CY13" i="18"/>
  <c r="CZ13" i="18"/>
  <c r="DA13" i="18"/>
  <c r="DB13" i="18"/>
  <c r="DC13" i="18"/>
  <c r="DD13" i="18"/>
  <c r="DE13" i="18"/>
  <c r="DF13" i="18"/>
  <c r="DG13" i="18"/>
  <c r="DH13" i="18"/>
  <c r="DI13" i="18"/>
  <c r="DJ13" i="18"/>
  <c r="DK13" i="18"/>
  <c r="DL13" i="18"/>
  <c r="DM13" i="18"/>
  <c r="DN13" i="18"/>
  <c r="DO13" i="18"/>
  <c r="DP13" i="18"/>
  <c r="DQ13" i="18"/>
  <c r="DR13" i="18"/>
  <c r="DS13" i="18"/>
  <c r="DT13" i="18"/>
  <c r="DU13" i="18"/>
  <c r="DV13" i="18"/>
  <c r="DW13" i="18"/>
  <c r="DX13" i="18"/>
  <c r="DY13" i="18"/>
  <c r="DZ13" i="18"/>
  <c r="EA13" i="18"/>
  <c r="EB13" i="18"/>
  <c r="EC13" i="18"/>
  <c r="ED13" i="18"/>
  <c r="EE13" i="18"/>
  <c r="EF13" i="18"/>
  <c r="EG13" i="18"/>
  <c r="EH13" i="18"/>
  <c r="EI13" i="18"/>
  <c r="EJ13" i="18"/>
  <c r="EK13" i="18"/>
  <c r="EL13" i="18"/>
  <c r="EM13" i="18"/>
  <c r="EN13" i="18"/>
  <c r="EO13" i="18"/>
  <c r="EP13" i="18"/>
  <c r="EQ13" i="18"/>
  <c r="ER13" i="18"/>
  <c r="ES13" i="18"/>
  <c r="ET13" i="18"/>
  <c r="EU13" i="18"/>
  <c r="EV13" i="18"/>
  <c r="EW13" i="18"/>
  <c r="EX13" i="18"/>
  <c r="EY13" i="18"/>
  <c r="EZ13" i="18"/>
  <c r="FA13" i="18"/>
  <c r="FB13" i="18"/>
  <c r="FC13" i="18"/>
  <c r="FD13" i="18"/>
  <c r="FE13" i="18"/>
  <c r="FF13" i="18"/>
  <c r="FG13" i="18"/>
  <c r="FH13" i="18"/>
  <c r="FI13" i="18"/>
  <c r="FJ13" i="18"/>
  <c r="FK13" i="18"/>
  <c r="FL13" i="18"/>
  <c r="FM13" i="18"/>
  <c r="FN13" i="18"/>
  <c r="FO13" i="18"/>
  <c r="FP13" i="18"/>
  <c r="FQ13" i="18"/>
  <c r="FR13" i="18"/>
  <c r="FS13" i="18"/>
  <c r="FT13" i="18"/>
  <c r="FU13" i="18"/>
  <c r="FV13" i="18"/>
  <c r="FW13" i="18"/>
  <c r="FX13" i="18"/>
  <c r="FY13" i="18"/>
  <c r="FZ13" i="18"/>
  <c r="GA13" i="18"/>
  <c r="GB13" i="18"/>
  <c r="GC13" i="18"/>
  <c r="GD13" i="18"/>
  <c r="GE13" i="18"/>
  <c r="GF13" i="18"/>
  <c r="GG13" i="18"/>
  <c r="GH13" i="18"/>
  <c r="GI13" i="18"/>
  <c r="GJ13" i="18"/>
  <c r="GK13" i="18"/>
  <c r="GL13" i="18"/>
  <c r="GM13" i="18"/>
  <c r="GN13" i="18"/>
  <c r="GO13" i="18"/>
  <c r="GP13" i="18"/>
  <c r="GQ13" i="18"/>
  <c r="GR13" i="18"/>
  <c r="GS13" i="18"/>
  <c r="GT13" i="18"/>
  <c r="GU13" i="18"/>
  <c r="GV13" i="18"/>
  <c r="GW13" i="18"/>
  <c r="GX13" i="18"/>
  <c r="GY13" i="18"/>
  <c r="GZ13" i="18"/>
  <c r="HA13" i="18"/>
  <c r="HB13" i="18"/>
  <c r="HC13" i="18"/>
  <c r="HD13" i="18"/>
  <c r="HE13" i="18"/>
  <c r="HF13" i="18"/>
  <c r="HG13" i="18"/>
  <c r="HH13" i="18"/>
  <c r="HI13" i="18"/>
  <c r="HJ13" i="18"/>
  <c r="HK13" i="18"/>
  <c r="HL13" i="18"/>
  <c r="HM13" i="18"/>
  <c r="HN13" i="18"/>
  <c r="HO13" i="18"/>
  <c r="HP13" i="18"/>
  <c r="HQ13" i="18"/>
  <c r="HR13" i="18"/>
  <c r="HS13" i="18"/>
  <c r="HT13" i="18"/>
  <c r="HU13" i="18"/>
  <c r="HV13" i="18"/>
  <c r="HW13" i="18"/>
  <c r="HX13" i="18"/>
  <c r="HY13" i="18"/>
  <c r="HZ13" i="18"/>
  <c r="IA13" i="18"/>
  <c r="IB13" i="18"/>
  <c r="IC13" i="18"/>
  <c r="ID13" i="18"/>
  <c r="IE13" i="18"/>
  <c r="IF13" i="18"/>
  <c r="IG13" i="18"/>
  <c r="IH13" i="18"/>
  <c r="II13" i="18"/>
  <c r="IJ13" i="18"/>
  <c r="IK13" i="18"/>
  <c r="IL13" i="18"/>
  <c r="IM13" i="18"/>
  <c r="IN13" i="18"/>
  <c r="IO13" i="18"/>
  <c r="IP13" i="18"/>
  <c r="IQ13" i="18"/>
  <c r="IR13" i="18"/>
  <c r="IS13" i="18"/>
  <c r="IT13" i="18"/>
  <c r="IU13" i="18"/>
  <c r="IV13" i="18"/>
  <c r="A14" i="18"/>
  <c r="B14" i="18"/>
  <c r="C14" i="18"/>
  <c r="D14" i="18"/>
  <c r="E14" i="18"/>
  <c r="F14" i="18"/>
  <c r="G14" i="18"/>
  <c r="H14" i="18"/>
  <c r="I14" i="18"/>
  <c r="J14" i="18"/>
  <c r="K14" i="18"/>
  <c r="L14" i="18"/>
  <c r="M14" i="18"/>
  <c r="N14" i="18"/>
  <c r="O14" i="18"/>
  <c r="P14" i="18"/>
  <c r="Q14" i="18"/>
  <c r="R14" i="18"/>
  <c r="S14" i="18"/>
  <c r="T14" i="18"/>
  <c r="U14" i="18"/>
  <c r="V14" i="18"/>
  <c r="W14" i="18"/>
  <c r="X14" i="18"/>
  <c r="Y14" i="18"/>
  <c r="Z14" i="18"/>
  <c r="AA14" i="18"/>
  <c r="AB14" i="18"/>
  <c r="AC14" i="18"/>
  <c r="AD14" i="18"/>
  <c r="AE14" i="18"/>
  <c r="AF14" i="18"/>
  <c r="AG14" i="18"/>
  <c r="AH14" i="18"/>
  <c r="AI14" i="18"/>
  <c r="AJ14" i="18"/>
  <c r="AK14" i="18"/>
  <c r="AL14" i="18"/>
  <c r="AM14" i="18"/>
  <c r="AN14" i="18"/>
  <c r="AO14" i="18"/>
  <c r="AP14" i="18"/>
  <c r="AQ14" i="18"/>
  <c r="AR14" i="18"/>
  <c r="AS14" i="18"/>
  <c r="AT14" i="18"/>
  <c r="AU14" i="18"/>
  <c r="AV14" i="18"/>
  <c r="AW14" i="18"/>
  <c r="AX14" i="18"/>
  <c r="AY14" i="18"/>
  <c r="AZ14" i="18"/>
  <c r="BA14" i="18"/>
  <c r="BB14" i="18"/>
  <c r="BC14" i="18"/>
  <c r="BD14" i="18"/>
  <c r="BE14" i="18"/>
  <c r="BF14" i="18"/>
  <c r="BG14" i="18"/>
  <c r="BH14" i="18"/>
  <c r="BI14" i="18"/>
  <c r="BJ14" i="18"/>
  <c r="BK14" i="18"/>
  <c r="BL14" i="18"/>
  <c r="BM14" i="18"/>
  <c r="BN14" i="18"/>
  <c r="BO14" i="18"/>
  <c r="BP14" i="18"/>
  <c r="BQ14" i="18"/>
  <c r="BR14" i="18"/>
  <c r="BS14" i="18"/>
  <c r="BT14" i="18"/>
  <c r="BU14" i="18"/>
  <c r="BV14" i="18"/>
  <c r="BW14" i="18"/>
  <c r="BX14" i="18"/>
  <c r="BY14" i="18"/>
  <c r="BZ14" i="18"/>
  <c r="CA14" i="18"/>
  <c r="CB14" i="18"/>
  <c r="CC14" i="18"/>
  <c r="CD14" i="18"/>
  <c r="CE14" i="18"/>
  <c r="CF14" i="18"/>
  <c r="CG14" i="18"/>
  <c r="CH14" i="18"/>
  <c r="CI14" i="18"/>
  <c r="CJ14" i="18"/>
  <c r="CK14" i="18"/>
  <c r="CL14" i="18"/>
  <c r="CM14" i="18"/>
  <c r="CN14" i="18"/>
  <c r="CO14" i="18"/>
  <c r="CP14" i="18"/>
  <c r="CQ14" i="18"/>
  <c r="CR14" i="18"/>
  <c r="CS14" i="18"/>
  <c r="CT14" i="18"/>
  <c r="CU14" i="18"/>
  <c r="CV14" i="18"/>
  <c r="CW14" i="18"/>
  <c r="CX14" i="18"/>
  <c r="CY14" i="18"/>
  <c r="CZ14" i="18"/>
  <c r="DA14" i="18"/>
  <c r="DB14" i="18"/>
  <c r="DC14" i="18"/>
  <c r="DD14" i="18"/>
  <c r="DE14" i="18"/>
  <c r="DF14" i="18"/>
  <c r="DG14" i="18"/>
  <c r="DH14" i="18"/>
  <c r="DI14" i="18"/>
  <c r="DJ14" i="18"/>
  <c r="DK14" i="18"/>
  <c r="DL14" i="18"/>
  <c r="DM14" i="18"/>
  <c r="DN14" i="18"/>
  <c r="DO14" i="18"/>
  <c r="DP14" i="18"/>
  <c r="DQ14" i="18"/>
  <c r="DR14" i="18"/>
  <c r="DS14" i="18"/>
  <c r="DT14" i="18"/>
  <c r="DU14" i="18"/>
  <c r="DV14" i="18"/>
  <c r="DW14" i="18"/>
  <c r="DX14" i="18"/>
  <c r="DY14" i="18"/>
  <c r="DZ14" i="18"/>
  <c r="EA14" i="18"/>
  <c r="EB14" i="18"/>
  <c r="EC14" i="18"/>
  <c r="ED14" i="18"/>
  <c r="EE14" i="18"/>
  <c r="EF14" i="18"/>
  <c r="EG14" i="18"/>
  <c r="EH14" i="18"/>
  <c r="EI14" i="18"/>
  <c r="EJ14" i="18"/>
  <c r="EK14" i="18"/>
  <c r="EL14" i="18"/>
  <c r="EM14" i="18"/>
  <c r="EN14" i="18"/>
  <c r="EO14" i="18"/>
  <c r="EP14" i="18"/>
  <c r="EQ14" i="18"/>
  <c r="ER14" i="18"/>
  <c r="ES14" i="18"/>
  <c r="ET14" i="18"/>
  <c r="EU14" i="18"/>
  <c r="EV14" i="18"/>
  <c r="EW14" i="18"/>
  <c r="EX14" i="18"/>
  <c r="EY14" i="18"/>
  <c r="EZ14" i="18"/>
  <c r="FA14" i="18"/>
  <c r="FB14" i="18"/>
  <c r="FC14" i="18"/>
  <c r="FD14" i="18"/>
  <c r="FE14" i="18"/>
  <c r="FF14" i="18"/>
  <c r="FG14" i="18"/>
  <c r="FH14" i="18"/>
  <c r="FI14" i="18"/>
  <c r="FJ14" i="18"/>
  <c r="FK14" i="18"/>
  <c r="FL14" i="18"/>
  <c r="FM14" i="18"/>
  <c r="FN14" i="18"/>
  <c r="FO14" i="18"/>
  <c r="FP14" i="18"/>
  <c r="FQ14" i="18"/>
  <c r="FR14" i="18"/>
  <c r="FS14" i="18"/>
  <c r="FT14" i="18"/>
  <c r="FU14" i="18"/>
  <c r="FV14" i="18"/>
  <c r="FW14" i="18"/>
  <c r="FX14" i="18"/>
  <c r="FY14" i="18"/>
  <c r="FZ14" i="18"/>
  <c r="GA14" i="18"/>
  <c r="GB14" i="18"/>
  <c r="GC14" i="18"/>
  <c r="GD14" i="18"/>
  <c r="GE14" i="18"/>
  <c r="GF14" i="18"/>
  <c r="GG14" i="18"/>
  <c r="GH14" i="18"/>
  <c r="GI14" i="18"/>
  <c r="GJ14" i="18"/>
  <c r="GK14" i="18"/>
  <c r="GL14" i="18"/>
  <c r="GM14" i="18"/>
  <c r="GN14" i="18"/>
  <c r="GO14" i="18"/>
  <c r="GP14" i="18"/>
  <c r="GQ14" i="18"/>
  <c r="GR14" i="18"/>
  <c r="GS14" i="18"/>
  <c r="GT14" i="18"/>
  <c r="GU14" i="18"/>
  <c r="GV14" i="18"/>
  <c r="GW14" i="18"/>
  <c r="GX14" i="18"/>
  <c r="GY14" i="18"/>
  <c r="GZ14" i="18"/>
  <c r="HA14" i="18"/>
  <c r="HB14" i="18"/>
  <c r="HC14" i="18"/>
  <c r="HD14" i="18"/>
  <c r="HE14" i="18"/>
  <c r="HF14" i="18"/>
  <c r="HG14" i="18"/>
  <c r="HH14" i="18"/>
  <c r="HI14" i="18"/>
  <c r="HJ14" i="18"/>
  <c r="HK14" i="18"/>
  <c r="HL14" i="18"/>
  <c r="HM14" i="18"/>
  <c r="HN14" i="18"/>
  <c r="HO14" i="18"/>
  <c r="HP14" i="18"/>
  <c r="HQ14" i="18"/>
  <c r="HR14" i="18"/>
  <c r="HS14" i="18"/>
  <c r="HT14" i="18"/>
  <c r="HU14" i="18"/>
  <c r="HV14" i="18"/>
  <c r="HW14" i="18"/>
  <c r="HX14" i="18"/>
  <c r="HY14" i="18"/>
  <c r="HZ14" i="18"/>
  <c r="IA14" i="18"/>
  <c r="IB14" i="18"/>
  <c r="IC14" i="18"/>
  <c r="ID14" i="18"/>
  <c r="IE14" i="18"/>
  <c r="IF14" i="18"/>
  <c r="IG14" i="18"/>
  <c r="IH14" i="18"/>
  <c r="II14" i="18"/>
  <c r="IJ14" i="18"/>
  <c r="IK14" i="18"/>
  <c r="IL14" i="18"/>
  <c r="IM14" i="18"/>
  <c r="IN14" i="18"/>
  <c r="IO14" i="18"/>
  <c r="IP14" i="18"/>
  <c r="IQ14" i="18"/>
  <c r="IR14" i="18"/>
  <c r="IS14" i="18"/>
  <c r="IT14" i="18"/>
  <c r="IU14" i="18"/>
  <c r="IV14" i="18"/>
  <c r="A15" i="18"/>
  <c r="B15" i="18"/>
  <c r="C15" i="18"/>
  <c r="D15" i="18"/>
  <c r="E15" i="18"/>
  <c r="F15" i="18"/>
  <c r="G15" i="18"/>
  <c r="H15" i="18"/>
  <c r="I15" i="18"/>
  <c r="J15" i="18"/>
  <c r="K15" i="18"/>
  <c r="L15" i="18"/>
  <c r="M15" i="18"/>
  <c r="N15" i="18"/>
  <c r="O15" i="18"/>
  <c r="P15" i="18"/>
  <c r="Q15" i="18"/>
  <c r="R15" i="18"/>
  <c r="S15" i="18"/>
  <c r="T15" i="18"/>
  <c r="U15" i="18"/>
  <c r="V15" i="18"/>
  <c r="W15" i="18"/>
  <c r="X15" i="18"/>
  <c r="Y15" i="18"/>
  <c r="Z15" i="18"/>
  <c r="AA15" i="18"/>
  <c r="AB15" i="18"/>
  <c r="AC15" i="18"/>
  <c r="AD15" i="18"/>
  <c r="AE15" i="18"/>
  <c r="AF15" i="18"/>
  <c r="AG15" i="18"/>
  <c r="AH15" i="18"/>
  <c r="AI15" i="18"/>
  <c r="AJ15" i="18"/>
  <c r="AK15" i="18"/>
  <c r="AL15" i="18"/>
  <c r="AM15" i="18"/>
  <c r="AN15" i="18"/>
  <c r="AO15" i="18"/>
  <c r="AP15" i="18"/>
  <c r="AQ15" i="18"/>
  <c r="AR15" i="18"/>
  <c r="AS15" i="18"/>
  <c r="AT15" i="18"/>
  <c r="AU15" i="18"/>
  <c r="AV15" i="18"/>
  <c r="AW15" i="18"/>
  <c r="AX15" i="18"/>
  <c r="AY15" i="18"/>
  <c r="AZ15" i="18"/>
  <c r="BA15" i="18"/>
  <c r="BB15" i="18"/>
  <c r="BC15" i="18"/>
  <c r="BD15" i="18"/>
  <c r="BE15" i="18"/>
  <c r="BF15" i="18"/>
  <c r="BG15" i="18"/>
  <c r="BH15" i="18"/>
  <c r="BI15" i="18"/>
  <c r="BJ15" i="18"/>
  <c r="BK15" i="18"/>
  <c r="BL15" i="18"/>
  <c r="BM15" i="18"/>
  <c r="BN15" i="18"/>
  <c r="BO15" i="18"/>
  <c r="BP15" i="18"/>
  <c r="BQ15" i="18"/>
  <c r="BR15" i="18"/>
  <c r="BS15" i="18"/>
  <c r="BT15" i="18"/>
  <c r="BU15" i="18"/>
  <c r="BV15" i="18"/>
  <c r="BW15" i="18"/>
  <c r="BX15" i="18"/>
  <c r="BY15" i="18"/>
  <c r="BZ15" i="18"/>
  <c r="CA15" i="18"/>
  <c r="CB15" i="18"/>
  <c r="CC15" i="18"/>
  <c r="CD15" i="18"/>
  <c r="CE15" i="18"/>
  <c r="CF15" i="18"/>
  <c r="CG15" i="18"/>
  <c r="CH15" i="18"/>
  <c r="CI15" i="18"/>
  <c r="CJ15" i="18"/>
  <c r="CK15" i="18"/>
  <c r="CL15" i="18"/>
  <c r="CM15" i="18"/>
  <c r="CN15" i="18"/>
  <c r="CO15" i="18"/>
  <c r="CP15" i="18"/>
  <c r="CQ15" i="18"/>
  <c r="CR15" i="18"/>
  <c r="CS15" i="18"/>
  <c r="CT15" i="18"/>
  <c r="CU15" i="18"/>
  <c r="CV15" i="18"/>
  <c r="CW15" i="18"/>
  <c r="CX15" i="18"/>
  <c r="CY15" i="18"/>
  <c r="CZ15" i="18"/>
  <c r="DA15" i="18"/>
  <c r="DB15" i="18"/>
  <c r="DC15" i="18"/>
  <c r="DD15" i="18"/>
  <c r="DE15" i="18"/>
  <c r="DF15" i="18"/>
  <c r="DG15" i="18"/>
  <c r="DH15" i="18"/>
  <c r="DI15" i="18"/>
  <c r="DJ15" i="18"/>
  <c r="DK15" i="18"/>
  <c r="DL15" i="18"/>
  <c r="DM15" i="18"/>
  <c r="DN15" i="18"/>
  <c r="DO15" i="18"/>
  <c r="DP15" i="18"/>
  <c r="DQ15" i="18"/>
  <c r="DR15" i="18"/>
  <c r="DS15" i="18"/>
  <c r="DT15" i="18"/>
  <c r="DU15" i="18"/>
  <c r="DV15" i="18"/>
  <c r="DW15" i="18"/>
  <c r="DX15" i="18"/>
  <c r="DY15" i="18"/>
  <c r="DZ15" i="18"/>
  <c r="EA15" i="18"/>
  <c r="EB15" i="18"/>
  <c r="EC15" i="18"/>
  <c r="ED15" i="18"/>
  <c r="EE15" i="18"/>
  <c r="EF15" i="18"/>
  <c r="EG15" i="18"/>
  <c r="EH15" i="18"/>
  <c r="EI15" i="18"/>
  <c r="EJ15" i="18"/>
  <c r="EK15" i="18"/>
  <c r="EL15" i="18"/>
  <c r="EM15" i="18"/>
  <c r="EN15" i="18"/>
  <c r="EO15" i="18"/>
  <c r="EP15" i="18"/>
  <c r="EQ15" i="18"/>
  <c r="ER15" i="18"/>
  <c r="ES15" i="18"/>
  <c r="ET15" i="18"/>
  <c r="EU15" i="18"/>
  <c r="EV15" i="18"/>
  <c r="EW15" i="18"/>
  <c r="EX15" i="18"/>
  <c r="EY15" i="18"/>
  <c r="EZ15" i="18"/>
  <c r="FA15" i="18"/>
  <c r="FB15" i="18"/>
  <c r="FC15" i="18"/>
  <c r="FD15" i="18"/>
  <c r="FE15" i="18"/>
  <c r="FF15" i="18"/>
  <c r="FG15" i="18"/>
  <c r="FH15" i="18"/>
  <c r="FI15" i="18"/>
  <c r="FJ15" i="18"/>
  <c r="FK15" i="18"/>
  <c r="FL15" i="18"/>
  <c r="FM15" i="18"/>
  <c r="FN15" i="18"/>
  <c r="FO15" i="18"/>
  <c r="FP15" i="18"/>
  <c r="FQ15" i="18"/>
  <c r="FR15" i="18"/>
  <c r="FS15" i="18"/>
  <c r="FT15" i="18"/>
  <c r="FU15" i="18"/>
  <c r="FV15" i="18"/>
  <c r="FW15" i="18"/>
  <c r="FX15" i="18"/>
  <c r="FY15" i="18"/>
  <c r="FZ15" i="18"/>
  <c r="GA15" i="18"/>
  <c r="GB15" i="18"/>
  <c r="GC15" i="18"/>
  <c r="GD15" i="18"/>
  <c r="GE15" i="18"/>
  <c r="GF15" i="18"/>
  <c r="GG15" i="18"/>
  <c r="GH15" i="18"/>
  <c r="GI15" i="18"/>
  <c r="GJ15" i="18"/>
  <c r="GK15" i="18"/>
  <c r="GL15" i="18"/>
  <c r="GM15" i="18"/>
  <c r="GN15" i="18"/>
  <c r="GO15" i="18"/>
  <c r="GP15" i="18"/>
  <c r="GQ15" i="18"/>
  <c r="GR15" i="18"/>
  <c r="GS15" i="18"/>
  <c r="GT15" i="18"/>
  <c r="GU15" i="18"/>
  <c r="GV15" i="18"/>
  <c r="GW15" i="18"/>
  <c r="GX15" i="18"/>
  <c r="GY15" i="18"/>
  <c r="GZ15" i="18"/>
  <c r="HA15" i="18"/>
  <c r="HB15" i="18"/>
  <c r="HC15" i="18"/>
  <c r="HD15" i="18"/>
  <c r="HE15" i="18"/>
  <c r="HF15" i="18"/>
  <c r="HG15" i="18"/>
  <c r="HH15" i="18"/>
  <c r="HI15" i="18"/>
  <c r="HJ15" i="18"/>
  <c r="HK15" i="18"/>
  <c r="HL15" i="18"/>
  <c r="HM15" i="18"/>
  <c r="HN15" i="18"/>
  <c r="HO15" i="18"/>
  <c r="HP15" i="18"/>
  <c r="HQ15" i="18"/>
  <c r="HR15" i="18"/>
  <c r="HS15" i="18"/>
  <c r="HT15" i="18"/>
  <c r="HU15" i="18"/>
  <c r="HV15" i="18"/>
  <c r="HW15" i="18"/>
  <c r="HX15" i="18"/>
  <c r="HY15" i="18"/>
  <c r="HZ15" i="18"/>
  <c r="IA15" i="18"/>
  <c r="IB15" i="18"/>
  <c r="IC15" i="18"/>
  <c r="ID15" i="18"/>
  <c r="IE15" i="18"/>
  <c r="IF15" i="18"/>
  <c r="IG15" i="18"/>
  <c r="IH15" i="18"/>
  <c r="II15" i="18"/>
  <c r="IJ15" i="18"/>
  <c r="IK15" i="18"/>
  <c r="IL15" i="18"/>
  <c r="IM15" i="18"/>
  <c r="IN15" i="18"/>
  <c r="IO15" i="18"/>
  <c r="IP15" i="18"/>
  <c r="IQ15" i="18"/>
  <c r="IR15" i="18"/>
  <c r="IS15" i="18"/>
  <c r="IT15" i="18"/>
  <c r="IU15" i="18"/>
  <c r="IV15" i="18"/>
  <c r="A16" i="18"/>
  <c r="B16" i="18"/>
  <c r="C16" i="18"/>
  <c r="D16" i="18"/>
  <c r="E16" i="18"/>
  <c r="F16" i="18"/>
  <c r="G16" i="18"/>
  <c r="H16" i="18"/>
  <c r="I16" i="18"/>
  <c r="J16" i="18"/>
  <c r="K16" i="18"/>
  <c r="L16" i="18"/>
  <c r="M16" i="18"/>
  <c r="N16" i="18"/>
  <c r="O16" i="18"/>
  <c r="P16" i="18"/>
  <c r="Q16" i="18"/>
  <c r="R16" i="18"/>
  <c r="S16" i="18"/>
  <c r="T16" i="18"/>
  <c r="U16" i="18"/>
  <c r="V16" i="18"/>
  <c r="W16" i="18"/>
  <c r="X16" i="18"/>
  <c r="Y16" i="18"/>
  <c r="Z16" i="18"/>
  <c r="AA16" i="18"/>
  <c r="AB16" i="18"/>
  <c r="AC16" i="18"/>
  <c r="AD16" i="18"/>
  <c r="AE16" i="18"/>
  <c r="AF16" i="18"/>
  <c r="AG16" i="18"/>
  <c r="AH16" i="18"/>
  <c r="AI16" i="18"/>
  <c r="AJ16" i="18"/>
  <c r="AK16" i="18"/>
  <c r="AL16" i="18"/>
  <c r="AM16" i="18"/>
  <c r="AN16" i="18"/>
  <c r="AO16" i="18"/>
  <c r="AP16" i="18"/>
  <c r="AQ16" i="18"/>
  <c r="AR16" i="18"/>
  <c r="AS16" i="18"/>
  <c r="AT16" i="18"/>
  <c r="AU16" i="18"/>
  <c r="AV16" i="18"/>
  <c r="AW16" i="18"/>
  <c r="AX16" i="18"/>
  <c r="AY16" i="18"/>
  <c r="AZ16" i="18"/>
  <c r="BA16" i="18"/>
  <c r="BB16" i="18"/>
  <c r="BC16" i="18"/>
  <c r="BD16" i="18"/>
  <c r="BE16" i="18"/>
  <c r="BF16" i="18"/>
  <c r="BG16" i="18"/>
  <c r="BH16" i="18"/>
  <c r="BI16" i="18"/>
  <c r="BJ16" i="18"/>
  <c r="BK16" i="18"/>
  <c r="BL16" i="18"/>
  <c r="BM16" i="18"/>
  <c r="BN16" i="18"/>
  <c r="BO16" i="18"/>
  <c r="BP16" i="18"/>
  <c r="BQ16" i="18"/>
  <c r="BR16" i="18"/>
  <c r="BS16" i="18"/>
  <c r="BT16" i="18"/>
  <c r="BU16" i="18"/>
  <c r="BV16" i="18"/>
  <c r="BW16" i="18"/>
  <c r="BX16" i="18"/>
  <c r="BY16" i="18"/>
  <c r="BZ16" i="18"/>
  <c r="CA16" i="18"/>
  <c r="CB16" i="18"/>
  <c r="CC16" i="18"/>
  <c r="CD16" i="18"/>
  <c r="CE16" i="18"/>
  <c r="CF16" i="18"/>
  <c r="CG16" i="18"/>
  <c r="CH16" i="18"/>
  <c r="CI16" i="18"/>
  <c r="CJ16" i="18"/>
  <c r="CK16" i="18"/>
  <c r="CL16" i="18"/>
  <c r="CM16" i="18"/>
  <c r="CN16" i="18"/>
  <c r="CO16" i="18"/>
  <c r="CP16" i="18"/>
  <c r="CQ16" i="18"/>
  <c r="CR16" i="18"/>
  <c r="CS16" i="18"/>
  <c r="CT16" i="18"/>
  <c r="CU16" i="18"/>
  <c r="CV16" i="18"/>
  <c r="CW16" i="18"/>
  <c r="CX16" i="18"/>
  <c r="CY16" i="18"/>
  <c r="CZ16" i="18"/>
  <c r="DA16" i="18"/>
  <c r="DB16" i="18"/>
  <c r="DC16" i="18"/>
  <c r="DD16" i="18"/>
  <c r="DE16" i="18"/>
  <c r="DF16" i="18"/>
  <c r="DG16" i="18"/>
  <c r="DH16" i="18"/>
  <c r="DI16" i="18"/>
  <c r="DJ16" i="18"/>
  <c r="DK16" i="18"/>
  <c r="DL16" i="18"/>
  <c r="DM16" i="18"/>
  <c r="DN16" i="18"/>
  <c r="DO16" i="18"/>
  <c r="DP16" i="18"/>
  <c r="DQ16" i="18"/>
  <c r="DR16" i="18"/>
  <c r="DS16" i="18"/>
  <c r="DT16" i="18"/>
  <c r="DU16" i="18"/>
  <c r="DV16" i="18"/>
  <c r="DW16" i="18"/>
  <c r="DX16" i="18"/>
  <c r="DY16" i="18"/>
  <c r="DZ16" i="18"/>
  <c r="EA16" i="18"/>
  <c r="EB16" i="18"/>
  <c r="EC16" i="18"/>
  <c r="ED16" i="18"/>
  <c r="EE16" i="18"/>
  <c r="EF16" i="18"/>
  <c r="EG16" i="18"/>
  <c r="EH16" i="18"/>
  <c r="EI16" i="18"/>
  <c r="EJ16" i="18"/>
  <c r="EK16" i="18"/>
  <c r="EL16" i="18"/>
  <c r="EM16" i="18"/>
  <c r="EN16" i="18"/>
  <c r="EO16" i="18"/>
  <c r="EP16" i="18"/>
  <c r="EQ16" i="18"/>
  <c r="ER16" i="18"/>
  <c r="ES16" i="18"/>
  <c r="ET16" i="18"/>
  <c r="EU16" i="18"/>
  <c r="EV16" i="18"/>
  <c r="EW16" i="18"/>
  <c r="EX16" i="18"/>
  <c r="EY16" i="18"/>
  <c r="EZ16" i="18"/>
  <c r="FA16" i="18"/>
  <c r="FB16" i="18"/>
  <c r="FC16" i="18"/>
  <c r="FD16" i="18"/>
  <c r="FE16" i="18"/>
  <c r="FF16" i="18"/>
  <c r="FG16" i="18"/>
  <c r="FH16" i="18"/>
  <c r="FI16" i="18"/>
  <c r="FJ16" i="18"/>
  <c r="FK16" i="18"/>
  <c r="FL16" i="18"/>
  <c r="FM16" i="18"/>
  <c r="FN16" i="18"/>
  <c r="FO16" i="18"/>
  <c r="FP16" i="18"/>
  <c r="FQ16" i="18"/>
  <c r="FR16" i="18"/>
  <c r="FS16" i="18"/>
  <c r="FT16" i="18"/>
  <c r="FU16" i="18"/>
  <c r="FV16" i="18"/>
  <c r="FW16" i="18"/>
  <c r="FX16" i="18"/>
  <c r="FY16" i="18"/>
  <c r="FZ16" i="18"/>
  <c r="GA16" i="18"/>
  <c r="GB16" i="18"/>
  <c r="GC16" i="18"/>
  <c r="GD16" i="18"/>
  <c r="GE16" i="18"/>
  <c r="GF16" i="18"/>
  <c r="GG16" i="18"/>
  <c r="GH16" i="18"/>
  <c r="GI16" i="18"/>
  <c r="GJ16" i="18"/>
  <c r="GK16" i="18"/>
  <c r="GL16" i="18"/>
  <c r="GM16" i="18"/>
  <c r="GN16" i="18"/>
  <c r="GO16" i="18"/>
  <c r="GP16" i="18"/>
  <c r="GQ16" i="18"/>
  <c r="GR16" i="18"/>
  <c r="GS16" i="18"/>
  <c r="GT16" i="18"/>
  <c r="GU16" i="18"/>
  <c r="GV16" i="18"/>
  <c r="GW16" i="18"/>
  <c r="GX16" i="18"/>
  <c r="GY16" i="18"/>
  <c r="GZ16" i="18"/>
  <c r="HA16" i="18"/>
  <c r="HB16" i="18"/>
  <c r="HC16" i="18"/>
  <c r="HD16" i="18"/>
  <c r="HE16" i="18"/>
  <c r="HF16" i="18"/>
  <c r="HG16" i="18"/>
  <c r="HH16" i="18"/>
  <c r="HI16" i="18"/>
  <c r="HJ16" i="18"/>
  <c r="HK16" i="18"/>
  <c r="HL16" i="18"/>
  <c r="HM16" i="18"/>
  <c r="HN16" i="18"/>
  <c r="HO16" i="18"/>
  <c r="HP16" i="18"/>
  <c r="HQ16" i="18"/>
  <c r="HR16" i="18"/>
  <c r="HS16" i="18"/>
  <c r="HT16" i="18"/>
  <c r="HU16" i="18"/>
  <c r="HV16" i="18"/>
  <c r="HW16" i="18"/>
  <c r="HX16" i="18"/>
  <c r="HY16" i="18"/>
  <c r="HZ16" i="18"/>
  <c r="IA16" i="18"/>
  <c r="IB16" i="18"/>
  <c r="IC16" i="18"/>
  <c r="ID16" i="18"/>
  <c r="IE16" i="18"/>
  <c r="IF16" i="18"/>
  <c r="IG16" i="18"/>
  <c r="IH16" i="18"/>
  <c r="II16" i="18"/>
  <c r="IJ16" i="18"/>
  <c r="IK16" i="18"/>
  <c r="IL16" i="18"/>
  <c r="IM16" i="18"/>
  <c r="IN16" i="18"/>
  <c r="IO16" i="18"/>
  <c r="IP16" i="18"/>
  <c r="IQ16" i="18"/>
  <c r="IR16" i="18"/>
  <c r="IS16" i="18"/>
  <c r="IT16" i="18"/>
  <c r="IU16" i="18"/>
  <c r="IV16" i="18"/>
  <c r="A17" i="18"/>
  <c r="B17" i="18"/>
  <c r="C17" i="18"/>
  <c r="D17" i="18"/>
  <c r="E17" i="18"/>
  <c r="F17" i="18"/>
  <c r="G17" i="18"/>
  <c r="H17" i="18"/>
  <c r="I17" i="18"/>
  <c r="J17" i="18"/>
  <c r="K17" i="18"/>
  <c r="L17" i="18"/>
  <c r="M17" i="18"/>
  <c r="N17" i="18"/>
  <c r="O17" i="18"/>
  <c r="P17" i="18"/>
  <c r="Q17" i="18"/>
  <c r="R17" i="18"/>
  <c r="S17" i="18"/>
  <c r="T17" i="18"/>
  <c r="U17" i="18"/>
  <c r="V17" i="18"/>
  <c r="W17" i="18"/>
  <c r="X17" i="18"/>
  <c r="Y17" i="18"/>
  <c r="Z17" i="18"/>
  <c r="AA17" i="18"/>
  <c r="AB17" i="18"/>
  <c r="AC17" i="18"/>
  <c r="AD17" i="18"/>
  <c r="AE17" i="18"/>
  <c r="AF17" i="18"/>
  <c r="AG17" i="18"/>
  <c r="AH17" i="18"/>
  <c r="AI17" i="18"/>
  <c r="AJ17" i="18"/>
  <c r="AK17" i="18"/>
  <c r="AL17" i="18"/>
  <c r="AM17" i="18"/>
  <c r="AN17" i="18"/>
  <c r="AO17" i="18"/>
  <c r="AP17" i="18"/>
  <c r="AQ17" i="18"/>
  <c r="AR17" i="18"/>
  <c r="AS17" i="18"/>
  <c r="AT17" i="18"/>
  <c r="AU17" i="18"/>
  <c r="AV17" i="18"/>
  <c r="AW17" i="18"/>
  <c r="AX17" i="18"/>
  <c r="AY17" i="18"/>
  <c r="AZ17" i="18"/>
  <c r="BA17" i="18"/>
  <c r="BB17" i="18"/>
  <c r="BC17" i="18"/>
  <c r="BD17" i="18"/>
  <c r="BE17" i="18"/>
  <c r="BF17" i="18"/>
  <c r="BG17" i="18"/>
  <c r="BH17" i="18"/>
  <c r="BI17" i="18"/>
  <c r="BJ17" i="18"/>
  <c r="BK17" i="18"/>
  <c r="BL17" i="18"/>
  <c r="BM17" i="18"/>
  <c r="BN17" i="18"/>
  <c r="BO17" i="18"/>
  <c r="BP17" i="18"/>
  <c r="BQ17" i="18"/>
  <c r="BR17" i="18"/>
  <c r="BS17" i="18"/>
  <c r="BT17" i="18"/>
  <c r="BU17" i="18"/>
  <c r="BV17" i="18"/>
  <c r="BW17" i="18"/>
  <c r="BX17" i="18"/>
  <c r="BY17" i="18"/>
  <c r="BZ17" i="18"/>
  <c r="CA17" i="18"/>
  <c r="CB17" i="18"/>
  <c r="CC17" i="18"/>
  <c r="CD17" i="18"/>
  <c r="CE17" i="18"/>
  <c r="CF17" i="18"/>
  <c r="CG17" i="18"/>
  <c r="CH17" i="18"/>
  <c r="CI17" i="18"/>
  <c r="CJ17" i="18"/>
  <c r="CK17" i="18"/>
  <c r="CL17" i="18"/>
  <c r="CM17" i="18"/>
  <c r="CN17" i="18"/>
  <c r="CO17" i="18"/>
  <c r="CP17" i="18"/>
  <c r="CQ17" i="18"/>
  <c r="CR17" i="18"/>
  <c r="CS17" i="18"/>
  <c r="CT17" i="18"/>
  <c r="CU17" i="18"/>
  <c r="CV17" i="18"/>
  <c r="CW17" i="18"/>
  <c r="CX17" i="18"/>
  <c r="CY17" i="18"/>
  <c r="CZ17" i="18"/>
  <c r="DA17" i="18"/>
  <c r="DB17" i="18"/>
  <c r="DC17" i="18"/>
  <c r="DD17" i="18"/>
  <c r="DE17" i="18"/>
  <c r="DF17" i="18"/>
  <c r="DG17" i="18"/>
  <c r="DH17" i="18"/>
  <c r="DI17" i="18"/>
  <c r="DJ17" i="18"/>
  <c r="DK17" i="18"/>
  <c r="DL17" i="18"/>
  <c r="DM17" i="18"/>
  <c r="DN17" i="18"/>
  <c r="DO17" i="18"/>
  <c r="DP17" i="18"/>
  <c r="DQ17" i="18"/>
  <c r="DR17" i="18"/>
  <c r="DS17" i="18"/>
  <c r="DT17" i="18"/>
  <c r="DU17" i="18"/>
  <c r="DV17" i="18"/>
  <c r="DW17" i="18"/>
  <c r="DX17" i="18"/>
  <c r="DY17" i="18"/>
  <c r="DZ17" i="18"/>
  <c r="EA17" i="18"/>
  <c r="EB17" i="18"/>
  <c r="EC17" i="18"/>
  <c r="ED17" i="18"/>
  <c r="EE17" i="18"/>
  <c r="EF17" i="18"/>
  <c r="EG17" i="18"/>
  <c r="EH17" i="18"/>
  <c r="EI17" i="18"/>
  <c r="EJ17" i="18"/>
  <c r="EK17" i="18"/>
  <c r="EL17" i="18"/>
  <c r="EM17" i="18"/>
  <c r="EN17" i="18"/>
  <c r="EO17" i="18"/>
  <c r="EP17" i="18"/>
  <c r="EQ17" i="18"/>
  <c r="ER17" i="18"/>
  <c r="ES17" i="18"/>
  <c r="ET17" i="18"/>
  <c r="EU17" i="18"/>
  <c r="EV17" i="18"/>
  <c r="EW17" i="18"/>
  <c r="EX17" i="18"/>
  <c r="EY17" i="18"/>
  <c r="EZ17" i="18"/>
  <c r="FA17" i="18"/>
  <c r="FB17" i="18"/>
  <c r="FC17" i="18"/>
  <c r="FD17" i="18"/>
  <c r="FE17" i="18"/>
  <c r="FF17" i="18"/>
  <c r="FG17" i="18"/>
  <c r="FH17" i="18"/>
  <c r="FI17" i="18"/>
  <c r="FJ17" i="18"/>
  <c r="FK17" i="18"/>
  <c r="FL17" i="18"/>
  <c r="FM17" i="18"/>
  <c r="FN17" i="18"/>
  <c r="FO17" i="18"/>
  <c r="FP17" i="18"/>
  <c r="FQ17" i="18"/>
  <c r="FR17" i="18"/>
  <c r="FS17" i="18"/>
  <c r="FT17" i="18"/>
  <c r="FU17" i="18"/>
  <c r="FV17" i="18"/>
  <c r="FW17" i="18"/>
  <c r="FX17" i="18"/>
  <c r="FY17" i="18"/>
  <c r="FZ17" i="18"/>
  <c r="GA17" i="18"/>
  <c r="GB17" i="18"/>
  <c r="GC17" i="18"/>
  <c r="GD17" i="18"/>
  <c r="GE17" i="18"/>
  <c r="GF17" i="18"/>
  <c r="GG17" i="18"/>
  <c r="GH17" i="18"/>
  <c r="GI17" i="18"/>
  <c r="GJ17" i="18"/>
  <c r="GK17" i="18"/>
  <c r="GL17" i="18"/>
  <c r="GM17" i="18"/>
  <c r="GN17" i="18"/>
  <c r="GO17" i="18"/>
  <c r="GP17" i="18"/>
  <c r="GQ17" i="18"/>
  <c r="GR17" i="18"/>
  <c r="GS17" i="18"/>
  <c r="GT17" i="18"/>
  <c r="GU17" i="18"/>
  <c r="GV17" i="18"/>
  <c r="GW17" i="18"/>
  <c r="GX17" i="18"/>
  <c r="GY17" i="18"/>
  <c r="GZ17" i="18"/>
  <c r="HA17" i="18"/>
  <c r="HB17" i="18"/>
  <c r="HC17" i="18"/>
  <c r="HD17" i="18"/>
  <c r="HE17" i="18"/>
  <c r="HF17" i="18"/>
  <c r="HG17" i="18"/>
  <c r="HH17" i="18"/>
  <c r="HI17" i="18"/>
  <c r="HJ17" i="18"/>
  <c r="HK17" i="18"/>
  <c r="HL17" i="18"/>
  <c r="HM17" i="18"/>
  <c r="HN17" i="18"/>
  <c r="HO17" i="18"/>
  <c r="HP17" i="18"/>
  <c r="HQ17" i="18"/>
  <c r="HR17" i="18"/>
  <c r="HS17" i="18"/>
  <c r="HT17" i="18"/>
  <c r="HU17" i="18"/>
  <c r="HV17" i="18"/>
  <c r="HW17" i="18"/>
  <c r="HX17" i="18"/>
  <c r="HY17" i="18"/>
  <c r="HZ17" i="18"/>
  <c r="IA17" i="18"/>
  <c r="IB17" i="18"/>
  <c r="IC17" i="18"/>
  <c r="ID17" i="18"/>
  <c r="IE17" i="18"/>
  <c r="IF17" i="18"/>
  <c r="IG17" i="18"/>
  <c r="IH17" i="18"/>
  <c r="II17" i="18"/>
  <c r="IJ17" i="18"/>
  <c r="IK17" i="18"/>
  <c r="IL17" i="18"/>
  <c r="IM17" i="18"/>
  <c r="IN17" i="18"/>
  <c r="IO17" i="18"/>
  <c r="IP17" i="18"/>
  <c r="IQ17" i="18"/>
  <c r="IR17" i="18"/>
  <c r="IS17" i="18"/>
  <c r="IT17" i="18"/>
  <c r="IU17" i="18"/>
  <c r="IV17" i="18"/>
  <c r="A18" i="18"/>
  <c r="B18" i="18"/>
  <c r="C18" i="18"/>
  <c r="D18" i="18"/>
  <c r="E18" i="18"/>
  <c r="F18" i="18"/>
  <c r="G18" i="18"/>
  <c r="H18" i="18"/>
  <c r="I18" i="18"/>
  <c r="J18" i="18"/>
  <c r="K18" i="18"/>
  <c r="L18" i="18"/>
  <c r="M18" i="18"/>
  <c r="N18" i="18"/>
  <c r="O18" i="18"/>
  <c r="P18" i="18"/>
  <c r="Q18" i="18"/>
  <c r="R18" i="18"/>
  <c r="S18" i="18"/>
  <c r="T18" i="18"/>
  <c r="U18" i="18"/>
  <c r="V18" i="18"/>
  <c r="W18" i="18"/>
  <c r="X18" i="18"/>
  <c r="Y18" i="18"/>
  <c r="Z18" i="18"/>
  <c r="AA18" i="18"/>
  <c r="AB18" i="18"/>
  <c r="AC18" i="18"/>
  <c r="AD18" i="18"/>
  <c r="AE18" i="18"/>
  <c r="AF18" i="18"/>
  <c r="AG18" i="18"/>
  <c r="AH18" i="18"/>
  <c r="AI18" i="18"/>
  <c r="AJ18" i="18"/>
  <c r="AK18" i="18"/>
  <c r="AL18" i="18"/>
  <c r="AM18" i="18"/>
  <c r="AN18" i="18"/>
  <c r="AO18" i="18"/>
  <c r="AP18" i="18"/>
  <c r="AQ18" i="18"/>
  <c r="AR18" i="18"/>
  <c r="AS18" i="18"/>
  <c r="AT18" i="18"/>
  <c r="AU18" i="18"/>
  <c r="AV18" i="18"/>
  <c r="AW18" i="18"/>
  <c r="AX18" i="18"/>
  <c r="AY18" i="18"/>
  <c r="AZ18" i="18"/>
  <c r="BA18" i="18"/>
  <c r="BB18" i="18"/>
  <c r="BC18" i="18"/>
  <c r="BD18" i="18"/>
  <c r="BE18" i="18"/>
  <c r="BF18" i="18"/>
  <c r="BG18" i="18"/>
  <c r="BH18" i="18"/>
  <c r="BI18" i="18"/>
  <c r="BJ18" i="18"/>
  <c r="BK18" i="18"/>
  <c r="BL18" i="18"/>
  <c r="BM18" i="18"/>
  <c r="BN18" i="18"/>
  <c r="BO18" i="18"/>
  <c r="BP18" i="18"/>
  <c r="BQ18" i="18"/>
  <c r="BR18" i="18"/>
  <c r="BS18" i="18"/>
  <c r="BT18" i="18"/>
  <c r="BU18" i="18"/>
  <c r="BV18" i="18"/>
  <c r="BW18" i="18"/>
  <c r="BX18" i="18"/>
  <c r="BY18" i="18"/>
  <c r="BZ18" i="18"/>
  <c r="CA18" i="18"/>
  <c r="CB18" i="18"/>
  <c r="CC18" i="18"/>
  <c r="CD18" i="18"/>
  <c r="CE18" i="18"/>
  <c r="CF18" i="18"/>
  <c r="CG18" i="18"/>
  <c r="CH18" i="18"/>
  <c r="CI18" i="18"/>
  <c r="CJ18" i="18"/>
  <c r="CK18" i="18"/>
  <c r="CL18" i="18"/>
  <c r="CM18" i="18"/>
  <c r="CN18" i="18"/>
  <c r="CO18" i="18"/>
  <c r="CP18" i="18"/>
  <c r="CQ18" i="18"/>
  <c r="CR18" i="18"/>
  <c r="CS18" i="18"/>
  <c r="CT18" i="18"/>
  <c r="CU18" i="18"/>
  <c r="CV18" i="18"/>
  <c r="CW18" i="18"/>
  <c r="CX18" i="18"/>
  <c r="CY18" i="18"/>
  <c r="CZ18" i="18"/>
  <c r="DA18" i="18"/>
  <c r="DB18" i="18"/>
  <c r="DC18" i="18"/>
  <c r="DD18" i="18"/>
  <c r="DE18" i="18"/>
  <c r="DF18" i="18"/>
  <c r="DG18" i="18"/>
  <c r="DH18" i="18"/>
  <c r="DI18" i="18"/>
  <c r="DJ18" i="18"/>
  <c r="DK18" i="18"/>
  <c r="DL18" i="18"/>
  <c r="DM18" i="18"/>
  <c r="DN18" i="18"/>
  <c r="DO18" i="18"/>
  <c r="DP18" i="18"/>
  <c r="DQ18" i="18"/>
  <c r="DR18" i="18"/>
  <c r="DS18" i="18"/>
  <c r="DT18" i="18"/>
  <c r="DU18" i="18"/>
  <c r="DV18" i="18"/>
  <c r="DW18" i="18"/>
  <c r="DX18" i="18"/>
  <c r="DY18" i="18"/>
  <c r="DZ18" i="18"/>
  <c r="EA18" i="18"/>
  <c r="EB18" i="18"/>
  <c r="EC18" i="18"/>
  <c r="ED18" i="18"/>
  <c r="EE18" i="18"/>
  <c r="EF18" i="18"/>
  <c r="EG18" i="18"/>
  <c r="EH18" i="18"/>
  <c r="EI18" i="18"/>
  <c r="EJ18" i="18"/>
  <c r="EK18" i="18"/>
  <c r="EL18" i="18"/>
  <c r="EM18" i="18"/>
  <c r="EN18" i="18"/>
  <c r="EO18" i="18"/>
  <c r="EP18" i="18"/>
  <c r="EQ18" i="18"/>
  <c r="ER18" i="18"/>
  <c r="ES18" i="18"/>
  <c r="ET18" i="18"/>
  <c r="EU18" i="18"/>
  <c r="EV18" i="18"/>
  <c r="EW18" i="18"/>
  <c r="EX18" i="18"/>
  <c r="EY18" i="18"/>
  <c r="EZ18" i="18"/>
  <c r="FA18" i="18"/>
  <c r="FB18" i="18"/>
  <c r="FC18" i="18"/>
  <c r="FD18" i="18"/>
  <c r="FE18" i="18"/>
  <c r="FF18" i="18"/>
  <c r="FG18" i="18"/>
  <c r="FH18" i="18"/>
  <c r="FI18" i="18"/>
  <c r="FJ18" i="18"/>
  <c r="FK18" i="18"/>
  <c r="FL18" i="18"/>
  <c r="FM18" i="18"/>
  <c r="FN18" i="18"/>
  <c r="FO18" i="18"/>
  <c r="FP18" i="18"/>
  <c r="FQ18" i="18"/>
  <c r="FR18" i="18"/>
  <c r="FS18" i="18"/>
  <c r="FT18" i="18"/>
  <c r="FU18" i="18"/>
  <c r="FV18" i="18"/>
  <c r="FW18" i="18"/>
  <c r="FX18" i="18"/>
  <c r="FY18" i="18"/>
  <c r="FZ18" i="18"/>
  <c r="GA18" i="18"/>
  <c r="GB18" i="18"/>
  <c r="GC18" i="18"/>
  <c r="GD18" i="18"/>
  <c r="GE18" i="18"/>
  <c r="GF18" i="18"/>
  <c r="GG18" i="18"/>
  <c r="GH18" i="18"/>
  <c r="GI18" i="18"/>
  <c r="GJ18" i="18"/>
  <c r="GK18" i="18"/>
  <c r="GL18" i="18"/>
  <c r="GM18" i="18"/>
  <c r="GN18" i="18"/>
  <c r="GO18" i="18"/>
  <c r="GP18" i="18"/>
  <c r="GQ18" i="18"/>
  <c r="GR18" i="18"/>
  <c r="GS18" i="18"/>
  <c r="GT18" i="18"/>
  <c r="GU18" i="18"/>
  <c r="GV18" i="18"/>
  <c r="GW18" i="18"/>
  <c r="GX18" i="18"/>
  <c r="GY18" i="18"/>
  <c r="GZ18" i="18"/>
  <c r="HA18" i="18"/>
  <c r="HB18" i="18"/>
  <c r="HC18" i="18"/>
  <c r="HD18" i="18"/>
  <c r="HE18" i="18"/>
  <c r="HF18" i="18"/>
  <c r="HG18" i="18"/>
  <c r="HH18" i="18"/>
  <c r="HI18" i="18"/>
  <c r="HJ18" i="18"/>
  <c r="HK18" i="18"/>
  <c r="HL18" i="18"/>
  <c r="HM18" i="18"/>
  <c r="HN18" i="18"/>
  <c r="HO18" i="18"/>
  <c r="HP18" i="18"/>
  <c r="HQ18" i="18"/>
  <c r="HR18" i="18"/>
  <c r="HS18" i="18"/>
  <c r="HT18" i="18"/>
  <c r="HU18" i="18"/>
  <c r="HV18" i="18"/>
  <c r="HW18" i="18"/>
  <c r="HX18" i="18"/>
  <c r="HY18" i="18"/>
  <c r="HZ18" i="18"/>
  <c r="IA18" i="18"/>
  <c r="IB18" i="18"/>
  <c r="IC18" i="18"/>
  <c r="ID18" i="18"/>
  <c r="IE18" i="18"/>
  <c r="IF18" i="18"/>
  <c r="IG18" i="18"/>
  <c r="IH18" i="18"/>
  <c r="II18" i="18"/>
  <c r="IJ18" i="18"/>
  <c r="IK18" i="18"/>
  <c r="IL18" i="18"/>
  <c r="IM18" i="18"/>
  <c r="IN18" i="18"/>
  <c r="IO18" i="18"/>
  <c r="IP18" i="18"/>
  <c r="IQ18" i="18"/>
  <c r="IR18" i="18"/>
  <c r="IS18" i="18"/>
  <c r="IT18" i="18"/>
  <c r="IU18" i="18"/>
  <c r="IV18" i="18"/>
  <c r="A19" i="18"/>
  <c r="B19" i="18"/>
  <c r="C19" i="18"/>
  <c r="D19" i="18"/>
  <c r="E19" i="18"/>
  <c r="F19" i="18"/>
  <c r="G19" i="18"/>
  <c r="H19" i="18"/>
  <c r="I19" i="18"/>
  <c r="J19" i="18"/>
  <c r="K19" i="18"/>
  <c r="L19" i="18"/>
  <c r="M19" i="18"/>
  <c r="N19" i="18"/>
  <c r="O19" i="18"/>
  <c r="P19" i="18"/>
  <c r="Q19" i="18"/>
  <c r="R19" i="18"/>
  <c r="S19" i="18"/>
  <c r="T19" i="18"/>
  <c r="U19" i="18"/>
  <c r="V19" i="18"/>
  <c r="W19" i="18"/>
  <c r="X19" i="18"/>
  <c r="Y19" i="18"/>
  <c r="Z19" i="18"/>
  <c r="AA19" i="18"/>
  <c r="AB19" i="18"/>
  <c r="AC19" i="18"/>
  <c r="AD19" i="18"/>
  <c r="AE19" i="18"/>
  <c r="AF19" i="18"/>
  <c r="AG19" i="18"/>
  <c r="AH19" i="18"/>
  <c r="AI19" i="18"/>
  <c r="AJ19" i="18"/>
  <c r="AK19" i="18"/>
  <c r="AL19" i="18"/>
  <c r="AM19" i="18"/>
  <c r="AN19" i="18"/>
  <c r="AO19" i="18"/>
  <c r="AP19" i="18"/>
  <c r="AQ19" i="18"/>
  <c r="AR19" i="18"/>
  <c r="AS19" i="18"/>
  <c r="AT19" i="18"/>
  <c r="AU19" i="18"/>
  <c r="AV19" i="18"/>
  <c r="AW19" i="18"/>
  <c r="AX19" i="18"/>
  <c r="AY19" i="18"/>
  <c r="AZ19" i="18"/>
  <c r="BA19" i="18"/>
  <c r="BB19" i="18"/>
  <c r="BC19" i="18"/>
  <c r="BD19" i="18"/>
  <c r="BE19" i="18"/>
  <c r="BF19" i="18"/>
  <c r="BG19" i="18"/>
  <c r="BH19" i="18"/>
  <c r="BI19" i="18"/>
  <c r="BJ19" i="18"/>
  <c r="BK19" i="18"/>
  <c r="BL19" i="18"/>
  <c r="BM19" i="18"/>
  <c r="BN19" i="18"/>
  <c r="BO19" i="18"/>
  <c r="BP19" i="18"/>
  <c r="BQ19" i="18"/>
  <c r="BR19" i="18"/>
  <c r="BS19" i="18"/>
  <c r="BT19" i="18"/>
  <c r="BU19" i="18"/>
  <c r="BV19" i="18"/>
  <c r="BW19" i="18"/>
  <c r="BX19" i="18"/>
  <c r="BY19" i="18"/>
  <c r="BZ19" i="18"/>
  <c r="CA19" i="18"/>
  <c r="CB19" i="18"/>
  <c r="CC19" i="18"/>
  <c r="CD19" i="18"/>
  <c r="CE19" i="18"/>
  <c r="CF19" i="18"/>
  <c r="CG19" i="18"/>
  <c r="CH19" i="18"/>
  <c r="CI19" i="18"/>
  <c r="CJ19" i="18"/>
  <c r="CK19" i="18"/>
  <c r="CL19" i="18"/>
  <c r="CM19" i="18"/>
  <c r="CN19" i="18"/>
  <c r="CO19" i="18"/>
  <c r="CP19" i="18"/>
  <c r="CQ19" i="18"/>
  <c r="CR19" i="18"/>
  <c r="CS19" i="18"/>
  <c r="CT19" i="18"/>
  <c r="CU19" i="18"/>
  <c r="CV19" i="18"/>
  <c r="CW19" i="18"/>
  <c r="CX19" i="18"/>
  <c r="CY19" i="18"/>
  <c r="CZ19" i="18"/>
  <c r="DA19" i="18"/>
  <c r="DB19" i="18"/>
  <c r="DC19" i="18"/>
  <c r="DD19" i="18"/>
  <c r="DE19" i="18"/>
  <c r="DF19" i="18"/>
  <c r="DG19" i="18"/>
  <c r="DH19" i="18"/>
  <c r="DI19" i="18"/>
  <c r="DJ19" i="18"/>
  <c r="DK19" i="18"/>
  <c r="DL19" i="18"/>
  <c r="DM19" i="18"/>
  <c r="DN19" i="18"/>
  <c r="DO19" i="18"/>
  <c r="DP19" i="18"/>
  <c r="DQ19" i="18"/>
  <c r="DR19" i="18"/>
  <c r="DS19" i="18"/>
  <c r="DT19" i="18"/>
  <c r="DU19" i="18"/>
  <c r="DV19" i="18"/>
  <c r="DW19" i="18"/>
  <c r="DX19" i="18"/>
  <c r="DY19" i="18"/>
  <c r="DZ19" i="18"/>
  <c r="EA19" i="18"/>
  <c r="EB19" i="18"/>
  <c r="EC19" i="18"/>
  <c r="ED19" i="18"/>
  <c r="EE19" i="18"/>
  <c r="EF19" i="18"/>
  <c r="EG19" i="18"/>
  <c r="EH19" i="18"/>
  <c r="EI19" i="18"/>
  <c r="EJ19" i="18"/>
  <c r="EK19" i="18"/>
  <c r="EL19" i="18"/>
  <c r="EM19" i="18"/>
  <c r="EN19" i="18"/>
  <c r="EO19" i="18"/>
  <c r="EP19" i="18"/>
  <c r="EQ19" i="18"/>
  <c r="ER19" i="18"/>
  <c r="ES19" i="18"/>
  <c r="ET19" i="18"/>
  <c r="EU19" i="18"/>
  <c r="EV19" i="18"/>
  <c r="EW19" i="18"/>
  <c r="EX19" i="18"/>
  <c r="EY19" i="18"/>
  <c r="EZ19" i="18"/>
  <c r="FA19" i="18"/>
  <c r="FB19" i="18"/>
  <c r="FC19" i="18"/>
  <c r="FD19" i="18"/>
  <c r="FE19" i="18"/>
  <c r="FF19" i="18"/>
  <c r="FG19" i="18"/>
  <c r="FH19" i="18"/>
  <c r="FI19" i="18"/>
  <c r="FJ19" i="18"/>
  <c r="FK19" i="18"/>
  <c r="FL19" i="18"/>
  <c r="FM19" i="18"/>
  <c r="FN19" i="18"/>
  <c r="FO19" i="18"/>
  <c r="FP19" i="18"/>
  <c r="FQ19" i="18"/>
  <c r="FR19" i="18"/>
  <c r="FS19" i="18"/>
  <c r="FT19" i="18"/>
  <c r="FU19" i="18"/>
  <c r="FV19" i="18"/>
  <c r="FW19" i="18"/>
  <c r="FX19" i="18"/>
  <c r="FY19" i="18"/>
  <c r="FZ19" i="18"/>
  <c r="GA19" i="18"/>
  <c r="GB19" i="18"/>
  <c r="GC19" i="18"/>
  <c r="GD19" i="18"/>
  <c r="GE19" i="18"/>
  <c r="GF19" i="18"/>
  <c r="GG19" i="18"/>
  <c r="GH19" i="18"/>
  <c r="GI19" i="18"/>
  <c r="GJ19" i="18"/>
  <c r="GK19" i="18"/>
  <c r="GL19" i="18"/>
  <c r="GM19" i="18"/>
  <c r="GN19" i="18"/>
  <c r="GO19" i="18"/>
  <c r="GP19" i="18"/>
  <c r="GQ19" i="18"/>
  <c r="GR19" i="18"/>
  <c r="GS19" i="18"/>
  <c r="GT19" i="18"/>
  <c r="GU19" i="18"/>
  <c r="GV19" i="18"/>
  <c r="GW19" i="18"/>
  <c r="GX19" i="18"/>
  <c r="GY19" i="18"/>
  <c r="GZ19" i="18"/>
  <c r="HA19" i="18"/>
  <c r="HB19" i="18"/>
  <c r="HC19" i="18"/>
  <c r="HD19" i="18"/>
  <c r="HE19" i="18"/>
  <c r="HF19" i="18"/>
  <c r="HG19" i="18"/>
  <c r="HH19" i="18"/>
  <c r="HI19" i="18"/>
  <c r="HJ19" i="18"/>
  <c r="HK19" i="18"/>
  <c r="HL19" i="18"/>
  <c r="HM19" i="18"/>
  <c r="HN19" i="18"/>
  <c r="HO19" i="18"/>
  <c r="HP19" i="18"/>
  <c r="HQ19" i="18"/>
  <c r="HR19" i="18"/>
  <c r="HS19" i="18"/>
  <c r="HT19" i="18"/>
  <c r="HU19" i="18"/>
  <c r="HV19" i="18"/>
  <c r="HW19" i="18"/>
  <c r="HX19" i="18"/>
  <c r="HY19" i="18"/>
  <c r="HZ19" i="18"/>
  <c r="IA19" i="18"/>
  <c r="IB19" i="18"/>
  <c r="IC19" i="18"/>
  <c r="ID19" i="18"/>
  <c r="IE19" i="18"/>
  <c r="IF19" i="18"/>
  <c r="IG19" i="18"/>
  <c r="IH19" i="18"/>
  <c r="II19" i="18"/>
  <c r="IJ19" i="18"/>
  <c r="IK19" i="18"/>
  <c r="IL19" i="18"/>
  <c r="IM19" i="18"/>
  <c r="IN19" i="18"/>
  <c r="IO19" i="18"/>
  <c r="IP19" i="18"/>
  <c r="IQ19" i="18"/>
  <c r="IR19" i="18"/>
  <c r="IS19" i="18"/>
  <c r="IT19" i="18"/>
  <c r="IU19" i="18"/>
  <c r="IV19" i="18"/>
  <c r="A20" i="18"/>
  <c r="B20" i="18"/>
  <c r="C20" i="18"/>
  <c r="D20" i="18"/>
  <c r="E20" i="18"/>
  <c r="F20" i="18"/>
  <c r="G20" i="18"/>
  <c r="H20" i="18"/>
  <c r="I20" i="18"/>
  <c r="J20" i="18"/>
  <c r="K20" i="18"/>
  <c r="L20" i="18"/>
  <c r="M20" i="18"/>
  <c r="N20" i="18"/>
  <c r="O20" i="18"/>
  <c r="P20" i="18"/>
  <c r="Q20" i="18"/>
  <c r="R20" i="18"/>
  <c r="S20" i="18"/>
  <c r="T20" i="18"/>
  <c r="U20" i="18"/>
  <c r="V20" i="18"/>
  <c r="W20" i="18"/>
  <c r="X20" i="18"/>
  <c r="Y20" i="18"/>
  <c r="Z20" i="18"/>
  <c r="AA20" i="18"/>
  <c r="AB20" i="18"/>
  <c r="AC20" i="18"/>
  <c r="AD20" i="18"/>
  <c r="AE20" i="18"/>
  <c r="AF20" i="18"/>
  <c r="AG20" i="18"/>
  <c r="AH20" i="18"/>
  <c r="AI20" i="18"/>
  <c r="AJ20" i="18"/>
  <c r="AK20" i="18"/>
  <c r="AL20" i="18"/>
  <c r="AM20" i="18"/>
  <c r="AN20" i="18"/>
  <c r="AO20" i="18"/>
  <c r="AP20" i="18"/>
  <c r="AQ20" i="18"/>
  <c r="AR20" i="18"/>
  <c r="AS20" i="18"/>
  <c r="AT20" i="18"/>
  <c r="AU20" i="18"/>
  <c r="AV20" i="18"/>
  <c r="AW20" i="18"/>
  <c r="AX20" i="18"/>
  <c r="AY20" i="18"/>
  <c r="AZ20" i="18"/>
  <c r="BA20" i="18"/>
  <c r="BB20" i="18"/>
  <c r="BC20" i="18"/>
  <c r="BD20" i="18"/>
  <c r="BE20" i="18"/>
  <c r="BF20" i="18"/>
  <c r="BG20" i="18"/>
  <c r="BH20" i="18"/>
  <c r="BI20" i="18"/>
  <c r="BJ20" i="18"/>
  <c r="BK20" i="18"/>
  <c r="BL20" i="18"/>
  <c r="BM20" i="18"/>
  <c r="BN20" i="18"/>
  <c r="BO20" i="18"/>
  <c r="BP20" i="18"/>
  <c r="BQ20" i="18"/>
  <c r="BR20" i="18"/>
  <c r="BS20" i="18"/>
  <c r="BT20" i="18"/>
  <c r="BU20" i="18"/>
  <c r="BV20" i="18"/>
  <c r="BW20" i="18"/>
  <c r="BX20" i="18"/>
  <c r="BY20" i="18"/>
  <c r="BZ20" i="18"/>
  <c r="CA20" i="18"/>
  <c r="CB20" i="18"/>
  <c r="CC20" i="18"/>
  <c r="CD20" i="18"/>
  <c r="CE20" i="18"/>
  <c r="CF20" i="18"/>
  <c r="CG20" i="18"/>
  <c r="CH20" i="18"/>
  <c r="CI20" i="18"/>
  <c r="CJ20" i="18"/>
  <c r="CK20" i="18"/>
  <c r="CL20" i="18"/>
  <c r="CM20" i="18"/>
  <c r="CN20" i="18"/>
  <c r="CO20" i="18"/>
  <c r="CP20" i="18"/>
  <c r="CQ20" i="18"/>
  <c r="CR20" i="18"/>
  <c r="CS20" i="18"/>
  <c r="CT20" i="18"/>
  <c r="CU20" i="18"/>
  <c r="CV20" i="18"/>
  <c r="CW20" i="18"/>
  <c r="CX20" i="18"/>
  <c r="CY20" i="18"/>
  <c r="CZ20" i="18"/>
  <c r="DA20" i="18"/>
  <c r="DB20" i="18"/>
  <c r="DC20" i="18"/>
  <c r="DD20" i="18"/>
  <c r="DE20" i="18"/>
  <c r="DF20" i="18"/>
  <c r="DG20" i="18"/>
  <c r="DH20" i="18"/>
  <c r="DI20" i="18"/>
  <c r="DJ20" i="18"/>
  <c r="DK20" i="18"/>
  <c r="DL20" i="18"/>
  <c r="DM20" i="18"/>
  <c r="DN20" i="18"/>
  <c r="DO20" i="18"/>
  <c r="DP20" i="18"/>
  <c r="DQ20" i="18"/>
  <c r="DR20" i="18"/>
  <c r="DS20" i="18"/>
  <c r="DT20" i="18"/>
  <c r="DU20" i="18"/>
  <c r="DV20" i="18"/>
  <c r="DW20" i="18"/>
  <c r="DX20" i="18"/>
  <c r="DY20" i="18"/>
  <c r="DZ20" i="18"/>
  <c r="EA20" i="18"/>
  <c r="EB20" i="18"/>
  <c r="EC20" i="18"/>
  <c r="ED20" i="18"/>
  <c r="EE20" i="18"/>
  <c r="EF20" i="18"/>
  <c r="EG20" i="18"/>
  <c r="EH20" i="18"/>
  <c r="EI20" i="18"/>
  <c r="EJ20" i="18"/>
  <c r="EK20" i="18"/>
  <c r="EL20" i="18"/>
  <c r="EM20" i="18"/>
  <c r="EN20" i="18"/>
  <c r="EO20" i="18"/>
  <c r="EP20" i="18"/>
  <c r="EQ20" i="18"/>
  <c r="ER20" i="18"/>
  <c r="ES20" i="18"/>
  <c r="ET20" i="18"/>
  <c r="EU20" i="18"/>
  <c r="EV20" i="18"/>
  <c r="EW20" i="18"/>
  <c r="EX20" i="18"/>
  <c r="EY20" i="18"/>
  <c r="EZ20" i="18"/>
  <c r="FA20" i="18"/>
  <c r="FB20" i="18"/>
  <c r="FC20" i="18"/>
  <c r="FD20" i="18"/>
  <c r="FE20" i="18"/>
  <c r="FF20" i="18"/>
  <c r="FG20" i="18"/>
  <c r="FH20" i="18"/>
  <c r="FI20" i="18"/>
  <c r="FJ20" i="18"/>
  <c r="FK20" i="18"/>
  <c r="FL20" i="18"/>
  <c r="FM20" i="18"/>
  <c r="FN20" i="18"/>
  <c r="FO20" i="18"/>
  <c r="FP20" i="18"/>
  <c r="FQ20" i="18"/>
  <c r="FR20" i="18"/>
  <c r="FS20" i="18"/>
  <c r="FT20" i="18"/>
  <c r="FU20" i="18"/>
  <c r="FV20" i="18"/>
  <c r="FW20" i="18"/>
  <c r="FX20" i="18"/>
  <c r="FY20" i="18"/>
  <c r="FZ20" i="18"/>
  <c r="GA20" i="18"/>
  <c r="GB20" i="18"/>
  <c r="GC20" i="18"/>
  <c r="GD20" i="18"/>
  <c r="GE20" i="18"/>
  <c r="GF20" i="18"/>
  <c r="GG20" i="18"/>
  <c r="GH20" i="18"/>
  <c r="GI20" i="18"/>
  <c r="GJ20" i="18"/>
  <c r="GK20" i="18"/>
  <c r="GL20" i="18"/>
  <c r="GM20" i="18"/>
  <c r="GN20" i="18"/>
  <c r="GO20" i="18"/>
  <c r="GP20" i="18"/>
  <c r="GQ20" i="18"/>
  <c r="GR20" i="18"/>
  <c r="GS20" i="18"/>
  <c r="GT20" i="18"/>
  <c r="GU20" i="18"/>
  <c r="GV20" i="18"/>
  <c r="GW20" i="18"/>
  <c r="GX20" i="18"/>
  <c r="GY20" i="18"/>
  <c r="GZ20" i="18"/>
  <c r="HA20" i="18"/>
  <c r="HB20" i="18"/>
  <c r="HC20" i="18"/>
  <c r="HD20" i="18"/>
  <c r="HE20" i="18"/>
  <c r="HF20" i="18"/>
  <c r="HG20" i="18"/>
  <c r="HH20" i="18"/>
  <c r="HI20" i="18"/>
  <c r="HJ20" i="18"/>
  <c r="HK20" i="18"/>
  <c r="HL20" i="18"/>
  <c r="HM20" i="18"/>
  <c r="HN20" i="18"/>
  <c r="HO20" i="18"/>
  <c r="HP20" i="18"/>
  <c r="HQ20" i="18"/>
  <c r="HR20" i="18"/>
  <c r="HS20" i="18"/>
  <c r="HT20" i="18"/>
  <c r="HU20" i="18"/>
  <c r="HV20" i="18"/>
  <c r="HW20" i="18"/>
  <c r="HX20" i="18"/>
  <c r="HY20" i="18"/>
  <c r="HZ20" i="18"/>
  <c r="IA20" i="18"/>
  <c r="IB20" i="18"/>
  <c r="IC20" i="18"/>
  <c r="ID20" i="18"/>
  <c r="IE20" i="18"/>
  <c r="IF20" i="18"/>
  <c r="IG20" i="18"/>
  <c r="IH20" i="18"/>
  <c r="II20" i="18"/>
  <c r="IJ20" i="18"/>
  <c r="IK20" i="18"/>
  <c r="IL20" i="18"/>
  <c r="IM20" i="18"/>
  <c r="IN20" i="18"/>
  <c r="IO20" i="18"/>
  <c r="IP20" i="18"/>
  <c r="IQ20" i="18"/>
  <c r="IR20" i="18"/>
  <c r="IS20" i="18"/>
  <c r="IT20" i="18"/>
  <c r="IU20" i="18"/>
  <c r="IV20" i="18"/>
  <c r="A21" i="18"/>
  <c r="B21" i="18"/>
  <c r="C21" i="18"/>
  <c r="D21" i="18"/>
  <c r="E21" i="18"/>
  <c r="F21" i="18"/>
  <c r="G21" i="18"/>
  <c r="H21" i="18"/>
  <c r="I21" i="18"/>
  <c r="J21" i="18"/>
  <c r="K21" i="18"/>
  <c r="L21" i="18"/>
  <c r="M21" i="18"/>
  <c r="N21" i="18"/>
  <c r="O21" i="18"/>
  <c r="P21" i="18"/>
  <c r="Q21" i="18"/>
  <c r="R21" i="18"/>
  <c r="S21" i="18"/>
  <c r="T21" i="18"/>
  <c r="U21" i="18"/>
  <c r="V21" i="18"/>
  <c r="W21" i="18"/>
  <c r="X21" i="18"/>
  <c r="Y21" i="18"/>
  <c r="Z21" i="18"/>
  <c r="AA21" i="18"/>
  <c r="AB21" i="18"/>
  <c r="AC21" i="18"/>
  <c r="AD21" i="18"/>
  <c r="AE21" i="18"/>
  <c r="AF21" i="18"/>
  <c r="AG21" i="18"/>
  <c r="AH21" i="18"/>
  <c r="AI21" i="18"/>
  <c r="AJ21" i="18"/>
  <c r="AK21" i="18"/>
  <c r="AL21" i="18"/>
  <c r="AM21" i="18"/>
  <c r="AN21" i="18"/>
  <c r="AO21" i="18"/>
  <c r="AP21" i="18"/>
  <c r="AQ21" i="18"/>
  <c r="AR21" i="18"/>
  <c r="AS21" i="18"/>
  <c r="AT21" i="18"/>
  <c r="AU21" i="18"/>
  <c r="AV21" i="18"/>
  <c r="AW21" i="18"/>
  <c r="AX21" i="18"/>
  <c r="AY21" i="18"/>
  <c r="AZ21" i="18"/>
  <c r="BA21" i="18"/>
  <c r="BB21" i="18"/>
  <c r="BC21" i="18"/>
  <c r="BD21" i="18"/>
  <c r="BE21" i="18"/>
  <c r="BF21" i="18"/>
  <c r="BG21" i="18"/>
  <c r="BH21" i="18"/>
  <c r="BI21" i="18"/>
  <c r="BJ21" i="18"/>
  <c r="BK21" i="18"/>
  <c r="BL21" i="18"/>
  <c r="BM21" i="18"/>
  <c r="BN21" i="18"/>
  <c r="BO21" i="18"/>
  <c r="BP21" i="18"/>
  <c r="BQ21" i="18"/>
  <c r="BR21" i="18"/>
  <c r="BS21" i="18"/>
  <c r="BT21" i="18"/>
  <c r="BU21" i="18"/>
  <c r="BV21" i="18"/>
  <c r="BW21" i="18"/>
  <c r="BX21" i="18"/>
  <c r="BY21" i="18"/>
  <c r="BZ21" i="18"/>
  <c r="CA21" i="18"/>
  <c r="CB21" i="18"/>
  <c r="CC21" i="18"/>
  <c r="CD21" i="18"/>
  <c r="CE21" i="18"/>
  <c r="CF21" i="18"/>
  <c r="CG21" i="18"/>
  <c r="CH21" i="18"/>
  <c r="CI21" i="18"/>
  <c r="CJ21" i="18"/>
  <c r="CK21" i="18"/>
  <c r="CL21" i="18"/>
  <c r="CM21" i="18"/>
  <c r="CN21" i="18"/>
  <c r="CO21" i="18"/>
  <c r="CP21" i="18"/>
  <c r="CQ21" i="18"/>
  <c r="CR21" i="18"/>
  <c r="CS21" i="18"/>
  <c r="CT21" i="18"/>
  <c r="CU21" i="18"/>
  <c r="CV21" i="18"/>
  <c r="CW21" i="18"/>
  <c r="CX21" i="18"/>
  <c r="CY21" i="18"/>
  <c r="CZ21" i="18"/>
  <c r="DA21" i="18"/>
  <c r="DB21" i="18"/>
  <c r="DC21" i="18"/>
  <c r="DD21" i="18"/>
  <c r="DE21" i="18"/>
  <c r="DF21" i="18"/>
  <c r="DG21" i="18"/>
  <c r="DH21" i="18"/>
  <c r="DI21" i="18"/>
  <c r="DJ21" i="18"/>
  <c r="DK21" i="18"/>
  <c r="DL21" i="18"/>
  <c r="DM21" i="18"/>
  <c r="DN21" i="18"/>
  <c r="DO21" i="18"/>
  <c r="DP21" i="18"/>
  <c r="DQ21" i="18"/>
  <c r="DR21" i="18"/>
  <c r="DS21" i="18"/>
  <c r="DT21" i="18"/>
  <c r="DU21" i="18"/>
  <c r="DV21" i="18"/>
  <c r="DW21" i="18"/>
  <c r="DX21" i="18"/>
  <c r="DY21" i="18"/>
  <c r="DZ21" i="18"/>
  <c r="EA21" i="18"/>
  <c r="EB21" i="18"/>
  <c r="EC21" i="18"/>
  <c r="ED21" i="18"/>
  <c r="EE21" i="18"/>
  <c r="EF21" i="18"/>
  <c r="EG21" i="18"/>
  <c r="EH21" i="18"/>
  <c r="EI21" i="18"/>
  <c r="EJ21" i="18"/>
  <c r="EK21" i="18"/>
  <c r="EL21" i="18"/>
  <c r="EM21" i="18"/>
  <c r="EN21" i="18"/>
  <c r="EO21" i="18"/>
  <c r="EP21" i="18"/>
  <c r="EQ21" i="18"/>
  <c r="ER21" i="18"/>
  <c r="ES21" i="18"/>
  <c r="ET21" i="18"/>
  <c r="EU21" i="18"/>
  <c r="EV21" i="18"/>
  <c r="EW21" i="18"/>
  <c r="EX21" i="18"/>
  <c r="EY21" i="18"/>
  <c r="EZ21" i="18"/>
  <c r="FA21" i="18"/>
  <c r="FB21" i="18"/>
  <c r="FC21" i="18"/>
  <c r="FD21" i="18"/>
  <c r="FE21" i="18"/>
  <c r="FF21" i="18"/>
  <c r="FG21" i="18"/>
  <c r="FH21" i="18"/>
  <c r="FI21" i="18"/>
  <c r="FJ21" i="18"/>
  <c r="FK21" i="18"/>
  <c r="FL21" i="18"/>
  <c r="FM21" i="18"/>
  <c r="FN21" i="18"/>
  <c r="FO21" i="18"/>
  <c r="FP21" i="18"/>
  <c r="FQ21" i="18"/>
  <c r="FR21" i="18"/>
  <c r="FS21" i="18"/>
  <c r="FT21" i="18"/>
  <c r="FU21" i="18"/>
  <c r="FV21" i="18"/>
  <c r="FW21" i="18"/>
  <c r="FX21" i="18"/>
  <c r="FY21" i="18"/>
  <c r="FZ21" i="18"/>
  <c r="GA21" i="18"/>
  <c r="GB21" i="18"/>
  <c r="GC21" i="18"/>
  <c r="GD21" i="18"/>
  <c r="GE21" i="18"/>
  <c r="GF21" i="18"/>
  <c r="GG21" i="18"/>
  <c r="GH21" i="18"/>
  <c r="GI21" i="18"/>
  <c r="GJ21" i="18"/>
  <c r="GK21" i="18"/>
  <c r="GL21" i="18"/>
  <c r="GM21" i="18"/>
  <c r="GN21" i="18"/>
  <c r="GO21" i="18"/>
  <c r="GP21" i="18"/>
  <c r="GQ21" i="18"/>
  <c r="GR21" i="18"/>
  <c r="GS21" i="18"/>
  <c r="GT21" i="18"/>
  <c r="GU21" i="18"/>
  <c r="GV21" i="18"/>
  <c r="GW21" i="18"/>
  <c r="GX21" i="18"/>
  <c r="GY21" i="18"/>
  <c r="GZ21" i="18"/>
  <c r="HA21" i="18"/>
  <c r="HB21" i="18"/>
  <c r="HC21" i="18"/>
  <c r="HD21" i="18"/>
  <c r="HE21" i="18"/>
  <c r="HF21" i="18"/>
  <c r="HG21" i="18"/>
  <c r="HH21" i="18"/>
  <c r="HI21" i="18"/>
  <c r="HJ21" i="18"/>
  <c r="HK21" i="18"/>
  <c r="HL21" i="18"/>
  <c r="HM21" i="18"/>
  <c r="HN21" i="18"/>
  <c r="HO21" i="18"/>
  <c r="HP21" i="18"/>
  <c r="HQ21" i="18"/>
  <c r="HR21" i="18"/>
  <c r="HS21" i="18"/>
  <c r="HT21" i="18"/>
  <c r="HU21" i="18"/>
  <c r="HV21" i="18"/>
  <c r="HW21" i="18"/>
  <c r="HX21" i="18"/>
  <c r="HY21" i="18"/>
  <c r="HZ21" i="18"/>
  <c r="IA21" i="18"/>
  <c r="IB21" i="18"/>
  <c r="IC21" i="18"/>
  <c r="ID21" i="18"/>
  <c r="IE21" i="18"/>
  <c r="IF21" i="18"/>
  <c r="IG21" i="18"/>
  <c r="IH21" i="18"/>
  <c r="II21" i="18"/>
  <c r="IJ21" i="18"/>
  <c r="IK21" i="18"/>
  <c r="IL21" i="18"/>
  <c r="IM21" i="18"/>
  <c r="IN21" i="18"/>
  <c r="IO21" i="18"/>
  <c r="IP21" i="18"/>
  <c r="IQ21" i="18"/>
  <c r="IR21" i="18"/>
  <c r="IS21" i="18"/>
  <c r="IT21" i="18"/>
  <c r="IU21" i="18"/>
  <c r="IV21" i="18"/>
  <c r="A22" i="18"/>
  <c r="B22" i="18"/>
  <c r="C22" i="18"/>
  <c r="D22" i="18"/>
  <c r="E22" i="18"/>
  <c r="F22" i="18"/>
  <c r="G22" i="18"/>
  <c r="H22" i="18"/>
  <c r="I22" i="18"/>
  <c r="J22" i="18"/>
  <c r="K22" i="18"/>
  <c r="L22" i="18"/>
  <c r="M22" i="18"/>
  <c r="N22" i="18"/>
  <c r="O22" i="18"/>
  <c r="P22" i="18"/>
  <c r="Q22" i="18"/>
  <c r="R22" i="18"/>
  <c r="S22" i="18"/>
  <c r="T22" i="18"/>
  <c r="U22" i="18"/>
  <c r="V22" i="18"/>
  <c r="W22" i="18"/>
  <c r="X22" i="18"/>
  <c r="Y22" i="18"/>
  <c r="Z22" i="18"/>
  <c r="AA22" i="18"/>
  <c r="AB22" i="18"/>
  <c r="AC22" i="18"/>
  <c r="AD22" i="18"/>
  <c r="AE22" i="18"/>
  <c r="AF22" i="18"/>
  <c r="AG22" i="18"/>
  <c r="AH22" i="18"/>
  <c r="AI22" i="18"/>
  <c r="AJ22" i="18"/>
  <c r="AK22" i="18"/>
  <c r="AL22" i="18"/>
  <c r="AM22" i="18"/>
  <c r="AN22" i="18"/>
  <c r="AO22" i="18"/>
  <c r="AP22" i="18"/>
  <c r="AQ22" i="18"/>
  <c r="AR22" i="18"/>
  <c r="AS22" i="18"/>
  <c r="AT22" i="18"/>
  <c r="AU22" i="18"/>
  <c r="AV22" i="18"/>
  <c r="AW22" i="18"/>
  <c r="AX22" i="18"/>
  <c r="AY22" i="18"/>
  <c r="AZ22" i="18"/>
  <c r="BA22" i="18"/>
  <c r="BB22" i="18"/>
  <c r="BC22" i="18"/>
  <c r="BD22" i="18"/>
  <c r="BE22" i="18"/>
  <c r="BF22" i="18"/>
  <c r="BG22" i="18"/>
  <c r="BH22" i="18"/>
  <c r="BI22" i="18"/>
  <c r="BJ22" i="18"/>
  <c r="BK22" i="18"/>
  <c r="BL22" i="18"/>
  <c r="BM22" i="18"/>
  <c r="BN22" i="18"/>
  <c r="BO22" i="18"/>
  <c r="BP22" i="18"/>
  <c r="BQ22" i="18"/>
  <c r="BR22" i="18"/>
  <c r="BS22" i="18"/>
  <c r="BT22" i="18"/>
  <c r="BU22" i="18"/>
  <c r="BV22" i="18"/>
  <c r="BW22" i="18"/>
  <c r="BX22" i="18"/>
  <c r="BY22" i="18"/>
  <c r="BZ22" i="18"/>
  <c r="CA22" i="18"/>
  <c r="CB22" i="18"/>
  <c r="CC22" i="18"/>
  <c r="CD22" i="18"/>
  <c r="CE22" i="18"/>
  <c r="CF22" i="18"/>
  <c r="CG22" i="18"/>
  <c r="CH22" i="18"/>
  <c r="CI22" i="18"/>
  <c r="CJ22" i="18"/>
  <c r="CK22" i="18"/>
  <c r="CL22" i="18"/>
  <c r="CM22" i="18"/>
  <c r="CN22" i="18"/>
  <c r="CO22" i="18"/>
  <c r="CP22" i="18"/>
  <c r="CQ22" i="18"/>
  <c r="CR22" i="18"/>
  <c r="CS22" i="18"/>
  <c r="CT22" i="18"/>
  <c r="CU22" i="18"/>
  <c r="CV22" i="18"/>
  <c r="CW22" i="18"/>
  <c r="CX22" i="18"/>
  <c r="CY22" i="18"/>
  <c r="CZ22" i="18"/>
  <c r="DA22" i="18"/>
  <c r="DB22" i="18"/>
  <c r="DC22" i="18"/>
  <c r="DD22" i="18"/>
  <c r="DE22" i="18"/>
  <c r="DF22" i="18"/>
  <c r="DG22" i="18"/>
  <c r="DH22" i="18"/>
  <c r="DI22" i="18"/>
  <c r="DJ22" i="18"/>
  <c r="DK22" i="18"/>
  <c r="DL22" i="18"/>
  <c r="DM22" i="18"/>
  <c r="DN22" i="18"/>
  <c r="DO22" i="18"/>
  <c r="DP22" i="18"/>
  <c r="DQ22" i="18"/>
  <c r="DR22" i="18"/>
  <c r="DS22" i="18"/>
  <c r="DT22" i="18"/>
  <c r="DU22" i="18"/>
  <c r="DV22" i="18"/>
  <c r="DW22" i="18"/>
  <c r="DX22" i="18"/>
  <c r="DY22" i="18"/>
  <c r="DZ22" i="18"/>
  <c r="EA22" i="18"/>
  <c r="EB22" i="18"/>
  <c r="EC22" i="18"/>
  <c r="ED22" i="18"/>
  <c r="EE22" i="18"/>
  <c r="EF22" i="18"/>
  <c r="EG22" i="18"/>
  <c r="EH22" i="18"/>
  <c r="EI22" i="18"/>
  <c r="EJ22" i="18"/>
  <c r="EK22" i="18"/>
  <c r="EL22" i="18"/>
  <c r="EM22" i="18"/>
  <c r="EN22" i="18"/>
  <c r="EO22" i="18"/>
  <c r="EP22" i="18"/>
  <c r="EQ22" i="18"/>
  <c r="ER22" i="18"/>
  <c r="ES22" i="18"/>
  <c r="ET22" i="18"/>
  <c r="EU22" i="18"/>
  <c r="EV22" i="18"/>
  <c r="EW22" i="18"/>
  <c r="EX22" i="18"/>
  <c r="EY22" i="18"/>
  <c r="EZ22" i="18"/>
  <c r="FA22" i="18"/>
  <c r="FB22" i="18"/>
  <c r="FC22" i="18"/>
  <c r="FD22" i="18"/>
  <c r="FE22" i="18"/>
  <c r="FF22" i="18"/>
  <c r="FG22" i="18"/>
  <c r="FH22" i="18"/>
  <c r="FI22" i="18"/>
  <c r="FJ22" i="18"/>
  <c r="FK22" i="18"/>
  <c r="FL22" i="18"/>
  <c r="FM22" i="18"/>
  <c r="FN22" i="18"/>
  <c r="FO22" i="18"/>
  <c r="FP22" i="18"/>
  <c r="FQ22" i="18"/>
  <c r="FR22" i="18"/>
  <c r="FS22" i="18"/>
  <c r="FT22" i="18"/>
  <c r="FU22" i="18"/>
  <c r="FV22" i="18"/>
  <c r="FW22" i="18"/>
  <c r="FX22" i="18"/>
  <c r="FY22" i="18"/>
  <c r="FZ22" i="18"/>
  <c r="GA22" i="18"/>
  <c r="GB22" i="18"/>
  <c r="GC22" i="18"/>
  <c r="GD22" i="18"/>
  <c r="GE22" i="18"/>
  <c r="GF22" i="18"/>
  <c r="GG22" i="18"/>
  <c r="GH22" i="18"/>
  <c r="GI22" i="18"/>
  <c r="GJ22" i="18"/>
  <c r="GK22" i="18"/>
  <c r="GL22" i="18"/>
  <c r="GM22" i="18"/>
  <c r="GN22" i="18"/>
  <c r="GO22" i="18"/>
  <c r="GP22" i="18"/>
  <c r="GQ22" i="18"/>
  <c r="GR22" i="18"/>
  <c r="GS22" i="18"/>
  <c r="GT22" i="18"/>
  <c r="GU22" i="18"/>
  <c r="GV22" i="18"/>
  <c r="GW22" i="18"/>
  <c r="GX22" i="18"/>
  <c r="GY22" i="18"/>
  <c r="GZ22" i="18"/>
  <c r="HA22" i="18"/>
  <c r="HB22" i="18"/>
  <c r="HC22" i="18"/>
  <c r="HD22" i="18"/>
  <c r="HE22" i="18"/>
  <c r="HF22" i="18"/>
  <c r="HG22" i="18"/>
  <c r="HH22" i="18"/>
  <c r="HI22" i="18"/>
  <c r="HJ22" i="18"/>
  <c r="HK22" i="18"/>
  <c r="HL22" i="18"/>
  <c r="HM22" i="18"/>
  <c r="HN22" i="18"/>
  <c r="HO22" i="18"/>
  <c r="HP22" i="18"/>
  <c r="HQ22" i="18"/>
  <c r="HR22" i="18"/>
  <c r="HS22" i="18"/>
  <c r="HT22" i="18"/>
  <c r="HU22" i="18"/>
  <c r="HV22" i="18"/>
  <c r="HW22" i="18"/>
  <c r="HX22" i="18"/>
  <c r="HY22" i="18"/>
  <c r="HZ22" i="18"/>
  <c r="IA22" i="18"/>
  <c r="IB22" i="18"/>
  <c r="IC22" i="18"/>
  <c r="ID22" i="18"/>
  <c r="IE22" i="18"/>
  <c r="IF22" i="18"/>
  <c r="IG22" i="18"/>
  <c r="IH22" i="18"/>
  <c r="II22" i="18"/>
  <c r="IJ22" i="18"/>
  <c r="IK22" i="18"/>
  <c r="IL22" i="18"/>
  <c r="IM22" i="18"/>
  <c r="IN22" i="18"/>
  <c r="IO22" i="18"/>
  <c r="IP22" i="18"/>
  <c r="IQ22" i="18"/>
  <c r="IR22" i="18"/>
  <c r="IS22" i="18"/>
  <c r="IT22" i="18"/>
  <c r="IU22" i="18"/>
  <c r="IV22" i="18"/>
  <c r="A23" i="18"/>
  <c r="B23" i="18"/>
  <c r="C23" i="18"/>
  <c r="D23" i="18"/>
  <c r="E23" i="18"/>
  <c r="F23" i="18"/>
  <c r="G23" i="18"/>
  <c r="H23" i="18"/>
  <c r="I23" i="18"/>
  <c r="J23" i="18"/>
  <c r="K23" i="18"/>
  <c r="L23" i="18"/>
  <c r="M23" i="18"/>
  <c r="N23" i="18"/>
  <c r="O23" i="18"/>
  <c r="P23" i="18"/>
  <c r="Q23" i="18"/>
  <c r="R23" i="18"/>
  <c r="S23" i="18"/>
  <c r="T23" i="18"/>
  <c r="U23" i="18"/>
  <c r="V23" i="18"/>
  <c r="W23" i="18"/>
  <c r="X23" i="18"/>
  <c r="Y23" i="18"/>
  <c r="Z23" i="18"/>
  <c r="AA23" i="18"/>
  <c r="AB23" i="18"/>
  <c r="AC23" i="18"/>
  <c r="AD23" i="18"/>
  <c r="AE23" i="18"/>
  <c r="AF23" i="18"/>
  <c r="AG23" i="18"/>
  <c r="AH23" i="18"/>
  <c r="AI23" i="18"/>
  <c r="AJ23" i="18"/>
  <c r="AK23" i="18"/>
  <c r="AL23" i="18"/>
  <c r="AM23" i="18"/>
  <c r="AN23" i="18"/>
  <c r="AO23" i="18"/>
  <c r="AP23" i="18"/>
  <c r="AQ23" i="18"/>
  <c r="AR23" i="18"/>
  <c r="AS23" i="18"/>
  <c r="AT23" i="18"/>
  <c r="AU23" i="18"/>
  <c r="AV23" i="18"/>
  <c r="AW23" i="18"/>
  <c r="AX23" i="18"/>
  <c r="AY23" i="18"/>
  <c r="AZ23" i="18"/>
  <c r="BA23" i="18"/>
  <c r="BB23" i="18"/>
  <c r="BC23" i="18"/>
  <c r="BD23" i="18"/>
  <c r="BE23" i="18"/>
  <c r="BF23" i="18"/>
  <c r="BG23" i="18"/>
  <c r="BH23" i="18"/>
  <c r="BI23" i="18"/>
  <c r="BJ23" i="18"/>
  <c r="BK23" i="18"/>
  <c r="BL23" i="18"/>
  <c r="BM23" i="18"/>
  <c r="BN23" i="18"/>
  <c r="BO23" i="18"/>
  <c r="BP23" i="18"/>
  <c r="BQ23" i="18"/>
  <c r="BR23" i="18"/>
  <c r="BS23" i="18"/>
  <c r="BT23" i="18"/>
  <c r="BU23" i="18"/>
  <c r="BV23" i="18"/>
  <c r="BW23" i="18"/>
  <c r="BX23" i="18"/>
  <c r="BY23" i="18"/>
  <c r="BZ23" i="18"/>
  <c r="CA23" i="18"/>
  <c r="CB23" i="18"/>
  <c r="CC23" i="18"/>
  <c r="CD23" i="18"/>
  <c r="CE23" i="18"/>
  <c r="CF23" i="18"/>
  <c r="CG23" i="18"/>
  <c r="CH23" i="18"/>
  <c r="CI23" i="18"/>
  <c r="CJ23" i="18"/>
  <c r="CK23" i="18"/>
  <c r="CL23" i="18"/>
  <c r="CM23" i="18"/>
  <c r="CN23" i="18"/>
  <c r="CO23" i="18"/>
  <c r="CP23" i="18"/>
  <c r="CQ23" i="18"/>
  <c r="CR23" i="18"/>
  <c r="CS23" i="18"/>
  <c r="CT23" i="18"/>
  <c r="CU23" i="18"/>
  <c r="CV23" i="18"/>
  <c r="CW23" i="18"/>
  <c r="CX23" i="18"/>
  <c r="CY23" i="18"/>
  <c r="CZ23" i="18"/>
  <c r="DA23" i="18"/>
  <c r="DB23" i="18"/>
  <c r="DC23" i="18"/>
  <c r="DD23" i="18"/>
  <c r="DE23" i="18"/>
  <c r="DF23" i="18"/>
  <c r="DG23" i="18"/>
  <c r="DH23" i="18"/>
  <c r="DI23" i="18"/>
  <c r="DJ23" i="18"/>
  <c r="DK23" i="18"/>
  <c r="DL23" i="18"/>
  <c r="DM23" i="18"/>
  <c r="DN23" i="18"/>
  <c r="DO23" i="18"/>
  <c r="DP23" i="18"/>
  <c r="DQ23" i="18"/>
  <c r="DR23" i="18"/>
  <c r="DS23" i="18"/>
  <c r="DT23" i="18"/>
  <c r="DU23" i="18"/>
  <c r="DV23" i="18"/>
  <c r="DW23" i="18"/>
  <c r="DX23" i="18"/>
  <c r="DY23" i="18"/>
  <c r="DZ23" i="18"/>
  <c r="EA23" i="18"/>
  <c r="EB23" i="18"/>
  <c r="EC23" i="18"/>
  <c r="ED23" i="18"/>
  <c r="EE23" i="18"/>
  <c r="EF23" i="18"/>
  <c r="EG23" i="18"/>
  <c r="EH23" i="18"/>
  <c r="EI23" i="18"/>
  <c r="EJ23" i="18"/>
  <c r="EK23" i="18"/>
  <c r="EL23" i="18"/>
  <c r="EM23" i="18"/>
  <c r="EN23" i="18"/>
  <c r="EO23" i="18"/>
  <c r="EP23" i="18"/>
  <c r="EQ23" i="18"/>
  <c r="ER23" i="18"/>
  <c r="ES23" i="18"/>
  <c r="ET23" i="18"/>
  <c r="EU23" i="18"/>
  <c r="EV23" i="18"/>
  <c r="EW23" i="18"/>
  <c r="EX23" i="18"/>
  <c r="EY23" i="18"/>
  <c r="EZ23" i="18"/>
  <c r="FA23" i="18"/>
  <c r="FB23" i="18"/>
  <c r="FC23" i="18"/>
  <c r="FD23" i="18"/>
  <c r="FE23" i="18"/>
  <c r="FF23" i="18"/>
  <c r="FG23" i="18"/>
  <c r="FH23" i="18"/>
  <c r="FI23" i="18"/>
  <c r="FJ23" i="18"/>
  <c r="FK23" i="18"/>
  <c r="FL23" i="18"/>
  <c r="FM23" i="18"/>
  <c r="FN23" i="18"/>
  <c r="FO23" i="18"/>
  <c r="FP23" i="18"/>
  <c r="FQ23" i="18"/>
  <c r="FR23" i="18"/>
  <c r="FS23" i="18"/>
  <c r="FT23" i="18"/>
  <c r="FU23" i="18"/>
  <c r="FV23" i="18"/>
  <c r="FW23" i="18"/>
  <c r="FX23" i="18"/>
  <c r="FY23" i="18"/>
  <c r="FZ23" i="18"/>
  <c r="GA23" i="18"/>
  <c r="GB23" i="18"/>
  <c r="GC23" i="18"/>
  <c r="GD23" i="18"/>
  <c r="GE23" i="18"/>
  <c r="GF23" i="18"/>
  <c r="GG23" i="18"/>
  <c r="GH23" i="18"/>
  <c r="GI23" i="18"/>
  <c r="GJ23" i="18"/>
  <c r="GK23" i="18"/>
  <c r="GL23" i="18"/>
  <c r="GM23" i="18"/>
  <c r="GN23" i="18"/>
  <c r="GO23" i="18"/>
  <c r="GP23" i="18"/>
  <c r="GQ23" i="18"/>
  <c r="GR23" i="18"/>
  <c r="GS23" i="18"/>
  <c r="GT23" i="18"/>
  <c r="GU23" i="18"/>
  <c r="GV23" i="18"/>
  <c r="GW23" i="18"/>
  <c r="GX23" i="18"/>
  <c r="GY23" i="18"/>
  <c r="GZ23" i="18"/>
  <c r="HA23" i="18"/>
  <c r="HB23" i="18"/>
  <c r="HC23" i="18"/>
  <c r="HD23" i="18"/>
  <c r="HE23" i="18"/>
  <c r="HF23" i="18"/>
  <c r="HG23" i="18"/>
  <c r="HH23" i="18"/>
  <c r="HI23" i="18"/>
  <c r="HJ23" i="18"/>
  <c r="HK23" i="18"/>
  <c r="HL23" i="18"/>
  <c r="HM23" i="18"/>
  <c r="HN23" i="18"/>
  <c r="HO23" i="18"/>
  <c r="HP23" i="18"/>
  <c r="HQ23" i="18"/>
  <c r="HR23" i="18"/>
  <c r="HS23" i="18"/>
  <c r="HT23" i="18"/>
  <c r="HU23" i="18"/>
  <c r="HV23" i="18"/>
  <c r="HW23" i="18"/>
  <c r="HX23" i="18"/>
  <c r="HY23" i="18"/>
  <c r="HZ23" i="18"/>
  <c r="IA23" i="18"/>
  <c r="IB23" i="18"/>
  <c r="IC23" i="18"/>
  <c r="ID23" i="18"/>
  <c r="IE23" i="18"/>
  <c r="IF23" i="18"/>
  <c r="IG23" i="18"/>
  <c r="IH23" i="18"/>
  <c r="II23" i="18"/>
  <c r="IJ23" i="18"/>
  <c r="IK23" i="18"/>
  <c r="IL23" i="18"/>
  <c r="IM23" i="18"/>
  <c r="IN23" i="18"/>
  <c r="IO23" i="18"/>
  <c r="IP23" i="18"/>
  <c r="IQ23" i="18"/>
  <c r="IR23" i="18"/>
  <c r="IS23" i="18"/>
  <c r="IT23" i="18"/>
  <c r="IU23" i="18"/>
  <c r="IV23" i="18"/>
  <c r="A24" i="18"/>
  <c r="B24" i="18"/>
  <c r="C24" i="18"/>
  <c r="D24" i="18"/>
  <c r="E24" i="18"/>
  <c r="F24" i="18"/>
  <c r="G24" i="18"/>
  <c r="H24" i="18"/>
  <c r="I24" i="18"/>
  <c r="J24" i="18"/>
  <c r="K24" i="18"/>
  <c r="L24" i="18"/>
  <c r="M24" i="18"/>
  <c r="N24" i="18"/>
  <c r="O24" i="18"/>
  <c r="P24" i="18"/>
  <c r="Q24" i="18"/>
  <c r="R24" i="18"/>
  <c r="S24" i="18"/>
  <c r="T24" i="18"/>
  <c r="U24" i="18"/>
  <c r="V24" i="18"/>
  <c r="W24" i="18"/>
  <c r="X24" i="18"/>
  <c r="Y24" i="18"/>
  <c r="Z24" i="18"/>
  <c r="AA24" i="18"/>
  <c r="AB24" i="18"/>
  <c r="AC24" i="18"/>
  <c r="AD24" i="18"/>
  <c r="AE24" i="18"/>
  <c r="AF24" i="18"/>
  <c r="AG24" i="18"/>
  <c r="AH24" i="18"/>
  <c r="AI24" i="18"/>
  <c r="AJ24" i="18"/>
  <c r="AK24" i="18"/>
  <c r="AL24" i="18"/>
  <c r="AM24" i="18"/>
  <c r="AN24" i="18"/>
  <c r="AO24" i="18"/>
  <c r="AP24" i="18"/>
  <c r="AQ24" i="18"/>
  <c r="AR24" i="18"/>
  <c r="AS24" i="18"/>
  <c r="AT24" i="18"/>
  <c r="AU24" i="18"/>
  <c r="AV24" i="18"/>
  <c r="AW24" i="18"/>
  <c r="AX24" i="18"/>
  <c r="AY24" i="18"/>
  <c r="AZ24" i="18"/>
  <c r="BA24" i="18"/>
  <c r="BB24" i="18"/>
  <c r="BC24" i="18"/>
  <c r="BD24" i="18"/>
  <c r="BE24" i="18"/>
  <c r="BF24" i="18"/>
  <c r="BG24" i="18"/>
  <c r="BH24" i="18"/>
  <c r="BI24" i="18"/>
  <c r="BJ24" i="18"/>
  <c r="BK24" i="18"/>
  <c r="BL24" i="18"/>
  <c r="BM24" i="18"/>
  <c r="BN24" i="18"/>
  <c r="BO24" i="18"/>
  <c r="BP24" i="18"/>
  <c r="BQ24" i="18"/>
  <c r="BR24" i="18"/>
  <c r="BS24" i="18"/>
  <c r="BT24" i="18"/>
  <c r="BU24" i="18"/>
  <c r="BV24" i="18"/>
  <c r="BW24" i="18"/>
  <c r="BX24" i="18"/>
  <c r="BY24" i="18"/>
  <c r="BZ24" i="18"/>
  <c r="CA24" i="18"/>
  <c r="CB24" i="18"/>
  <c r="CC24" i="18"/>
  <c r="CD24" i="18"/>
  <c r="CE24" i="18"/>
  <c r="CF24" i="18"/>
  <c r="CG24" i="18"/>
  <c r="CH24" i="18"/>
  <c r="CI24" i="18"/>
  <c r="CJ24" i="18"/>
  <c r="CK24" i="18"/>
  <c r="CL24" i="18"/>
  <c r="CM24" i="18"/>
  <c r="CN24" i="18"/>
  <c r="CO24" i="18"/>
  <c r="CP24" i="18"/>
  <c r="CQ24" i="18"/>
  <c r="CR24" i="18"/>
  <c r="CS24" i="18"/>
  <c r="CT24" i="18"/>
  <c r="CU24" i="18"/>
  <c r="CV24" i="18"/>
  <c r="CW24" i="18"/>
  <c r="CX24" i="18"/>
  <c r="CY24" i="18"/>
  <c r="CZ24" i="18"/>
  <c r="DA24" i="18"/>
  <c r="DB24" i="18"/>
  <c r="DC24" i="18"/>
  <c r="DD24" i="18"/>
  <c r="DE24" i="18"/>
  <c r="DF24" i="18"/>
  <c r="DG24" i="18"/>
  <c r="DH24" i="18"/>
  <c r="DI24" i="18"/>
  <c r="DJ24" i="18"/>
  <c r="DK24" i="18"/>
  <c r="DL24" i="18"/>
  <c r="DM24" i="18"/>
  <c r="DN24" i="18"/>
  <c r="DO24" i="18"/>
  <c r="DP24" i="18"/>
  <c r="DQ24" i="18"/>
  <c r="DR24" i="18"/>
  <c r="DS24" i="18"/>
  <c r="DT24" i="18"/>
  <c r="DU24" i="18"/>
  <c r="DV24" i="18"/>
  <c r="DW24" i="18"/>
  <c r="DX24" i="18"/>
  <c r="DY24" i="18"/>
  <c r="DZ24" i="18"/>
  <c r="EA24" i="18"/>
  <c r="EB24" i="18"/>
  <c r="EC24" i="18"/>
  <c r="ED24" i="18"/>
  <c r="EE24" i="18"/>
  <c r="EF24" i="18"/>
  <c r="EG24" i="18"/>
  <c r="EH24" i="18"/>
  <c r="EI24" i="18"/>
  <c r="EJ24" i="18"/>
  <c r="EK24" i="18"/>
  <c r="EL24" i="18"/>
  <c r="EM24" i="18"/>
  <c r="EN24" i="18"/>
  <c r="EO24" i="18"/>
  <c r="EP24" i="18"/>
  <c r="EQ24" i="18"/>
  <c r="ER24" i="18"/>
  <c r="ES24" i="18"/>
  <c r="ET24" i="18"/>
  <c r="EU24" i="18"/>
  <c r="EV24" i="18"/>
  <c r="EW24" i="18"/>
  <c r="EX24" i="18"/>
  <c r="EY24" i="18"/>
  <c r="EZ24" i="18"/>
  <c r="FA24" i="18"/>
  <c r="FB24" i="18"/>
  <c r="FC24" i="18"/>
  <c r="FD24" i="18"/>
  <c r="FE24" i="18"/>
  <c r="FF24" i="18"/>
  <c r="FG24" i="18"/>
  <c r="FH24" i="18"/>
  <c r="FI24" i="18"/>
  <c r="FJ24" i="18"/>
  <c r="FK24" i="18"/>
  <c r="FL24" i="18"/>
  <c r="FM24" i="18"/>
  <c r="FN24" i="18"/>
  <c r="FO24" i="18"/>
  <c r="FP24" i="18"/>
  <c r="FQ24" i="18"/>
  <c r="FR24" i="18"/>
  <c r="FS24" i="18"/>
  <c r="FT24" i="18"/>
  <c r="FU24" i="18"/>
  <c r="FV24" i="18"/>
  <c r="FW24" i="18"/>
  <c r="FX24" i="18"/>
  <c r="FY24" i="18"/>
  <c r="FZ24" i="18"/>
  <c r="GA24" i="18"/>
  <c r="GB24" i="18"/>
  <c r="GC24" i="18"/>
  <c r="GD24" i="18"/>
  <c r="GE24" i="18"/>
  <c r="GF24" i="18"/>
  <c r="GG24" i="18"/>
  <c r="GH24" i="18"/>
  <c r="GI24" i="18"/>
  <c r="GJ24" i="18"/>
  <c r="GK24" i="18"/>
  <c r="GL24" i="18"/>
  <c r="GM24" i="18"/>
  <c r="GN24" i="18"/>
  <c r="GO24" i="18"/>
  <c r="GP24" i="18"/>
  <c r="GQ24" i="18"/>
  <c r="GR24" i="18"/>
  <c r="GS24" i="18"/>
  <c r="GT24" i="18"/>
  <c r="GU24" i="18"/>
  <c r="GV24" i="18"/>
  <c r="GW24" i="18"/>
  <c r="GX24" i="18"/>
  <c r="GY24" i="18"/>
  <c r="GZ24" i="18"/>
  <c r="HA24" i="18"/>
  <c r="HB24" i="18"/>
  <c r="HC24" i="18"/>
  <c r="HD24" i="18"/>
  <c r="HE24" i="18"/>
  <c r="HF24" i="18"/>
  <c r="HG24" i="18"/>
  <c r="HH24" i="18"/>
  <c r="HI24" i="18"/>
  <c r="HJ24" i="18"/>
  <c r="HK24" i="18"/>
  <c r="HL24" i="18"/>
  <c r="HM24" i="18"/>
  <c r="HN24" i="18"/>
  <c r="HO24" i="18"/>
  <c r="HP24" i="18"/>
  <c r="HQ24" i="18"/>
  <c r="HR24" i="18"/>
  <c r="HS24" i="18"/>
  <c r="HT24" i="18"/>
  <c r="HU24" i="18"/>
  <c r="HV24" i="18"/>
  <c r="HW24" i="18"/>
  <c r="HX24" i="18"/>
  <c r="HY24" i="18"/>
  <c r="HZ24" i="18"/>
  <c r="IA24" i="18"/>
  <c r="IB24" i="18"/>
  <c r="IC24" i="18"/>
  <c r="ID24" i="18"/>
  <c r="IE24" i="18"/>
  <c r="IF24" i="18"/>
  <c r="IG24" i="18"/>
  <c r="IH24" i="18"/>
  <c r="II24" i="18"/>
  <c r="IJ24" i="18"/>
  <c r="IK24" i="18"/>
  <c r="IL24" i="18"/>
  <c r="IM24" i="18"/>
  <c r="IN24" i="18"/>
  <c r="IO24" i="18"/>
  <c r="IP24" i="18"/>
  <c r="IQ24" i="18"/>
  <c r="IR24" i="18"/>
  <c r="IS24" i="18"/>
  <c r="IT24" i="18"/>
  <c r="IU24" i="18"/>
  <c r="IV24" i="18"/>
  <c r="A25" i="18"/>
  <c r="B25" i="18"/>
  <c r="C25" i="18"/>
  <c r="D25" i="18"/>
  <c r="E25" i="18"/>
  <c r="F25" i="18"/>
  <c r="G25" i="18"/>
  <c r="H25" i="18"/>
  <c r="I25" i="18"/>
  <c r="J25" i="18"/>
  <c r="K25" i="18"/>
  <c r="L25" i="18"/>
  <c r="M25" i="18"/>
  <c r="N25" i="18"/>
  <c r="O25" i="18"/>
  <c r="P25" i="18"/>
  <c r="Q25" i="18"/>
  <c r="R25" i="18"/>
  <c r="S25" i="18"/>
  <c r="T25" i="18"/>
  <c r="U25" i="18"/>
  <c r="V25" i="18"/>
  <c r="W25" i="18"/>
  <c r="X25" i="18"/>
  <c r="Y25" i="18"/>
  <c r="Z25" i="18"/>
  <c r="AA25" i="18"/>
  <c r="AB25" i="18"/>
  <c r="AC25" i="18"/>
  <c r="AD25" i="18"/>
  <c r="AE25" i="18"/>
  <c r="AF25" i="18"/>
  <c r="AG25" i="18"/>
  <c r="AH25" i="18"/>
  <c r="AI25" i="18"/>
  <c r="AJ25" i="18"/>
  <c r="AK25" i="18"/>
  <c r="AL25" i="18"/>
  <c r="AM25" i="18"/>
  <c r="AN25" i="18"/>
  <c r="AO25" i="18"/>
  <c r="AP25" i="18"/>
  <c r="AQ25" i="18"/>
  <c r="AR25" i="18"/>
  <c r="AS25" i="18"/>
  <c r="AT25" i="18"/>
  <c r="AU25" i="18"/>
  <c r="AV25" i="18"/>
  <c r="AW25" i="18"/>
  <c r="AX25" i="18"/>
  <c r="AY25" i="18"/>
  <c r="AZ25" i="18"/>
  <c r="BA25" i="18"/>
  <c r="BB25" i="18"/>
  <c r="BC25" i="18"/>
  <c r="BD25" i="18"/>
  <c r="BE25" i="18"/>
  <c r="BF25" i="18"/>
  <c r="BG25" i="18"/>
  <c r="BH25" i="18"/>
  <c r="BI25" i="18"/>
  <c r="BJ25" i="18"/>
  <c r="BK25" i="18"/>
  <c r="BL25" i="18"/>
  <c r="BM25" i="18"/>
  <c r="BN25" i="18"/>
  <c r="BO25" i="18"/>
  <c r="BP25" i="18"/>
  <c r="BQ25" i="18"/>
  <c r="BR25" i="18"/>
  <c r="BS25" i="18"/>
  <c r="BT25" i="18"/>
  <c r="BU25" i="18"/>
  <c r="BV25" i="18"/>
  <c r="BW25" i="18"/>
  <c r="BX25" i="18"/>
  <c r="BY25" i="18"/>
  <c r="BZ25" i="18"/>
  <c r="CA25" i="18"/>
  <c r="CB25" i="18"/>
  <c r="CC25" i="18"/>
  <c r="CD25" i="18"/>
  <c r="CE25" i="18"/>
  <c r="CF25" i="18"/>
  <c r="CG25" i="18"/>
  <c r="CH25" i="18"/>
  <c r="CI25" i="18"/>
  <c r="CJ25" i="18"/>
  <c r="CK25" i="18"/>
  <c r="CL25" i="18"/>
  <c r="CM25" i="18"/>
  <c r="CN25" i="18"/>
  <c r="CO25" i="18"/>
  <c r="CP25" i="18"/>
  <c r="CQ25" i="18"/>
  <c r="CR25" i="18"/>
  <c r="CS25" i="18"/>
  <c r="CT25" i="18"/>
  <c r="CU25" i="18"/>
  <c r="CV25" i="18"/>
  <c r="CW25" i="18"/>
  <c r="CX25" i="18"/>
  <c r="CY25" i="18"/>
  <c r="CZ25" i="18"/>
  <c r="DA25" i="18"/>
  <c r="DB25" i="18"/>
  <c r="DC25" i="18"/>
  <c r="DD25" i="18"/>
  <c r="DE25" i="18"/>
  <c r="DF25" i="18"/>
  <c r="DG25" i="18"/>
  <c r="DH25" i="18"/>
  <c r="DI25" i="18"/>
  <c r="DJ25" i="18"/>
  <c r="DK25" i="18"/>
  <c r="DL25" i="18"/>
  <c r="DM25" i="18"/>
  <c r="DN25" i="18"/>
  <c r="DO25" i="18"/>
  <c r="DP25" i="18"/>
  <c r="DQ25" i="18"/>
  <c r="DR25" i="18"/>
  <c r="DS25" i="18"/>
  <c r="DT25" i="18"/>
  <c r="DU25" i="18"/>
  <c r="DV25" i="18"/>
  <c r="DW25" i="18"/>
  <c r="DX25" i="18"/>
  <c r="DY25" i="18"/>
  <c r="DZ25" i="18"/>
  <c r="EA25" i="18"/>
  <c r="EB25" i="18"/>
  <c r="EC25" i="18"/>
  <c r="ED25" i="18"/>
  <c r="EE25" i="18"/>
  <c r="EF25" i="18"/>
  <c r="EG25" i="18"/>
  <c r="EH25" i="18"/>
  <c r="EI25" i="18"/>
  <c r="EJ25" i="18"/>
  <c r="EK25" i="18"/>
  <c r="EL25" i="18"/>
  <c r="EM25" i="18"/>
  <c r="EN25" i="18"/>
  <c r="EO25" i="18"/>
  <c r="EP25" i="18"/>
  <c r="EQ25" i="18"/>
  <c r="ER25" i="18"/>
  <c r="ES25" i="18"/>
  <c r="ET25" i="18"/>
  <c r="EU25" i="18"/>
  <c r="EV25" i="18"/>
  <c r="EW25" i="18"/>
  <c r="EX25" i="18"/>
  <c r="EY25" i="18"/>
  <c r="EZ25" i="18"/>
  <c r="FA25" i="18"/>
  <c r="FB25" i="18"/>
  <c r="FC25" i="18"/>
  <c r="FD25" i="18"/>
  <c r="FE25" i="18"/>
  <c r="FF25" i="18"/>
  <c r="FG25" i="18"/>
  <c r="FH25" i="18"/>
  <c r="FI25" i="18"/>
  <c r="FJ25" i="18"/>
  <c r="FK25" i="18"/>
  <c r="FL25" i="18"/>
  <c r="FM25" i="18"/>
  <c r="FN25" i="18"/>
  <c r="FO25" i="18"/>
  <c r="FP25" i="18"/>
  <c r="FQ25" i="18"/>
  <c r="FR25" i="18"/>
  <c r="FS25" i="18"/>
  <c r="FT25" i="18"/>
  <c r="FU25" i="18"/>
  <c r="FV25" i="18"/>
  <c r="FW25" i="18"/>
  <c r="FX25" i="18"/>
  <c r="FY25" i="18"/>
  <c r="FZ25" i="18"/>
  <c r="GA25" i="18"/>
  <c r="GB25" i="18"/>
  <c r="GC25" i="18"/>
  <c r="GD25" i="18"/>
  <c r="GE25" i="18"/>
  <c r="GF25" i="18"/>
  <c r="GG25" i="18"/>
  <c r="GH25" i="18"/>
  <c r="GI25" i="18"/>
  <c r="GJ25" i="18"/>
  <c r="GK25" i="18"/>
  <c r="GL25" i="18"/>
  <c r="GM25" i="18"/>
  <c r="GN25" i="18"/>
  <c r="GO25" i="18"/>
  <c r="GP25" i="18"/>
  <c r="GQ25" i="18"/>
  <c r="GR25" i="18"/>
  <c r="GS25" i="18"/>
  <c r="GT25" i="18"/>
  <c r="GU25" i="18"/>
  <c r="GV25" i="18"/>
  <c r="GW25" i="18"/>
  <c r="GX25" i="18"/>
  <c r="GY25" i="18"/>
  <c r="GZ25" i="18"/>
  <c r="HA25" i="18"/>
  <c r="HB25" i="18"/>
  <c r="HC25" i="18"/>
  <c r="HD25" i="18"/>
  <c r="HE25" i="18"/>
  <c r="HF25" i="18"/>
  <c r="HG25" i="18"/>
  <c r="HH25" i="18"/>
  <c r="HI25" i="18"/>
  <c r="HJ25" i="18"/>
  <c r="HK25" i="18"/>
  <c r="HL25" i="18"/>
  <c r="HM25" i="18"/>
  <c r="HN25" i="18"/>
  <c r="HO25" i="18"/>
  <c r="HP25" i="18"/>
  <c r="HQ25" i="18"/>
  <c r="HR25" i="18"/>
  <c r="HS25" i="18"/>
  <c r="HT25" i="18"/>
  <c r="HU25" i="18"/>
  <c r="HV25" i="18"/>
  <c r="HW25" i="18"/>
  <c r="HX25" i="18"/>
  <c r="HY25" i="18"/>
  <c r="HZ25" i="18"/>
  <c r="IA25" i="18"/>
  <c r="IB25" i="18"/>
  <c r="IC25" i="18"/>
  <c r="ID25" i="18"/>
  <c r="IE25" i="18"/>
  <c r="IF25" i="18"/>
  <c r="IG25" i="18"/>
  <c r="IH25" i="18"/>
  <c r="II25" i="18"/>
  <c r="IJ25" i="18"/>
  <c r="IK25" i="18"/>
  <c r="IL25" i="18"/>
  <c r="IM25" i="18"/>
  <c r="IN25" i="18"/>
  <c r="IO25" i="18"/>
  <c r="IP25" i="18"/>
  <c r="IQ25" i="18"/>
  <c r="IR25" i="18"/>
  <c r="IS25" i="18"/>
  <c r="IT25" i="18"/>
  <c r="IU25" i="18"/>
  <c r="IV25" i="18"/>
  <c r="A26" i="18"/>
  <c r="B26" i="18"/>
  <c r="C26" i="18"/>
  <c r="D26" i="18"/>
  <c r="E26" i="18"/>
  <c r="F26" i="18"/>
  <c r="G26" i="18"/>
  <c r="H26" i="18"/>
  <c r="I26" i="18"/>
  <c r="J26" i="18"/>
  <c r="K26" i="18"/>
  <c r="L26" i="18"/>
  <c r="M26" i="18"/>
  <c r="N26" i="18"/>
  <c r="O26" i="18"/>
  <c r="P26" i="18"/>
  <c r="Q26" i="18"/>
  <c r="R26" i="18"/>
  <c r="S26" i="18"/>
  <c r="T26" i="18"/>
  <c r="U26" i="18"/>
  <c r="V26" i="18"/>
  <c r="W26" i="18"/>
  <c r="X26" i="18"/>
  <c r="Y26" i="18"/>
  <c r="Z26" i="18"/>
  <c r="AA26" i="18"/>
  <c r="AB26" i="18"/>
  <c r="AC26" i="18"/>
  <c r="AD26" i="18"/>
  <c r="AE26" i="18"/>
  <c r="AF26" i="18"/>
  <c r="AG26" i="18"/>
  <c r="AH26" i="18"/>
  <c r="AI26" i="18"/>
  <c r="AJ26" i="18"/>
  <c r="AK26" i="18"/>
  <c r="AL26" i="18"/>
  <c r="AM26" i="18"/>
  <c r="AN26" i="18"/>
  <c r="AO26" i="18"/>
  <c r="AP26" i="18"/>
  <c r="AQ26" i="18"/>
  <c r="AR26" i="18"/>
  <c r="AS26" i="18"/>
  <c r="AT26" i="18"/>
  <c r="AU26" i="18"/>
  <c r="AV26" i="18"/>
  <c r="AW26" i="18"/>
  <c r="AX26" i="18"/>
  <c r="AY26" i="18"/>
  <c r="AZ26" i="18"/>
  <c r="BA26" i="18"/>
  <c r="BB26" i="18"/>
  <c r="BC26" i="18"/>
  <c r="BD26" i="18"/>
  <c r="BE26" i="18"/>
  <c r="BF26" i="18"/>
  <c r="BG26" i="18"/>
  <c r="BH26" i="18"/>
  <c r="BI26" i="18"/>
  <c r="BJ26" i="18"/>
  <c r="BK26" i="18"/>
  <c r="BL26" i="18"/>
  <c r="BM26" i="18"/>
  <c r="BN26" i="18"/>
  <c r="BO26" i="18"/>
  <c r="BP26" i="18"/>
  <c r="BQ26" i="18"/>
  <c r="BR26" i="18"/>
  <c r="BS26" i="18"/>
  <c r="BT26" i="18"/>
  <c r="BU26" i="18"/>
  <c r="BV26" i="18"/>
  <c r="BW26" i="18"/>
  <c r="BX26" i="18"/>
  <c r="BY26" i="18"/>
  <c r="BZ26" i="18"/>
  <c r="CA26" i="18"/>
  <c r="CB26" i="18"/>
  <c r="CC26" i="18"/>
  <c r="CD26" i="18"/>
  <c r="CE26" i="18"/>
  <c r="CF26" i="18"/>
  <c r="CG26" i="18"/>
  <c r="CH26" i="18"/>
  <c r="CI26" i="18"/>
  <c r="CJ26" i="18"/>
  <c r="CK26" i="18"/>
  <c r="CL26" i="18"/>
  <c r="CM26" i="18"/>
  <c r="CN26" i="18"/>
  <c r="CO26" i="18"/>
  <c r="CP26" i="18"/>
  <c r="CQ26" i="18"/>
  <c r="CR26" i="18"/>
  <c r="CS26" i="18"/>
  <c r="CT26" i="18"/>
  <c r="CU26" i="18"/>
  <c r="CV26" i="18"/>
  <c r="CW26" i="18"/>
  <c r="CX26" i="18"/>
  <c r="CY26" i="18"/>
  <c r="CZ26" i="18"/>
  <c r="DA26" i="18"/>
  <c r="DB26" i="18"/>
  <c r="DC26" i="18"/>
  <c r="DD26" i="18"/>
  <c r="DE26" i="18"/>
  <c r="DF26" i="18"/>
  <c r="DG26" i="18"/>
  <c r="DH26" i="18"/>
  <c r="DI26" i="18"/>
  <c r="DJ26" i="18"/>
  <c r="DK26" i="18"/>
  <c r="DL26" i="18"/>
  <c r="DM26" i="18"/>
  <c r="DN26" i="18"/>
  <c r="DO26" i="18"/>
  <c r="DP26" i="18"/>
  <c r="DQ26" i="18"/>
  <c r="DR26" i="18"/>
  <c r="DS26" i="18"/>
  <c r="DT26" i="18"/>
  <c r="DU26" i="18"/>
  <c r="DV26" i="18"/>
  <c r="DW26" i="18"/>
  <c r="DX26" i="18"/>
  <c r="DY26" i="18"/>
  <c r="DZ26" i="18"/>
  <c r="EA26" i="18"/>
  <c r="EB26" i="18"/>
  <c r="EC26" i="18"/>
  <c r="ED26" i="18"/>
  <c r="EE26" i="18"/>
  <c r="EF26" i="18"/>
  <c r="EG26" i="18"/>
  <c r="EH26" i="18"/>
  <c r="EI26" i="18"/>
  <c r="EJ26" i="18"/>
  <c r="EK26" i="18"/>
  <c r="EL26" i="18"/>
  <c r="EM26" i="18"/>
  <c r="EN26" i="18"/>
  <c r="EO26" i="18"/>
  <c r="EP26" i="18"/>
  <c r="EQ26" i="18"/>
  <c r="ER26" i="18"/>
  <c r="ES26" i="18"/>
  <c r="ET26" i="18"/>
  <c r="EU26" i="18"/>
  <c r="EV26" i="18"/>
  <c r="EW26" i="18"/>
  <c r="EX26" i="18"/>
  <c r="EY26" i="18"/>
  <c r="EZ26" i="18"/>
  <c r="FA26" i="18"/>
  <c r="FB26" i="18"/>
  <c r="FC26" i="18"/>
  <c r="FD26" i="18"/>
  <c r="FE26" i="18"/>
  <c r="FF26" i="18"/>
  <c r="FG26" i="18"/>
  <c r="FH26" i="18"/>
  <c r="FI26" i="18"/>
  <c r="FJ26" i="18"/>
  <c r="FK26" i="18"/>
  <c r="FL26" i="18"/>
  <c r="FM26" i="18"/>
  <c r="FN26" i="18"/>
  <c r="FO26" i="18"/>
  <c r="FP26" i="18"/>
  <c r="FQ26" i="18"/>
  <c r="FR26" i="18"/>
  <c r="FS26" i="18"/>
  <c r="FT26" i="18"/>
  <c r="FU26" i="18"/>
  <c r="FV26" i="18"/>
  <c r="FW26" i="18"/>
  <c r="FX26" i="18"/>
  <c r="FY26" i="18"/>
  <c r="FZ26" i="18"/>
  <c r="GA26" i="18"/>
  <c r="GB26" i="18"/>
  <c r="GC26" i="18"/>
  <c r="GD26" i="18"/>
  <c r="GE26" i="18"/>
  <c r="GF26" i="18"/>
  <c r="GG26" i="18"/>
  <c r="GH26" i="18"/>
  <c r="GI26" i="18"/>
  <c r="GJ26" i="18"/>
  <c r="GK26" i="18"/>
  <c r="GL26" i="18"/>
  <c r="GM26" i="18"/>
  <c r="GN26" i="18"/>
  <c r="GO26" i="18"/>
  <c r="GP26" i="18"/>
  <c r="GQ26" i="18"/>
  <c r="GR26" i="18"/>
  <c r="GS26" i="18"/>
  <c r="GT26" i="18"/>
  <c r="GU26" i="18"/>
  <c r="GV26" i="18"/>
  <c r="GW26" i="18"/>
  <c r="GX26" i="18"/>
  <c r="GY26" i="18"/>
  <c r="GZ26" i="18"/>
  <c r="HA26" i="18"/>
  <c r="HB26" i="18"/>
  <c r="HC26" i="18"/>
  <c r="HD26" i="18"/>
  <c r="HE26" i="18"/>
  <c r="HF26" i="18"/>
  <c r="HG26" i="18"/>
  <c r="HH26" i="18"/>
  <c r="HI26" i="18"/>
  <c r="HJ26" i="18"/>
  <c r="HK26" i="18"/>
  <c r="HL26" i="18"/>
  <c r="HM26" i="18"/>
  <c r="HN26" i="18"/>
  <c r="HO26" i="18"/>
  <c r="HP26" i="18"/>
  <c r="HQ26" i="18"/>
  <c r="HR26" i="18"/>
  <c r="HS26" i="18"/>
  <c r="HT26" i="18"/>
  <c r="HU26" i="18"/>
  <c r="HV26" i="18"/>
  <c r="HW26" i="18"/>
  <c r="HX26" i="18"/>
  <c r="HY26" i="18"/>
  <c r="HZ26" i="18"/>
  <c r="IA26" i="18"/>
  <c r="IB26" i="18"/>
  <c r="IC26" i="18"/>
  <c r="ID26" i="18"/>
  <c r="IE26" i="18"/>
  <c r="IF26" i="18"/>
  <c r="IG26" i="18"/>
  <c r="IH26" i="18"/>
  <c r="II26" i="18"/>
  <c r="IJ26" i="18"/>
  <c r="IK26" i="18"/>
  <c r="IL26" i="18"/>
  <c r="IM26" i="18"/>
  <c r="IN26" i="18"/>
  <c r="IO26" i="18"/>
  <c r="IP26" i="18"/>
  <c r="IQ26" i="18"/>
  <c r="IR26" i="18"/>
  <c r="IS26" i="18"/>
  <c r="IT26" i="18"/>
  <c r="IU26" i="18"/>
  <c r="IV26" i="18"/>
  <c r="A27" i="18"/>
  <c r="B27" i="18"/>
  <c r="C27" i="18"/>
  <c r="D27" i="18"/>
  <c r="E27" i="18"/>
  <c r="F27" i="18"/>
  <c r="G27" i="18"/>
  <c r="H27" i="18"/>
  <c r="I27" i="18"/>
  <c r="J27" i="18"/>
  <c r="K27" i="18"/>
  <c r="L27" i="18"/>
  <c r="M27" i="18"/>
  <c r="N27" i="18"/>
  <c r="O27" i="18"/>
  <c r="P27" i="18"/>
  <c r="Q27" i="18"/>
  <c r="R27" i="18"/>
  <c r="S27" i="18"/>
  <c r="T27" i="18"/>
  <c r="U27" i="18"/>
  <c r="V27" i="18"/>
  <c r="W27" i="18"/>
  <c r="X27" i="18"/>
  <c r="Y27" i="18"/>
  <c r="Z27" i="18"/>
  <c r="AA27" i="18"/>
  <c r="AB27" i="18"/>
  <c r="AC27" i="18"/>
  <c r="AD27" i="18"/>
  <c r="AE27" i="18"/>
  <c r="AF27" i="18"/>
  <c r="AG27" i="18"/>
  <c r="AH27" i="18"/>
  <c r="AI27" i="18"/>
  <c r="AJ27" i="18"/>
  <c r="AK27" i="18"/>
  <c r="AL27" i="18"/>
  <c r="AM27" i="18"/>
  <c r="AN27" i="18"/>
  <c r="AO27" i="18"/>
  <c r="AP27" i="18"/>
  <c r="AQ27" i="18"/>
  <c r="AR27" i="18"/>
  <c r="AS27" i="18"/>
  <c r="AT27" i="18"/>
  <c r="AU27" i="18"/>
  <c r="AV27" i="18"/>
  <c r="AW27" i="18"/>
  <c r="AX27" i="18"/>
  <c r="AY27" i="18"/>
  <c r="AZ27" i="18"/>
  <c r="BA27" i="18"/>
  <c r="BB27" i="18"/>
  <c r="BC27" i="18"/>
  <c r="BD27" i="18"/>
  <c r="BE27" i="18"/>
  <c r="BF27" i="18"/>
  <c r="BG27" i="18"/>
  <c r="BH27" i="18"/>
  <c r="BI27" i="18"/>
  <c r="BJ27" i="18"/>
  <c r="BK27" i="18"/>
  <c r="BL27" i="18"/>
  <c r="BM27" i="18"/>
  <c r="BN27" i="18"/>
  <c r="BO27" i="18"/>
  <c r="BP27" i="18"/>
  <c r="BQ27" i="18"/>
  <c r="BR27" i="18"/>
  <c r="BS27" i="18"/>
  <c r="BT27" i="18"/>
  <c r="BU27" i="18"/>
  <c r="BV27" i="18"/>
  <c r="BW27" i="18"/>
  <c r="BX27" i="18"/>
  <c r="BY27" i="18"/>
  <c r="BZ27" i="18"/>
  <c r="CA27" i="18"/>
  <c r="CB27" i="18"/>
  <c r="CC27" i="18"/>
  <c r="CD27" i="18"/>
  <c r="CE27" i="18"/>
  <c r="CF27" i="18"/>
  <c r="CG27" i="18"/>
  <c r="CH27" i="18"/>
  <c r="CI27" i="18"/>
  <c r="CJ27" i="18"/>
  <c r="CK27" i="18"/>
  <c r="CL27" i="18"/>
  <c r="CM27" i="18"/>
  <c r="CN27" i="18"/>
  <c r="CO27" i="18"/>
  <c r="CP27" i="18"/>
  <c r="CQ27" i="18"/>
  <c r="CR27" i="18"/>
  <c r="CS27" i="18"/>
  <c r="CT27" i="18"/>
  <c r="CU27" i="18"/>
  <c r="CV27" i="18"/>
  <c r="CW27" i="18"/>
  <c r="CX27" i="18"/>
  <c r="CY27" i="18"/>
  <c r="CZ27" i="18"/>
  <c r="DA27" i="18"/>
  <c r="DB27" i="18"/>
  <c r="DC27" i="18"/>
  <c r="DD27" i="18"/>
  <c r="DE27" i="18"/>
  <c r="DF27" i="18"/>
  <c r="DG27" i="18"/>
  <c r="DH27" i="18"/>
  <c r="DI27" i="18"/>
  <c r="DJ27" i="18"/>
  <c r="DK27" i="18"/>
  <c r="DL27" i="18"/>
  <c r="DM27" i="18"/>
  <c r="DN27" i="18"/>
  <c r="DO27" i="18"/>
  <c r="DP27" i="18"/>
  <c r="DQ27" i="18"/>
  <c r="DR27" i="18"/>
  <c r="DS27" i="18"/>
  <c r="DT27" i="18"/>
  <c r="DU27" i="18"/>
  <c r="DV27" i="18"/>
  <c r="DW27" i="18"/>
  <c r="DX27" i="18"/>
  <c r="DY27" i="18"/>
  <c r="DZ27" i="18"/>
  <c r="EA27" i="18"/>
  <c r="EB27" i="18"/>
  <c r="EC27" i="18"/>
  <c r="ED27" i="18"/>
  <c r="EE27" i="18"/>
  <c r="EF27" i="18"/>
  <c r="EG27" i="18"/>
  <c r="EH27" i="18"/>
  <c r="EI27" i="18"/>
  <c r="EJ27" i="18"/>
  <c r="EK27" i="18"/>
  <c r="EL27" i="18"/>
  <c r="EM27" i="18"/>
  <c r="EN27" i="18"/>
  <c r="EO27" i="18"/>
  <c r="EP27" i="18"/>
  <c r="EQ27" i="18"/>
  <c r="ER27" i="18"/>
  <c r="ES27" i="18"/>
  <c r="ET27" i="18"/>
  <c r="EU27" i="18"/>
  <c r="EV27" i="18"/>
  <c r="EW27" i="18"/>
  <c r="EX27" i="18"/>
  <c r="EY27" i="18"/>
  <c r="EZ27" i="18"/>
  <c r="FA27" i="18"/>
  <c r="FB27" i="18"/>
  <c r="FC27" i="18"/>
  <c r="FD27" i="18"/>
  <c r="FE27" i="18"/>
  <c r="FF27" i="18"/>
  <c r="FG27" i="18"/>
  <c r="FH27" i="18"/>
  <c r="FI27" i="18"/>
  <c r="FJ27" i="18"/>
  <c r="FK27" i="18"/>
  <c r="FL27" i="18"/>
  <c r="FM27" i="18"/>
  <c r="FN27" i="18"/>
  <c r="FO27" i="18"/>
  <c r="FP27" i="18"/>
  <c r="FQ27" i="18"/>
  <c r="FR27" i="18"/>
  <c r="FS27" i="18"/>
  <c r="FT27" i="18"/>
  <c r="FU27" i="18"/>
  <c r="FV27" i="18"/>
  <c r="FW27" i="18"/>
  <c r="FX27" i="18"/>
  <c r="FY27" i="18"/>
  <c r="FZ27" i="18"/>
  <c r="GA27" i="18"/>
  <c r="GB27" i="18"/>
  <c r="GC27" i="18"/>
  <c r="GD27" i="18"/>
  <c r="GE27" i="18"/>
  <c r="GF27" i="18"/>
  <c r="GG27" i="18"/>
  <c r="GH27" i="18"/>
  <c r="GI27" i="18"/>
  <c r="GJ27" i="18"/>
  <c r="GK27" i="18"/>
  <c r="GL27" i="18"/>
  <c r="GM27" i="18"/>
  <c r="GN27" i="18"/>
  <c r="GO27" i="18"/>
  <c r="GP27" i="18"/>
  <c r="GQ27" i="18"/>
  <c r="GR27" i="18"/>
  <c r="GS27" i="18"/>
  <c r="GT27" i="18"/>
  <c r="GU27" i="18"/>
  <c r="GV27" i="18"/>
  <c r="GW27" i="18"/>
  <c r="GX27" i="18"/>
  <c r="GY27" i="18"/>
  <c r="GZ27" i="18"/>
  <c r="HA27" i="18"/>
  <c r="HB27" i="18"/>
  <c r="HC27" i="18"/>
  <c r="HD27" i="18"/>
  <c r="HE27" i="18"/>
  <c r="HF27" i="18"/>
  <c r="HG27" i="18"/>
  <c r="HH27" i="18"/>
  <c r="HI27" i="18"/>
  <c r="HJ27" i="18"/>
  <c r="HK27" i="18"/>
  <c r="HL27" i="18"/>
  <c r="HM27" i="18"/>
  <c r="HN27" i="18"/>
  <c r="HO27" i="18"/>
  <c r="HP27" i="18"/>
  <c r="HQ27" i="18"/>
  <c r="HR27" i="18"/>
  <c r="HS27" i="18"/>
  <c r="HT27" i="18"/>
  <c r="HU27" i="18"/>
  <c r="HV27" i="18"/>
  <c r="HW27" i="18"/>
  <c r="HX27" i="18"/>
  <c r="HY27" i="18"/>
  <c r="HZ27" i="18"/>
  <c r="IA27" i="18"/>
  <c r="IB27" i="18"/>
  <c r="IC27" i="18"/>
  <c r="ID27" i="18"/>
  <c r="IE27" i="18"/>
  <c r="IF27" i="18"/>
  <c r="IG27" i="18"/>
  <c r="IH27" i="18"/>
  <c r="II27" i="18"/>
  <c r="IJ27" i="18"/>
  <c r="IK27" i="18"/>
  <c r="IL27" i="18"/>
  <c r="IM27" i="18"/>
  <c r="IN27" i="18"/>
  <c r="IO27" i="18"/>
  <c r="IP27" i="18"/>
  <c r="IQ27" i="18"/>
  <c r="IR27" i="18"/>
  <c r="IS27" i="18"/>
  <c r="IT27" i="18"/>
  <c r="IU27" i="18"/>
  <c r="IV27" i="18"/>
  <c r="A28" i="18"/>
  <c r="B28" i="18"/>
  <c r="C28" i="18"/>
  <c r="D28" i="18"/>
  <c r="E28" i="18"/>
  <c r="F28" i="18"/>
  <c r="G28" i="18"/>
  <c r="H28" i="18"/>
  <c r="I28" i="18"/>
  <c r="J28" i="18"/>
  <c r="K28" i="18"/>
  <c r="L28" i="18"/>
  <c r="M28" i="18"/>
  <c r="N28" i="18"/>
  <c r="O28" i="18"/>
  <c r="P28" i="18"/>
  <c r="Q28" i="18"/>
  <c r="R28" i="18"/>
  <c r="S28" i="18"/>
  <c r="T28" i="18"/>
  <c r="U28" i="18"/>
  <c r="V28" i="18"/>
  <c r="W28" i="18"/>
  <c r="X28" i="18"/>
  <c r="Y28" i="18"/>
  <c r="Z28" i="18"/>
  <c r="AA28" i="18"/>
  <c r="AB28" i="18"/>
  <c r="AC28" i="18"/>
  <c r="AD28" i="18"/>
  <c r="AE28" i="18"/>
  <c r="AF28" i="18"/>
  <c r="AG28" i="18"/>
  <c r="AH28" i="18"/>
  <c r="AI28" i="18"/>
  <c r="AJ28" i="18"/>
  <c r="AK28" i="18"/>
  <c r="AL28" i="18"/>
  <c r="AM28" i="18"/>
  <c r="AN28" i="18"/>
  <c r="AO28" i="18"/>
  <c r="AP28" i="18"/>
  <c r="AQ28" i="18"/>
  <c r="AR28" i="18"/>
  <c r="AS28" i="18"/>
  <c r="AT28" i="18"/>
  <c r="AU28" i="18"/>
  <c r="AV28" i="18"/>
  <c r="AW28" i="18"/>
  <c r="AX28" i="18"/>
  <c r="AY28" i="18"/>
  <c r="AZ28" i="18"/>
  <c r="BA28" i="18"/>
  <c r="BB28" i="18"/>
  <c r="BC28" i="18"/>
  <c r="BD28" i="18"/>
  <c r="BE28" i="18"/>
  <c r="BF28" i="18"/>
  <c r="BG28" i="18"/>
  <c r="BH28" i="18"/>
  <c r="BI28" i="18"/>
  <c r="BJ28" i="18"/>
  <c r="BK28" i="18"/>
  <c r="BL28" i="18"/>
  <c r="BM28" i="18"/>
  <c r="BN28" i="18"/>
  <c r="BO28" i="18"/>
  <c r="BP28" i="18"/>
  <c r="BQ28" i="18"/>
  <c r="BR28" i="18"/>
  <c r="BS28" i="18"/>
  <c r="BT28" i="18"/>
  <c r="BU28" i="18"/>
  <c r="BV28" i="18"/>
  <c r="BW28" i="18"/>
  <c r="BX28" i="18"/>
  <c r="BY28" i="18"/>
  <c r="BZ28" i="18"/>
  <c r="CA28" i="18"/>
  <c r="CB28" i="18"/>
  <c r="CC28" i="18"/>
  <c r="CD28" i="18"/>
  <c r="CE28" i="18"/>
  <c r="CF28" i="18"/>
  <c r="CG28" i="18"/>
  <c r="CH28" i="18"/>
  <c r="CI28" i="18"/>
  <c r="CJ28" i="18"/>
  <c r="CK28" i="18"/>
  <c r="CL28" i="18"/>
  <c r="CM28" i="18"/>
  <c r="CN28" i="18"/>
  <c r="CO28" i="18"/>
  <c r="CP28" i="18"/>
  <c r="CQ28" i="18"/>
  <c r="CR28" i="18"/>
  <c r="CS28" i="18"/>
  <c r="CT28" i="18"/>
  <c r="CU28" i="18"/>
  <c r="CV28" i="18"/>
  <c r="CW28" i="18"/>
  <c r="CX28" i="18"/>
  <c r="CY28" i="18"/>
  <c r="CZ28" i="18"/>
  <c r="DA28" i="18"/>
  <c r="DB28" i="18"/>
  <c r="DC28" i="18"/>
  <c r="DD28" i="18"/>
  <c r="DE28" i="18"/>
  <c r="DF28" i="18"/>
  <c r="DG28" i="18"/>
  <c r="DH28" i="18"/>
  <c r="DI28" i="18"/>
  <c r="DJ28" i="18"/>
  <c r="DK28" i="18"/>
  <c r="DL28" i="18"/>
  <c r="DM28" i="18"/>
  <c r="DN28" i="18"/>
  <c r="DO28" i="18"/>
  <c r="DP28" i="18"/>
  <c r="DQ28" i="18"/>
  <c r="DR28" i="18"/>
  <c r="DS28" i="18"/>
  <c r="DT28" i="18"/>
  <c r="DU28" i="18"/>
  <c r="DV28" i="18"/>
  <c r="DW28" i="18"/>
  <c r="DX28" i="18"/>
  <c r="DY28" i="18"/>
  <c r="DZ28" i="18"/>
  <c r="EA28" i="18"/>
  <c r="EB28" i="18"/>
  <c r="EC28" i="18"/>
  <c r="ED28" i="18"/>
  <c r="EE28" i="18"/>
  <c r="EF28" i="18"/>
  <c r="EG28" i="18"/>
  <c r="EH28" i="18"/>
  <c r="EI28" i="18"/>
  <c r="EJ28" i="18"/>
  <c r="EK28" i="18"/>
  <c r="EL28" i="18"/>
  <c r="EM28" i="18"/>
  <c r="EN28" i="18"/>
  <c r="EO28" i="18"/>
  <c r="EP28" i="18"/>
  <c r="EQ28" i="18"/>
  <c r="ER28" i="18"/>
  <c r="ES28" i="18"/>
  <c r="ET28" i="18"/>
  <c r="EU28" i="18"/>
  <c r="EV28" i="18"/>
  <c r="EW28" i="18"/>
  <c r="EX28" i="18"/>
  <c r="EY28" i="18"/>
  <c r="EZ28" i="18"/>
  <c r="FA28" i="18"/>
  <c r="FB28" i="18"/>
  <c r="FC28" i="18"/>
  <c r="FD28" i="18"/>
  <c r="FE28" i="18"/>
  <c r="FF28" i="18"/>
  <c r="FG28" i="18"/>
  <c r="FH28" i="18"/>
  <c r="FI28" i="18"/>
  <c r="FJ28" i="18"/>
  <c r="FK28" i="18"/>
  <c r="FL28" i="18"/>
  <c r="FM28" i="18"/>
  <c r="FN28" i="18"/>
  <c r="FO28" i="18"/>
  <c r="FP28" i="18"/>
  <c r="FQ28" i="18"/>
  <c r="FR28" i="18"/>
  <c r="FS28" i="18"/>
  <c r="FT28" i="18"/>
  <c r="FU28" i="18"/>
  <c r="FV28" i="18"/>
  <c r="FW28" i="18"/>
  <c r="FX28" i="18"/>
  <c r="FY28" i="18"/>
  <c r="FZ28" i="18"/>
  <c r="GA28" i="18"/>
  <c r="GB28" i="18"/>
  <c r="GC28" i="18"/>
  <c r="GD28" i="18"/>
  <c r="GE28" i="18"/>
  <c r="GF28" i="18"/>
  <c r="GG28" i="18"/>
  <c r="GH28" i="18"/>
  <c r="GI28" i="18"/>
  <c r="GJ28" i="18"/>
  <c r="GK28" i="18"/>
  <c r="GL28" i="18"/>
  <c r="GM28" i="18"/>
  <c r="GN28" i="18"/>
  <c r="GO28" i="18"/>
  <c r="GP28" i="18"/>
  <c r="GQ28" i="18"/>
  <c r="GR28" i="18"/>
  <c r="GS28" i="18"/>
  <c r="GT28" i="18"/>
  <c r="GU28" i="18"/>
  <c r="GV28" i="18"/>
  <c r="GW28" i="18"/>
  <c r="GX28" i="18"/>
  <c r="GY28" i="18"/>
  <c r="GZ28" i="18"/>
  <c r="HA28" i="18"/>
  <c r="HB28" i="18"/>
  <c r="HC28" i="18"/>
  <c r="HD28" i="18"/>
  <c r="HE28" i="18"/>
  <c r="HF28" i="18"/>
  <c r="HG28" i="18"/>
  <c r="HH28" i="18"/>
  <c r="HI28" i="18"/>
  <c r="HJ28" i="18"/>
  <c r="HK28" i="18"/>
  <c r="HL28" i="18"/>
  <c r="HM28" i="18"/>
  <c r="HN28" i="18"/>
  <c r="HO28" i="18"/>
  <c r="HP28" i="18"/>
  <c r="HQ28" i="18"/>
  <c r="HR28" i="18"/>
  <c r="HS28" i="18"/>
  <c r="HT28" i="18"/>
  <c r="HU28" i="18"/>
  <c r="HV28" i="18"/>
  <c r="HW28" i="18"/>
  <c r="HX28" i="18"/>
  <c r="HY28" i="18"/>
  <c r="HZ28" i="18"/>
  <c r="IA28" i="18"/>
  <c r="IB28" i="18"/>
  <c r="IC28" i="18"/>
  <c r="ID28" i="18"/>
  <c r="IE28" i="18"/>
  <c r="IF28" i="18"/>
  <c r="IG28" i="18"/>
  <c r="IH28" i="18"/>
  <c r="II28" i="18"/>
  <c r="IJ28" i="18"/>
  <c r="IK28" i="18"/>
  <c r="IL28" i="18"/>
  <c r="IM28" i="18"/>
  <c r="IN28" i="18"/>
  <c r="IO28" i="18"/>
  <c r="IP28" i="18"/>
  <c r="IQ28" i="18"/>
  <c r="IR28" i="18"/>
  <c r="IS28" i="18"/>
  <c r="IT28" i="18"/>
  <c r="IU28" i="18"/>
  <c r="IV28" i="18"/>
  <c r="A29" i="18"/>
  <c r="B29" i="18"/>
  <c r="C29" i="18"/>
  <c r="D29" i="18"/>
  <c r="E29" i="18"/>
  <c r="F29" i="18"/>
  <c r="G29" i="18"/>
  <c r="H29" i="18"/>
  <c r="I29" i="18"/>
  <c r="J29" i="18"/>
  <c r="K29" i="18"/>
  <c r="L29" i="18"/>
  <c r="M29" i="18"/>
  <c r="N29" i="18"/>
  <c r="O29" i="18"/>
  <c r="P29" i="18"/>
  <c r="Q29" i="18"/>
  <c r="R29" i="18"/>
  <c r="S29" i="18"/>
  <c r="T29" i="18"/>
  <c r="U29" i="18"/>
  <c r="V29" i="18"/>
  <c r="W29" i="18"/>
  <c r="X29" i="18"/>
  <c r="Y29" i="18"/>
  <c r="Z29" i="18"/>
  <c r="AA29" i="18"/>
  <c r="AB29" i="18"/>
  <c r="AC29" i="18"/>
  <c r="AD29" i="18"/>
  <c r="AE29" i="18"/>
  <c r="AF29" i="18"/>
  <c r="AG29" i="18"/>
  <c r="AH29" i="18"/>
  <c r="AI29" i="18"/>
  <c r="AJ29" i="18"/>
  <c r="AK29" i="18"/>
  <c r="AL29" i="18"/>
  <c r="AM29" i="18"/>
  <c r="AN29" i="18"/>
  <c r="AO29" i="18"/>
  <c r="AP29" i="18"/>
  <c r="AQ29" i="18"/>
  <c r="AR29" i="18"/>
  <c r="AS29" i="18"/>
  <c r="AT29" i="18"/>
  <c r="AU29" i="18"/>
  <c r="AV29" i="18"/>
  <c r="AW29" i="18"/>
  <c r="AX29" i="18"/>
  <c r="AY29" i="18"/>
  <c r="AZ29" i="18"/>
  <c r="BA29" i="18"/>
  <c r="BB29" i="18"/>
  <c r="BC29" i="18"/>
  <c r="BD29" i="18"/>
  <c r="BE29" i="18"/>
  <c r="BF29" i="18"/>
  <c r="BG29" i="18"/>
  <c r="BH29" i="18"/>
  <c r="BI29" i="18"/>
  <c r="BJ29" i="18"/>
  <c r="BK29" i="18"/>
  <c r="BL29" i="18"/>
  <c r="BM29" i="18"/>
  <c r="BN29" i="18"/>
  <c r="BO29" i="18"/>
  <c r="BP29" i="18"/>
  <c r="BQ29" i="18"/>
  <c r="BR29" i="18"/>
  <c r="BS29" i="18"/>
  <c r="BT29" i="18"/>
  <c r="BU29" i="18"/>
  <c r="BV29" i="18"/>
  <c r="BW29" i="18"/>
  <c r="BX29" i="18"/>
  <c r="BY29" i="18"/>
  <c r="BZ29" i="18"/>
  <c r="CA29" i="18"/>
  <c r="CB29" i="18"/>
  <c r="CC29" i="18"/>
  <c r="CD29" i="18"/>
  <c r="CE29" i="18"/>
  <c r="CF29" i="18"/>
  <c r="CG29" i="18"/>
  <c r="CH29" i="18"/>
  <c r="CI29" i="18"/>
  <c r="CJ29" i="18"/>
  <c r="CK29" i="18"/>
  <c r="CL29" i="18"/>
  <c r="CM29" i="18"/>
  <c r="CN29" i="18"/>
  <c r="CO29" i="18"/>
  <c r="CP29" i="18"/>
  <c r="CQ29" i="18"/>
  <c r="CR29" i="18"/>
  <c r="CS29" i="18"/>
  <c r="CT29" i="18"/>
  <c r="CU29" i="18"/>
  <c r="CV29" i="18"/>
  <c r="CW29" i="18"/>
  <c r="CX29" i="18"/>
  <c r="CY29" i="18"/>
  <c r="CZ29" i="18"/>
  <c r="DA29" i="18"/>
  <c r="DB29" i="18"/>
  <c r="DC29" i="18"/>
  <c r="DD29" i="18"/>
  <c r="DE29" i="18"/>
  <c r="DF29" i="18"/>
  <c r="DG29" i="18"/>
  <c r="DH29" i="18"/>
  <c r="DI29" i="18"/>
  <c r="DJ29" i="18"/>
  <c r="DK29" i="18"/>
  <c r="DL29" i="18"/>
  <c r="DM29" i="18"/>
  <c r="DN29" i="18"/>
  <c r="DO29" i="18"/>
  <c r="DP29" i="18"/>
  <c r="DQ29" i="18"/>
  <c r="DR29" i="18"/>
  <c r="DS29" i="18"/>
  <c r="DT29" i="18"/>
  <c r="DU29" i="18"/>
  <c r="DV29" i="18"/>
  <c r="DW29" i="18"/>
  <c r="DX29" i="18"/>
  <c r="DY29" i="18"/>
  <c r="DZ29" i="18"/>
  <c r="EA29" i="18"/>
  <c r="EB29" i="18"/>
  <c r="EC29" i="18"/>
  <c r="ED29" i="18"/>
  <c r="EE29" i="18"/>
  <c r="EF29" i="18"/>
  <c r="EG29" i="18"/>
  <c r="EH29" i="18"/>
  <c r="EI29" i="18"/>
  <c r="EJ29" i="18"/>
  <c r="EK29" i="18"/>
  <c r="EL29" i="18"/>
  <c r="EM29" i="18"/>
  <c r="EN29" i="18"/>
  <c r="EO29" i="18"/>
  <c r="EP29" i="18"/>
  <c r="EQ29" i="18"/>
  <c r="ER29" i="18"/>
  <c r="ES29" i="18"/>
  <c r="ET29" i="18"/>
  <c r="EU29" i="18"/>
  <c r="EV29" i="18"/>
  <c r="EW29" i="18"/>
  <c r="EX29" i="18"/>
  <c r="EY29" i="18"/>
  <c r="EZ29" i="18"/>
  <c r="FA29" i="18"/>
  <c r="FB29" i="18"/>
  <c r="FC29" i="18"/>
  <c r="FD29" i="18"/>
  <c r="FE29" i="18"/>
  <c r="FF29" i="18"/>
  <c r="FG29" i="18"/>
  <c r="FH29" i="18"/>
  <c r="FI29" i="18"/>
  <c r="FJ29" i="18"/>
  <c r="FK29" i="18"/>
  <c r="FL29" i="18"/>
  <c r="FM29" i="18"/>
  <c r="FN29" i="18"/>
  <c r="FO29" i="18"/>
  <c r="FP29" i="18"/>
  <c r="FQ29" i="18"/>
  <c r="FR29" i="18"/>
  <c r="FS29" i="18"/>
  <c r="FT29" i="18"/>
  <c r="FU29" i="18"/>
  <c r="FV29" i="18"/>
  <c r="FW29" i="18"/>
  <c r="FX29" i="18"/>
  <c r="FY29" i="18"/>
  <c r="FZ29" i="18"/>
  <c r="GA29" i="18"/>
  <c r="GB29" i="18"/>
  <c r="GC29" i="18"/>
  <c r="GD29" i="18"/>
  <c r="GE29" i="18"/>
  <c r="GF29" i="18"/>
  <c r="GG29" i="18"/>
  <c r="GH29" i="18"/>
  <c r="GI29" i="18"/>
  <c r="GJ29" i="18"/>
  <c r="GK29" i="18"/>
  <c r="GL29" i="18"/>
  <c r="GM29" i="18"/>
  <c r="GN29" i="18"/>
  <c r="GO29" i="18"/>
  <c r="GP29" i="18"/>
  <c r="GQ29" i="18"/>
  <c r="GR29" i="18"/>
  <c r="GS29" i="18"/>
  <c r="GT29" i="18"/>
  <c r="GU29" i="18"/>
  <c r="GV29" i="18"/>
  <c r="GW29" i="18"/>
  <c r="GX29" i="18"/>
  <c r="GY29" i="18"/>
  <c r="GZ29" i="18"/>
  <c r="HA29" i="18"/>
  <c r="HB29" i="18"/>
  <c r="HC29" i="18"/>
  <c r="HD29" i="18"/>
  <c r="HE29" i="18"/>
  <c r="HF29" i="18"/>
  <c r="HG29" i="18"/>
  <c r="HH29" i="18"/>
  <c r="HI29" i="18"/>
  <c r="HJ29" i="18"/>
  <c r="HK29" i="18"/>
  <c r="HL29" i="18"/>
  <c r="HM29" i="18"/>
  <c r="HN29" i="18"/>
  <c r="HO29" i="18"/>
  <c r="HP29" i="18"/>
  <c r="HQ29" i="18"/>
  <c r="HR29" i="18"/>
  <c r="HS29" i="18"/>
  <c r="HT29" i="18"/>
  <c r="HU29" i="18"/>
  <c r="HV29" i="18"/>
  <c r="HW29" i="18"/>
  <c r="HX29" i="18"/>
  <c r="HY29" i="18"/>
  <c r="HZ29" i="18"/>
  <c r="IA29" i="18"/>
  <c r="IB29" i="18"/>
  <c r="IC29" i="18"/>
  <c r="ID29" i="18"/>
  <c r="IE29" i="18"/>
  <c r="IF29" i="18"/>
  <c r="IG29" i="18"/>
  <c r="IH29" i="18"/>
  <c r="II29" i="18"/>
  <c r="IJ29" i="18"/>
  <c r="IK29" i="18"/>
  <c r="IL29" i="18"/>
  <c r="IM29" i="18"/>
  <c r="IN29" i="18"/>
  <c r="IO29" i="18"/>
  <c r="IP29" i="18"/>
  <c r="IQ29" i="18"/>
  <c r="IR29" i="18"/>
  <c r="IS29" i="18"/>
  <c r="IT29" i="18"/>
  <c r="IU29" i="18"/>
  <c r="IV29" i="18"/>
  <c r="A30" i="18"/>
  <c r="B30" i="18"/>
  <c r="C30" i="18"/>
  <c r="D30" i="18"/>
  <c r="E30" i="18"/>
  <c r="F30" i="18"/>
  <c r="G30" i="18"/>
  <c r="H30" i="18"/>
  <c r="I30" i="18"/>
  <c r="J30" i="18"/>
  <c r="K30" i="18"/>
  <c r="L30" i="18"/>
  <c r="M30" i="18"/>
  <c r="N30" i="18"/>
  <c r="O30" i="18"/>
  <c r="P30" i="18"/>
  <c r="Q30" i="18"/>
  <c r="R30" i="18"/>
  <c r="S30" i="18"/>
  <c r="T30" i="18"/>
  <c r="U30" i="18"/>
  <c r="V30" i="18"/>
  <c r="W30" i="18"/>
  <c r="X30" i="18"/>
  <c r="Y30" i="18"/>
  <c r="Z30" i="18"/>
  <c r="AA30" i="18"/>
  <c r="AB30" i="18"/>
  <c r="AC30" i="18"/>
  <c r="AD30" i="18"/>
  <c r="AE30" i="18"/>
  <c r="AF30" i="18"/>
  <c r="AG30" i="18"/>
  <c r="AH30" i="18"/>
  <c r="AI30" i="18"/>
  <c r="AJ30" i="18"/>
  <c r="AK30" i="18"/>
  <c r="AL30" i="18"/>
  <c r="AM30" i="18"/>
  <c r="AN30" i="18"/>
  <c r="AO30" i="18"/>
  <c r="AP30" i="18"/>
  <c r="AQ30" i="18"/>
  <c r="AR30" i="18"/>
  <c r="AS30" i="18"/>
  <c r="AT30" i="18"/>
  <c r="AU30" i="18"/>
  <c r="AV30" i="18"/>
  <c r="AW30" i="18"/>
  <c r="AX30" i="18"/>
  <c r="AY30" i="18"/>
  <c r="AZ30" i="18"/>
  <c r="BA30" i="18"/>
  <c r="BB30" i="18"/>
  <c r="BC30" i="18"/>
  <c r="BD30" i="18"/>
  <c r="BE30" i="18"/>
  <c r="BF30" i="18"/>
  <c r="BG30" i="18"/>
  <c r="BH30" i="18"/>
  <c r="BI30" i="18"/>
  <c r="BJ30" i="18"/>
  <c r="BK30" i="18"/>
  <c r="BL30" i="18"/>
  <c r="BM30" i="18"/>
  <c r="BN30" i="18"/>
  <c r="BO30" i="18"/>
  <c r="BP30" i="18"/>
  <c r="BQ30" i="18"/>
  <c r="BR30" i="18"/>
  <c r="BS30" i="18"/>
  <c r="BT30" i="18"/>
  <c r="BU30" i="18"/>
  <c r="BV30" i="18"/>
  <c r="BW30" i="18"/>
  <c r="BX30" i="18"/>
  <c r="BY30" i="18"/>
  <c r="BZ30" i="18"/>
  <c r="CA30" i="18"/>
  <c r="CB30" i="18"/>
  <c r="CC30" i="18"/>
  <c r="CD30" i="18"/>
  <c r="CE30" i="18"/>
  <c r="CF30" i="18"/>
  <c r="CG30" i="18"/>
  <c r="CH30" i="18"/>
  <c r="CI30" i="18"/>
  <c r="CJ30" i="18"/>
  <c r="CK30" i="18"/>
  <c r="CL30" i="18"/>
  <c r="CM30" i="18"/>
  <c r="CN30" i="18"/>
  <c r="CO30" i="18"/>
  <c r="CP30" i="18"/>
  <c r="CQ30" i="18"/>
  <c r="CR30" i="18"/>
  <c r="CS30" i="18"/>
  <c r="CT30" i="18"/>
  <c r="CU30" i="18"/>
  <c r="CV30" i="18"/>
  <c r="CW30" i="18"/>
  <c r="CX30" i="18"/>
  <c r="CY30" i="18"/>
  <c r="CZ30" i="18"/>
  <c r="DA30" i="18"/>
  <c r="DB30" i="18"/>
  <c r="DC30" i="18"/>
  <c r="DD30" i="18"/>
  <c r="DE30" i="18"/>
  <c r="DF30" i="18"/>
  <c r="DG30" i="18"/>
  <c r="DH30" i="18"/>
  <c r="DI30" i="18"/>
  <c r="DJ30" i="18"/>
  <c r="DK30" i="18"/>
  <c r="DL30" i="18"/>
  <c r="DM30" i="18"/>
  <c r="DN30" i="18"/>
  <c r="DO30" i="18"/>
  <c r="DP30" i="18"/>
  <c r="DQ30" i="18"/>
  <c r="DR30" i="18"/>
  <c r="DS30" i="18"/>
  <c r="DT30" i="18"/>
  <c r="DU30" i="18"/>
  <c r="DV30" i="18"/>
  <c r="DW30" i="18"/>
  <c r="DX30" i="18"/>
  <c r="DY30" i="18"/>
  <c r="DZ30" i="18"/>
  <c r="EA30" i="18"/>
  <c r="EB30" i="18"/>
  <c r="EC30" i="18"/>
  <c r="ED30" i="18"/>
  <c r="EE30" i="18"/>
  <c r="EF30" i="18"/>
  <c r="EG30" i="18"/>
  <c r="EH30" i="18"/>
  <c r="EI30" i="18"/>
  <c r="EJ30" i="18"/>
  <c r="EK30" i="18"/>
  <c r="EL30" i="18"/>
  <c r="EM30" i="18"/>
  <c r="EN30" i="18"/>
  <c r="EO30" i="18"/>
  <c r="EP30" i="18"/>
  <c r="EQ30" i="18"/>
  <c r="ER30" i="18"/>
  <c r="ES30" i="18"/>
  <c r="ET30" i="18"/>
  <c r="EU30" i="18"/>
  <c r="EV30" i="18"/>
  <c r="EW30" i="18"/>
  <c r="EX30" i="18"/>
  <c r="EY30" i="18"/>
  <c r="EZ30" i="18"/>
  <c r="FA30" i="18"/>
  <c r="FB30" i="18"/>
  <c r="FC30" i="18"/>
  <c r="FD30" i="18"/>
  <c r="FE30" i="18"/>
  <c r="FF30" i="18"/>
  <c r="FG30" i="18"/>
  <c r="FH30" i="18"/>
  <c r="FI30" i="18"/>
  <c r="FJ30" i="18"/>
  <c r="FK30" i="18"/>
  <c r="FL30" i="18"/>
  <c r="FM30" i="18"/>
  <c r="FN30" i="18"/>
  <c r="FO30" i="18"/>
  <c r="FP30" i="18"/>
  <c r="FQ30" i="18"/>
  <c r="FR30" i="18"/>
  <c r="FS30" i="18"/>
  <c r="FT30" i="18"/>
  <c r="FU30" i="18"/>
  <c r="FV30" i="18"/>
  <c r="FW30" i="18"/>
  <c r="FX30" i="18"/>
  <c r="FY30" i="18"/>
  <c r="FZ30" i="18"/>
  <c r="GA30" i="18"/>
  <c r="GB30" i="18"/>
  <c r="GC30" i="18"/>
  <c r="GD30" i="18"/>
  <c r="GE30" i="18"/>
  <c r="GF30" i="18"/>
  <c r="GG30" i="18"/>
  <c r="GH30" i="18"/>
  <c r="GI30" i="18"/>
  <c r="GJ30" i="18"/>
  <c r="GK30" i="18"/>
  <c r="GL30" i="18"/>
  <c r="GM30" i="18"/>
  <c r="GN30" i="18"/>
  <c r="GO30" i="18"/>
  <c r="GP30" i="18"/>
  <c r="GQ30" i="18"/>
  <c r="GR30" i="18"/>
  <c r="GS30" i="18"/>
  <c r="GT30" i="18"/>
  <c r="GU30" i="18"/>
  <c r="GV30" i="18"/>
  <c r="GW30" i="18"/>
  <c r="GX30" i="18"/>
  <c r="GY30" i="18"/>
  <c r="GZ30" i="18"/>
  <c r="HA30" i="18"/>
  <c r="HB30" i="18"/>
  <c r="HC30" i="18"/>
  <c r="HD30" i="18"/>
  <c r="HE30" i="18"/>
  <c r="HF30" i="18"/>
  <c r="HG30" i="18"/>
  <c r="HH30" i="18"/>
  <c r="HI30" i="18"/>
  <c r="HJ30" i="18"/>
  <c r="HK30" i="18"/>
  <c r="HL30" i="18"/>
  <c r="HM30" i="18"/>
  <c r="HN30" i="18"/>
  <c r="HO30" i="18"/>
  <c r="HP30" i="18"/>
  <c r="HQ30" i="18"/>
  <c r="HR30" i="18"/>
  <c r="HS30" i="18"/>
  <c r="HT30" i="18"/>
  <c r="HU30" i="18"/>
  <c r="HV30" i="18"/>
  <c r="HW30" i="18"/>
  <c r="HX30" i="18"/>
  <c r="HY30" i="18"/>
  <c r="HZ30" i="18"/>
  <c r="IA30" i="18"/>
  <c r="IB30" i="18"/>
  <c r="IC30" i="18"/>
  <c r="ID30" i="18"/>
  <c r="IE30" i="18"/>
  <c r="IF30" i="18"/>
  <c r="IG30" i="18"/>
  <c r="IH30" i="18"/>
  <c r="II30" i="18"/>
  <c r="IJ30" i="18"/>
  <c r="IK30" i="18"/>
  <c r="IL30" i="18"/>
  <c r="IM30" i="18"/>
  <c r="IN30" i="18"/>
  <c r="IO30" i="18"/>
  <c r="IP30" i="18"/>
  <c r="IQ30" i="18"/>
  <c r="IR30" i="18"/>
  <c r="IS30" i="18"/>
  <c r="IT30" i="18"/>
  <c r="IU30" i="18"/>
  <c r="IV30" i="18"/>
  <c r="A31" i="18"/>
  <c r="B31" i="18"/>
  <c r="C31" i="18"/>
  <c r="D31" i="18"/>
  <c r="E31" i="18"/>
  <c r="F31" i="18"/>
  <c r="G31" i="18"/>
  <c r="H31" i="18"/>
  <c r="I31" i="18"/>
  <c r="J31" i="18"/>
  <c r="K31" i="18"/>
  <c r="L31" i="18"/>
  <c r="M31" i="18"/>
  <c r="N31" i="18"/>
  <c r="O31" i="18"/>
  <c r="P31" i="18"/>
  <c r="Q31" i="18"/>
  <c r="R31" i="18"/>
  <c r="S31" i="18"/>
  <c r="T31" i="18"/>
  <c r="U31" i="18"/>
  <c r="V31" i="18"/>
  <c r="W31" i="18"/>
  <c r="X31" i="18"/>
  <c r="Y31" i="18"/>
  <c r="Z31" i="18"/>
  <c r="AA31" i="18"/>
  <c r="AB31" i="18"/>
  <c r="AC31" i="18"/>
  <c r="AD31" i="18"/>
  <c r="AE31" i="18"/>
  <c r="AF31" i="18"/>
  <c r="AG31" i="18"/>
  <c r="AH31" i="18"/>
  <c r="AI31" i="18"/>
  <c r="AJ31" i="18"/>
  <c r="AK31" i="18"/>
  <c r="AL31" i="18"/>
  <c r="AM31" i="18"/>
  <c r="AN31" i="18"/>
  <c r="AO31" i="18"/>
  <c r="AP31" i="18"/>
  <c r="AQ31" i="18"/>
  <c r="AR31" i="18"/>
  <c r="AS31" i="18"/>
  <c r="AT31" i="18"/>
  <c r="AU31" i="18"/>
  <c r="AV31" i="18"/>
  <c r="AW31" i="18"/>
  <c r="AX31" i="18"/>
  <c r="AY31" i="18"/>
  <c r="AZ31" i="18"/>
  <c r="BA31" i="18"/>
  <c r="BB31" i="18"/>
  <c r="BC31" i="18"/>
  <c r="BD31" i="18"/>
  <c r="BE31" i="18"/>
  <c r="BF31" i="18"/>
  <c r="BG31" i="18"/>
  <c r="BH31" i="18"/>
  <c r="BI31" i="18"/>
  <c r="BJ31" i="18"/>
  <c r="BK31" i="18"/>
  <c r="BL31" i="18"/>
  <c r="BM31" i="18"/>
  <c r="BN31" i="18"/>
  <c r="BO31" i="18"/>
  <c r="BP31" i="18"/>
  <c r="BQ31" i="18"/>
  <c r="BR31" i="18"/>
  <c r="BS31" i="18"/>
  <c r="BT31" i="18"/>
  <c r="BU31" i="18"/>
  <c r="BV31" i="18"/>
  <c r="BW31" i="18"/>
  <c r="BX31" i="18"/>
  <c r="BY31" i="18"/>
  <c r="BZ31" i="18"/>
  <c r="CA31" i="18"/>
  <c r="CB31" i="18"/>
  <c r="CC31" i="18"/>
  <c r="CD31" i="18"/>
  <c r="CE31" i="18"/>
  <c r="CF31" i="18"/>
  <c r="CG31" i="18"/>
  <c r="CH31" i="18"/>
  <c r="CI31" i="18"/>
  <c r="CJ31" i="18"/>
  <c r="CK31" i="18"/>
  <c r="CL31" i="18"/>
  <c r="CM31" i="18"/>
  <c r="CN31" i="18"/>
  <c r="CO31" i="18"/>
  <c r="CP31" i="18"/>
  <c r="CQ31" i="18"/>
  <c r="CR31" i="18"/>
  <c r="CS31" i="18"/>
  <c r="CT31" i="18"/>
  <c r="CU31" i="18"/>
  <c r="CV31" i="18"/>
  <c r="CW31" i="18"/>
  <c r="CX31" i="18"/>
  <c r="CY31" i="18"/>
  <c r="CZ31" i="18"/>
  <c r="DA31" i="18"/>
  <c r="DB31" i="18"/>
  <c r="DC31" i="18"/>
  <c r="DD31" i="18"/>
  <c r="DE31" i="18"/>
  <c r="DF31" i="18"/>
  <c r="DG31" i="18"/>
  <c r="DH31" i="18"/>
  <c r="DI31" i="18"/>
  <c r="DJ31" i="18"/>
  <c r="DK31" i="18"/>
  <c r="DL31" i="18"/>
  <c r="DM31" i="18"/>
  <c r="DN31" i="18"/>
  <c r="DO31" i="18"/>
  <c r="DP31" i="18"/>
  <c r="DQ31" i="18"/>
  <c r="DR31" i="18"/>
  <c r="DS31" i="18"/>
  <c r="DT31" i="18"/>
  <c r="DU31" i="18"/>
  <c r="DV31" i="18"/>
  <c r="DW31" i="18"/>
  <c r="DX31" i="18"/>
  <c r="DY31" i="18"/>
  <c r="DZ31" i="18"/>
  <c r="EA31" i="18"/>
  <c r="EB31" i="18"/>
  <c r="EC31" i="18"/>
  <c r="ED31" i="18"/>
  <c r="EE31" i="18"/>
  <c r="EF31" i="18"/>
  <c r="EG31" i="18"/>
  <c r="EH31" i="18"/>
  <c r="EI31" i="18"/>
  <c r="EJ31" i="18"/>
  <c r="EK31" i="18"/>
  <c r="EL31" i="18"/>
  <c r="EM31" i="18"/>
  <c r="EN31" i="18"/>
  <c r="EO31" i="18"/>
  <c r="EP31" i="18"/>
  <c r="EQ31" i="18"/>
  <c r="ER31" i="18"/>
  <c r="ES31" i="18"/>
  <c r="ET31" i="18"/>
  <c r="EU31" i="18"/>
  <c r="EV31" i="18"/>
  <c r="EW31" i="18"/>
  <c r="EX31" i="18"/>
  <c r="EY31" i="18"/>
  <c r="EZ31" i="18"/>
  <c r="FA31" i="18"/>
  <c r="FB31" i="18"/>
  <c r="FC31" i="18"/>
  <c r="FD31" i="18"/>
  <c r="FE31" i="18"/>
  <c r="FF31" i="18"/>
  <c r="FG31" i="18"/>
  <c r="FH31" i="18"/>
  <c r="FI31" i="18"/>
  <c r="FJ31" i="18"/>
  <c r="FK31" i="18"/>
  <c r="FL31" i="18"/>
  <c r="FM31" i="18"/>
  <c r="FN31" i="18"/>
  <c r="FO31" i="18"/>
  <c r="FP31" i="18"/>
  <c r="FQ31" i="18"/>
  <c r="FR31" i="18"/>
  <c r="FS31" i="18"/>
  <c r="FT31" i="18"/>
  <c r="FU31" i="18"/>
  <c r="FV31" i="18"/>
  <c r="FW31" i="18"/>
  <c r="FX31" i="18"/>
  <c r="FY31" i="18"/>
  <c r="FZ31" i="18"/>
  <c r="GA31" i="18"/>
  <c r="GB31" i="18"/>
  <c r="GC31" i="18"/>
  <c r="GD31" i="18"/>
  <c r="GE31" i="18"/>
  <c r="GF31" i="18"/>
  <c r="GG31" i="18"/>
  <c r="GH31" i="18"/>
  <c r="GI31" i="18"/>
  <c r="GJ31" i="18"/>
  <c r="GK31" i="18"/>
  <c r="GL31" i="18"/>
  <c r="GM31" i="18"/>
  <c r="GN31" i="18"/>
  <c r="GO31" i="18"/>
  <c r="GP31" i="18"/>
  <c r="GQ31" i="18"/>
  <c r="GR31" i="18"/>
  <c r="GS31" i="18"/>
  <c r="GT31" i="18"/>
  <c r="GU31" i="18"/>
  <c r="GV31" i="18"/>
  <c r="GW31" i="18"/>
  <c r="GX31" i="18"/>
  <c r="GY31" i="18"/>
  <c r="GZ31" i="18"/>
  <c r="HA31" i="18"/>
  <c r="HB31" i="18"/>
  <c r="HC31" i="18"/>
  <c r="HD31" i="18"/>
  <c r="HE31" i="18"/>
  <c r="HF31" i="18"/>
  <c r="HG31" i="18"/>
  <c r="HH31" i="18"/>
  <c r="HI31" i="18"/>
  <c r="HJ31" i="18"/>
  <c r="HK31" i="18"/>
  <c r="HL31" i="18"/>
  <c r="HM31" i="18"/>
  <c r="HN31" i="18"/>
  <c r="HO31" i="18"/>
  <c r="HP31" i="18"/>
  <c r="HQ31" i="18"/>
  <c r="HR31" i="18"/>
  <c r="HS31" i="18"/>
  <c r="HT31" i="18"/>
  <c r="HU31" i="18"/>
  <c r="HV31" i="18"/>
  <c r="HW31" i="18"/>
  <c r="HX31" i="18"/>
  <c r="HY31" i="18"/>
  <c r="HZ31" i="18"/>
  <c r="IA31" i="18"/>
  <c r="IB31" i="18"/>
  <c r="IC31" i="18"/>
  <c r="ID31" i="18"/>
  <c r="IE31" i="18"/>
  <c r="IF31" i="18"/>
  <c r="IG31" i="18"/>
  <c r="IH31" i="18"/>
  <c r="II31" i="18"/>
  <c r="IJ31" i="18"/>
  <c r="IK31" i="18"/>
  <c r="IL31" i="18"/>
  <c r="IM31" i="18"/>
  <c r="IN31" i="18"/>
  <c r="IO31" i="18"/>
  <c r="IP31" i="18"/>
  <c r="IQ31" i="18"/>
  <c r="IR31" i="18"/>
  <c r="IS31" i="18"/>
  <c r="IT31" i="18"/>
  <c r="IU31" i="18"/>
  <c r="IV31" i="18"/>
  <c r="A32" i="18"/>
  <c r="B32" i="18"/>
  <c r="C32" i="18"/>
  <c r="D32" i="18"/>
  <c r="E32" i="18"/>
  <c r="F32" i="18"/>
  <c r="G32" i="18"/>
  <c r="H32" i="18"/>
  <c r="I32" i="18"/>
  <c r="J32" i="18"/>
  <c r="K32" i="18"/>
  <c r="L32" i="18"/>
  <c r="M32" i="18"/>
  <c r="N32" i="18"/>
  <c r="O32" i="18"/>
  <c r="P32" i="18"/>
  <c r="Q32" i="18"/>
  <c r="R32" i="18"/>
  <c r="S32" i="18"/>
  <c r="T32" i="18"/>
  <c r="U32" i="18"/>
  <c r="V32" i="18"/>
  <c r="W32" i="18"/>
  <c r="X32" i="18"/>
  <c r="Y32" i="18"/>
  <c r="Z32" i="18"/>
  <c r="AA32" i="18"/>
  <c r="AB32" i="18"/>
  <c r="AC32" i="18"/>
  <c r="AD32" i="18"/>
  <c r="AE32" i="18"/>
  <c r="AF32" i="18"/>
  <c r="AG32" i="18"/>
  <c r="AH32" i="18"/>
  <c r="AI32" i="18"/>
  <c r="AJ32" i="18"/>
  <c r="AK32" i="18"/>
  <c r="AL32" i="18"/>
  <c r="AM32" i="18"/>
  <c r="AN32" i="18"/>
  <c r="AO32" i="18"/>
  <c r="AP32" i="18"/>
  <c r="AQ32" i="18"/>
  <c r="AR32" i="18"/>
  <c r="AS32" i="18"/>
  <c r="AT32" i="18"/>
  <c r="AU32" i="18"/>
  <c r="AV32" i="18"/>
  <c r="AW32" i="18"/>
  <c r="AX32" i="18"/>
  <c r="AY32" i="18"/>
  <c r="AZ32" i="18"/>
  <c r="BA32" i="18"/>
  <c r="BB32" i="18"/>
  <c r="BC32" i="18"/>
  <c r="BD32" i="18"/>
  <c r="BE32" i="18"/>
  <c r="BF32" i="18"/>
  <c r="BG32" i="18"/>
  <c r="BH32" i="18"/>
  <c r="BI32" i="18"/>
  <c r="BJ32" i="18"/>
  <c r="BK32" i="18"/>
  <c r="BL32" i="18"/>
  <c r="BM32" i="18"/>
  <c r="BN32" i="18"/>
  <c r="BO32" i="18"/>
  <c r="BP32" i="18"/>
  <c r="BQ32" i="18"/>
  <c r="BR32" i="18"/>
  <c r="BS32" i="18"/>
  <c r="BT32" i="18"/>
  <c r="BU32" i="18"/>
  <c r="BV32" i="18"/>
  <c r="BW32" i="18"/>
  <c r="BX32" i="18"/>
  <c r="BY32" i="18"/>
  <c r="BZ32" i="18"/>
  <c r="CA32" i="18"/>
  <c r="CB32" i="18"/>
  <c r="CC32" i="18"/>
  <c r="CD32" i="18"/>
  <c r="CE32" i="18"/>
  <c r="CF32" i="18"/>
  <c r="CG32" i="18"/>
  <c r="CH32" i="18"/>
  <c r="CI32" i="18"/>
  <c r="CJ32" i="18"/>
  <c r="CK32" i="18"/>
  <c r="CL32" i="18"/>
  <c r="CM32" i="18"/>
  <c r="CN32" i="18"/>
  <c r="CO32" i="18"/>
  <c r="CP32" i="18"/>
  <c r="CQ32" i="18"/>
  <c r="CR32" i="18"/>
  <c r="CS32" i="18"/>
  <c r="CT32" i="18"/>
  <c r="CU32" i="18"/>
  <c r="CV32" i="18"/>
  <c r="CW32" i="18"/>
  <c r="CX32" i="18"/>
  <c r="CY32" i="18"/>
  <c r="CZ32" i="18"/>
  <c r="DA32" i="18"/>
  <c r="DB32" i="18"/>
  <c r="DC32" i="18"/>
  <c r="DD32" i="18"/>
  <c r="DE32" i="18"/>
  <c r="DF32" i="18"/>
  <c r="DG32" i="18"/>
  <c r="DH32" i="18"/>
  <c r="DI32" i="18"/>
  <c r="DJ32" i="18"/>
  <c r="DK32" i="18"/>
  <c r="DL32" i="18"/>
  <c r="DM32" i="18"/>
  <c r="DN32" i="18"/>
  <c r="DO32" i="18"/>
  <c r="DP32" i="18"/>
  <c r="DQ32" i="18"/>
  <c r="DR32" i="18"/>
  <c r="DS32" i="18"/>
  <c r="DT32" i="18"/>
  <c r="DU32" i="18"/>
  <c r="DV32" i="18"/>
  <c r="DW32" i="18"/>
  <c r="DX32" i="18"/>
  <c r="DY32" i="18"/>
  <c r="DZ32" i="18"/>
  <c r="EA32" i="18"/>
  <c r="EB32" i="18"/>
  <c r="EC32" i="18"/>
  <c r="ED32" i="18"/>
  <c r="EE32" i="18"/>
  <c r="EF32" i="18"/>
  <c r="EG32" i="18"/>
  <c r="EH32" i="18"/>
  <c r="EI32" i="18"/>
  <c r="EJ32" i="18"/>
  <c r="EK32" i="18"/>
  <c r="EL32" i="18"/>
  <c r="EM32" i="18"/>
  <c r="EN32" i="18"/>
  <c r="EO32" i="18"/>
  <c r="EP32" i="18"/>
  <c r="EQ32" i="18"/>
  <c r="ER32" i="18"/>
  <c r="ES32" i="18"/>
  <c r="ET32" i="18"/>
  <c r="EU32" i="18"/>
  <c r="EV32" i="18"/>
  <c r="EW32" i="18"/>
  <c r="EX32" i="18"/>
  <c r="EY32" i="18"/>
  <c r="EZ32" i="18"/>
  <c r="FA32" i="18"/>
  <c r="FB32" i="18"/>
  <c r="FC32" i="18"/>
  <c r="FD32" i="18"/>
  <c r="FE32" i="18"/>
  <c r="FF32" i="18"/>
  <c r="FG32" i="18"/>
  <c r="FH32" i="18"/>
  <c r="FI32" i="18"/>
  <c r="FJ32" i="18"/>
  <c r="FK32" i="18"/>
  <c r="FL32" i="18"/>
  <c r="FM32" i="18"/>
  <c r="FN32" i="18"/>
  <c r="FO32" i="18"/>
  <c r="FP32" i="18"/>
  <c r="FQ32" i="18"/>
  <c r="FR32" i="18"/>
  <c r="FS32" i="18"/>
  <c r="FT32" i="18"/>
  <c r="FU32" i="18"/>
  <c r="FV32" i="18"/>
  <c r="FW32" i="18"/>
  <c r="FX32" i="18"/>
  <c r="FY32" i="18"/>
  <c r="FZ32" i="18"/>
  <c r="GA32" i="18"/>
  <c r="GB32" i="18"/>
  <c r="GC32" i="18"/>
  <c r="GD32" i="18"/>
  <c r="GE32" i="18"/>
  <c r="GF32" i="18"/>
  <c r="GG32" i="18"/>
  <c r="GH32" i="18"/>
  <c r="GI32" i="18"/>
  <c r="GJ32" i="18"/>
  <c r="GK32" i="18"/>
  <c r="GL32" i="18"/>
  <c r="GM32" i="18"/>
  <c r="GN32" i="18"/>
  <c r="GO32" i="18"/>
  <c r="GP32" i="18"/>
  <c r="GQ32" i="18"/>
  <c r="GR32" i="18"/>
  <c r="GS32" i="18"/>
  <c r="GT32" i="18"/>
  <c r="GU32" i="18"/>
  <c r="GV32" i="18"/>
  <c r="GW32" i="18"/>
  <c r="GX32" i="18"/>
  <c r="GY32" i="18"/>
  <c r="GZ32" i="18"/>
  <c r="HA32" i="18"/>
  <c r="HB32" i="18"/>
  <c r="HC32" i="18"/>
  <c r="HD32" i="18"/>
  <c r="HE32" i="18"/>
  <c r="HF32" i="18"/>
  <c r="HG32" i="18"/>
  <c r="HH32" i="18"/>
  <c r="HI32" i="18"/>
  <c r="HJ32" i="18"/>
  <c r="HK32" i="18"/>
  <c r="HL32" i="18"/>
  <c r="HM32" i="18"/>
  <c r="HN32" i="18"/>
  <c r="HO32" i="18"/>
  <c r="HP32" i="18"/>
  <c r="HQ32" i="18"/>
  <c r="HR32" i="18"/>
  <c r="HS32" i="18"/>
  <c r="HT32" i="18"/>
  <c r="HU32" i="18"/>
  <c r="HV32" i="18"/>
  <c r="HW32" i="18"/>
  <c r="HX32" i="18"/>
  <c r="HY32" i="18"/>
  <c r="HZ32" i="18"/>
  <c r="IA32" i="18"/>
  <c r="IB32" i="18"/>
  <c r="IC32" i="18"/>
  <c r="ID32" i="18"/>
  <c r="IE32" i="18"/>
  <c r="IF32" i="18"/>
  <c r="IG32" i="18"/>
  <c r="IH32" i="18"/>
  <c r="II32" i="18"/>
  <c r="IJ32" i="18"/>
  <c r="IK32" i="18"/>
  <c r="IL32" i="18"/>
  <c r="IM32" i="18"/>
  <c r="IN32" i="18"/>
  <c r="IO32" i="18"/>
  <c r="IP32" i="18"/>
  <c r="IQ32" i="18"/>
  <c r="IR32" i="18"/>
  <c r="IS32" i="18"/>
  <c r="IT32" i="18"/>
  <c r="IU32" i="18"/>
  <c r="IV32" i="18"/>
  <c r="A33" i="18"/>
  <c r="B33" i="18"/>
  <c r="C33" i="18"/>
  <c r="D33" i="18"/>
  <c r="E33" i="18"/>
  <c r="F33" i="18"/>
  <c r="G33" i="18"/>
  <c r="H33" i="18"/>
  <c r="I33" i="18"/>
  <c r="J33" i="18"/>
  <c r="K33" i="18"/>
  <c r="L33" i="18"/>
  <c r="M33" i="18"/>
  <c r="N33" i="18"/>
  <c r="O33" i="18"/>
  <c r="P33" i="18"/>
  <c r="Q33" i="18"/>
  <c r="R33" i="18"/>
  <c r="S33" i="18"/>
  <c r="T33" i="18"/>
  <c r="U33" i="18"/>
  <c r="V33" i="18"/>
  <c r="W33" i="18"/>
  <c r="X33" i="18"/>
  <c r="Y33" i="18"/>
  <c r="Z33" i="18"/>
  <c r="AA33" i="18"/>
  <c r="AB33" i="18"/>
  <c r="AC33" i="18"/>
  <c r="AD33" i="18"/>
  <c r="AE33" i="18"/>
  <c r="AF33" i="18"/>
  <c r="AG33" i="18"/>
  <c r="AH33" i="18"/>
  <c r="AI33" i="18"/>
  <c r="AJ33" i="18"/>
  <c r="AK33" i="18"/>
  <c r="AL33" i="18"/>
  <c r="AM33" i="18"/>
  <c r="AN33" i="18"/>
  <c r="AO33" i="18"/>
  <c r="AP33" i="18"/>
  <c r="AQ33" i="18"/>
  <c r="AR33" i="18"/>
  <c r="AS33" i="18"/>
  <c r="AT33" i="18"/>
  <c r="AU33" i="18"/>
  <c r="AV33" i="18"/>
  <c r="AW33" i="18"/>
  <c r="AX33" i="18"/>
  <c r="AY33" i="18"/>
  <c r="AZ33" i="18"/>
  <c r="BA33" i="18"/>
  <c r="BB33" i="18"/>
  <c r="BC33" i="18"/>
  <c r="BD33" i="18"/>
  <c r="BE33" i="18"/>
  <c r="BF33" i="18"/>
  <c r="BG33" i="18"/>
  <c r="BH33" i="18"/>
  <c r="BI33" i="18"/>
  <c r="BJ33" i="18"/>
  <c r="BK33" i="18"/>
  <c r="BL33" i="18"/>
  <c r="BM33" i="18"/>
  <c r="BN33" i="18"/>
  <c r="BO33" i="18"/>
  <c r="BP33" i="18"/>
  <c r="BQ33" i="18"/>
  <c r="BR33" i="18"/>
  <c r="BS33" i="18"/>
  <c r="BT33" i="18"/>
  <c r="BU33" i="18"/>
  <c r="BV33" i="18"/>
  <c r="BW33" i="18"/>
  <c r="BX33" i="18"/>
  <c r="BY33" i="18"/>
  <c r="BZ33" i="18"/>
  <c r="CA33" i="18"/>
  <c r="CB33" i="18"/>
  <c r="CC33" i="18"/>
  <c r="CD33" i="18"/>
  <c r="CE33" i="18"/>
  <c r="CF33" i="18"/>
  <c r="CG33" i="18"/>
  <c r="CH33" i="18"/>
  <c r="CI33" i="18"/>
  <c r="CJ33" i="18"/>
  <c r="CK33" i="18"/>
  <c r="CL33" i="18"/>
  <c r="CM33" i="18"/>
  <c r="CN33" i="18"/>
  <c r="CO33" i="18"/>
  <c r="CP33" i="18"/>
  <c r="CQ33" i="18"/>
  <c r="CR33" i="18"/>
  <c r="CS33" i="18"/>
  <c r="CT33" i="18"/>
  <c r="CU33" i="18"/>
  <c r="CV33" i="18"/>
  <c r="CW33" i="18"/>
  <c r="CX33" i="18"/>
  <c r="CY33" i="18"/>
  <c r="CZ33" i="18"/>
  <c r="DA33" i="18"/>
  <c r="DB33" i="18"/>
  <c r="DC33" i="18"/>
  <c r="DD33" i="18"/>
  <c r="DE33" i="18"/>
  <c r="DF33" i="18"/>
  <c r="DG33" i="18"/>
  <c r="DH33" i="18"/>
  <c r="DI33" i="18"/>
  <c r="DJ33" i="18"/>
  <c r="DK33" i="18"/>
  <c r="DL33" i="18"/>
  <c r="DM33" i="18"/>
  <c r="DN33" i="18"/>
  <c r="DO33" i="18"/>
  <c r="DP33" i="18"/>
  <c r="DQ33" i="18"/>
  <c r="DR33" i="18"/>
  <c r="DS33" i="18"/>
  <c r="DT33" i="18"/>
  <c r="DU33" i="18"/>
  <c r="DV33" i="18"/>
  <c r="DW33" i="18"/>
  <c r="DX33" i="18"/>
  <c r="DY33" i="18"/>
  <c r="DZ33" i="18"/>
  <c r="EA33" i="18"/>
  <c r="EB33" i="18"/>
  <c r="EC33" i="18"/>
  <c r="ED33" i="18"/>
  <c r="EE33" i="18"/>
  <c r="EF33" i="18"/>
  <c r="EG33" i="18"/>
  <c r="EH33" i="18"/>
  <c r="EI33" i="18"/>
  <c r="EJ33" i="18"/>
  <c r="EK33" i="18"/>
  <c r="EL33" i="18"/>
  <c r="EM33" i="18"/>
  <c r="EN33" i="18"/>
  <c r="EO33" i="18"/>
  <c r="EP33" i="18"/>
  <c r="EQ33" i="18"/>
  <c r="ER33" i="18"/>
  <c r="ES33" i="18"/>
  <c r="ET33" i="18"/>
  <c r="EU33" i="18"/>
  <c r="EV33" i="18"/>
  <c r="EW33" i="18"/>
  <c r="EX33" i="18"/>
  <c r="EY33" i="18"/>
  <c r="EZ33" i="18"/>
  <c r="FA33" i="18"/>
  <c r="FB33" i="18"/>
  <c r="FC33" i="18"/>
  <c r="FD33" i="18"/>
  <c r="FE33" i="18"/>
  <c r="FF33" i="18"/>
  <c r="FG33" i="18"/>
  <c r="FH33" i="18"/>
  <c r="FI33" i="18"/>
  <c r="FJ33" i="18"/>
  <c r="FK33" i="18"/>
  <c r="FL33" i="18"/>
  <c r="FM33" i="18"/>
  <c r="FN33" i="18"/>
  <c r="FO33" i="18"/>
  <c r="FP33" i="18"/>
  <c r="FQ33" i="18"/>
  <c r="FR33" i="18"/>
  <c r="FS33" i="18"/>
  <c r="FT33" i="18"/>
  <c r="FU33" i="18"/>
  <c r="FV33" i="18"/>
  <c r="FW33" i="18"/>
  <c r="FX33" i="18"/>
  <c r="FY33" i="18"/>
  <c r="FZ33" i="18"/>
  <c r="GA33" i="18"/>
  <c r="GB33" i="18"/>
  <c r="GC33" i="18"/>
  <c r="GD33" i="18"/>
  <c r="GE33" i="18"/>
  <c r="GF33" i="18"/>
  <c r="GG33" i="18"/>
  <c r="GH33" i="18"/>
  <c r="GI33" i="18"/>
  <c r="GJ33" i="18"/>
  <c r="GK33" i="18"/>
  <c r="GL33" i="18"/>
  <c r="GM33" i="18"/>
  <c r="GN33" i="18"/>
  <c r="GO33" i="18"/>
  <c r="GP33" i="18"/>
  <c r="GQ33" i="18"/>
  <c r="GR33" i="18"/>
  <c r="GS33" i="18"/>
  <c r="GT33" i="18"/>
  <c r="GU33" i="18"/>
  <c r="GV33" i="18"/>
  <c r="GW33" i="18"/>
  <c r="GX33" i="18"/>
  <c r="GY33" i="18"/>
  <c r="GZ33" i="18"/>
  <c r="HA33" i="18"/>
  <c r="HB33" i="18"/>
  <c r="HC33" i="18"/>
  <c r="HD33" i="18"/>
  <c r="HE33" i="18"/>
  <c r="HF33" i="18"/>
  <c r="HG33" i="18"/>
  <c r="HH33" i="18"/>
  <c r="HI33" i="18"/>
  <c r="HJ33" i="18"/>
  <c r="HK33" i="18"/>
  <c r="HL33" i="18"/>
  <c r="HM33" i="18"/>
  <c r="HN33" i="18"/>
  <c r="HO33" i="18"/>
  <c r="HP33" i="18"/>
  <c r="HQ33" i="18"/>
  <c r="HR33" i="18"/>
  <c r="HS33" i="18"/>
  <c r="HT33" i="18"/>
  <c r="HU33" i="18"/>
  <c r="HV33" i="18"/>
  <c r="HW33" i="18"/>
  <c r="HX33" i="18"/>
  <c r="HY33" i="18"/>
  <c r="HZ33" i="18"/>
  <c r="IA33" i="18"/>
  <c r="IB33" i="18"/>
  <c r="IC33" i="18"/>
  <c r="ID33" i="18"/>
  <c r="IE33" i="18"/>
  <c r="IF33" i="18"/>
  <c r="IG33" i="18"/>
  <c r="IH33" i="18"/>
  <c r="II33" i="18"/>
  <c r="IJ33" i="18"/>
  <c r="IK33" i="18"/>
  <c r="IL33" i="18"/>
  <c r="IM33" i="18"/>
  <c r="IN33" i="18"/>
  <c r="IO33" i="18"/>
  <c r="IP33" i="18"/>
  <c r="IQ33" i="18"/>
  <c r="IR33" i="18"/>
  <c r="IS33" i="18"/>
  <c r="IT33" i="18"/>
  <c r="IU33" i="18"/>
  <c r="IV33" i="18"/>
  <c r="A34" i="18"/>
  <c r="B34" i="18"/>
  <c r="C34" i="18"/>
  <c r="D34" i="18"/>
  <c r="E34" i="18"/>
  <c r="F34" i="18"/>
  <c r="G34" i="18"/>
  <c r="H34" i="18"/>
  <c r="I34" i="18"/>
  <c r="J34" i="18"/>
  <c r="K34" i="18"/>
  <c r="L34" i="18"/>
  <c r="M34" i="18"/>
  <c r="N34" i="18"/>
  <c r="O34" i="18"/>
  <c r="P34" i="18"/>
  <c r="Q34" i="18"/>
  <c r="R34" i="18"/>
  <c r="S34" i="18"/>
  <c r="T34" i="18"/>
  <c r="U34" i="18"/>
  <c r="V34" i="18"/>
  <c r="W34" i="18"/>
  <c r="X34" i="18"/>
  <c r="Y34" i="18"/>
  <c r="Z34" i="18"/>
  <c r="AA34" i="18"/>
  <c r="AB34" i="18"/>
  <c r="AC34" i="18"/>
  <c r="AD34" i="18"/>
  <c r="AE34" i="18"/>
  <c r="AF34" i="18"/>
  <c r="AG34" i="18"/>
  <c r="AH34" i="18"/>
  <c r="AI34" i="18"/>
  <c r="AJ34" i="18"/>
  <c r="AK34" i="18"/>
  <c r="AL34" i="18"/>
  <c r="AM34" i="18"/>
  <c r="AN34" i="18"/>
  <c r="AO34" i="18"/>
  <c r="AP34" i="18"/>
  <c r="AQ34" i="18"/>
  <c r="AR34" i="18"/>
  <c r="AS34" i="18"/>
  <c r="AT34" i="18"/>
  <c r="AU34" i="18"/>
  <c r="AV34" i="18"/>
  <c r="AW34" i="18"/>
  <c r="AX34" i="18"/>
  <c r="AY34" i="18"/>
  <c r="AZ34" i="18"/>
  <c r="BA34" i="18"/>
  <c r="BB34" i="18"/>
  <c r="BC34" i="18"/>
  <c r="BD34" i="18"/>
  <c r="BE34" i="18"/>
  <c r="BF34" i="18"/>
  <c r="BG34" i="18"/>
  <c r="BH34" i="18"/>
  <c r="BI34" i="18"/>
  <c r="BJ34" i="18"/>
  <c r="BK34" i="18"/>
  <c r="BL34" i="18"/>
  <c r="BM34" i="18"/>
  <c r="BN34" i="18"/>
  <c r="BO34" i="18"/>
  <c r="BP34" i="18"/>
  <c r="BQ34" i="18"/>
  <c r="BR34" i="18"/>
  <c r="BS34" i="18"/>
  <c r="BT34" i="18"/>
  <c r="BU34" i="18"/>
  <c r="BV34" i="18"/>
  <c r="BW34" i="18"/>
  <c r="BX34" i="18"/>
  <c r="BY34" i="18"/>
  <c r="BZ34" i="18"/>
  <c r="CA34" i="18"/>
  <c r="CB34" i="18"/>
  <c r="CC34" i="18"/>
  <c r="CD34" i="18"/>
  <c r="CE34" i="18"/>
  <c r="CF34" i="18"/>
  <c r="CG34" i="18"/>
  <c r="CH34" i="18"/>
  <c r="CI34" i="18"/>
  <c r="CJ34" i="18"/>
  <c r="CK34" i="18"/>
  <c r="CL34" i="18"/>
  <c r="CM34" i="18"/>
  <c r="CN34" i="18"/>
  <c r="CO34" i="18"/>
  <c r="CP34" i="18"/>
  <c r="CQ34" i="18"/>
  <c r="CR34" i="18"/>
  <c r="CS34" i="18"/>
  <c r="CT34" i="18"/>
  <c r="CU34" i="18"/>
  <c r="CV34" i="18"/>
  <c r="CW34" i="18"/>
  <c r="CX34" i="18"/>
  <c r="CY34" i="18"/>
  <c r="CZ34" i="18"/>
  <c r="DA34" i="18"/>
  <c r="DB34" i="18"/>
  <c r="DC34" i="18"/>
  <c r="DD34" i="18"/>
  <c r="DE34" i="18"/>
  <c r="DF34" i="18"/>
  <c r="DG34" i="18"/>
  <c r="DH34" i="18"/>
  <c r="DI34" i="18"/>
  <c r="DJ34" i="18"/>
  <c r="DK34" i="18"/>
  <c r="DL34" i="18"/>
  <c r="DM34" i="18"/>
  <c r="DN34" i="18"/>
  <c r="DO34" i="18"/>
  <c r="DP34" i="18"/>
  <c r="DQ34" i="18"/>
  <c r="DR34" i="18"/>
  <c r="DS34" i="18"/>
  <c r="DT34" i="18"/>
  <c r="DU34" i="18"/>
  <c r="DV34" i="18"/>
  <c r="DW34" i="18"/>
  <c r="DX34" i="18"/>
  <c r="DY34" i="18"/>
  <c r="DZ34" i="18"/>
  <c r="EA34" i="18"/>
  <c r="EB34" i="18"/>
  <c r="EC34" i="18"/>
  <c r="ED34" i="18"/>
  <c r="EE34" i="18"/>
  <c r="EF34" i="18"/>
  <c r="EG34" i="18"/>
  <c r="EH34" i="18"/>
  <c r="EI34" i="18"/>
  <c r="EJ34" i="18"/>
  <c r="EK34" i="18"/>
  <c r="EL34" i="18"/>
  <c r="EM34" i="18"/>
  <c r="EN34" i="18"/>
  <c r="EO34" i="18"/>
  <c r="EP34" i="18"/>
  <c r="EQ34" i="18"/>
  <c r="ER34" i="18"/>
  <c r="ES34" i="18"/>
  <c r="ET34" i="18"/>
  <c r="EU34" i="18"/>
  <c r="EV34" i="18"/>
  <c r="EW34" i="18"/>
  <c r="EX34" i="18"/>
  <c r="EY34" i="18"/>
  <c r="EZ34" i="18"/>
  <c r="FA34" i="18"/>
  <c r="FB34" i="18"/>
  <c r="FC34" i="18"/>
  <c r="FD34" i="18"/>
  <c r="FE34" i="18"/>
  <c r="FF34" i="18"/>
  <c r="FG34" i="18"/>
  <c r="FH34" i="18"/>
  <c r="FI34" i="18"/>
  <c r="FJ34" i="18"/>
  <c r="FK34" i="18"/>
  <c r="FL34" i="18"/>
  <c r="FM34" i="18"/>
  <c r="FN34" i="18"/>
  <c r="FO34" i="18"/>
  <c r="FP34" i="18"/>
  <c r="FQ34" i="18"/>
  <c r="FR34" i="18"/>
  <c r="FS34" i="18"/>
  <c r="FT34" i="18"/>
  <c r="FU34" i="18"/>
  <c r="FV34" i="18"/>
  <c r="FW34" i="18"/>
  <c r="FX34" i="18"/>
  <c r="FY34" i="18"/>
  <c r="FZ34" i="18"/>
  <c r="GA34" i="18"/>
  <c r="GB34" i="18"/>
  <c r="GC34" i="18"/>
  <c r="GD34" i="18"/>
  <c r="GE34" i="18"/>
  <c r="GF34" i="18"/>
  <c r="GG34" i="18"/>
  <c r="GH34" i="18"/>
  <c r="GI34" i="18"/>
  <c r="GJ34" i="18"/>
  <c r="GK34" i="18"/>
  <c r="GL34" i="18"/>
  <c r="GM34" i="18"/>
  <c r="GN34" i="18"/>
  <c r="GO34" i="18"/>
  <c r="GP34" i="18"/>
  <c r="GQ34" i="18"/>
  <c r="GR34" i="18"/>
  <c r="GS34" i="18"/>
  <c r="GT34" i="18"/>
  <c r="GU34" i="18"/>
  <c r="GV34" i="18"/>
  <c r="GW34" i="18"/>
  <c r="GX34" i="18"/>
  <c r="GY34" i="18"/>
  <c r="GZ34" i="18"/>
  <c r="HA34" i="18"/>
  <c r="HB34" i="18"/>
  <c r="HC34" i="18"/>
  <c r="HD34" i="18"/>
  <c r="HE34" i="18"/>
  <c r="HF34" i="18"/>
  <c r="HG34" i="18"/>
  <c r="HH34" i="18"/>
  <c r="HI34" i="18"/>
  <c r="HJ34" i="18"/>
  <c r="HK34" i="18"/>
  <c r="HL34" i="18"/>
  <c r="HM34" i="18"/>
  <c r="HN34" i="18"/>
  <c r="HO34" i="18"/>
  <c r="HP34" i="18"/>
  <c r="HQ34" i="18"/>
  <c r="HR34" i="18"/>
  <c r="HS34" i="18"/>
  <c r="HT34" i="18"/>
  <c r="HU34" i="18"/>
  <c r="HV34" i="18"/>
  <c r="HW34" i="18"/>
  <c r="HX34" i="18"/>
  <c r="HY34" i="18"/>
  <c r="HZ34" i="18"/>
  <c r="IA34" i="18"/>
  <c r="IB34" i="18"/>
  <c r="IC34" i="18"/>
  <c r="ID34" i="18"/>
  <c r="IE34" i="18"/>
  <c r="IF34" i="18"/>
  <c r="IG34" i="18"/>
  <c r="IH34" i="18"/>
  <c r="II34" i="18"/>
  <c r="IJ34" i="18"/>
  <c r="IK34" i="18"/>
  <c r="IL34" i="18"/>
  <c r="IM34" i="18"/>
  <c r="IN34" i="18"/>
  <c r="IO34" i="18"/>
  <c r="IP34" i="18"/>
  <c r="IQ34" i="18"/>
  <c r="IR34" i="18"/>
  <c r="IS34" i="18"/>
  <c r="IT34" i="18"/>
  <c r="IU34" i="18"/>
  <c r="IV34" i="18"/>
  <c r="A35" i="18"/>
  <c r="B35" i="18"/>
  <c r="C35" i="18"/>
  <c r="D35" i="18"/>
  <c r="E35" i="18"/>
  <c r="F35" i="18"/>
  <c r="G35" i="18"/>
  <c r="H35" i="18"/>
  <c r="I35" i="18"/>
  <c r="J35" i="18"/>
  <c r="K35" i="18"/>
  <c r="L35" i="18"/>
  <c r="M35" i="18"/>
  <c r="N35" i="18"/>
  <c r="O35" i="18"/>
  <c r="P35" i="18"/>
  <c r="Q35" i="18"/>
  <c r="R35" i="18"/>
  <c r="S35" i="18"/>
  <c r="T35" i="18"/>
  <c r="U35" i="18"/>
  <c r="V35" i="18"/>
  <c r="W35" i="18"/>
  <c r="X35" i="18"/>
  <c r="Y35" i="18"/>
  <c r="Z35" i="18"/>
  <c r="AA35" i="18"/>
  <c r="AB35" i="18"/>
  <c r="AC35" i="18"/>
  <c r="AD35" i="18"/>
  <c r="AE35" i="18"/>
  <c r="AF35" i="18"/>
  <c r="AG35" i="18"/>
  <c r="AH35" i="18"/>
  <c r="AI35" i="18"/>
  <c r="AJ35" i="18"/>
  <c r="AK35" i="18"/>
  <c r="AL35" i="18"/>
  <c r="AM35" i="18"/>
  <c r="AN35" i="18"/>
  <c r="AO35" i="18"/>
  <c r="AP35" i="18"/>
  <c r="AQ35" i="18"/>
  <c r="AR35" i="18"/>
  <c r="AS35" i="18"/>
  <c r="AT35" i="18"/>
  <c r="AU35" i="18"/>
  <c r="AV35" i="18"/>
  <c r="AW35" i="18"/>
  <c r="AX35" i="18"/>
  <c r="AY35" i="18"/>
  <c r="AZ35" i="18"/>
  <c r="BA35" i="18"/>
  <c r="BB35" i="18"/>
  <c r="BC35" i="18"/>
  <c r="BD35" i="18"/>
  <c r="BE35" i="18"/>
  <c r="BF35" i="18"/>
  <c r="BG35" i="18"/>
  <c r="BH35" i="18"/>
  <c r="BI35" i="18"/>
  <c r="BJ35" i="18"/>
  <c r="BK35" i="18"/>
  <c r="BL35" i="18"/>
  <c r="BM35" i="18"/>
  <c r="BN35" i="18"/>
  <c r="BO35" i="18"/>
  <c r="BP35" i="18"/>
  <c r="BQ35" i="18"/>
  <c r="BR35" i="18"/>
  <c r="BS35" i="18"/>
  <c r="BT35" i="18"/>
  <c r="BU35" i="18"/>
  <c r="BV35" i="18"/>
  <c r="BW35" i="18"/>
  <c r="BX35" i="18"/>
  <c r="BY35" i="18"/>
  <c r="BZ35" i="18"/>
  <c r="CA35" i="18"/>
  <c r="CB35" i="18"/>
  <c r="CC35" i="18"/>
  <c r="CD35" i="18"/>
  <c r="CE35" i="18"/>
  <c r="CF35" i="18"/>
  <c r="CG35" i="18"/>
  <c r="CH35" i="18"/>
  <c r="CI35" i="18"/>
  <c r="CJ35" i="18"/>
  <c r="CK35" i="18"/>
  <c r="CL35" i="18"/>
  <c r="CM35" i="18"/>
  <c r="CN35" i="18"/>
  <c r="CO35" i="18"/>
  <c r="CP35" i="18"/>
  <c r="CQ35" i="18"/>
  <c r="CR35" i="18"/>
  <c r="CS35" i="18"/>
  <c r="CT35" i="18"/>
  <c r="CU35" i="18"/>
  <c r="CV35" i="18"/>
  <c r="CW35" i="18"/>
  <c r="CX35" i="18"/>
  <c r="CY35" i="18"/>
  <c r="CZ35" i="18"/>
  <c r="DA35" i="18"/>
  <c r="DB35" i="18"/>
  <c r="DC35" i="18"/>
  <c r="DD35" i="18"/>
  <c r="DE35" i="18"/>
  <c r="DF35" i="18"/>
  <c r="DG35" i="18"/>
  <c r="DH35" i="18"/>
  <c r="DI35" i="18"/>
  <c r="DJ35" i="18"/>
  <c r="DK35" i="18"/>
  <c r="DL35" i="18"/>
  <c r="DM35" i="18"/>
  <c r="DN35" i="18"/>
  <c r="DO35" i="18"/>
  <c r="DP35" i="18"/>
  <c r="DQ35" i="18"/>
  <c r="DR35" i="18"/>
  <c r="DS35" i="18"/>
  <c r="DT35" i="18"/>
  <c r="DU35" i="18"/>
  <c r="DV35" i="18"/>
  <c r="DW35" i="18"/>
  <c r="DX35" i="18"/>
  <c r="DY35" i="18"/>
  <c r="DZ35" i="18"/>
  <c r="EA35" i="18"/>
  <c r="EB35" i="18"/>
  <c r="EC35" i="18"/>
  <c r="ED35" i="18"/>
  <c r="EE35" i="18"/>
  <c r="EF35" i="18"/>
  <c r="EG35" i="18"/>
  <c r="EH35" i="18"/>
  <c r="EI35" i="18"/>
  <c r="EJ35" i="18"/>
  <c r="EK35" i="18"/>
  <c r="EL35" i="18"/>
  <c r="EM35" i="18"/>
  <c r="EN35" i="18"/>
  <c r="EO35" i="18"/>
  <c r="EP35" i="18"/>
  <c r="EQ35" i="18"/>
  <c r="ER35" i="18"/>
  <c r="ES35" i="18"/>
  <c r="ET35" i="18"/>
  <c r="EU35" i="18"/>
  <c r="EV35" i="18"/>
  <c r="EW35" i="18"/>
  <c r="EX35" i="18"/>
  <c r="EY35" i="18"/>
  <c r="EZ35" i="18"/>
  <c r="FA35" i="18"/>
  <c r="FB35" i="18"/>
  <c r="FC35" i="18"/>
  <c r="FD35" i="18"/>
  <c r="FE35" i="18"/>
  <c r="FF35" i="18"/>
  <c r="FG35" i="18"/>
  <c r="FH35" i="18"/>
  <c r="FI35" i="18"/>
  <c r="FJ35" i="18"/>
  <c r="FK35" i="18"/>
  <c r="FL35" i="18"/>
  <c r="FM35" i="18"/>
  <c r="FN35" i="18"/>
  <c r="FO35" i="18"/>
  <c r="FP35" i="18"/>
  <c r="FQ35" i="18"/>
  <c r="FR35" i="18"/>
  <c r="FS35" i="18"/>
  <c r="FT35" i="18"/>
  <c r="FU35" i="18"/>
  <c r="FV35" i="18"/>
  <c r="FW35" i="18"/>
  <c r="FX35" i="18"/>
  <c r="FY35" i="18"/>
  <c r="FZ35" i="18"/>
  <c r="GA35" i="18"/>
  <c r="GB35" i="18"/>
  <c r="GC35" i="18"/>
  <c r="GD35" i="18"/>
  <c r="GE35" i="18"/>
  <c r="GF35" i="18"/>
  <c r="GG35" i="18"/>
  <c r="GH35" i="18"/>
  <c r="GI35" i="18"/>
  <c r="GJ35" i="18"/>
  <c r="GK35" i="18"/>
  <c r="GL35" i="18"/>
  <c r="GM35" i="18"/>
  <c r="GN35" i="18"/>
  <c r="GO35" i="18"/>
  <c r="GP35" i="18"/>
  <c r="GQ35" i="18"/>
  <c r="GR35" i="18"/>
  <c r="GS35" i="18"/>
  <c r="GT35" i="18"/>
  <c r="GU35" i="18"/>
  <c r="GV35" i="18"/>
  <c r="GW35" i="18"/>
  <c r="GX35" i="18"/>
  <c r="GY35" i="18"/>
  <c r="GZ35" i="18"/>
  <c r="HA35" i="18"/>
  <c r="HB35" i="18"/>
  <c r="HC35" i="18"/>
  <c r="HD35" i="18"/>
  <c r="HE35" i="18"/>
  <c r="HF35" i="18"/>
  <c r="HG35" i="18"/>
  <c r="HH35" i="18"/>
  <c r="HI35" i="18"/>
  <c r="HJ35" i="18"/>
  <c r="HK35" i="18"/>
  <c r="HL35" i="18"/>
  <c r="HM35" i="18"/>
  <c r="HN35" i="18"/>
  <c r="HO35" i="18"/>
  <c r="HP35" i="18"/>
  <c r="HQ35" i="18"/>
  <c r="HR35" i="18"/>
  <c r="HS35" i="18"/>
  <c r="HT35" i="18"/>
  <c r="HU35" i="18"/>
  <c r="HV35" i="18"/>
  <c r="HW35" i="18"/>
  <c r="HX35" i="18"/>
  <c r="HY35" i="18"/>
  <c r="HZ35" i="18"/>
  <c r="IA35" i="18"/>
  <c r="IB35" i="18"/>
  <c r="IC35" i="18"/>
  <c r="ID35" i="18"/>
  <c r="IE35" i="18"/>
  <c r="IF35" i="18"/>
  <c r="IG35" i="18"/>
  <c r="IH35" i="18"/>
  <c r="II35" i="18"/>
  <c r="IJ35" i="18"/>
  <c r="IK35" i="18"/>
  <c r="IL35" i="18"/>
  <c r="IM35" i="18"/>
  <c r="IN35" i="18"/>
  <c r="IO35" i="18"/>
  <c r="IP35" i="18"/>
  <c r="IQ35" i="18"/>
  <c r="IR35" i="18"/>
  <c r="IS35" i="18"/>
  <c r="IT35" i="18"/>
  <c r="IU35" i="18"/>
  <c r="IV35" i="18"/>
  <c r="A36" i="18"/>
  <c r="B36" i="18"/>
  <c r="C36" i="18"/>
  <c r="D36" i="18"/>
  <c r="E36" i="18"/>
  <c r="F36" i="18"/>
  <c r="G36" i="18"/>
  <c r="H36" i="18"/>
  <c r="I36" i="18"/>
  <c r="J36" i="18"/>
  <c r="K36" i="18"/>
  <c r="L36" i="18"/>
  <c r="M36" i="18"/>
  <c r="N36" i="18"/>
  <c r="O36" i="18"/>
  <c r="P36" i="18"/>
  <c r="Q36" i="18"/>
  <c r="R36" i="18"/>
  <c r="S36" i="18"/>
  <c r="T36" i="18"/>
  <c r="U36" i="18"/>
  <c r="V36" i="18"/>
  <c r="W36" i="18"/>
  <c r="X36" i="18"/>
  <c r="Y36" i="18"/>
  <c r="Z36" i="18"/>
  <c r="AA36" i="18"/>
  <c r="AB36" i="18"/>
  <c r="AC36" i="18"/>
  <c r="AD36" i="18"/>
  <c r="AE36" i="18"/>
  <c r="AF36" i="18"/>
  <c r="AG36" i="18"/>
  <c r="AH36" i="18"/>
  <c r="AI36" i="18"/>
  <c r="AJ36" i="18"/>
  <c r="AK36" i="18"/>
  <c r="AL36" i="18"/>
  <c r="AM36" i="18"/>
  <c r="AN36" i="18"/>
  <c r="AO36" i="18"/>
  <c r="AP36" i="18"/>
  <c r="AQ36" i="18"/>
  <c r="AR36" i="18"/>
  <c r="AS36" i="18"/>
  <c r="AT36" i="18"/>
  <c r="AU36" i="18"/>
  <c r="AV36" i="18"/>
  <c r="AW36" i="18"/>
  <c r="AX36" i="18"/>
  <c r="AY36" i="18"/>
  <c r="AZ36" i="18"/>
  <c r="BA36" i="18"/>
  <c r="BB36" i="18"/>
  <c r="BC36" i="18"/>
  <c r="BD36" i="18"/>
  <c r="BE36" i="18"/>
  <c r="BF36" i="18"/>
  <c r="BG36" i="18"/>
  <c r="BH36" i="18"/>
  <c r="BI36" i="18"/>
  <c r="BJ36" i="18"/>
  <c r="BK36" i="18"/>
  <c r="BL36" i="18"/>
  <c r="BM36" i="18"/>
  <c r="BN36" i="18"/>
  <c r="BO36" i="18"/>
  <c r="BP36" i="18"/>
  <c r="BQ36" i="18"/>
  <c r="BR36" i="18"/>
  <c r="BS36" i="18"/>
  <c r="BT36" i="18"/>
  <c r="BU36" i="18"/>
  <c r="BV36" i="18"/>
  <c r="BW36" i="18"/>
  <c r="BX36" i="18"/>
  <c r="BY36" i="18"/>
  <c r="BZ36" i="18"/>
  <c r="CA36" i="18"/>
  <c r="CB36" i="18"/>
  <c r="CC36" i="18"/>
  <c r="CD36" i="18"/>
  <c r="CE36" i="18"/>
  <c r="CF36" i="18"/>
  <c r="CG36" i="18"/>
  <c r="CH36" i="18"/>
  <c r="CI36" i="18"/>
  <c r="CJ36" i="18"/>
  <c r="CK36" i="18"/>
  <c r="CL36" i="18"/>
  <c r="CM36" i="18"/>
  <c r="CN36" i="18"/>
  <c r="CO36" i="18"/>
  <c r="CP36" i="18"/>
  <c r="CQ36" i="18"/>
  <c r="CR36" i="18"/>
  <c r="CS36" i="18"/>
  <c r="CT36" i="18"/>
  <c r="CU36" i="18"/>
  <c r="CV36" i="18"/>
  <c r="CW36" i="18"/>
  <c r="CX36" i="18"/>
  <c r="CY36" i="18"/>
  <c r="CZ36" i="18"/>
  <c r="DA36" i="18"/>
  <c r="DB36" i="18"/>
  <c r="DC36" i="18"/>
  <c r="DD36" i="18"/>
  <c r="DE36" i="18"/>
  <c r="DF36" i="18"/>
  <c r="DG36" i="18"/>
  <c r="DH36" i="18"/>
  <c r="DI36" i="18"/>
  <c r="DJ36" i="18"/>
  <c r="DK36" i="18"/>
  <c r="DL36" i="18"/>
  <c r="DM36" i="18"/>
  <c r="DN36" i="18"/>
  <c r="DO36" i="18"/>
  <c r="DP36" i="18"/>
  <c r="DQ36" i="18"/>
  <c r="DR36" i="18"/>
  <c r="DS36" i="18"/>
  <c r="DT36" i="18"/>
  <c r="DU36" i="18"/>
  <c r="DV36" i="18"/>
  <c r="DW36" i="18"/>
  <c r="DX36" i="18"/>
  <c r="DY36" i="18"/>
  <c r="DZ36" i="18"/>
  <c r="EA36" i="18"/>
  <c r="EB36" i="18"/>
  <c r="EC36" i="18"/>
  <c r="ED36" i="18"/>
  <c r="EE36" i="18"/>
  <c r="EF36" i="18"/>
  <c r="EG36" i="18"/>
  <c r="EH36" i="18"/>
  <c r="EI36" i="18"/>
  <c r="EJ36" i="18"/>
  <c r="EK36" i="18"/>
  <c r="EL36" i="18"/>
  <c r="EM36" i="18"/>
  <c r="EN36" i="18"/>
  <c r="EO36" i="18"/>
  <c r="EP36" i="18"/>
  <c r="EQ36" i="18"/>
  <c r="ER36" i="18"/>
  <c r="ES36" i="18"/>
  <c r="ET36" i="18"/>
  <c r="EU36" i="18"/>
  <c r="EV36" i="18"/>
  <c r="EW36" i="18"/>
  <c r="EX36" i="18"/>
  <c r="EY36" i="18"/>
  <c r="EZ36" i="18"/>
  <c r="FA36" i="18"/>
  <c r="FB36" i="18"/>
  <c r="FC36" i="18"/>
  <c r="FD36" i="18"/>
  <c r="FE36" i="18"/>
  <c r="FF36" i="18"/>
  <c r="FG36" i="18"/>
  <c r="FH36" i="18"/>
  <c r="FI36" i="18"/>
  <c r="FJ36" i="18"/>
  <c r="FK36" i="18"/>
  <c r="FL36" i="18"/>
  <c r="FM36" i="18"/>
  <c r="FN36" i="18"/>
  <c r="FO36" i="18"/>
  <c r="FP36" i="18"/>
  <c r="FQ36" i="18"/>
  <c r="FR36" i="18"/>
  <c r="FS36" i="18"/>
  <c r="FT36" i="18"/>
  <c r="FU36" i="18"/>
  <c r="FV36" i="18"/>
  <c r="FW36" i="18"/>
  <c r="FX36" i="18"/>
  <c r="FY36" i="18"/>
  <c r="FZ36" i="18"/>
  <c r="GA36" i="18"/>
  <c r="GB36" i="18"/>
  <c r="GC36" i="18"/>
  <c r="GD36" i="18"/>
  <c r="GE36" i="18"/>
  <c r="GF36" i="18"/>
  <c r="GG36" i="18"/>
  <c r="GH36" i="18"/>
  <c r="GI36" i="18"/>
  <c r="GJ36" i="18"/>
  <c r="GK36" i="18"/>
  <c r="GL36" i="18"/>
  <c r="GM36" i="18"/>
  <c r="GN36" i="18"/>
  <c r="GO36" i="18"/>
  <c r="GP36" i="18"/>
  <c r="GQ36" i="18"/>
  <c r="GR36" i="18"/>
  <c r="GS36" i="18"/>
  <c r="GT36" i="18"/>
  <c r="GU36" i="18"/>
  <c r="GV36" i="18"/>
  <c r="GW36" i="18"/>
  <c r="GX36" i="18"/>
  <c r="GY36" i="18"/>
  <c r="GZ36" i="18"/>
  <c r="HA36" i="18"/>
  <c r="HB36" i="18"/>
  <c r="HC36" i="18"/>
  <c r="HD36" i="18"/>
  <c r="HE36" i="18"/>
  <c r="HF36" i="18"/>
  <c r="HG36" i="18"/>
  <c r="HH36" i="18"/>
  <c r="HI36" i="18"/>
  <c r="HJ36" i="18"/>
  <c r="HK36" i="18"/>
  <c r="HL36" i="18"/>
  <c r="HM36" i="18"/>
  <c r="HN36" i="18"/>
  <c r="HO36" i="18"/>
  <c r="HP36" i="18"/>
  <c r="HQ36" i="18"/>
  <c r="HR36" i="18"/>
  <c r="HS36" i="18"/>
  <c r="HT36" i="18"/>
  <c r="HU36" i="18"/>
  <c r="HV36" i="18"/>
  <c r="HW36" i="18"/>
  <c r="HX36" i="18"/>
  <c r="HY36" i="18"/>
  <c r="HZ36" i="18"/>
  <c r="IA36" i="18"/>
  <c r="IB36" i="18"/>
  <c r="IC36" i="18"/>
  <c r="ID36" i="18"/>
  <c r="IE36" i="18"/>
  <c r="IF36" i="18"/>
  <c r="IG36" i="18"/>
  <c r="IH36" i="18"/>
  <c r="II36" i="18"/>
  <c r="IJ36" i="18"/>
  <c r="IK36" i="18"/>
  <c r="IL36" i="18"/>
  <c r="IM36" i="18"/>
  <c r="IN36" i="18"/>
  <c r="IO36" i="18"/>
  <c r="IP36" i="18"/>
  <c r="IQ36" i="18"/>
  <c r="IR36" i="18"/>
  <c r="IS36" i="18"/>
  <c r="IT36" i="18"/>
  <c r="IU36" i="18"/>
  <c r="IV36" i="18"/>
  <c r="A37" i="18"/>
  <c r="B37" i="18"/>
  <c r="C37" i="18"/>
  <c r="D37" i="18"/>
  <c r="E37" i="18"/>
  <c r="F37" i="18"/>
  <c r="G37" i="18"/>
  <c r="H37" i="18"/>
  <c r="I37" i="18"/>
  <c r="J37" i="18"/>
  <c r="K37" i="18"/>
  <c r="L37" i="18"/>
  <c r="M37" i="18"/>
  <c r="N37" i="18"/>
  <c r="O37" i="18"/>
  <c r="P37" i="18"/>
  <c r="Q37" i="18"/>
  <c r="R37" i="18"/>
  <c r="S37" i="18"/>
  <c r="T37" i="18"/>
  <c r="U37" i="18"/>
  <c r="V37" i="18"/>
  <c r="W37" i="18"/>
  <c r="X37" i="18"/>
  <c r="Y37" i="18"/>
  <c r="Z37" i="18"/>
  <c r="AA37" i="18"/>
  <c r="AB37" i="18"/>
  <c r="AC37" i="18"/>
  <c r="AD37" i="18"/>
  <c r="AE37" i="18"/>
  <c r="AF37" i="18"/>
  <c r="AG37" i="18"/>
  <c r="AH37" i="18"/>
  <c r="AI37" i="18"/>
  <c r="AJ37" i="18"/>
  <c r="AK37" i="18"/>
  <c r="AL37" i="18"/>
  <c r="AM37" i="18"/>
  <c r="AN37" i="18"/>
  <c r="AO37" i="18"/>
  <c r="AP37" i="18"/>
  <c r="AQ37" i="18"/>
  <c r="AR37" i="18"/>
  <c r="AS37" i="18"/>
  <c r="AT37" i="18"/>
  <c r="AU37" i="18"/>
  <c r="AV37" i="18"/>
  <c r="AW37" i="18"/>
  <c r="AX37" i="18"/>
  <c r="AY37" i="18"/>
  <c r="AZ37" i="18"/>
  <c r="BA37" i="18"/>
  <c r="BB37" i="18"/>
  <c r="BC37" i="18"/>
  <c r="BD37" i="18"/>
  <c r="BE37" i="18"/>
  <c r="BF37" i="18"/>
  <c r="BG37" i="18"/>
  <c r="BH37" i="18"/>
  <c r="BI37" i="18"/>
  <c r="BJ37" i="18"/>
  <c r="BK37" i="18"/>
  <c r="BL37" i="18"/>
  <c r="BM37" i="18"/>
  <c r="BN37" i="18"/>
  <c r="BO37" i="18"/>
  <c r="BP37" i="18"/>
  <c r="BQ37" i="18"/>
  <c r="BR37" i="18"/>
  <c r="BS37" i="18"/>
  <c r="BT37" i="18"/>
  <c r="BU37" i="18"/>
  <c r="BV37" i="18"/>
  <c r="BW37" i="18"/>
  <c r="BX37" i="18"/>
  <c r="BY37" i="18"/>
  <c r="BZ37" i="18"/>
  <c r="CA37" i="18"/>
  <c r="CB37" i="18"/>
  <c r="CC37" i="18"/>
  <c r="CD37" i="18"/>
  <c r="CE37" i="18"/>
  <c r="CF37" i="18"/>
  <c r="CG37" i="18"/>
  <c r="CH37" i="18"/>
  <c r="CI37" i="18"/>
  <c r="CJ37" i="18"/>
  <c r="CK37" i="18"/>
  <c r="CL37" i="18"/>
  <c r="CM37" i="18"/>
  <c r="CN37" i="18"/>
  <c r="CO37" i="18"/>
  <c r="CP37" i="18"/>
  <c r="CQ37" i="18"/>
  <c r="CR37" i="18"/>
  <c r="CS37" i="18"/>
  <c r="CT37" i="18"/>
  <c r="CU37" i="18"/>
  <c r="CV37" i="18"/>
  <c r="CW37" i="18"/>
  <c r="CX37" i="18"/>
  <c r="CY37" i="18"/>
  <c r="CZ37" i="18"/>
  <c r="DA37" i="18"/>
  <c r="DB37" i="18"/>
  <c r="DC37" i="18"/>
  <c r="DD37" i="18"/>
  <c r="DE37" i="18"/>
  <c r="DF37" i="18"/>
  <c r="DG37" i="18"/>
  <c r="DH37" i="18"/>
  <c r="DI37" i="18"/>
  <c r="DJ37" i="18"/>
  <c r="DK37" i="18"/>
  <c r="DL37" i="18"/>
  <c r="DM37" i="18"/>
  <c r="DN37" i="18"/>
  <c r="DO37" i="18"/>
  <c r="DP37" i="18"/>
  <c r="DQ37" i="18"/>
  <c r="DR37" i="18"/>
  <c r="DS37" i="18"/>
  <c r="DT37" i="18"/>
  <c r="DU37" i="18"/>
  <c r="DV37" i="18"/>
  <c r="DW37" i="18"/>
  <c r="DX37" i="18"/>
  <c r="DY37" i="18"/>
  <c r="DZ37" i="18"/>
  <c r="EA37" i="18"/>
  <c r="EB37" i="18"/>
  <c r="EC37" i="18"/>
  <c r="ED37" i="18"/>
  <c r="EE37" i="18"/>
  <c r="EF37" i="18"/>
  <c r="EG37" i="18"/>
  <c r="EH37" i="18"/>
  <c r="EI37" i="18"/>
  <c r="EJ37" i="18"/>
  <c r="EK37" i="18"/>
  <c r="EL37" i="18"/>
  <c r="EM37" i="18"/>
  <c r="EN37" i="18"/>
  <c r="EO37" i="18"/>
  <c r="EP37" i="18"/>
  <c r="EQ37" i="18"/>
  <c r="ER37" i="18"/>
  <c r="ES37" i="18"/>
  <c r="ET37" i="18"/>
  <c r="EU37" i="18"/>
  <c r="EV37" i="18"/>
  <c r="EW37" i="18"/>
  <c r="EX37" i="18"/>
  <c r="EY37" i="18"/>
  <c r="EZ37" i="18"/>
  <c r="FA37" i="18"/>
  <c r="FB37" i="18"/>
  <c r="FC37" i="18"/>
  <c r="FD37" i="18"/>
  <c r="FE37" i="18"/>
  <c r="FF37" i="18"/>
  <c r="FG37" i="18"/>
  <c r="FH37" i="18"/>
  <c r="FI37" i="18"/>
  <c r="FJ37" i="18"/>
  <c r="FK37" i="18"/>
  <c r="FL37" i="18"/>
  <c r="FM37" i="18"/>
  <c r="FN37" i="18"/>
  <c r="FO37" i="18"/>
  <c r="FP37" i="18"/>
  <c r="FQ37" i="18"/>
  <c r="FR37" i="18"/>
  <c r="FS37" i="18"/>
  <c r="FT37" i="18"/>
  <c r="FU37" i="18"/>
  <c r="FV37" i="18"/>
  <c r="FW37" i="18"/>
  <c r="FX37" i="18"/>
  <c r="FY37" i="18"/>
  <c r="FZ37" i="18"/>
  <c r="GA37" i="18"/>
  <c r="GB37" i="18"/>
  <c r="GC37" i="18"/>
  <c r="GD37" i="18"/>
  <c r="GE37" i="18"/>
  <c r="GF37" i="18"/>
  <c r="GG37" i="18"/>
  <c r="GH37" i="18"/>
  <c r="GI37" i="18"/>
  <c r="GJ37" i="18"/>
  <c r="GK37" i="18"/>
  <c r="GL37" i="18"/>
  <c r="GM37" i="18"/>
  <c r="GN37" i="18"/>
  <c r="GO37" i="18"/>
  <c r="GP37" i="18"/>
  <c r="GQ37" i="18"/>
  <c r="GR37" i="18"/>
  <c r="GS37" i="18"/>
  <c r="GT37" i="18"/>
  <c r="GU37" i="18"/>
  <c r="GV37" i="18"/>
  <c r="GW37" i="18"/>
  <c r="GX37" i="18"/>
  <c r="GY37" i="18"/>
  <c r="GZ37" i="18"/>
  <c r="HA37" i="18"/>
  <c r="HB37" i="18"/>
  <c r="HC37" i="18"/>
  <c r="HD37" i="18"/>
  <c r="HE37" i="18"/>
  <c r="HF37" i="18"/>
  <c r="HG37" i="18"/>
  <c r="HH37" i="18"/>
  <c r="HI37" i="18"/>
  <c r="HJ37" i="18"/>
  <c r="HK37" i="18"/>
  <c r="HL37" i="18"/>
  <c r="HM37" i="18"/>
  <c r="HN37" i="18"/>
  <c r="HO37" i="18"/>
  <c r="HP37" i="18"/>
  <c r="HQ37" i="18"/>
  <c r="HR37" i="18"/>
  <c r="HS37" i="18"/>
  <c r="HT37" i="18"/>
  <c r="HU37" i="18"/>
  <c r="HV37" i="18"/>
  <c r="HW37" i="18"/>
  <c r="HX37" i="18"/>
  <c r="HY37" i="18"/>
  <c r="HZ37" i="18"/>
  <c r="IA37" i="18"/>
  <c r="IB37" i="18"/>
  <c r="IC37" i="18"/>
  <c r="ID37" i="18"/>
  <c r="IE37" i="18"/>
  <c r="IF37" i="18"/>
  <c r="IG37" i="18"/>
  <c r="IH37" i="18"/>
  <c r="II37" i="18"/>
  <c r="IJ37" i="18"/>
  <c r="IK37" i="18"/>
  <c r="IL37" i="18"/>
  <c r="IM37" i="18"/>
  <c r="IN37" i="18"/>
  <c r="IO37" i="18"/>
  <c r="IP37" i="18"/>
  <c r="IQ37" i="18"/>
  <c r="IR37" i="18"/>
  <c r="IS37" i="18"/>
  <c r="IT37" i="18"/>
  <c r="IU37" i="18"/>
  <c r="IV37" i="18"/>
  <c r="A38" i="18"/>
  <c r="B38" i="18"/>
  <c r="C38" i="18"/>
  <c r="D38" i="18"/>
  <c r="E38" i="18"/>
  <c r="F38" i="18"/>
  <c r="G38" i="18"/>
  <c r="H38" i="18"/>
  <c r="I38" i="18"/>
  <c r="J38" i="18"/>
  <c r="K38" i="18"/>
  <c r="L38" i="18"/>
  <c r="M38" i="18"/>
  <c r="N38" i="18"/>
  <c r="O38" i="18"/>
  <c r="P38" i="18"/>
  <c r="Q38" i="18"/>
  <c r="R38" i="18"/>
  <c r="S38" i="18"/>
  <c r="T38" i="18"/>
  <c r="U38" i="18"/>
  <c r="V38" i="18"/>
  <c r="W38" i="18"/>
  <c r="X38" i="18"/>
  <c r="Y38" i="18"/>
  <c r="Z38" i="18"/>
  <c r="AA38" i="18"/>
  <c r="AB38" i="18"/>
  <c r="AC38" i="18"/>
  <c r="AD38" i="18"/>
  <c r="AE38" i="18"/>
  <c r="AF38" i="18"/>
  <c r="AG38" i="18"/>
  <c r="AH38" i="18"/>
  <c r="AI38" i="18"/>
  <c r="AJ38" i="18"/>
  <c r="AK38" i="18"/>
  <c r="AL38" i="18"/>
  <c r="AM38" i="18"/>
  <c r="AN38" i="18"/>
  <c r="AO38" i="18"/>
  <c r="AP38" i="18"/>
  <c r="AQ38" i="18"/>
  <c r="AR38" i="18"/>
  <c r="AS38" i="18"/>
  <c r="AT38" i="18"/>
  <c r="AU38" i="18"/>
  <c r="AV38" i="18"/>
  <c r="AW38" i="18"/>
  <c r="AX38" i="18"/>
  <c r="AY38" i="18"/>
  <c r="AZ38" i="18"/>
  <c r="BA38" i="18"/>
  <c r="BB38" i="18"/>
  <c r="BC38" i="18"/>
  <c r="BD38" i="18"/>
  <c r="BE38" i="18"/>
  <c r="BF38" i="18"/>
  <c r="BG38" i="18"/>
  <c r="BH38" i="18"/>
  <c r="BI38" i="18"/>
  <c r="BJ38" i="18"/>
  <c r="BK38" i="18"/>
  <c r="BL38" i="18"/>
  <c r="BM38" i="18"/>
  <c r="BN38" i="18"/>
  <c r="BO38" i="18"/>
  <c r="BP38" i="18"/>
  <c r="BQ38" i="18"/>
  <c r="BR38" i="18"/>
  <c r="BS38" i="18"/>
  <c r="BT38" i="18"/>
  <c r="BU38" i="18"/>
  <c r="BV38" i="18"/>
  <c r="BW38" i="18"/>
  <c r="BX38" i="18"/>
  <c r="BY38" i="18"/>
  <c r="BZ38" i="18"/>
  <c r="CA38" i="18"/>
  <c r="CB38" i="18"/>
  <c r="CC38" i="18"/>
  <c r="CD38" i="18"/>
  <c r="CE38" i="18"/>
  <c r="CF38" i="18"/>
  <c r="CG38" i="18"/>
  <c r="CH38" i="18"/>
  <c r="CI38" i="18"/>
  <c r="CJ38" i="18"/>
  <c r="CK38" i="18"/>
  <c r="CL38" i="18"/>
  <c r="CM38" i="18"/>
  <c r="CN38" i="18"/>
  <c r="CO38" i="18"/>
  <c r="CP38" i="18"/>
  <c r="CQ38" i="18"/>
  <c r="CR38" i="18"/>
  <c r="CS38" i="18"/>
  <c r="CT38" i="18"/>
  <c r="CU38" i="18"/>
  <c r="CV38" i="18"/>
  <c r="CW38" i="18"/>
  <c r="CX38" i="18"/>
  <c r="CY38" i="18"/>
  <c r="CZ38" i="18"/>
  <c r="DA38" i="18"/>
  <c r="DB38" i="18"/>
  <c r="DC38" i="18"/>
  <c r="DD38" i="18"/>
  <c r="DE38" i="18"/>
  <c r="DF38" i="18"/>
  <c r="DG38" i="18"/>
  <c r="DH38" i="18"/>
  <c r="DI38" i="18"/>
  <c r="DJ38" i="18"/>
  <c r="DK38" i="18"/>
  <c r="DL38" i="18"/>
  <c r="DM38" i="18"/>
  <c r="DN38" i="18"/>
  <c r="DO38" i="18"/>
  <c r="DP38" i="18"/>
  <c r="DQ38" i="18"/>
  <c r="DR38" i="18"/>
  <c r="DS38" i="18"/>
  <c r="DT38" i="18"/>
  <c r="DU38" i="18"/>
  <c r="DV38" i="18"/>
  <c r="DW38" i="18"/>
  <c r="DX38" i="18"/>
  <c r="DY38" i="18"/>
  <c r="DZ38" i="18"/>
  <c r="EA38" i="18"/>
  <c r="EB38" i="18"/>
  <c r="EC38" i="18"/>
  <c r="ED38" i="18"/>
  <c r="EE38" i="18"/>
  <c r="EF38" i="18"/>
  <c r="EG38" i="18"/>
  <c r="EH38" i="18"/>
  <c r="EI38" i="18"/>
  <c r="EJ38" i="18"/>
  <c r="EK38" i="18"/>
  <c r="EL38" i="18"/>
  <c r="EM38" i="18"/>
  <c r="EN38" i="18"/>
  <c r="EO38" i="18"/>
  <c r="EP38" i="18"/>
  <c r="EQ38" i="18"/>
  <c r="ER38" i="18"/>
  <c r="ES38" i="18"/>
  <c r="ET38" i="18"/>
  <c r="EU38" i="18"/>
  <c r="EV38" i="18"/>
  <c r="EW38" i="18"/>
  <c r="EX38" i="18"/>
  <c r="EY38" i="18"/>
  <c r="EZ38" i="18"/>
  <c r="FA38" i="18"/>
  <c r="FB38" i="18"/>
  <c r="FC38" i="18"/>
  <c r="FD38" i="18"/>
  <c r="FE38" i="18"/>
  <c r="FF38" i="18"/>
  <c r="FG38" i="18"/>
  <c r="FH38" i="18"/>
  <c r="FI38" i="18"/>
  <c r="FJ38" i="18"/>
  <c r="FK38" i="18"/>
  <c r="FL38" i="18"/>
  <c r="FM38" i="18"/>
  <c r="FN38" i="18"/>
  <c r="FO38" i="18"/>
  <c r="FP38" i="18"/>
  <c r="FQ38" i="18"/>
  <c r="FR38" i="18"/>
  <c r="FS38" i="18"/>
  <c r="FT38" i="18"/>
  <c r="FU38" i="18"/>
  <c r="FV38" i="18"/>
  <c r="FW38" i="18"/>
  <c r="FX38" i="18"/>
  <c r="FY38" i="18"/>
  <c r="FZ38" i="18"/>
  <c r="GA38" i="18"/>
  <c r="GB38" i="18"/>
  <c r="GC38" i="18"/>
  <c r="GD38" i="18"/>
  <c r="GE38" i="18"/>
  <c r="GF38" i="18"/>
  <c r="GG38" i="18"/>
  <c r="GH38" i="18"/>
  <c r="GI38" i="18"/>
  <c r="GJ38" i="18"/>
  <c r="GK38" i="18"/>
  <c r="GL38" i="18"/>
  <c r="GM38" i="18"/>
  <c r="GN38" i="18"/>
  <c r="GO38" i="18"/>
  <c r="GP38" i="18"/>
  <c r="GQ38" i="18"/>
  <c r="GR38" i="18"/>
  <c r="GS38" i="18"/>
  <c r="GT38" i="18"/>
  <c r="GU38" i="18"/>
  <c r="GV38" i="18"/>
  <c r="GW38" i="18"/>
  <c r="GX38" i="18"/>
  <c r="GY38" i="18"/>
  <c r="GZ38" i="18"/>
  <c r="HA38" i="18"/>
  <c r="HB38" i="18"/>
  <c r="HC38" i="18"/>
  <c r="HD38" i="18"/>
  <c r="HE38" i="18"/>
  <c r="HF38" i="18"/>
  <c r="HG38" i="18"/>
  <c r="HH38" i="18"/>
  <c r="HI38" i="18"/>
  <c r="HJ38" i="18"/>
  <c r="HK38" i="18"/>
  <c r="HL38" i="18"/>
  <c r="HM38" i="18"/>
  <c r="HN38" i="18"/>
  <c r="HO38" i="18"/>
  <c r="HP38" i="18"/>
  <c r="HQ38" i="18"/>
  <c r="HR38" i="18"/>
  <c r="HS38" i="18"/>
  <c r="HT38" i="18"/>
  <c r="HU38" i="18"/>
  <c r="HV38" i="18"/>
  <c r="HW38" i="18"/>
  <c r="HX38" i="18"/>
  <c r="HY38" i="18"/>
  <c r="HZ38" i="18"/>
  <c r="IA38" i="18"/>
  <c r="IB38" i="18"/>
  <c r="IC38" i="18"/>
  <c r="ID38" i="18"/>
  <c r="IE38" i="18"/>
  <c r="IF38" i="18"/>
  <c r="IG38" i="18"/>
  <c r="IH38" i="18"/>
  <c r="II38" i="18"/>
  <c r="IJ38" i="18"/>
  <c r="IK38" i="18"/>
  <c r="IL38" i="18"/>
  <c r="IM38" i="18"/>
  <c r="IN38" i="18"/>
  <c r="IO38" i="18"/>
  <c r="IP38" i="18"/>
  <c r="IQ38" i="18"/>
  <c r="IR38" i="18"/>
  <c r="IS38" i="18"/>
  <c r="IT38" i="18"/>
  <c r="IU38" i="18"/>
  <c r="IV38" i="18"/>
  <c r="A39" i="18"/>
  <c r="B39" i="18"/>
  <c r="C39" i="18"/>
  <c r="D39" i="18"/>
  <c r="E39" i="18"/>
  <c r="F39" i="18"/>
  <c r="G39" i="18"/>
  <c r="H39" i="18"/>
  <c r="I39" i="18"/>
  <c r="J39" i="18"/>
  <c r="K39" i="18"/>
  <c r="L39" i="18"/>
  <c r="M39" i="18"/>
  <c r="N39" i="18"/>
  <c r="O39" i="18"/>
  <c r="P39" i="18"/>
  <c r="Q39" i="18"/>
  <c r="R39" i="18"/>
  <c r="S39" i="18"/>
  <c r="T39" i="18"/>
  <c r="U39" i="18"/>
  <c r="V39" i="18"/>
  <c r="W39" i="18"/>
  <c r="X39" i="18"/>
  <c r="Y39" i="18"/>
  <c r="Z39" i="18"/>
  <c r="AA39" i="18"/>
  <c r="AB39" i="18"/>
  <c r="AC39" i="18"/>
  <c r="AD39" i="18"/>
  <c r="AE39" i="18"/>
  <c r="AF39" i="18"/>
  <c r="AG39" i="18"/>
  <c r="AH39" i="18"/>
  <c r="AI39" i="18"/>
  <c r="AJ39" i="18"/>
  <c r="AK39" i="18"/>
  <c r="AL39" i="18"/>
  <c r="AM39" i="18"/>
  <c r="AN39" i="18"/>
  <c r="AO39" i="18"/>
  <c r="AP39" i="18"/>
  <c r="AQ39" i="18"/>
  <c r="AR39" i="18"/>
  <c r="AS39" i="18"/>
  <c r="AT39" i="18"/>
  <c r="AU39" i="18"/>
  <c r="AV39" i="18"/>
  <c r="AW39" i="18"/>
  <c r="AX39" i="18"/>
  <c r="AY39" i="18"/>
  <c r="AZ39" i="18"/>
  <c r="BA39" i="18"/>
  <c r="BB39" i="18"/>
  <c r="BC39" i="18"/>
  <c r="BD39" i="18"/>
  <c r="BE39" i="18"/>
  <c r="BF39" i="18"/>
  <c r="BG39" i="18"/>
  <c r="BH39" i="18"/>
  <c r="BI39" i="18"/>
  <c r="BJ39" i="18"/>
  <c r="BK39" i="18"/>
  <c r="BL39" i="18"/>
  <c r="BM39" i="18"/>
  <c r="BN39" i="18"/>
  <c r="BO39" i="18"/>
  <c r="BP39" i="18"/>
  <c r="BQ39" i="18"/>
  <c r="BR39" i="18"/>
  <c r="BS39" i="18"/>
  <c r="BT39" i="18"/>
  <c r="BU39" i="18"/>
  <c r="BV39" i="18"/>
  <c r="BW39" i="18"/>
  <c r="BX39" i="18"/>
  <c r="BY39" i="18"/>
  <c r="BZ39" i="18"/>
  <c r="CA39" i="18"/>
  <c r="CB39" i="18"/>
  <c r="CC39" i="18"/>
  <c r="CD39" i="18"/>
  <c r="CE39" i="18"/>
  <c r="CF39" i="18"/>
  <c r="CG39" i="18"/>
  <c r="CH39" i="18"/>
  <c r="CI39" i="18"/>
  <c r="CJ39" i="18"/>
  <c r="CK39" i="18"/>
  <c r="CL39" i="18"/>
  <c r="CM39" i="18"/>
  <c r="CN39" i="18"/>
  <c r="CO39" i="18"/>
  <c r="CP39" i="18"/>
  <c r="CQ39" i="18"/>
  <c r="CR39" i="18"/>
  <c r="CS39" i="18"/>
  <c r="CT39" i="18"/>
  <c r="CU39" i="18"/>
  <c r="CV39" i="18"/>
  <c r="CW39" i="18"/>
  <c r="CX39" i="18"/>
  <c r="CY39" i="18"/>
  <c r="CZ39" i="18"/>
  <c r="DA39" i="18"/>
  <c r="DB39" i="18"/>
  <c r="DC39" i="18"/>
  <c r="DD39" i="18"/>
  <c r="DE39" i="18"/>
  <c r="DF39" i="18"/>
  <c r="DG39" i="18"/>
  <c r="DH39" i="18"/>
  <c r="DI39" i="18"/>
  <c r="DJ39" i="18"/>
  <c r="DK39" i="18"/>
  <c r="DL39" i="18"/>
  <c r="DM39" i="18"/>
  <c r="DN39" i="18"/>
  <c r="DO39" i="18"/>
  <c r="DP39" i="18"/>
  <c r="DQ39" i="18"/>
  <c r="DR39" i="18"/>
  <c r="DS39" i="18"/>
  <c r="DT39" i="18"/>
  <c r="DU39" i="18"/>
  <c r="DV39" i="18"/>
  <c r="DW39" i="18"/>
  <c r="DX39" i="18"/>
  <c r="DY39" i="18"/>
  <c r="DZ39" i="18"/>
  <c r="EA39" i="18"/>
  <c r="EB39" i="18"/>
  <c r="EC39" i="18"/>
  <c r="ED39" i="18"/>
  <c r="EE39" i="18"/>
  <c r="EF39" i="18"/>
  <c r="EG39" i="18"/>
  <c r="EH39" i="18"/>
  <c r="EI39" i="18"/>
  <c r="EJ39" i="18"/>
  <c r="EK39" i="18"/>
  <c r="EL39" i="18"/>
  <c r="EM39" i="18"/>
  <c r="EN39" i="18"/>
  <c r="EO39" i="18"/>
  <c r="EP39" i="18"/>
  <c r="EQ39" i="18"/>
  <c r="ER39" i="18"/>
  <c r="ES39" i="18"/>
  <c r="ET39" i="18"/>
  <c r="EU39" i="18"/>
  <c r="EV39" i="18"/>
  <c r="EW39" i="18"/>
  <c r="EX39" i="18"/>
  <c r="EY39" i="18"/>
  <c r="EZ39" i="18"/>
  <c r="FA39" i="18"/>
  <c r="FB39" i="18"/>
  <c r="FC39" i="18"/>
  <c r="FD39" i="18"/>
  <c r="FE39" i="18"/>
  <c r="FF39" i="18"/>
  <c r="FG39" i="18"/>
  <c r="FH39" i="18"/>
  <c r="FI39" i="18"/>
  <c r="FJ39" i="18"/>
  <c r="FK39" i="18"/>
  <c r="FL39" i="18"/>
  <c r="FM39" i="18"/>
  <c r="FN39" i="18"/>
  <c r="FO39" i="18"/>
  <c r="FP39" i="18"/>
  <c r="FQ39" i="18"/>
  <c r="FR39" i="18"/>
  <c r="FS39" i="18"/>
  <c r="FT39" i="18"/>
  <c r="FU39" i="18"/>
  <c r="FV39" i="18"/>
  <c r="FW39" i="18"/>
  <c r="FX39" i="18"/>
  <c r="FY39" i="18"/>
  <c r="FZ39" i="18"/>
  <c r="GA39" i="18"/>
  <c r="GB39" i="18"/>
  <c r="GC39" i="18"/>
  <c r="GD39" i="18"/>
  <c r="GE39" i="18"/>
  <c r="GF39" i="18"/>
  <c r="GG39" i="18"/>
  <c r="GH39" i="18"/>
  <c r="GI39" i="18"/>
  <c r="GJ39" i="18"/>
  <c r="GK39" i="18"/>
  <c r="GL39" i="18"/>
  <c r="GM39" i="18"/>
  <c r="GN39" i="18"/>
  <c r="GO39" i="18"/>
  <c r="GP39" i="18"/>
  <c r="GQ39" i="18"/>
  <c r="GR39" i="18"/>
  <c r="GS39" i="18"/>
  <c r="GT39" i="18"/>
  <c r="GU39" i="18"/>
  <c r="GV39" i="18"/>
  <c r="GW39" i="18"/>
  <c r="GX39" i="18"/>
  <c r="GY39" i="18"/>
  <c r="GZ39" i="18"/>
  <c r="HA39" i="18"/>
  <c r="HB39" i="18"/>
  <c r="HC39" i="18"/>
  <c r="HD39" i="18"/>
  <c r="HE39" i="18"/>
  <c r="HF39" i="18"/>
  <c r="HG39" i="18"/>
  <c r="HH39" i="18"/>
  <c r="HI39" i="18"/>
  <c r="HJ39" i="18"/>
  <c r="HK39" i="18"/>
  <c r="HL39" i="18"/>
  <c r="HM39" i="18"/>
  <c r="HN39" i="18"/>
  <c r="HO39" i="18"/>
  <c r="HP39" i="18"/>
  <c r="HQ39" i="18"/>
  <c r="HR39" i="18"/>
  <c r="HS39" i="18"/>
  <c r="HT39" i="18"/>
  <c r="HU39" i="18"/>
  <c r="HV39" i="18"/>
  <c r="HW39" i="18"/>
  <c r="HX39" i="18"/>
  <c r="HY39" i="18"/>
  <c r="HZ39" i="18"/>
  <c r="IA39" i="18"/>
  <c r="IB39" i="18"/>
  <c r="IC39" i="18"/>
  <c r="ID39" i="18"/>
  <c r="IE39" i="18"/>
  <c r="IF39" i="18"/>
  <c r="IG39" i="18"/>
  <c r="IH39" i="18"/>
  <c r="II39" i="18"/>
  <c r="IJ39" i="18"/>
  <c r="IK39" i="18"/>
  <c r="IL39" i="18"/>
  <c r="IM39" i="18"/>
  <c r="IN39" i="18"/>
  <c r="IO39" i="18"/>
  <c r="IP39" i="18"/>
  <c r="IQ39" i="18"/>
  <c r="IR39" i="18"/>
  <c r="IS39" i="18"/>
  <c r="IT39" i="18"/>
  <c r="IU39" i="18"/>
  <c r="IV39" i="18"/>
  <c r="A40" i="18"/>
  <c r="B40" i="18"/>
  <c r="C40" i="18"/>
  <c r="D40" i="18"/>
  <c r="E40" i="18"/>
  <c r="F40" i="18"/>
  <c r="G40" i="18"/>
  <c r="H40" i="18"/>
  <c r="I40" i="18"/>
  <c r="J40" i="18"/>
  <c r="K40" i="18"/>
  <c r="L40" i="18"/>
  <c r="M40" i="18"/>
  <c r="N40" i="18"/>
  <c r="O40" i="18"/>
  <c r="P40" i="18"/>
  <c r="Q40" i="18"/>
  <c r="R40" i="18"/>
  <c r="S40" i="18"/>
  <c r="T40" i="18"/>
  <c r="U40" i="18"/>
  <c r="V40" i="18"/>
  <c r="W40" i="18"/>
  <c r="X40" i="18"/>
  <c r="Y40" i="18"/>
  <c r="Z40" i="18"/>
  <c r="AA40" i="18"/>
  <c r="AB40" i="18"/>
  <c r="AC40" i="18"/>
  <c r="AD40" i="18"/>
  <c r="AE40" i="18"/>
  <c r="AF40" i="18"/>
  <c r="AG40" i="18"/>
  <c r="AH40" i="18"/>
  <c r="AI40" i="18"/>
  <c r="AJ40" i="18"/>
  <c r="AK40" i="18"/>
  <c r="AL40" i="18"/>
  <c r="AM40" i="18"/>
  <c r="AN40" i="18"/>
  <c r="AO40" i="18"/>
  <c r="AP40" i="18"/>
  <c r="AQ40" i="18"/>
  <c r="AR40" i="18"/>
  <c r="AS40" i="18"/>
  <c r="AT40" i="18"/>
  <c r="AU40" i="18"/>
  <c r="AV40" i="18"/>
  <c r="AW40" i="18"/>
  <c r="AX40" i="18"/>
  <c r="AY40" i="18"/>
  <c r="AZ40" i="18"/>
  <c r="BA40" i="18"/>
  <c r="BB40" i="18"/>
  <c r="BC40" i="18"/>
  <c r="BD40" i="18"/>
  <c r="BE40" i="18"/>
  <c r="BF40" i="18"/>
  <c r="BG40" i="18"/>
  <c r="BH40" i="18"/>
  <c r="BI40" i="18"/>
  <c r="BJ40" i="18"/>
  <c r="BK40" i="18"/>
  <c r="BL40" i="18"/>
  <c r="BM40" i="18"/>
  <c r="BN40" i="18"/>
  <c r="BO40" i="18"/>
  <c r="BP40" i="18"/>
  <c r="BQ40" i="18"/>
  <c r="BR40" i="18"/>
  <c r="BS40" i="18"/>
  <c r="BT40" i="18"/>
  <c r="BU40" i="18"/>
  <c r="BV40" i="18"/>
  <c r="BW40" i="18"/>
  <c r="BX40" i="18"/>
  <c r="BY40" i="18"/>
  <c r="BZ40" i="18"/>
  <c r="CA40" i="18"/>
  <c r="CB40" i="18"/>
  <c r="CC40" i="18"/>
  <c r="CD40" i="18"/>
  <c r="CE40" i="18"/>
  <c r="CF40" i="18"/>
  <c r="CG40" i="18"/>
  <c r="CH40" i="18"/>
  <c r="CI40" i="18"/>
  <c r="CJ40" i="18"/>
  <c r="CK40" i="18"/>
  <c r="CL40" i="18"/>
  <c r="CM40" i="18"/>
  <c r="CN40" i="18"/>
  <c r="CO40" i="18"/>
  <c r="CP40" i="18"/>
  <c r="CQ40" i="18"/>
  <c r="CR40" i="18"/>
  <c r="CS40" i="18"/>
  <c r="CT40" i="18"/>
  <c r="CU40" i="18"/>
  <c r="CV40" i="18"/>
  <c r="CW40" i="18"/>
  <c r="CX40" i="18"/>
  <c r="CY40" i="18"/>
  <c r="CZ40" i="18"/>
  <c r="DA40" i="18"/>
  <c r="DB40" i="18"/>
  <c r="DC40" i="18"/>
  <c r="DD40" i="18"/>
  <c r="DE40" i="18"/>
  <c r="DF40" i="18"/>
  <c r="DG40" i="18"/>
  <c r="DH40" i="18"/>
  <c r="DI40" i="18"/>
  <c r="DJ40" i="18"/>
  <c r="DK40" i="18"/>
  <c r="DL40" i="18"/>
  <c r="DM40" i="18"/>
  <c r="DN40" i="18"/>
  <c r="DO40" i="18"/>
  <c r="DP40" i="18"/>
  <c r="DQ40" i="18"/>
  <c r="DR40" i="18"/>
  <c r="DS40" i="18"/>
  <c r="DT40" i="18"/>
  <c r="DU40" i="18"/>
  <c r="DV40" i="18"/>
  <c r="DW40" i="18"/>
  <c r="DX40" i="18"/>
  <c r="DY40" i="18"/>
  <c r="DZ40" i="18"/>
  <c r="EA40" i="18"/>
  <c r="EB40" i="18"/>
  <c r="EC40" i="18"/>
  <c r="ED40" i="18"/>
  <c r="EE40" i="18"/>
  <c r="EF40" i="18"/>
  <c r="EG40" i="18"/>
  <c r="EH40" i="18"/>
  <c r="EI40" i="18"/>
  <c r="EJ40" i="18"/>
  <c r="EK40" i="18"/>
  <c r="EL40" i="18"/>
  <c r="EM40" i="18"/>
  <c r="EN40" i="18"/>
  <c r="EO40" i="18"/>
  <c r="EP40" i="18"/>
  <c r="EQ40" i="18"/>
  <c r="ER40" i="18"/>
  <c r="ES40" i="18"/>
  <c r="ET40" i="18"/>
  <c r="EU40" i="18"/>
  <c r="EV40" i="18"/>
  <c r="EW40" i="18"/>
  <c r="EX40" i="18"/>
  <c r="EY40" i="18"/>
  <c r="EZ40" i="18"/>
  <c r="FA40" i="18"/>
  <c r="FB40" i="18"/>
  <c r="FC40" i="18"/>
  <c r="FD40" i="18"/>
  <c r="FE40" i="18"/>
  <c r="FF40" i="18"/>
  <c r="FG40" i="18"/>
  <c r="FH40" i="18"/>
  <c r="FI40" i="18"/>
  <c r="FJ40" i="18"/>
  <c r="FK40" i="18"/>
  <c r="FL40" i="18"/>
  <c r="FM40" i="18"/>
  <c r="FN40" i="18"/>
  <c r="FO40" i="18"/>
  <c r="FP40" i="18"/>
  <c r="FQ40" i="18"/>
  <c r="FR40" i="18"/>
  <c r="FS40" i="18"/>
  <c r="FT40" i="18"/>
  <c r="FU40" i="18"/>
  <c r="FV40" i="18"/>
  <c r="FW40" i="18"/>
  <c r="FX40" i="18"/>
  <c r="FY40" i="18"/>
  <c r="FZ40" i="18"/>
  <c r="GA40" i="18"/>
  <c r="GB40" i="18"/>
  <c r="GC40" i="18"/>
  <c r="GD40" i="18"/>
  <c r="GE40" i="18"/>
  <c r="GF40" i="18"/>
  <c r="GG40" i="18"/>
  <c r="GH40" i="18"/>
  <c r="GI40" i="18"/>
  <c r="GJ40" i="18"/>
  <c r="GK40" i="18"/>
  <c r="GL40" i="18"/>
  <c r="GM40" i="18"/>
  <c r="GN40" i="18"/>
  <c r="GO40" i="18"/>
  <c r="GP40" i="18"/>
  <c r="GQ40" i="18"/>
  <c r="GR40" i="18"/>
  <c r="GS40" i="18"/>
  <c r="GT40" i="18"/>
  <c r="GU40" i="18"/>
  <c r="GV40" i="18"/>
  <c r="GW40" i="18"/>
  <c r="GX40" i="18"/>
  <c r="GY40" i="18"/>
  <c r="GZ40" i="18"/>
  <c r="HA40" i="18"/>
  <c r="HB40" i="18"/>
  <c r="HC40" i="18"/>
  <c r="HD40" i="18"/>
  <c r="HE40" i="18"/>
  <c r="HF40" i="18"/>
  <c r="HG40" i="18"/>
  <c r="HH40" i="18"/>
  <c r="HI40" i="18"/>
  <c r="HJ40" i="18"/>
  <c r="HK40" i="18"/>
  <c r="HL40" i="18"/>
  <c r="HM40" i="18"/>
  <c r="HN40" i="18"/>
  <c r="HO40" i="18"/>
  <c r="HP40" i="18"/>
  <c r="HQ40" i="18"/>
  <c r="HR40" i="18"/>
  <c r="HS40" i="18"/>
  <c r="HT40" i="18"/>
  <c r="HU40" i="18"/>
  <c r="HV40" i="18"/>
  <c r="HW40" i="18"/>
  <c r="HX40" i="18"/>
  <c r="HY40" i="18"/>
  <c r="HZ40" i="18"/>
  <c r="IA40" i="18"/>
  <c r="IB40" i="18"/>
  <c r="IC40" i="18"/>
  <c r="ID40" i="18"/>
  <c r="IE40" i="18"/>
  <c r="IF40" i="18"/>
  <c r="IG40" i="18"/>
  <c r="IH40" i="18"/>
  <c r="II40" i="18"/>
  <c r="IJ40" i="18"/>
  <c r="IK40" i="18"/>
  <c r="IL40" i="18"/>
  <c r="IM40" i="18"/>
  <c r="IN40" i="18"/>
  <c r="IO40" i="18"/>
  <c r="IP40" i="18"/>
  <c r="IQ40" i="18"/>
  <c r="IR40" i="18"/>
  <c r="IS40" i="18"/>
  <c r="IT40" i="18"/>
  <c r="IU40" i="18"/>
  <c r="IV40" i="18"/>
  <c r="A41" i="18"/>
  <c r="B41" i="18"/>
  <c r="C41" i="18"/>
  <c r="D41" i="18"/>
  <c r="E41" i="18"/>
  <c r="F41" i="18"/>
  <c r="G41" i="18"/>
  <c r="H41" i="18"/>
  <c r="I41" i="18"/>
  <c r="J41" i="18"/>
  <c r="K41" i="18"/>
  <c r="L41" i="18"/>
  <c r="M41" i="18"/>
  <c r="N41" i="18"/>
  <c r="O41" i="18"/>
  <c r="P41" i="18"/>
  <c r="Q41" i="18"/>
  <c r="R41" i="18"/>
  <c r="S41" i="18"/>
  <c r="T41" i="18"/>
  <c r="U41" i="18"/>
  <c r="V41" i="18"/>
  <c r="W41" i="18"/>
  <c r="X41" i="18"/>
  <c r="Y41" i="18"/>
  <c r="Z41" i="18"/>
  <c r="AA41" i="18"/>
  <c r="AB41" i="18"/>
  <c r="AC41" i="18"/>
  <c r="AD41" i="18"/>
  <c r="AE41" i="18"/>
  <c r="AF41" i="18"/>
  <c r="AG41" i="18"/>
  <c r="AH41" i="18"/>
  <c r="AI41" i="18"/>
  <c r="AJ41" i="18"/>
  <c r="AK41" i="18"/>
  <c r="AL41" i="18"/>
  <c r="AM41" i="18"/>
  <c r="AN41" i="18"/>
  <c r="AO41" i="18"/>
  <c r="AP41" i="18"/>
  <c r="AQ41" i="18"/>
  <c r="AR41" i="18"/>
  <c r="AS41" i="18"/>
  <c r="AT41" i="18"/>
  <c r="AU41" i="18"/>
  <c r="AV41" i="18"/>
  <c r="AW41" i="18"/>
  <c r="AX41" i="18"/>
  <c r="AY41" i="18"/>
  <c r="AZ41" i="18"/>
  <c r="BA41" i="18"/>
  <c r="BB41" i="18"/>
  <c r="BC41" i="18"/>
  <c r="BD41" i="18"/>
  <c r="BE41" i="18"/>
  <c r="BF41" i="18"/>
  <c r="BG41" i="18"/>
  <c r="BH41" i="18"/>
  <c r="BI41" i="18"/>
  <c r="BJ41" i="18"/>
  <c r="BK41" i="18"/>
  <c r="BL41" i="18"/>
  <c r="BM41" i="18"/>
  <c r="BN41" i="18"/>
  <c r="BO41" i="18"/>
  <c r="BP41" i="18"/>
  <c r="BQ41" i="18"/>
  <c r="BR41" i="18"/>
  <c r="BS41" i="18"/>
  <c r="BT41" i="18"/>
  <c r="BU41" i="18"/>
  <c r="BV41" i="18"/>
  <c r="BW41" i="18"/>
  <c r="BX41" i="18"/>
  <c r="BY41" i="18"/>
  <c r="BZ41" i="18"/>
  <c r="CA41" i="18"/>
  <c r="CB41" i="18"/>
  <c r="CC41" i="18"/>
  <c r="CD41" i="18"/>
  <c r="CE41" i="18"/>
  <c r="CF41" i="18"/>
  <c r="CG41" i="18"/>
  <c r="CH41" i="18"/>
  <c r="CI41" i="18"/>
  <c r="CJ41" i="18"/>
  <c r="CK41" i="18"/>
  <c r="CL41" i="18"/>
  <c r="CM41" i="18"/>
  <c r="CN41" i="18"/>
  <c r="CO41" i="18"/>
  <c r="CP41" i="18"/>
  <c r="CQ41" i="18"/>
  <c r="CR41" i="18"/>
  <c r="CS41" i="18"/>
  <c r="CT41" i="18"/>
  <c r="CU41" i="18"/>
  <c r="CV41" i="18"/>
  <c r="CW41" i="18"/>
  <c r="CX41" i="18"/>
  <c r="CY41" i="18"/>
  <c r="CZ41" i="18"/>
  <c r="DA41" i="18"/>
  <c r="DB41" i="18"/>
  <c r="DC41" i="18"/>
  <c r="DD41" i="18"/>
  <c r="DE41" i="18"/>
  <c r="DF41" i="18"/>
  <c r="DG41" i="18"/>
  <c r="DH41" i="18"/>
  <c r="DI41" i="18"/>
  <c r="DJ41" i="18"/>
  <c r="DK41" i="18"/>
  <c r="DL41" i="18"/>
  <c r="DM41" i="18"/>
  <c r="DN41" i="18"/>
  <c r="DO41" i="18"/>
  <c r="DP41" i="18"/>
  <c r="DQ41" i="18"/>
  <c r="DR41" i="18"/>
  <c r="DS41" i="18"/>
  <c r="DT41" i="18"/>
  <c r="DU41" i="18"/>
  <c r="DV41" i="18"/>
  <c r="DW41" i="18"/>
  <c r="DX41" i="18"/>
  <c r="DY41" i="18"/>
  <c r="DZ41" i="18"/>
  <c r="EA41" i="18"/>
  <c r="EB41" i="18"/>
  <c r="EC41" i="18"/>
  <c r="ED41" i="18"/>
  <c r="EE41" i="18"/>
  <c r="EF41" i="18"/>
  <c r="EG41" i="18"/>
  <c r="EH41" i="18"/>
  <c r="EI41" i="18"/>
  <c r="EJ41" i="18"/>
  <c r="EK41" i="18"/>
  <c r="EL41" i="18"/>
  <c r="EM41" i="18"/>
  <c r="EN41" i="18"/>
  <c r="EO41" i="18"/>
  <c r="EP41" i="18"/>
  <c r="EQ41" i="18"/>
  <c r="ER41" i="18"/>
  <c r="ES41" i="18"/>
  <c r="ET41" i="18"/>
  <c r="EU41" i="18"/>
  <c r="EV41" i="18"/>
  <c r="EW41" i="18"/>
  <c r="EX41" i="18"/>
  <c r="EY41" i="18"/>
  <c r="EZ41" i="18"/>
  <c r="FA41" i="18"/>
  <c r="FB41" i="18"/>
  <c r="FC41" i="18"/>
  <c r="FD41" i="18"/>
  <c r="FE41" i="18"/>
  <c r="FF41" i="18"/>
  <c r="FG41" i="18"/>
  <c r="FH41" i="18"/>
  <c r="FI41" i="18"/>
  <c r="FJ41" i="18"/>
  <c r="FK41" i="18"/>
  <c r="FL41" i="18"/>
  <c r="FM41" i="18"/>
  <c r="FN41" i="18"/>
  <c r="FO41" i="18"/>
  <c r="FP41" i="18"/>
  <c r="FQ41" i="18"/>
  <c r="FR41" i="18"/>
  <c r="FS41" i="18"/>
  <c r="FT41" i="18"/>
  <c r="FU41" i="18"/>
  <c r="FV41" i="18"/>
  <c r="FW41" i="18"/>
  <c r="FX41" i="18"/>
  <c r="FY41" i="18"/>
  <c r="FZ41" i="18"/>
  <c r="GA41" i="18"/>
  <c r="GB41" i="18"/>
  <c r="GC41" i="18"/>
  <c r="GD41" i="18"/>
  <c r="GE41" i="18"/>
  <c r="GF41" i="18"/>
  <c r="GG41" i="18"/>
  <c r="GH41" i="18"/>
  <c r="GI41" i="18"/>
  <c r="GJ41" i="18"/>
  <c r="GK41" i="18"/>
  <c r="GL41" i="18"/>
  <c r="GM41" i="18"/>
  <c r="GN41" i="18"/>
  <c r="GO41" i="18"/>
  <c r="GP41" i="18"/>
  <c r="GQ41" i="18"/>
  <c r="GR41" i="18"/>
  <c r="GS41" i="18"/>
  <c r="GT41" i="18"/>
  <c r="GU41" i="18"/>
  <c r="GV41" i="18"/>
  <c r="GW41" i="18"/>
  <c r="GX41" i="18"/>
  <c r="GY41" i="18"/>
  <c r="GZ41" i="18"/>
  <c r="HA41" i="18"/>
  <c r="HB41" i="18"/>
  <c r="HC41" i="18"/>
  <c r="HD41" i="18"/>
  <c r="HE41" i="18"/>
  <c r="HF41" i="18"/>
  <c r="HG41" i="18"/>
  <c r="HH41" i="18"/>
  <c r="HI41" i="18"/>
  <c r="HJ41" i="18"/>
  <c r="HK41" i="18"/>
  <c r="HL41" i="18"/>
  <c r="HM41" i="18"/>
  <c r="HN41" i="18"/>
  <c r="HO41" i="18"/>
  <c r="HP41" i="18"/>
  <c r="HQ41" i="18"/>
  <c r="HR41" i="18"/>
  <c r="HS41" i="18"/>
  <c r="HT41" i="18"/>
  <c r="HU41" i="18"/>
  <c r="HV41" i="18"/>
  <c r="HW41" i="18"/>
  <c r="HX41" i="18"/>
  <c r="HY41" i="18"/>
  <c r="HZ41" i="18"/>
  <c r="IA41" i="18"/>
  <c r="IB41" i="18"/>
  <c r="IC41" i="18"/>
  <c r="ID41" i="18"/>
  <c r="IE41" i="18"/>
  <c r="IF41" i="18"/>
  <c r="IG41" i="18"/>
  <c r="IH41" i="18"/>
  <c r="II41" i="18"/>
  <c r="IJ41" i="18"/>
  <c r="IK41" i="18"/>
  <c r="IL41" i="18"/>
  <c r="IM41" i="18"/>
  <c r="IN41" i="18"/>
  <c r="IO41" i="18"/>
  <c r="IP41" i="18"/>
  <c r="IQ41" i="18"/>
  <c r="IR41" i="18"/>
  <c r="IS41" i="18"/>
  <c r="IT41" i="18"/>
  <c r="IU41" i="18"/>
  <c r="IV41" i="18"/>
  <c r="A42" i="18"/>
  <c r="B42" i="18"/>
  <c r="C42" i="18"/>
  <c r="D42" i="18"/>
  <c r="E42" i="18"/>
  <c r="F42" i="18"/>
  <c r="G42" i="18"/>
  <c r="H42" i="18"/>
  <c r="I42" i="18"/>
  <c r="J42" i="18"/>
  <c r="K42" i="18"/>
  <c r="L42" i="18"/>
  <c r="M42" i="18"/>
  <c r="N42" i="18"/>
  <c r="O42" i="18"/>
  <c r="P42" i="18"/>
  <c r="Q42" i="18"/>
  <c r="R42" i="18"/>
  <c r="S42" i="18"/>
  <c r="T42" i="18"/>
  <c r="U42" i="18"/>
  <c r="V42" i="18"/>
  <c r="W42" i="18"/>
  <c r="X42" i="18"/>
  <c r="Y42" i="18"/>
  <c r="Z42" i="18"/>
  <c r="AA42" i="18"/>
  <c r="AB42" i="18"/>
  <c r="AC42" i="18"/>
  <c r="AD42" i="18"/>
  <c r="AE42" i="18"/>
  <c r="AF42" i="18"/>
  <c r="AG42" i="18"/>
  <c r="AH42" i="18"/>
  <c r="AI42" i="18"/>
  <c r="AJ42" i="18"/>
  <c r="AK42" i="18"/>
  <c r="AL42" i="18"/>
  <c r="AM42" i="18"/>
  <c r="AN42" i="18"/>
  <c r="AO42" i="18"/>
  <c r="AP42" i="18"/>
  <c r="AQ42" i="18"/>
  <c r="AR42" i="18"/>
  <c r="AS42" i="18"/>
  <c r="AT42" i="18"/>
  <c r="AU42" i="18"/>
  <c r="AV42" i="18"/>
  <c r="AW42" i="18"/>
  <c r="AX42" i="18"/>
  <c r="AY42" i="18"/>
  <c r="AZ42" i="18"/>
  <c r="BA42" i="18"/>
  <c r="BB42" i="18"/>
  <c r="BC42" i="18"/>
  <c r="BD42" i="18"/>
  <c r="BE42" i="18"/>
  <c r="BF42" i="18"/>
  <c r="BG42" i="18"/>
  <c r="BH42" i="18"/>
  <c r="BI42" i="18"/>
  <c r="BJ42" i="18"/>
  <c r="BK42" i="18"/>
  <c r="BL42" i="18"/>
  <c r="BM42" i="18"/>
  <c r="BN42" i="18"/>
  <c r="BO42" i="18"/>
  <c r="BP42" i="18"/>
  <c r="BQ42" i="18"/>
  <c r="BR42" i="18"/>
  <c r="BS42" i="18"/>
  <c r="BT42" i="18"/>
  <c r="BU42" i="18"/>
  <c r="BV42" i="18"/>
  <c r="BW42" i="18"/>
  <c r="BX42" i="18"/>
  <c r="BY42" i="18"/>
  <c r="BZ42" i="18"/>
  <c r="CA42" i="18"/>
  <c r="CB42" i="18"/>
  <c r="CC42" i="18"/>
  <c r="CD42" i="18"/>
  <c r="CE42" i="18"/>
  <c r="CF42" i="18"/>
  <c r="CG42" i="18"/>
  <c r="CH42" i="18"/>
  <c r="CI42" i="18"/>
  <c r="CJ42" i="18"/>
  <c r="CK42" i="18"/>
  <c r="CL42" i="18"/>
  <c r="CM42" i="18"/>
  <c r="CN42" i="18"/>
  <c r="CO42" i="18"/>
  <c r="CP42" i="18"/>
  <c r="CQ42" i="18"/>
  <c r="CR42" i="18"/>
  <c r="CS42" i="18"/>
  <c r="CT42" i="18"/>
  <c r="CU42" i="18"/>
  <c r="CV42" i="18"/>
  <c r="CW42" i="18"/>
  <c r="CX42" i="18"/>
  <c r="CY42" i="18"/>
  <c r="CZ42" i="18"/>
  <c r="DA42" i="18"/>
  <c r="DB42" i="18"/>
  <c r="DC42" i="18"/>
  <c r="DD42" i="18"/>
  <c r="DE42" i="18"/>
  <c r="DF42" i="18"/>
  <c r="DG42" i="18"/>
  <c r="DH42" i="18"/>
  <c r="DI42" i="18"/>
  <c r="DJ42" i="18"/>
  <c r="DK42" i="18"/>
  <c r="DL42" i="18"/>
  <c r="DM42" i="18"/>
  <c r="DN42" i="18"/>
  <c r="DO42" i="18"/>
  <c r="DP42" i="18"/>
  <c r="DQ42" i="18"/>
  <c r="DR42" i="18"/>
  <c r="DS42" i="18"/>
  <c r="DT42" i="18"/>
  <c r="DU42" i="18"/>
  <c r="DV42" i="18"/>
  <c r="DW42" i="18"/>
  <c r="DX42" i="18"/>
  <c r="DY42" i="18"/>
  <c r="DZ42" i="18"/>
  <c r="EA42" i="18"/>
  <c r="EB42" i="18"/>
  <c r="EC42" i="18"/>
  <c r="ED42" i="18"/>
  <c r="EE42" i="18"/>
  <c r="EF42" i="18"/>
  <c r="EG42" i="18"/>
  <c r="EH42" i="18"/>
  <c r="EI42" i="18"/>
  <c r="EJ42" i="18"/>
  <c r="EK42" i="18"/>
  <c r="EL42" i="18"/>
  <c r="EM42" i="18"/>
  <c r="EN42" i="18"/>
  <c r="EO42" i="18"/>
  <c r="EP42" i="18"/>
  <c r="EQ42" i="18"/>
  <c r="ER42" i="18"/>
  <c r="ES42" i="18"/>
  <c r="ET42" i="18"/>
  <c r="EU42" i="18"/>
  <c r="EV42" i="18"/>
  <c r="EW42" i="18"/>
  <c r="EX42" i="18"/>
  <c r="EY42" i="18"/>
  <c r="EZ42" i="18"/>
  <c r="FA42" i="18"/>
  <c r="FB42" i="18"/>
  <c r="FC42" i="18"/>
  <c r="FD42" i="18"/>
  <c r="FE42" i="18"/>
  <c r="FF42" i="18"/>
  <c r="FG42" i="18"/>
  <c r="FH42" i="18"/>
  <c r="FI42" i="18"/>
  <c r="FJ42" i="18"/>
  <c r="FK42" i="18"/>
  <c r="FL42" i="18"/>
  <c r="FM42" i="18"/>
  <c r="FN42" i="18"/>
  <c r="FO42" i="18"/>
  <c r="FP42" i="18"/>
  <c r="FQ42" i="18"/>
  <c r="FR42" i="18"/>
  <c r="FS42" i="18"/>
  <c r="FT42" i="18"/>
  <c r="FU42" i="18"/>
  <c r="FV42" i="18"/>
  <c r="FW42" i="18"/>
  <c r="FX42" i="18"/>
  <c r="FY42" i="18"/>
  <c r="FZ42" i="18"/>
  <c r="GA42" i="18"/>
  <c r="GB42" i="18"/>
  <c r="GC42" i="18"/>
  <c r="GD42" i="18"/>
  <c r="GE42" i="18"/>
  <c r="GF42" i="18"/>
  <c r="GG42" i="18"/>
  <c r="GH42" i="18"/>
  <c r="GI42" i="18"/>
  <c r="GJ42" i="18"/>
  <c r="GK42" i="18"/>
  <c r="GL42" i="18"/>
  <c r="GM42" i="18"/>
  <c r="GN42" i="18"/>
  <c r="GO42" i="18"/>
  <c r="GP42" i="18"/>
  <c r="GQ42" i="18"/>
  <c r="GR42" i="18"/>
  <c r="GS42" i="18"/>
  <c r="GT42" i="18"/>
  <c r="GU42" i="18"/>
  <c r="GV42" i="18"/>
  <c r="GW42" i="18"/>
  <c r="GX42" i="18"/>
  <c r="GY42" i="18"/>
  <c r="GZ42" i="18"/>
  <c r="HA42" i="18"/>
  <c r="HB42" i="18"/>
  <c r="HC42" i="18"/>
  <c r="HD42" i="18"/>
  <c r="HE42" i="18"/>
  <c r="HF42" i="18"/>
  <c r="HG42" i="18"/>
  <c r="HH42" i="18"/>
  <c r="HI42" i="18"/>
  <c r="HJ42" i="18"/>
  <c r="HK42" i="18"/>
  <c r="HL42" i="18"/>
  <c r="HM42" i="18"/>
  <c r="HN42" i="18"/>
  <c r="HO42" i="18"/>
  <c r="HP42" i="18"/>
  <c r="HQ42" i="18"/>
  <c r="HR42" i="18"/>
  <c r="HS42" i="18"/>
  <c r="HT42" i="18"/>
  <c r="HU42" i="18"/>
  <c r="HV42" i="18"/>
  <c r="HW42" i="18"/>
  <c r="HX42" i="18"/>
  <c r="HY42" i="18"/>
  <c r="HZ42" i="18"/>
  <c r="IA42" i="18"/>
  <c r="IB42" i="18"/>
  <c r="IC42" i="18"/>
  <c r="ID42" i="18"/>
  <c r="IE42" i="18"/>
  <c r="IF42" i="18"/>
  <c r="IG42" i="18"/>
  <c r="IH42" i="18"/>
  <c r="II42" i="18"/>
  <c r="IJ42" i="18"/>
  <c r="IK42" i="18"/>
  <c r="IL42" i="18"/>
  <c r="IM42" i="18"/>
  <c r="IN42" i="18"/>
  <c r="IO42" i="18"/>
  <c r="IP42" i="18"/>
  <c r="IQ42" i="18"/>
  <c r="IR42" i="18"/>
  <c r="IS42" i="18"/>
  <c r="IT42" i="18"/>
  <c r="IU42" i="18"/>
  <c r="IV42" i="18"/>
  <c r="A43" i="18"/>
  <c r="B43" i="18"/>
  <c r="C43" i="18"/>
  <c r="D43" i="18"/>
  <c r="E43" i="18"/>
  <c r="F43" i="18"/>
  <c r="G43" i="18"/>
  <c r="H43" i="18"/>
  <c r="I43" i="18"/>
  <c r="J43" i="18"/>
  <c r="K43" i="18"/>
  <c r="L43" i="18"/>
  <c r="M43" i="18"/>
  <c r="N43" i="18"/>
  <c r="O43" i="18"/>
  <c r="P43" i="18"/>
  <c r="Q43" i="18"/>
  <c r="R43" i="18"/>
  <c r="S43" i="18"/>
  <c r="T43" i="18"/>
  <c r="U43" i="18"/>
  <c r="V43" i="18"/>
  <c r="W43" i="18"/>
  <c r="X43" i="18"/>
  <c r="Y43" i="18"/>
  <c r="Z43" i="18"/>
  <c r="AA43" i="18"/>
  <c r="AB43" i="18"/>
  <c r="AC43" i="18"/>
  <c r="AD43" i="18"/>
  <c r="AE43" i="18"/>
  <c r="AF43" i="18"/>
  <c r="AG43" i="18"/>
  <c r="AH43" i="18"/>
  <c r="AI43" i="18"/>
  <c r="AJ43" i="18"/>
  <c r="AK43" i="18"/>
  <c r="AL43" i="18"/>
  <c r="AM43" i="18"/>
  <c r="AN43" i="18"/>
  <c r="AO43" i="18"/>
  <c r="AP43" i="18"/>
  <c r="AQ43" i="18"/>
  <c r="AR43" i="18"/>
  <c r="AS43" i="18"/>
  <c r="AT43" i="18"/>
  <c r="AU43" i="18"/>
  <c r="AV43" i="18"/>
  <c r="AW43" i="18"/>
  <c r="AX43" i="18"/>
  <c r="AY43" i="18"/>
  <c r="AZ43" i="18"/>
  <c r="BA43" i="18"/>
  <c r="BB43" i="18"/>
  <c r="BC43" i="18"/>
  <c r="BD43" i="18"/>
  <c r="BE43" i="18"/>
  <c r="BF43" i="18"/>
  <c r="BG43" i="18"/>
  <c r="BH43" i="18"/>
  <c r="BI43" i="18"/>
  <c r="BJ43" i="18"/>
  <c r="BK43" i="18"/>
  <c r="BL43" i="18"/>
  <c r="BM43" i="18"/>
  <c r="BN43" i="18"/>
  <c r="BO43" i="18"/>
  <c r="BP43" i="18"/>
  <c r="BQ43" i="18"/>
  <c r="BR43" i="18"/>
  <c r="BS43" i="18"/>
  <c r="BT43" i="18"/>
  <c r="BU43" i="18"/>
  <c r="BV43" i="18"/>
  <c r="BW43" i="18"/>
  <c r="BX43" i="18"/>
  <c r="BY43" i="18"/>
  <c r="BZ43" i="18"/>
  <c r="CA43" i="18"/>
  <c r="CB43" i="18"/>
  <c r="CC43" i="18"/>
  <c r="CD43" i="18"/>
  <c r="CE43" i="18"/>
  <c r="CF43" i="18"/>
  <c r="CG43" i="18"/>
  <c r="CH43" i="18"/>
  <c r="CI43" i="18"/>
  <c r="CJ43" i="18"/>
  <c r="CK43" i="18"/>
  <c r="CL43" i="18"/>
  <c r="CM43" i="18"/>
  <c r="CN43" i="18"/>
  <c r="CO43" i="18"/>
  <c r="CP43" i="18"/>
  <c r="CQ43" i="18"/>
  <c r="CR43" i="18"/>
  <c r="CS43" i="18"/>
  <c r="CT43" i="18"/>
  <c r="CU43" i="18"/>
  <c r="CV43" i="18"/>
  <c r="CW43" i="18"/>
  <c r="CX43" i="18"/>
  <c r="CY43" i="18"/>
  <c r="CZ43" i="18"/>
  <c r="DA43" i="18"/>
  <c r="DB43" i="18"/>
  <c r="DC43" i="18"/>
  <c r="DD43" i="18"/>
  <c r="DE43" i="18"/>
  <c r="DF43" i="18"/>
  <c r="DG43" i="18"/>
  <c r="DH43" i="18"/>
  <c r="DI43" i="18"/>
  <c r="DJ43" i="18"/>
  <c r="DK43" i="18"/>
  <c r="DL43" i="18"/>
  <c r="DM43" i="18"/>
  <c r="DN43" i="18"/>
  <c r="DO43" i="18"/>
  <c r="DP43" i="18"/>
  <c r="DQ43" i="18"/>
  <c r="DR43" i="18"/>
  <c r="DS43" i="18"/>
  <c r="DT43" i="18"/>
  <c r="DU43" i="18"/>
  <c r="DV43" i="18"/>
  <c r="DW43" i="18"/>
  <c r="DX43" i="18"/>
  <c r="DY43" i="18"/>
  <c r="DZ43" i="18"/>
  <c r="EA43" i="18"/>
  <c r="EB43" i="18"/>
  <c r="EC43" i="18"/>
  <c r="ED43" i="18"/>
  <c r="EE43" i="18"/>
  <c r="EF43" i="18"/>
  <c r="EG43" i="18"/>
  <c r="EH43" i="18"/>
  <c r="EI43" i="18"/>
  <c r="EJ43" i="18"/>
  <c r="EK43" i="18"/>
  <c r="EL43" i="18"/>
  <c r="EM43" i="18"/>
  <c r="EN43" i="18"/>
  <c r="EO43" i="18"/>
  <c r="EP43" i="18"/>
  <c r="EQ43" i="18"/>
  <c r="ER43" i="18"/>
  <c r="ES43" i="18"/>
  <c r="ET43" i="18"/>
  <c r="EU43" i="18"/>
  <c r="EV43" i="18"/>
  <c r="EW43" i="18"/>
  <c r="EX43" i="18"/>
  <c r="EY43" i="18"/>
  <c r="EZ43" i="18"/>
  <c r="FA43" i="18"/>
  <c r="FB43" i="18"/>
  <c r="FC43" i="18"/>
  <c r="FD43" i="18"/>
  <c r="FE43" i="18"/>
  <c r="FF43" i="18"/>
  <c r="FG43" i="18"/>
  <c r="FH43" i="18"/>
  <c r="FI43" i="18"/>
  <c r="FJ43" i="18"/>
  <c r="FK43" i="18"/>
  <c r="FL43" i="18"/>
  <c r="FM43" i="18"/>
  <c r="FN43" i="18"/>
  <c r="FO43" i="18"/>
  <c r="FP43" i="18"/>
  <c r="FQ43" i="18"/>
  <c r="FR43" i="18"/>
  <c r="FS43" i="18"/>
  <c r="FT43" i="18"/>
  <c r="FU43" i="18"/>
  <c r="FV43" i="18"/>
  <c r="FW43" i="18"/>
  <c r="FX43" i="18"/>
  <c r="FY43" i="18"/>
  <c r="FZ43" i="18"/>
  <c r="GA43" i="18"/>
  <c r="GB43" i="18"/>
  <c r="GC43" i="18"/>
  <c r="GD43" i="18"/>
  <c r="GE43" i="18"/>
  <c r="GF43" i="18"/>
  <c r="GG43" i="18"/>
  <c r="GH43" i="18"/>
  <c r="GI43" i="18"/>
  <c r="GJ43" i="18"/>
  <c r="GK43" i="18"/>
  <c r="GL43" i="18"/>
  <c r="GM43" i="18"/>
  <c r="GN43" i="18"/>
  <c r="GO43" i="18"/>
  <c r="GP43" i="18"/>
  <c r="GQ43" i="18"/>
  <c r="GR43" i="18"/>
  <c r="GS43" i="18"/>
  <c r="GT43" i="18"/>
  <c r="GU43" i="18"/>
  <c r="GV43" i="18"/>
  <c r="GW43" i="18"/>
  <c r="GX43" i="18"/>
  <c r="GY43" i="18"/>
  <c r="GZ43" i="18"/>
  <c r="HA43" i="18"/>
  <c r="HB43" i="18"/>
  <c r="HC43" i="18"/>
  <c r="HD43" i="18"/>
  <c r="HE43" i="18"/>
  <c r="HF43" i="18"/>
  <c r="HG43" i="18"/>
  <c r="HH43" i="18"/>
  <c r="HI43" i="18"/>
  <c r="HJ43" i="18"/>
  <c r="HK43" i="18"/>
  <c r="HL43" i="18"/>
  <c r="HM43" i="18"/>
  <c r="HN43" i="18"/>
  <c r="HO43" i="18"/>
  <c r="HP43" i="18"/>
  <c r="HQ43" i="18"/>
  <c r="HR43" i="18"/>
  <c r="HS43" i="18"/>
  <c r="HT43" i="18"/>
  <c r="HU43" i="18"/>
  <c r="HV43" i="18"/>
  <c r="HW43" i="18"/>
  <c r="HX43" i="18"/>
  <c r="HY43" i="18"/>
  <c r="HZ43" i="18"/>
  <c r="IA43" i="18"/>
  <c r="IB43" i="18"/>
  <c r="IC43" i="18"/>
  <c r="ID43" i="18"/>
  <c r="IE43" i="18"/>
  <c r="IF43" i="18"/>
  <c r="IG43" i="18"/>
  <c r="IH43" i="18"/>
  <c r="II43" i="18"/>
  <c r="IJ43" i="18"/>
  <c r="IK43" i="18"/>
  <c r="IL43" i="18"/>
  <c r="IM43" i="18"/>
  <c r="IN43" i="18"/>
  <c r="IO43" i="18"/>
  <c r="IP43" i="18"/>
  <c r="IQ43" i="18"/>
  <c r="IR43" i="18"/>
  <c r="IS43" i="18"/>
  <c r="IT43" i="18"/>
  <c r="IU43" i="18"/>
  <c r="IV43" i="18"/>
  <c r="A44" i="18"/>
  <c r="B44" i="18"/>
  <c r="C44" i="18"/>
  <c r="D44" i="18"/>
  <c r="E44" i="18"/>
  <c r="F44" i="18"/>
  <c r="G44" i="18"/>
  <c r="H44" i="18"/>
  <c r="I44" i="18"/>
  <c r="J44" i="18"/>
  <c r="K44" i="18"/>
  <c r="L44" i="18"/>
  <c r="M44" i="18"/>
  <c r="N44" i="18"/>
  <c r="O44" i="18"/>
  <c r="P44" i="18"/>
  <c r="Q44" i="18"/>
  <c r="R44" i="18"/>
  <c r="S44" i="18"/>
  <c r="T44" i="18"/>
  <c r="U44" i="18"/>
  <c r="V44" i="18"/>
  <c r="W44" i="18"/>
  <c r="X44" i="18"/>
  <c r="Y44" i="18"/>
  <c r="Z44" i="18"/>
  <c r="AA44" i="18"/>
  <c r="AB44" i="18"/>
  <c r="AC44" i="18"/>
  <c r="AD44" i="18"/>
  <c r="AE44" i="18"/>
  <c r="AF44" i="18"/>
  <c r="AG44" i="18"/>
  <c r="AH44" i="18"/>
  <c r="AI44" i="18"/>
  <c r="AJ44" i="18"/>
  <c r="AK44" i="18"/>
  <c r="AL44" i="18"/>
  <c r="AM44" i="18"/>
  <c r="AN44" i="18"/>
  <c r="AO44" i="18"/>
  <c r="AP44" i="18"/>
  <c r="AQ44" i="18"/>
  <c r="AR44" i="18"/>
  <c r="AS44" i="18"/>
  <c r="AT44" i="18"/>
  <c r="AU44" i="18"/>
  <c r="AV44" i="18"/>
  <c r="AW44" i="18"/>
  <c r="AX44" i="18"/>
  <c r="AY44" i="18"/>
  <c r="AZ44" i="18"/>
  <c r="BA44" i="18"/>
  <c r="BB44" i="18"/>
  <c r="BC44" i="18"/>
  <c r="BD44" i="18"/>
  <c r="BE44" i="18"/>
  <c r="BF44" i="18"/>
  <c r="BG44" i="18"/>
  <c r="BH44" i="18"/>
  <c r="BI44" i="18"/>
  <c r="BJ44" i="18"/>
  <c r="BK44" i="18"/>
  <c r="BL44" i="18"/>
  <c r="BM44" i="18"/>
  <c r="BN44" i="18"/>
  <c r="BO44" i="18"/>
  <c r="BP44" i="18"/>
  <c r="BQ44" i="18"/>
  <c r="BR44" i="18"/>
  <c r="BS44" i="18"/>
  <c r="BT44" i="18"/>
  <c r="BU44" i="18"/>
  <c r="BV44" i="18"/>
  <c r="BW44" i="18"/>
  <c r="BX44" i="18"/>
  <c r="BY44" i="18"/>
  <c r="BZ44" i="18"/>
  <c r="CA44" i="18"/>
  <c r="CB44" i="18"/>
  <c r="CC44" i="18"/>
  <c r="CD44" i="18"/>
  <c r="CE44" i="18"/>
  <c r="CF44" i="18"/>
  <c r="CG44" i="18"/>
  <c r="CH44" i="18"/>
  <c r="CI44" i="18"/>
  <c r="CJ44" i="18"/>
  <c r="CK44" i="18"/>
  <c r="CL44" i="18"/>
  <c r="CM44" i="18"/>
  <c r="CN44" i="18"/>
  <c r="CO44" i="18"/>
  <c r="CP44" i="18"/>
  <c r="CQ44" i="18"/>
  <c r="CR44" i="18"/>
  <c r="CS44" i="18"/>
  <c r="CT44" i="18"/>
  <c r="CU44" i="18"/>
  <c r="CV44" i="18"/>
  <c r="CW44" i="18"/>
  <c r="CX44" i="18"/>
  <c r="CY44" i="18"/>
  <c r="CZ44" i="18"/>
  <c r="DA44" i="18"/>
  <c r="DB44" i="18"/>
  <c r="DC44" i="18"/>
  <c r="DD44" i="18"/>
  <c r="DE44" i="18"/>
  <c r="DF44" i="18"/>
  <c r="DG44" i="18"/>
  <c r="DH44" i="18"/>
  <c r="DI44" i="18"/>
  <c r="DJ44" i="18"/>
  <c r="DK44" i="18"/>
  <c r="DL44" i="18"/>
  <c r="DM44" i="18"/>
  <c r="DN44" i="18"/>
  <c r="DO44" i="18"/>
  <c r="DP44" i="18"/>
  <c r="DQ44" i="18"/>
  <c r="DR44" i="18"/>
  <c r="DS44" i="18"/>
  <c r="DT44" i="18"/>
  <c r="DU44" i="18"/>
  <c r="DV44" i="18"/>
  <c r="DW44" i="18"/>
  <c r="DX44" i="18"/>
  <c r="DY44" i="18"/>
  <c r="DZ44" i="18"/>
  <c r="EA44" i="18"/>
  <c r="EB44" i="18"/>
  <c r="EC44" i="18"/>
  <c r="ED44" i="18"/>
  <c r="EE44" i="18"/>
  <c r="EF44" i="18"/>
  <c r="EG44" i="18"/>
  <c r="EH44" i="18"/>
  <c r="EI44" i="18"/>
  <c r="EJ44" i="18"/>
  <c r="EK44" i="18"/>
  <c r="EL44" i="18"/>
  <c r="EM44" i="18"/>
  <c r="EN44" i="18"/>
  <c r="EO44" i="18"/>
  <c r="EP44" i="18"/>
  <c r="EQ44" i="18"/>
  <c r="ER44" i="18"/>
  <c r="ES44" i="18"/>
  <c r="ET44" i="18"/>
  <c r="EU44" i="18"/>
  <c r="EV44" i="18"/>
  <c r="EW44" i="18"/>
  <c r="EX44" i="18"/>
  <c r="EY44" i="18"/>
  <c r="EZ44" i="18"/>
  <c r="FA44" i="18"/>
  <c r="FB44" i="18"/>
  <c r="FC44" i="18"/>
  <c r="FD44" i="18"/>
  <c r="FE44" i="18"/>
  <c r="FF44" i="18"/>
  <c r="FG44" i="18"/>
  <c r="FH44" i="18"/>
  <c r="FI44" i="18"/>
  <c r="FJ44" i="18"/>
  <c r="FK44" i="18"/>
  <c r="FL44" i="18"/>
  <c r="FM44" i="18"/>
  <c r="FN44" i="18"/>
  <c r="FO44" i="18"/>
  <c r="FP44" i="18"/>
  <c r="FQ44" i="18"/>
  <c r="FR44" i="18"/>
  <c r="FS44" i="18"/>
  <c r="FT44" i="18"/>
  <c r="FU44" i="18"/>
  <c r="FV44" i="18"/>
  <c r="FW44" i="18"/>
  <c r="FX44" i="18"/>
  <c r="FY44" i="18"/>
  <c r="FZ44" i="18"/>
  <c r="GA44" i="18"/>
  <c r="GB44" i="18"/>
  <c r="GC44" i="18"/>
  <c r="GD44" i="18"/>
  <c r="GE44" i="18"/>
  <c r="GF44" i="18"/>
  <c r="GG44" i="18"/>
  <c r="GH44" i="18"/>
  <c r="GI44" i="18"/>
  <c r="GJ44" i="18"/>
  <c r="GK44" i="18"/>
  <c r="GL44" i="18"/>
  <c r="GM44" i="18"/>
  <c r="GN44" i="18"/>
  <c r="GO44" i="18"/>
  <c r="GP44" i="18"/>
  <c r="GQ44" i="18"/>
  <c r="GR44" i="18"/>
  <c r="GS44" i="18"/>
  <c r="GT44" i="18"/>
  <c r="GU44" i="18"/>
  <c r="GV44" i="18"/>
  <c r="GW44" i="18"/>
  <c r="GX44" i="18"/>
  <c r="GY44" i="18"/>
  <c r="GZ44" i="18"/>
  <c r="HA44" i="18"/>
  <c r="HB44" i="18"/>
  <c r="HC44" i="18"/>
  <c r="HD44" i="18"/>
  <c r="HE44" i="18"/>
  <c r="HF44" i="18"/>
  <c r="HG44" i="18"/>
  <c r="HH44" i="18"/>
  <c r="HI44" i="18"/>
  <c r="HJ44" i="18"/>
  <c r="HK44" i="18"/>
  <c r="HL44" i="18"/>
  <c r="HM44" i="18"/>
  <c r="HN44" i="18"/>
  <c r="HO44" i="18"/>
  <c r="HP44" i="18"/>
  <c r="HQ44" i="18"/>
  <c r="HR44" i="18"/>
  <c r="HS44" i="18"/>
  <c r="HT44" i="18"/>
  <c r="HU44" i="18"/>
  <c r="HV44" i="18"/>
  <c r="HW44" i="18"/>
  <c r="HX44" i="18"/>
  <c r="HY44" i="18"/>
  <c r="HZ44" i="18"/>
  <c r="IA44" i="18"/>
  <c r="IB44" i="18"/>
  <c r="IC44" i="18"/>
  <c r="ID44" i="18"/>
  <c r="IE44" i="18"/>
  <c r="IF44" i="18"/>
  <c r="IG44" i="18"/>
  <c r="IH44" i="18"/>
  <c r="II44" i="18"/>
  <c r="IJ44" i="18"/>
  <c r="IK44" i="18"/>
  <c r="IL44" i="18"/>
  <c r="IM44" i="18"/>
  <c r="IN44" i="18"/>
  <c r="IO44" i="18"/>
  <c r="IP44" i="18"/>
  <c r="IQ44" i="18"/>
  <c r="IR44" i="18"/>
  <c r="IS44" i="18"/>
  <c r="IT44" i="18"/>
  <c r="IU44" i="18"/>
  <c r="IV44" i="18"/>
  <c r="A45" i="18"/>
  <c r="B45" i="18"/>
  <c r="C45" i="18"/>
  <c r="D45" i="18"/>
  <c r="E45" i="18"/>
  <c r="F45" i="18"/>
  <c r="G45" i="18"/>
  <c r="H45" i="18"/>
  <c r="I45" i="18"/>
  <c r="J45" i="18"/>
  <c r="K45" i="18"/>
  <c r="L45" i="18"/>
  <c r="M45" i="18"/>
  <c r="N45" i="18"/>
  <c r="O45" i="18"/>
  <c r="P45" i="18"/>
  <c r="Q45" i="18"/>
  <c r="R45" i="18"/>
  <c r="S45" i="18"/>
  <c r="T45" i="18"/>
  <c r="U45" i="18"/>
  <c r="V45" i="18"/>
  <c r="W45" i="18"/>
  <c r="X45" i="18"/>
  <c r="Y45" i="18"/>
  <c r="Z45" i="18"/>
  <c r="AA45" i="18"/>
  <c r="AB45" i="18"/>
  <c r="AC45" i="18"/>
  <c r="AD45" i="18"/>
  <c r="AE45" i="18"/>
  <c r="AF45" i="18"/>
  <c r="AG45" i="18"/>
  <c r="AH45" i="18"/>
  <c r="AI45" i="18"/>
  <c r="AJ45" i="18"/>
  <c r="AK45" i="18"/>
  <c r="AL45" i="18"/>
  <c r="AM45" i="18"/>
  <c r="AN45" i="18"/>
  <c r="AO45" i="18"/>
  <c r="AP45" i="18"/>
  <c r="AQ45" i="18"/>
  <c r="AR45" i="18"/>
  <c r="AS45" i="18"/>
  <c r="AT45" i="18"/>
  <c r="AU45" i="18"/>
  <c r="AV45" i="18"/>
  <c r="AW45" i="18"/>
  <c r="AX45" i="18"/>
  <c r="AY45" i="18"/>
  <c r="AZ45" i="18"/>
  <c r="BA45" i="18"/>
  <c r="BB45" i="18"/>
  <c r="BC45" i="18"/>
  <c r="BD45" i="18"/>
  <c r="BE45" i="18"/>
  <c r="BF45" i="18"/>
  <c r="BG45" i="18"/>
  <c r="BH45" i="18"/>
  <c r="BI45" i="18"/>
  <c r="BJ45" i="18"/>
  <c r="BK45" i="18"/>
  <c r="BL45" i="18"/>
  <c r="BM45" i="18"/>
  <c r="BN45" i="18"/>
  <c r="BO45" i="18"/>
  <c r="BP45" i="18"/>
  <c r="BQ45" i="18"/>
  <c r="BR45" i="18"/>
  <c r="BS45" i="18"/>
  <c r="BT45" i="18"/>
  <c r="BU45" i="18"/>
  <c r="BV45" i="18"/>
  <c r="BW45" i="18"/>
  <c r="BX45" i="18"/>
  <c r="BY45" i="18"/>
  <c r="BZ45" i="18"/>
  <c r="CA45" i="18"/>
  <c r="CB45" i="18"/>
  <c r="CC45" i="18"/>
  <c r="CD45" i="18"/>
  <c r="CE45" i="18"/>
  <c r="CF45" i="18"/>
  <c r="CG45" i="18"/>
  <c r="CH45" i="18"/>
  <c r="CI45" i="18"/>
  <c r="CJ45" i="18"/>
  <c r="CK45" i="18"/>
  <c r="CL45" i="18"/>
  <c r="CM45" i="18"/>
  <c r="CN45" i="18"/>
  <c r="CO45" i="18"/>
  <c r="CP45" i="18"/>
  <c r="CQ45" i="18"/>
  <c r="CR45" i="18"/>
  <c r="CS45" i="18"/>
  <c r="CT45" i="18"/>
  <c r="CU45" i="18"/>
  <c r="CV45" i="18"/>
  <c r="CW45" i="18"/>
  <c r="CX45" i="18"/>
  <c r="CY45" i="18"/>
  <c r="CZ45" i="18"/>
  <c r="DA45" i="18"/>
  <c r="DB45" i="18"/>
  <c r="DC45" i="18"/>
  <c r="DD45" i="18"/>
  <c r="DE45" i="18"/>
  <c r="DF45" i="18"/>
  <c r="DG45" i="18"/>
  <c r="DH45" i="18"/>
  <c r="DI45" i="18"/>
  <c r="DJ45" i="18"/>
  <c r="DK45" i="18"/>
  <c r="DL45" i="18"/>
  <c r="DM45" i="18"/>
  <c r="DN45" i="18"/>
  <c r="DO45" i="18"/>
  <c r="DP45" i="18"/>
  <c r="DQ45" i="18"/>
  <c r="DR45" i="18"/>
  <c r="DS45" i="18"/>
  <c r="DT45" i="18"/>
  <c r="DU45" i="18"/>
  <c r="DV45" i="18"/>
  <c r="DW45" i="18"/>
  <c r="DX45" i="18"/>
  <c r="DY45" i="18"/>
  <c r="DZ45" i="18"/>
  <c r="EA45" i="18"/>
  <c r="EB45" i="18"/>
  <c r="EC45" i="18"/>
  <c r="ED45" i="18"/>
  <c r="EE45" i="18"/>
  <c r="EF45" i="18"/>
  <c r="EG45" i="18"/>
  <c r="EH45" i="18"/>
  <c r="EI45" i="18"/>
  <c r="EJ45" i="18"/>
  <c r="EK45" i="18"/>
  <c r="EL45" i="18"/>
  <c r="EM45" i="18"/>
  <c r="EN45" i="18"/>
  <c r="EO45" i="18"/>
  <c r="EP45" i="18"/>
  <c r="EQ45" i="18"/>
  <c r="ER45" i="18"/>
  <c r="ES45" i="18"/>
  <c r="ET45" i="18"/>
  <c r="EU45" i="18"/>
  <c r="EV45" i="18"/>
  <c r="EW45" i="18"/>
  <c r="EX45" i="18"/>
  <c r="EY45" i="18"/>
  <c r="EZ45" i="18"/>
  <c r="FA45" i="18"/>
  <c r="FB45" i="18"/>
  <c r="FC45" i="18"/>
  <c r="FD45" i="18"/>
  <c r="FE45" i="18"/>
  <c r="FF45" i="18"/>
  <c r="FG45" i="18"/>
  <c r="FH45" i="18"/>
  <c r="FI45" i="18"/>
  <c r="FJ45" i="18"/>
  <c r="FK45" i="18"/>
  <c r="FL45" i="18"/>
  <c r="FM45" i="18"/>
  <c r="FN45" i="18"/>
  <c r="FO45" i="18"/>
  <c r="FP45" i="18"/>
  <c r="FQ45" i="18"/>
  <c r="FR45" i="18"/>
  <c r="FS45" i="18"/>
  <c r="FT45" i="18"/>
  <c r="FU45" i="18"/>
  <c r="FV45" i="18"/>
  <c r="FW45" i="18"/>
  <c r="FX45" i="18"/>
  <c r="FY45" i="18"/>
  <c r="FZ45" i="18"/>
  <c r="GA45" i="18"/>
  <c r="GB45" i="18"/>
  <c r="GC45" i="18"/>
  <c r="GD45" i="18"/>
  <c r="GE45" i="18"/>
  <c r="GF45" i="18"/>
  <c r="GG45" i="18"/>
  <c r="GH45" i="18"/>
  <c r="GI45" i="18"/>
  <c r="GJ45" i="18"/>
  <c r="GK45" i="18"/>
  <c r="GL45" i="18"/>
  <c r="GM45" i="18"/>
  <c r="GN45" i="18"/>
  <c r="GO45" i="18"/>
  <c r="GP45" i="18"/>
  <c r="GQ45" i="18"/>
  <c r="GR45" i="18"/>
  <c r="GS45" i="18"/>
  <c r="GT45" i="18"/>
  <c r="GU45" i="18"/>
  <c r="GV45" i="18"/>
  <c r="GW45" i="18"/>
  <c r="GX45" i="18"/>
  <c r="GY45" i="18"/>
  <c r="GZ45" i="18"/>
  <c r="HA45" i="18"/>
  <c r="HB45" i="18"/>
  <c r="HC45" i="18"/>
  <c r="HD45" i="18"/>
  <c r="HE45" i="18"/>
  <c r="HF45" i="18"/>
  <c r="HG45" i="18"/>
  <c r="HH45" i="18"/>
  <c r="HI45" i="18"/>
  <c r="HJ45" i="18"/>
  <c r="HK45" i="18"/>
  <c r="HL45" i="18"/>
  <c r="HM45" i="18"/>
  <c r="HN45" i="18"/>
  <c r="HO45" i="18"/>
  <c r="HP45" i="18"/>
  <c r="HQ45" i="18"/>
  <c r="HR45" i="18"/>
  <c r="HS45" i="18"/>
  <c r="HT45" i="18"/>
  <c r="HU45" i="18"/>
  <c r="HV45" i="18"/>
  <c r="HW45" i="18"/>
  <c r="HX45" i="18"/>
  <c r="HY45" i="18"/>
  <c r="HZ45" i="18"/>
  <c r="IA45" i="18"/>
  <c r="IB45" i="18"/>
  <c r="IC45" i="18"/>
  <c r="ID45" i="18"/>
  <c r="IE45" i="18"/>
  <c r="IF45" i="18"/>
  <c r="IG45" i="18"/>
  <c r="IH45" i="18"/>
  <c r="II45" i="18"/>
  <c r="IJ45" i="18"/>
  <c r="IK45" i="18"/>
  <c r="IL45" i="18"/>
  <c r="IM45" i="18"/>
  <c r="IN45" i="18"/>
  <c r="IO45" i="18"/>
  <c r="IP45" i="18"/>
  <c r="IQ45" i="18"/>
  <c r="IR45" i="18"/>
  <c r="IS45" i="18"/>
  <c r="IT45" i="18"/>
  <c r="IU45" i="18"/>
  <c r="IV45" i="18"/>
  <c r="A46" i="18"/>
  <c r="B46" i="18"/>
  <c r="C46" i="18"/>
  <c r="D46" i="18"/>
  <c r="E46" i="18"/>
  <c r="F46" i="18"/>
  <c r="G46" i="18"/>
  <c r="H46" i="18"/>
  <c r="I46" i="18"/>
  <c r="J46" i="18"/>
  <c r="K46" i="18"/>
  <c r="L46" i="18"/>
  <c r="M46" i="18"/>
  <c r="N46" i="18"/>
  <c r="O46" i="18"/>
  <c r="P46" i="18"/>
  <c r="Q46" i="18"/>
  <c r="R46" i="18"/>
  <c r="S46" i="18"/>
  <c r="T46" i="18"/>
  <c r="U46" i="18"/>
  <c r="V46" i="18"/>
  <c r="W46" i="18"/>
  <c r="X46" i="18"/>
  <c r="Y46" i="18"/>
  <c r="Z46" i="18"/>
  <c r="AA46" i="18"/>
  <c r="AB46" i="18"/>
  <c r="AC46" i="18"/>
  <c r="AD46" i="18"/>
  <c r="AE46" i="18"/>
  <c r="AF46" i="18"/>
  <c r="AG46" i="18"/>
  <c r="AH46" i="18"/>
  <c r="AI46" i="18"/>
  <c r="AJ46" i="18"/>
  <c r="AK46" i="18"/>
  <c r="AL46" i="18"/>
  <c r="AM46" i="18"/>
  <c r="AN46" i="18"/>
  <c r="AO46" i="18"/>
  <c r="AP46" i="18"/>
  <c r="AQ46" i="18"/>
  <c r="AR46" i="18"/>
  <c r="AS46" i="18"/>
  <c r="AT46" i="18"/>
  <c r="AU46" i="18"/>
  <c r="AV46" i="18"/>
  <c r="AW46" i="18"/>
  <c r="AX46" i="18"/>
  <c r="AY46" i="18"/>
  <c r="AZ46" i="18"/>
  <c r="BA46" i="18"/>
  <c r="BB46" i="18"/>
  <c r="BC46" i="18"/>
  <c r="BD46" i="18"/>
  <c r="BE46" i="18"/>
  <c r="BF46" i="18"/>
  <c r="BG46" i="18"/>
  <c r="BH46" i="18"/>
  <c r="BI46" i="18"/>
  <c r="BJ46" i="18"/>
  <c r="BK46" i="18"/>
  <c r="BL46" i="18"/>
  <c r="BM46" i="18"/>
  <c r="BN46" i="18"/>
  <c r="BO46" i="18"/>
  <c r="BP46" i="18"/>
  <c r="BQ46" i="18"/>
  <c r="BR46" i="18"/>
  <c r="BS46" i="18"/>
  <c r="BT46" i="18"/>
  <c r="BU46" i="18"/>
  <c r="BV46" i="18"/>
  <c r="BW46" i="18"/>
  <c r="BX46" i="18"/>
  <c r="BY46" i="18"/>
  <c r="BZ46" i="18"/>
  <c r="CA46" i="18"/>
  <c r="CB46" i="18"/>
  <c r="CC46" i="18"/>
  <c r="CD46" i="18"/>
  <c r="CE46" i="18"/>
  <c r="CF46" i="18"/>
  <c r="CG46" i="18"/>
  <c r="CH46" i="18"/>
  <c r="CI46" i="18"/>
  <c r="CJ46" i="18"/>
  <c r="CK46" i="18"/>
  <c r="CL46" i="18"/>
  <c r="CM46" i="18"/>
  <c r="CN46" i="18"/>
  <c r="CO46" i="18"/>
  <c r="CP46" i="18"/>
  <c r="CQ46" i="18"/>
  <c r="CR46" i="18"/>
  <c r="CS46" i="18"/>
  <c r="CT46" i="18"/>
  <c r="CU46" i="18"/>
  <c r="CV46" i="18"/>
  <c r="CW46" i="18"/>
  <c r="CX46" i="18"/>
  <c r="CY46" i="18"/>
  <c r="CZ46" i="18"/>
  <c r="DA46" i="18"/>
  <c r="DB46" i="18"/>
  <c r="DC46" i="18"/>
  <c r="DD46" i="18"/>
  <c r="DE46" i="18"/>
  <c r="DF46" i="18"/>
  <c r="DG46" i="18"/>
  <c r="DH46" i="18"/>
  <c r="DI46" i="18"/>
  <c r="DJ46" i="18"/>
  <c r="DK46" i="18"/>
  <c r="DL46" i="18"/>
  <c r="DM46" i="18"/>
  <c r="DN46" i="18"/>
  <c r="DO46" i="18"/>
  <c r="DP46" i="18"/>
  <c r="DQ46" i="18"/>
  <c r="DR46" i="18"/>
  <c r="DS46" i="18"/>
  <c r="DT46" i="18"/>
  <c r="DU46" i="18"/>
  <c r="DV46" i="18"/>
  <c r="DW46" i="18"/>
  <c r="DX46" i="18"/>
  <c r="DY46" i="18"/>
  <c r="DZ46" i="18"/>
  <c r="EA46" i="18"/>
  <c r="EB46" i="18"/>
  <c r="EC46" i="18"/>
  <c r="ED46" i="18"/>
  <c r="EE46" i="18"/>
  <c r="EF46" i="18"/>
  <c r="EG46" i="18"/>
  <c r="EH46" i="18"/>
  <c r="EI46" i="18"/>
  <c r="EJ46" i="18"/>
  <c r="EK46" i="18"/>
  <c r="EL46" i="18"/>
  <c r="EM46" i="18"/>
  <c r="EN46" i="18"/>
  <c r="EO46" i="18"/>
  <c r="EP46" i="18"/>
  <c r="EQ46" i="18"/>
  <c r="ER46" i="18"/>
  <c r="ES46" i="18"/>
  <c r="ET46" i="18"/>
  <c r="EU46" i="18"/>
  <c r="EV46" i="18"/>
  <c r="EW46" i="18"/>
  <c r="EX46" i="18"/>
  <c r="EY46" i="18"/>
  <c r="EZ46" i="18"/>
  <c r="FA46" i="18"/>
  <c r="FB46" i="18"/>
  <c r="FC46" i="18"/>
  <c r="FD46" i="18"/>
  <c r="FE46" i="18"/>
  <c r="FF46" i="18"/>
  <c r="FG46" i="18"/>
  <c r="FH46" i="18"/>
  <c r="FI46" i="18"/>
  <c r="FJ46" i="18"/>
  <c r="FK46" i="18"/>
  <c r="FL46" i="18"/>
  <c r="FM46" i="18"/>
  <c r="FN46" i="18"/>
  <c r="FO46" i="18"/>
  <c r="FP46" i="18"/>
  <c r="FQ46" i="18"/>
  <c r="FR46" i="18"/>
  <c r="FS46" i="18"/>
  <c r="FT46" i="18"/>
  <c r="FU46" i="18"/>
  <c r="FV46" i="18"/>
  <c r="FW46" i="18"/>
  <c r="FX46" i="18"/>
  <c r="FY46" i="18"/>
  <c r="FZ46" i="18"/>
  <c r="GA46" i="18"/>
  <c r="GB46" i="18"/>
  <c r="GC46" i="18"/>
  <c r="GD46" i="18"/>
  <c r="GE46" i="18"/>
  <c r="GF46" i="18"/>
  <c r="GG46" i="18"/>
  <c r="GH46" i="18"/>
  <c r="GI46" i="18"/>
  <c r="GJ46" i="18"/>
  <c r="GK46" i="18"/>
  <c r="GL46" i="18"/>
  <c r="GM46" i="18"/>
  <c r="GN46" i="18"/>
  <c r="GO46" i="18"/>
  <c r="GP46" i="18"/>
  <c r="GQ46" i="18"/>
  <c r="GR46" i="18"/>
  <c r="GS46" i="18"/>
  <c r="GT46" i="18"/>
  <c r="GU46" i="18"/>
  <c r="GV46" i="18"/>
  <c r="GW46" i="18"/>
  <c r="GX46" i="18"/>
  <c r="GY46" i="18"/>
  <c r="GZ46" i="18"/>
  <c r="HA46" i="18"/>
  <c r="HB46" i="18"/>
  <c r="HC46" i="18"/>
  <c r="HD46" i="18"/>
  <c r="HE46" i="18"/>
  <c r="HF46" i="18"/>
  <c r="HG46" i="18"/>
  <c r="HH46" i="18"/>
  <c r="HI46" i="18"/>
  <c r="HJ46" i="18"/>
  <c r="HK46" i="18"/>
  <c r="HL46" i="18"/>
  <c r="HM46" i="18"/>
  <c r="HN46" i="18"/>
  <c r="HO46" i="18"/>
  <c r="HP46" i="18"/>
  <c r="HQ46" i="18"/>
  <c r="HR46" i="18"/>
  <c r="HS46" i="18"/>
  <c r="HT46" i="18"/>
  <c r="HU46" i="18"/>
  <c r="HV46" i="18"/>
  <c r="HW46" i="18"/>
  <c r="HX46" i="18"/>
  <c r="HY46" i="18"/>
  <c r="HZ46" i="18"/>
  <c r="IA46" i="18"/>
  <c r="IB46" i="18"/>
  <c r="IC46" i="18"/>
  <c r="ID46" i="18"/>
  <c r="IE46" i="18"/>
  <c r="IF46" i="18"/>
  <c r="IG46" i="18"/>
  <c r="IH46" i="18"/>
  <c r="II46" i="18"/>
  <c r="IJ46" i="18"/>
  <c r="IK46" i="18"/>
  <c r="IL46" i="18"/>
  <c r="IM46" i="18"/>
  <c r="IN46" i="18"/>
  <c r="IO46" i="18"/>
  <c r="IP46" i="18"/>
  <c r="IQ46" i="18"/>
  <c r="IR46" i="18"/>
  <c r="IS46" i="18"/>
  <c r="IT46" i="18"/>
  <c r="IU46" i="18"/>
  <c r="IV46" i="18"/>
  <c r="A47" i="18"/>
  <c r="B47" i="18"/>
  <c r="C47" i="18"/>
  <c r="D47" i="18"/>
  <c r="E47" i="18"/>
  <c r="F47" i="18"/>
  <c r="G47" i="18"/>
  <c r="H47" i="18"/>
  <c r="I47" i="18"/>
  <c r="J47" i="18"/>
  <c r="K47" i="18"/>
  <c r="L47" i="18"/>
  <c r="M47" i="18"/>
  <c r="N47" i="18"/>
  <c r="O47" i="18"/>
  <c r="P47" i="18"/>
  <c r="Q47" i="18"/>
  <c r="R47" i="18"/>
  <c r="S47" i="18"/>
  <c r="T47" i="18"/>
  <c r="U47" i="18"/>
  <c r="V47" i="18"/>
  <c r="W47" i="18"/>
  <c r="X47" i="18"/>
  <c r="Y47" i="18"/>
  <c r="Z47" i="18"/>
  <c r="AA47" i="18"/>
  <c r="AB47" i="18"/>
  <c r="AC47" i="18"/>
  <c r="AD47" i="18"/>
  <c r="AE47" i="18"/>
  <c r="AF47" i="18"/>
  <c r="AG47" i="18"/>
  <c r="AH47" i="18"/>
  <c r="AI47" i="18"/>
  <c r="AJ47" i="18"/>
  <c r="AK47" i="18"/>
  <c r="AL47" i="18"/>
  <c r="AM47" i="18"/>
  <c r="AN47" i="18"/>
  <c r="AO47" i="18"/>
  <c r="AP47" i="18"/>
  <c r="AQ47" i="18"/>
  <c r="AR47" i="18"/>
  <c r="AS47" i="18"/>
  <c r="AT47" i="18"/>
  <c r="AU47" i="18"/>
  <c r="AV47" i="18"/>
  <c r="AW47" i="18"/>
  <c r="AX47" i="18"/>
  <c r="AY47" i="18"/>
  <c r="AZ47" i="18"/>
  <c r="BA47" i="18"/>
  <c r="BB47" i="18"/>
  <c r="BC47" i="18"/>
  <c r="BD47" i="18"/>
  <c r="BE47" i="18"/>
  <c r="BF47" i="18"/>
  <c r="BG47" i="18"/>
  <c r="BH47" i="18"/>
  <c r="BI47" i="18"/>
  <c r="BJ47" i="18"/>
  <c r="BK47" i="18"/>
  <c r="BL47" i="18"/>
  <c r="BM47" i="18"/>
  <c r="BN47" i="18"/>
  <c r="BO47" i="18"/>
  <c r="BP47" i="18"/>
  <c r="BQ47" i="18"/>
  <c r="BR47" i="18"/>
  <c r="BS47" i="18"/>
  <c r="BT47" i="18"/>
  <c r="BU47" i="18"/>
  <c r="BV47" i="18"/>
  <c r="BW47" i="18"/>
  <c r="BX47" i="18"/>
  <c r="BY47" i="18"/>
  <c r="BZ47" i="18"/>
  <c r="CA47" i="18"/>
  <c r="CB47" i="18"/>
  <c r="CC47" i="18"/>
  <c r="CD47" i="18"/>
  <c r="CE47" i="18"/>
  <c r="CF47" i="18"/>
  <c r="CG47" i="18"/>
  <c r="CH47" i="18"/>
  <c r="CI47" i="18"/>
  <c r="CJ47" i="18"/>
  <c r="CK47" i="18"/>
  <c r="CL47" i="18"/>
  <c r="CM47" i="18"/>
  <c r="CN47" i="18"/>
  <c r="CO47" i="18"/>
  <c r="CP47" i="18"/>
  <c r="CQ47" i="18"/>
  <c r="CR47" i="18"/>
  <c r="CS47" i="18"/>
  <c r="CT47" i="18"/>
  <c r="CU47" i="18"/>
  <c r="CV47" i="18"/>
  <c r="CW47" i="18"/>
  <c r="CX47" i="18"/>
  <c r="CY47" i="18"/>
  <c r="CZ47" i="18"/>
  <c r="DA47" i="18"/>
  <c r="DB47" i="18"/>
  <c r="DC47" i="18"/>
  <c r="DD47" i="18"/>
  <c r="DE47" i="18"/>
  <c r="DF47" i="18"/>
  <c r="DG47" i="18"/>
  <c r="DH47" i="18"/>
  <c r="DI47" i="18"/>
  <c r="DJ47" i="18"/>
  <c r="DK47" i="18"/>
  <c r="DL47" i="18"/>
  <c r="DM47" i="18"/>
  <c r="DN47" i="18"/>
  <c r="DO47" i="18"/>
  <c r="DP47" i="18"/>
  <c r="DQ47" i="18"/>
  <c r="DR47" i="18"/>
  <c r="DS47" i="18"/>
  <c r="DT47" i="18"/>
  <c r="DU47" i="18"/>
  <c r="DV47" i="18"/>
  <c r="DW47" i="18"/>
  <c r="DX47" i="18"/>
  <c r="DY47" i="18"/>
  <c r="DZ47" i="18"/>
  <c r="EA47" i="18"/>
  <c r="EB47" i="18"/>
  <c r="EC47" i="18"/>
  <c r="ED47" i="18"/>
  <c r="EE47" i="18"/>
  <c r="EF47" i="18"/>
  <c r="EG47" i="18"/>
  <c r="EH47" i="18"/>
  <c r="EI47" i="18"/>
  <c r="EJ47" i="18"/>
  <c r="EK47" i="18"/>
  <c r="EL47" i="18"/>
  <c r="EM47" i="18"/>
  <c r="EN47" i="18"/>
  <c r="EO47" i="18"/>
  <c r="EP47" i="18"/>
  <c r="EQ47" i="18"/>
  <c r="ER47" i="18"/>
  <c r="ES47" i="18"/>
  <c r="ET47" i="18"/>
  <c r="EU47" i="18"/>
  <c r="EV47" i="18"/>
  <c r="EW47" i="18"/>
  <c r="EX47" i="18"/>
  <c r="EY47" i="18"/>
  <c r="EZ47" i="18"/>
  <c r="FA47" i="18"/>
  <c r="FB47" i="18"/>
  <c r="FC47" i="18"/>
  <c r="FD47" i="18"/>
  <c r="FE47" i="18"/>
  <c r="FF47" i="18"/>
  <c r="FG47" i="18"/>
  <c r="FH47" i="18"/>
  <c r="FI47" i="18"/>
  <c r="FJ47" i="18"/>
  <c r="FK47" i="18"/>
  <c r="FL47" i="18"/>
  <c r="FM47" i="18"/>
  <c r="FN47" i="18"/>
  <c r="FO47" i="18"/>
  <c r="FP47" i="18"/>
  <c r="FQ47" i="18"/>
  <c r="FR47" i="18"/>
  <c r="FS47" i="18"/>
  <c r="FT47" i="18"/>
  <c r="FU47" i="18"/>
  <c r="FV47" i="18"/>
  <c r="FW47" i="18"/>
  <c r="FX47" i="18"/>
  <c r="FY47" i="18"/>
  <c r="FZ47" i="18"/>
  <c r="GA47" i="18"/>
  <c r="GB47" i="18"/>
  <c r="GC47" i="18"/>
  <c r="GD47" i="18"/>
  <c r="GE47" i="18"/>
  <c r="GF47" i="18"/>
  <c r="GG47" i="18"/>
  <c r="GH47" i="18"/>
  <c r="GI47" i="18"/>
  <c r="GJ47" i="18"/>
  <c r="GK47" i="18"/>
  <c r="GL47" i="18"/>
  <c r="GM47" i="18"/>
  <c r="GN47" i="18"/>
  <c r="GO47" i="18"/>
  <c r="GP47" i="18"/>
  <c r="GQ47" i="18"/>
  <c r="GR47" i="18"/>
  <c r="GS47" i="18"/>
  <c r="GT47" i="18"/>
  <c r="GU47" i="18"/>
  <c r="GV47" i="18"/>
  <c r="GW47" i="18"/>
  <c r="GX47" i="18"/>
  <c r="GY47" i="18"/>
  <c r="GZ47" i="18"/>
  <c r="HA47" i="18"/>
  <c r="HB47" i="18"/>
  <c r="HC47" i="18"/>
  <c r="HD47" i="18"/>
  <c r="HE47" i="18"/>
  <c r="HF47" i="18"/>
  <c r="HG47" i="18"/>
  <c r="HH47" i="18"/>
  <c r="HI47" i="18"/>
  <c r="HJ47" i="18"/>
  <c r="HK47" i="18"/>
  <c r="HL47" i="18"/>
  <c r="HM47" i="18"/>
  <c r="HN47" i="18"/>
  <c r="HO47" i="18"/>
  <c r="HP47" i="18"/>
  <c r="HQ47" i="18"/>
  <c r="HR47" i="18"/>
  <c r="HS47" i="18"/>
  <c r="HT47" i="18"/>
  <c r="HU47" i="18"/>
  <c r="HV47" i="18"/>
  <c r="HW47" i="18"/>
  <c r="HX47" i="18"/>
  <c r="HY47" i="18"/>
  <c r="HZ47" i="18"/>
  <c r="IA47" i="18"/>
  <c r="IB47" i="18"/>
  <c r="IC47" i="18"/>
  <c r="ID47" i="18"/>
  <c r="IE47" i="18"/>
  <c r="IF47" i="18"/>
  <c r="IG47" i="18"/>
  <c r="IH47" i="18"/>
  <c r="II47" i="18"/>
  <c r="IJ47" i="18"/>
  <c r="IK47" i="18"/>
  <c r="IL47" i="18"/>
  <c r="IM47" i="18"/>
  <c r="IN47" i="18"/>
  <c r="IO47" i="18"/>
  <c r="IP47" i="18"/>
  <c r="IQ47" i="18"/>
  <c r="IR47" i="18"/>
  <c r="IS47" i="18"/>
  <c r="IT47" i="18"/>
  <c r="IU47" i="18"/>
  <c r="IV47" i="18"/>
  <c r="A48" i="18"/>
  <c r="B48" i="18"/>
  <c r="C48" i="18"/>
  <c r="D48" i="18"/>
  <c r="E48" i="18"/>
  <c r="F48" i="18"/>
  <c r="G48" i="18"/>
  <c r="H48" i="18"/>
  <c r="I48" i="18"/>
  <c r="J48" i="18"/>
  <c r="K48" i="18"/>
  <c r="L48" i="18"/>
  <c r="M48" i="18"/>
  <c r="N48" i="18"/>
  <c r="O48" i="18"/>
  <c r="P48" i="18"/>
  <c r="Q48" i="18"/>
  <c r="R48" i="18"/>
  <c r="S48" i="18"/>
  <c r="T48" i="18"/>
  <c r="U48" i="18"/>
  <c r="V48" i="18"/>
  <c r="W48" i="18"/>
  <c r="X48" i="18"/>
  <c r="Y48" i="18"/>
  <c r="Z48" i="18"/>
  <c r="AA48" i="18"/>
  <c r="AB48" i="18"/>
  <c r="AC48" i="18"/>
  <c r="AD48" i="18"/>
  <c r="AE48" i="18"/>
  <c r="AF48" i="18"/>
  <c r="AG48" i="18"/>
  <c r="AH48" i="18"/>
  <c r="AI48" i="18"/>
  <c r="AJ48" i="18"/>
  <c r="AK48" i="18"/>
  <c r="AL48" i="18"/>
  <c r="AM48" i="18"/>
  <c r="AN48" i="18"/>
  <c r="AO48" i="18"/>
  <c r="AP48" i="18"/>
  <c r="AQ48" i="18"/>
  <c r="AR48" i="18"/>
  <c r="AS48" i="18"/>
  <c r="AT48" i="18"/>
  <c r="AU48" i="18"/>
  <c r="AV48" i="18"/>
  <c r="AW48" i="18"/>
  <c r="AX48" i="18"/>
  <c r="AY48" i="18"/>
  <c r="AZ48" i="18"/>
  <c r="BA48" i="18"/>
  <c r="BB48" i="18"/>
  <c r="BC48" i="18"/>
  <c r="BD48" i="18"/>
  <c r="BE48" i="18"/>
  <c r="BF48" i="18"/>
  <c r="BG48" i="18"/>
  <c r="BH48" i="18"/>
  <c r="BI48" i="18"/>
  <c r="BJ48" i="18"/>
  <c r="BK48" i="18"/>
  <c r="BL48" i="18"/>
  <c r="BM48" i="18"/>
  <c r="BN48" i="18"/>
  <c r="BO48" i="18"/>
  <c r="BP48" i="18"/>
  <c r="BQ48" i="18"/>
  <c r="BR48" i="18"/>
  <c r="BS48" i="18"/>
  <c r="BT48" i="18"/>
  <c r="BU48" i="18"/>
  <c r="BV48" i="18"/>
  <c r="BW48" i="18"/>
  <c r="BX48" i="18"/>
  <c r="BY48" i="18"/>
  <c r="BZ48" i="18"/>
  <c r="CA48" i="18"/>
  <c r="CB48" i="18"/>
  <c r="CC48" i="18"/>
  <c r="CD48" i="18"/>
  <c r="CE48" i="18"/>
  <c r="CF48" i="18"/>
  <c r="CG48" i="18"/>
  <c r="CH48" i="18"/>
  <c r="CI48" i="18"/>
  <c r="CJ48" i="18"/>
  <c r="CK48" i="18"/>
  <c r="CL48" i="18"/>
  <c r="CM48" i="18"/>
  <c r="CN48" i="18"/>
  <c r="CO48" i="18"/>
  <c r="CP48" i="18"/>
  <c r="CQ48" i="18"/>
  <c r="CR48" i="18"/>
  <c r="CS48" i="18"/>
  <c r="CT48" i="18"/>
  <c r="CU48" i="18"/>
  <c r="CV48" i="18"/>
  <c r="CW48" i="18"/>
  <c r="CX48" i="18"/>
  <c r="CY48" i="18"/>
  <c r="CZ48" i="18"/>
  <c r="DA48" i="18"/>
  <c r="DB48" i="18"/>
  <c r="DC48" i="18"/>
  <c r="DD48" i="18"/>
  <c r="DE48" i="18"/>
  <c r="DF48" i="18"/>
  <c r="DG48" i="18"/>
  <c r="DH48" i="18"/>
  <c r="DI48" i="18"/>
  <c r="DJ48" i="18"/>
  <c r="DK48" i="18"/>
  <c r="DL48" i="18"/>
  <c r="DM48" i="18"/>
  <c r="DN48" i="18"/>
  <c r="DO48" i="18"/>
  <c r="DP48" i="18"/>
  <c r="DQ48" i="18"/>
  <c r="DR48" i="18"/>
  <c r="DS48" i="18"/>
  <c r="DT48" i="18"/>
  <c r="DU48" i="18"/>
  <c r="DV48" i="18"/>
  <c r="DW48" i="18"/>
  <c r="DX48" i="18"/>
  <c r="DY48" i="18"/>
  <c r="DZ48" i="18"/>
  <c r="EA48" i="18"/>
  <c r="EB48" i="18"/>
  <c r="EC48" i="18"/>
  <c r="ED48" i="18"/>
  <c r="EE48" i="18"/>
  <c r="EF48" i="18"/>
  <c r="EG48" i="18"/>
  <c r="EH48" i="18"/>
  <c r="EI48" i="18"/>
  <c r="EJ48" i="18"/>
  <c r="EK48" i="18"/>
  <c r="EL48" i="18"/>
  <c r="EM48" i="18"/>
  <c r="EN48" i="18"/>
  <c r="EO48" i="18"/>
  <c r="EP48" i="18"/>
  <c r="EQ48" i="18"/>
  <c r="ER48" i="18"/>
  <c r="ES48" i="18"/>
  <c r="ET48" i="18"/>
  <c r="EU48" i="18"/>
  <c r="EV48" i="18"/>
  <c r="EW48" i="18"/>
  <c r="EX48" i="18"/>
  <c r="EY48" i="18"/>
  <c r="EZ48" i="18"/>
  <c r="FA48" i="18"/>
  <c r="FB48" i="18"/>
  <c r="FC48" i="18"/>
  <c r="FD48" i="18"/>
  <c r="FE48" i="18"/>
  <c r="FF48" i="18"/>
  <c r="FG48" i="18"/>
  <c r="FH48" i="18"/>
  <c r="FI48" i="18"/>
  <c r="FJ48" i="18"/>
  <c r="FK48" i="18"/>
  <c r="FL48" i="18"/>
  <c r="FM48" i="18"/>
  <c r="FN48" i="18"/>
  <c r="FO48" i="18"/>
  <c r="FP48" i="18"/>
  <c r="FQ48" i="18"/>
  <c r="FR48" i="18"/>
  <c r="FS48" i="18"/>
  <c r="FT48" i="18"/>
  <c r="FU48" i="18"/>
  <c r="FV48" i="18"/>
  <c r="FW48" i="18"/>
  <c r="FX48" i="18"/>
  <c r="FY48" i="18"/>
  <c r="FZ48" i="18"/>
  <c r="GA48" i="18"/>
  <c r="GB48" i="18"/>
  <c r="GC48" i="18"/>
  <c r="GD48" i="18"/>
  <c r="GE48" i="18"/>
  <c r="GF48" i="18"/>
  <c r="GG48" i="18"/>
  <c r="GH48" i="18"/>
  <c r="GI48" i="18"/>
  <c r="GJ48" i="18"/>
  <c r="GK48" i="18"/>
  <c r="GL48" i="18"/>
  <c r="GM48" i="18"/>
  <c r="GN48" i="18"/>
  <c r="GO48" i="18"/>
  <c r="GP48" i="18"/>
  <c r="GQ48" i="18"/>
  <c r="GR48" i="18"/>
  <c r="GS48" i="18"/>
  <c r="GT48" i="18"/>
  <c r="GU48" i="18"/>
  <c r="GV48" i="18"/>
  <c r="GW48" i="18"/>
  <c r="GX48" i="18"/>
  <c r="GY48" i="18"/>
  <c r="GZ48" i="18"/>
  <c r="HA48" i="18"/>
  <c r="HB48" i="18"/>
  <c r="HC48" i="18"/>
  <c r="HD48" i="18"/>
  <c r="HE48" i="18"/>
  <c r="HF48" i="18"/>
  <c r="HG48" i="18"/>
  <c r="HH48" i="18"/>
  <c r="HI48" i="18"/>
  <c r="HJ48" i="18"/>
  <c r="HK48" i="18"/>
  <c r="HL48" i="18"/>
  <c r="HM48" i="18"/>
  <c r="HN48" i="18"/>
  <c r="HO48" i="18"/>
  <c r="HP48" i="18"/>
  <c r="HQ48" i="18"/>
  <c r="HR48" i="18"/>
  <c r="HS48" i="18"/>
  <c r="HT48" i="18"/>
  <c r="HU48" i="18"/>
  <c r="HV48" i="18"/>
  <c r="HW48" i="18"/>
  <c r="HX48" i="18"/>
  <c r="HY48" i="18"/>
  <c r="HZ48" i="18"/>
  <c r="IA48" i="18"/>
  <c r="IB48" i="18"/>
  <c r="IC48" i="18"/>
  <c r="ID48" i="18"/>
  <c r="IE48" i="18"/>
  <c r="IF48" i="18"/>
  <c r="IG48" i="18"/>
  <c r="IH48" i="18"/>
  <c r="II48" i="18"/>
  <c r="IJ48" i="18"/>
  <c r="IK48" i="18"/>
  <c r="IL48" i="18"/>
  <c r="IM48" i="18"/>
  <c r="IN48" i="18"/>
  <c r="IO48" i="18"/>
  <c r="IP48" i="18"/>
  <c r="IQ48" i="18"/>
  <c r="IR48" i="18"/>
  <c r="IS48" i="18"/>
  <c r="IT48" i="18"/>
  <c r="IU48" i="18"/>
  <c r="IV48" i="18"/>
  <c r="A49" i="18"/>
  <c r="B49" i="18"/>
  <c r="C49" i="18"/>
  <c r="D49" i="18"/>
  <c r="E49" i="18"/>
  <c r="F49" i="18"/>
  <c r="G49" i="18"/>
  <c r="H49" i="18"/>
  <c r="I49" i="18"/>
  <c r="J49" i="18"/>
  <c r="K49" i="18"/>
  <c r="L49" i="18"/>
  <c r="M49" i="18"/>
  <c r="N49" i="18"/>
  <c r="O49" i="18"/>
  <c r="P49" i="18"/>
  <c r="Q49" i="18"/>
  <c r="R49" i="18"/>
  <c r="S49" i="18"/>
  <c r="T49" i="18"/>
  <c r="U49" i="18"/>
  <c r="V49" i="18"/>
  <c r="W49" i="18"/>
  <c r="X49" i="18"/>
  <c r="Y49" i="18"/>
  <c r="Z49" i="18"/>
  <c r="AA49" i="18"/>
  <c r="AB49" i="18"/>
  <c r="AC49" i="18"/>
  <c r="AD49" i="18"/>
  <c r="AE49" i="18"/>
  <c r="AF49" i="18"/>
  <c r="AG49" i="18"/>
  <c r="AH49" i="18"/>
  <c r="AI49" i="18"/>
  <c r="AJ49" i="18"/>
  <c r="AK49" i="18"/>
  <c r="AL49" i="18"/>
  <c r="AM49" i="18"/>
  <c r="AN49" i="18"/>
  <c r="AO49" i="18"/>
  <c r="AP49" i="18"/>
  <c r="AQ49" i="18"/>
  <c r="AR49" i="18"/>
  <c r="AS49" i="18"/>
  <c r="AT49" i="18"/>
  <c r="AU49" i="18"/>
  <c r="AV49" i="18"/>
  <c r="AW49" i="18"/>
  <c r="AX49" i="18"/>
  <c r="AY49" i="18"/>
  <c r="AZ49" i="18"/>
  <c r="BA49" i="18"/>
  <c r="BB49" i="18"/>
  <c r="BC49" i="18"/>
  <c r="BD49" i="18"/>
  <c r="BE49" i="18"/>
  <c r="BF49" i="18"/>
  <c r="BG49" i="18"/>
  <c r="BH49" i="18"/>
  <c r="BI49" i="18"/>
  <c r="BJ49" i="18"/>
  <c r="BK49" i="18"/>
  <c r="BL49" i="18"/>
  <c r="BM49" i="18"/>
  <c r="BN49" i="18"/>
  <c r="BO49" i="18"/>
  <c r="BP49" i="18"/>
  <c r="BQ49" i="18"/>
  <c r="BR49" i="18"/>
  <c r="BS49" i="18"/>
  <c r="BT49" i="18"/>
  <c r="BU49" i="18"/>
  <c r="BV49" i="18"/>
  <c r="BW49" i="18"/>
  <c r="BX49" i="18"/>
  <c r="BY49" i="18"/>
  <c r="BZ49" i="18"/>
  <c r="CA49" i="18"/>
  <c r="CB49" i="18"/>
  <c r="CC49" i="18"/>
  <c r="CD49" i="18"/>
  <c r="CE49" i="18"/>
  <c r="CF49" i="18"/>
  <c r="CG49" i="18"/>
  <c r="CH49" i="18"/>
  <c r="CI49" i="18"/>
  <c r="CJ49" i="18"/>
  <c r="CK49" i="18"/>
  <c r="CL49" i="18"/>
  <c r="CM49" i="18"/>
  <c r="CN49" i="18"/>
  <c r="CO49" i="18"/>
  <c r="CP49" i="18"/>
  <c r="CQ49" i="18"/>
  <c r="CR49" i="18"/>
  <c r="CS49" i="18"/>
  <c r="CT49" i="18"/>
  <c r="CU49" i="18"/>
  <c r="CV49" i="18"/>
  <c r="CW49" i="18"/>
  <c r="CX49" i="18"/>
  <c r="CY49" i="18"/>
  <c r="CZ49" i="18"/>
  <c r="DA49" i="18"/>
  <c r="DB49" i="18"/>
  <c r="DC49" i="18"/>
  <c r="DD49" i="18"/>
  <c r="DE49" i="18"/>
  <c r="DF49" i="18"/>
  <c r="DG49" i="18"/>
  <c r="DH49" i="18"/>
  <c r="DI49" i="18"/>
  <c r="DJ49" i="18"/>
  <c r="DK49" i="18"/>
  <c r="DL49" i="18"/>
  <c r="DM49" i="18"/>
  <c r="DN49" i="18"/>
  <c r="DO49" i="18"/>
  <c r="DP49" i="18"/>
  <c r="DQ49" i="18"/>
  <c r="DR49" i="18"/>
  <c r="DS49" i="18"/>
  <c r="DT49" i="18"/>
  <c r="DU49" i="18"/>
  <c r="DV49" i="18"/>
  <c r="DW49" i="18"/>
  <c r="DX49" i="18"/>
  <c r="DY49" i="18"/>
  <c r="DZ49" i="18"/>
  <c r="EA49" i="18"/>
  <c r="EB49" i="18"/>
  <c r="EC49" i="18"/>
  <c r="ED49" i="18"/>
  <c r="EE49" i="18"/>
  <c r="EF49" i="18"/>
  <c r="EG49" i="18"/>
  <c r="EH49" i="18"/>
  <c r="EI49" i="18"/>
  <c r="EJ49" i="18"/>
  <c r="EK49" i="18"/>
  <c r="EL49" i="18"/>
  <c r="EM49" i="18"/>
  <c r="EN49" i="18"/>
  <c r="EO49" i="18"/>
  <c r="EP49" i="18"/>
  <c r="EQ49" i="18"/>
  <c r="ER49" i="18"/>
  <c r="ES49" i="18"/>
  <c r="ET49" i="18"/>
  <c r="EU49" i="18"/>
  <c r="EV49" i="18"/>
  <c r="EW49" i="18"/>
  <c r="EX49" i="18"/>
  <c r="EY49" i="18"/>
  <c r="EZ49" i="18"/>
  <c r="FA49" i="18"/>
  <c r="FB49" i="18"/>
  <c r="FC49" i="18"/>
  <c r="FD49" i="18"/>
  <c r="FE49" i="18"/>
  <c r="FF49" i="18"/>
  <c r="FG49" i="18"/>
  <c r="FH49" i="18"/>
  <c r="FI49" i="18"/>
  <c r="FJ49" i="18"/>
  <c r="FK49" i="18"/>
  <c r="FL49" i="18"/>
  <c r="FM49" i="18"/>
  <c r="FN49" i="18"/>
  <c r="FO49" i="18"/>
  <c r="FP49" i="18"/>
  <c r="FQ49" i="18"/>
  <c r="FR49" i="18"/>
  <c r="FS49" i="18"/>
  <c r="FT49" i="18"/>
  <c r="FU49" i="18"/>
  <c r="FV49" i="18"/>
  <c r="FW49" i="18"/>
  <c r="FX49" i="18"/>
  <c r="FY49" i="18"/>
  <c r="FZ49" i="18"/>
  <c r="GA49" i="18"/>
  <c r="GB49" i="18"/>
  <c r="GC49" i="18"/>
  <c r="GD49" i="18"/>
  <c r="GE49" i="18"/>
  <c r="GF49" i="18"/>
  <c r="GG49" i="18"/>
  <c r="GH49" i="18"/>
  <c r="GI49" i="18"/>
  <c r="GJ49" i="18"/>
  <c r="GK49" i="18"/>
  <c r="GL49" i="18"/>
  <c r="GM49" i="18"/>
  <c r="GN49" i="18"/>
  <c r="GO49" i="18"/>
  <c r="GP49" i="18"/>
  <c r="GQ49" i="18"/>
  <c r="GR49" i="18"/>
  <c r="GS49" i="18"/>
  <c r="GT49" i="18"/>
  <c r="GU49" i="18"/>
  <c r="GV49" i="18"/>
  <c r="GW49" i="18"/>
  <c r="GX49" i="18"/>
  <c r="GY49" i="18"/>
  <c r="GZ49" i="18"/>
  <c r="HA49" i="18"/>
  <c r="HB49" i="18"/>
  <c r="HC49" i="18"/>
  <c r="HD49" i="18"/>
  <c r="HE49" i="18"/>
  <c r="HF49" i="18"/>
  <c r="HG49" i="18"/>
  <c r="HH49" i="18"/>
  <c r="HI49" i="18"/>
  <c r="HJ49" i="18"/>
  <c r="HK49" i="18"/>
  <c r="HL49" i="18"/>
  <c r="HM49" i="18"/>
  <c r="HN49" i="18"/>
  <c r="HO49" i="18"/>
  <c r="HP49" i="18"/>
  <c r="HQ49" i="18"/>
  <c r="HR49" i="18"/>
  <c r="HS49" i="18"/>
  <c r="HT49" i="18"/>
  <c r="HU49" i="18"/>
  <c r="HV49" i="18"/>
  <c r="HW49" i="18"/>
  <c r="HX49" i="18"/>
  <c r="HY49" i="18"/>
  <c r="HZ49" i="18"/>
  <c r="IA49" i="18"/>
  <c r="IB49" i="18"/>
  <c r="IC49" i="18"/>
  <c r="ID49" i="18"/>
  <c r="IE49" i="18"/>
  <c r="IF49" i="18"/>
  <c r="IG49" i="18"/>
  <c r="IH49" i="18"/>
  <c r="II49" i="18"/>
  <c r="IJ49" i="18"/>
  <c r="IK49" i="18"/>
  <c r="IL49" i="18"/>
  <c r="IM49" i="18"/>
  <c r="IN49" i="18"/>
  <c r="IO49" i="18"/>
  <c r="IP49" i="18"/>
  <c r="IQ49" i="18"/>
  <c r="IR49" i="18"/>
  <c r="IS49" i="18"/>
  <c r="IT49" i="18"/>
  <c r="IU49" i="18"/>
  <c r="IV49" i="18"/>
  <c r="A50" i="18"/>
  <c r="B50" i="18"/>
  <c r="C50" i="18"/>
  <c r="D50" i="18"/>
  <c r="E50" i="18"/>
  <c r="F50" i="18"/>
  <c r="G50" i="18"/>
  <c r="H50" i="18"/>
  <c r="I50" i="18"/>
  <c r="J50" i="18"/>
  <c r="K50" i="18"/>
  <c r="L50" i="18"/>
  <c r="M50" i="18"/>
  <c r="N50" i="18"/>
  <c r="O50" i="18"/>
  <c r="P50" i="18"/>
  <c r="Q50" i="18"/>
  <c r="R50" i="18"/>
  <c r="S50" i="18"/>
  <c r="T50" i="18"/>
  <c r="U50" i="18"/>
  <c r="V50" i="18"/>
  <c r="W50" i="18"/>
  <c r="X50" i="18"/>
  <c r="Y50" i="18"/>
  <c r="Z50" i="18"/>
  <c r="AA50" i="18"/>
  <c r="AB50" i="18"/>
  <c r="AC50" i="18"/>
  <c r="AD50" i="18"/>
  <c r="AE50" i="18"/>
  <c r="AF50" i="18"/>
  <c r="AG50" i="18"/>
  <c r="AH50" i="18"/>
  <c r="AI50" i="18"/>
  <c r="AJ50" i="18"/>
  <c r="AK50" i="18"/>
  <c r="AL50" i="18"/>
  <c r="AM50" i="18"/>
  <c r="AN50" i="18"/>
  <c r="AO50" i="18"/>
  <c r="AP50" i="18"/>
  <c r="AQ50" i="18"/>
  <c r="AR50" i="18"/>
  <c r="AS50" i="18"/>
  <c r="AT50" i="18"/>
  <c r="AU50" i="18"/>
  <c r="AV50" i="18"/>
  <c r="AW50" i="18"/>
  <c r="AX50" i="18"/>
  <c r="AY50" i="18"/>
  <c r="AZ50" i="18"/>
  <c r="BA50" i="18"/>
  <c r="BB50" i="18"/>
  <c r="BC50" i="18"/>
  <c r="BD50" i="18"/>
  <c r="BE50" i="18"/>
  <c r="BF50" i="18"/>
  <c r="BG50" i="18"/>
  <c r="BH50" i="18"/>
  <c r="BI50" i="18"/>
  <c r="BJ50" i="18"/>
  <c r="BK50" i="18"/>
  <c r="BL50" i="18"/>
  <c r="BM50" i="18"/>
  <c r="BN50" i="18"/>
  <c r="BO50" i="18"/>
  <c r="BP50" i="18"/>
  <c r="BQ50" i="18"/>
  <c r="BR50" i="18"/>
  <c r="BS50" i="18"/>
  <c r="BT50" i="18"/>
  <c r="BU50" i="18"/>
  <c r="BV50" i="18"/>
  <c r="BW50" i="18"/>
  <c r="BX50" i="18"/>
  <c r="BY50" i="18"/>
  <c r="BZ50" i="18"/>
  <c r="CA50" i="18"/>
  <c r="CB50" i="18"/>
  <c r="CC50" i="18"/>
  <c r="CD50" i="18"/>
  <c r="CE50" i="18"/>
  <c r="CF50" i="18"/>
  <c r="CG50" i="18"/>
  <c r="CH50" i="18"/>
  <c r="CI50" i="18"/>
  <c r="CJ50" i="18"/>
  <c r="CK50" i="18"/>
  <c r="CL50" i="18"/>
  <c r="CM50" i="18"/>
  <c r="CN50" i="18"/>
  <c r="CO50" i="18"/>
  <c r="CP50" i="18"/>
  <c r="CQ50" i="18"/>
  <c r="CR50" i="18"/>
  <c r="CS50" i="18"/>
  <c r="CT50" i="18"/>
  <c r="CU50" i="18"/>
  <c r="CV50" i="18"/>
  <c r="CW50" i="18"/>
  <c r="CX50" i="18"/>
  <c r="CY50" i="18"/>
  <c r="CZ50" i="18"/>
  <c r="DA50" i="18"/>
  <c r="DB50" i="18"/>
  <c r="DC50" i="18"/>
  <c r="DD50" i="18"/>
  <c r="DE50" i="18"/>
  <c r="DF50" i="18"/>
  <c r="DG50" i="18"/>
  <c r="DH50" i="18"/>
  <c r="DI50" i="18"/>
  <c r="DJ50" i="18"/>
  <c r="DK50" i="18"/>
  <c r="DL50" i="18"/>
  <c r="DM50" i="18"/>
  <c r="DN50" i="18"/>
  <c r="DO50" i="18"/>
  <c r="DP50" i="18"/>
  <c r="DQ50" i="18"/>
  <c r="DR50" i="18"/>
  <c r="DS50" i="18"/>
  <c r="DT50" i="18"/>
  <c r="DU50" i="18"/>
  <c r="DV50" i="18"/>
  <c r="DW50" i="18"/>
  <c r="DX50" i="18"/>
  <c r="DY50" i="18"/>
  <c r="DZ50" i="18"/>
  <c r="EA50" i="18"/>
  <c r="EB50" i="18"/>
  <c r="EC50" i="18"/>
  <c r="ED50" i="18"/>
  <c r="EE50" i="18"/>
  <c r="EF50" i="18"/>
  <c r="EG50" i="18"/>
  <c r="EH50" i="18"/>
  <c r="EI50" i="18"/>
  <c r="EJ50" i="18"/>
  <c r="EK50" i="18"/>
  <c r="EL50" i="18"/>
  <c r="EM50" i="18"/>
  <c r="EN50" i="18"/>
  <c r="EO50" i="18"/>
  <c r="EP50" i="18"/>
  <c r="EQ50" i="18"/>
  <c r="ER50" i="18"/>
  <c r="ES50" i="18"/>
  <c r="ET50" i="18"/>
  <c r="EU50" i="18"/>
  <c r="EV50" i="18"/>
  <c r="EW50" i="18"/>
  <c r="EX50" i="18"/>
  <c r="EY50" i="18"/>
  <c r="EZ50" i="18"/>
  <c r="FA50" i="18"/>
  <c r="FB50" i="18"/>
  <c r="FC50" i="18"/>
  <c r="FD50" i="18"/>
  <c r="FE50" i="18"/>
  <c r="FF50" i="18"/>
  <c r="FG50" i="18"/>
  <c r="FH50" i="18"/>
  <c r="FI50" i="18"/>
  <c r="FJ50" i="18"/>
  <c r="FK50" i="18"/>
  <c r="FL50" i="18"/>
  <c r="FM50" i="18"/>
  <c r="FN50" i="18"/>
  <c r="FO50" i="18"/>
  <c r="FP50" i="18"/>
  <c r="FQ50" i="18"/>
  <c r="FR50" i="18"/>
  <c r="FS50" i="18"/>
  <c r="FT50" i="18"/>
  <c r="FU50" i="18"/>
  <c r="FV50" i="18"/>
  <c r="FW50" i="18"/>
  <c r="FX50" i="18"/>
  <c r="FY50" i="18"/>
  <c r="FZ50" i="18"/>
  <c r="GA50" i="18"/>
  <c r="GB50" i="18"/>
  <c r="GC50" i="18"/>
  <c r="GD50" i="18"/>
  <c r="GE50" i="18"/>
  <c r="GF50" i="18"/>
  <c r="GG50" i="18"/>
  <c r="GH50" i="18"/>
  <c r="GI50" i="18"/>
  <c r="GJ50" i="18"/>
  <c r="GK50" i="18"/>
  <c r="GL50" i="18"/>
  <c r="GM50" i="18"/>
  <c r="GN50" i="18"/>
  <c r="GO50" i="18"/>
  <c r="GP50" i="18"/>
  <c r="GQ50" i="18"/>
  <c r="GR50" i="18"/>
  <c r="GS50" i="18"/>
  <c r="GT50" i="18"/>
  <c r="GU50" i="18"/>
  <c r="GV50" i="18"/>
  <c r="GW50" i="18"/>
  <c r="GX50" i="18"/>
  <c r="GY50" i="18"/>
  <c r="GZ50" i="18"/>
  <c r="HA50" i="18"/>
  <c r="HB50" i="18"/>
  <c r="HC50" i="18"/>
  <c r="HD50" i="18"/>
  <c r="HE50" i="18"/>
  <c r="HF50" i="18"/>
  <c r="HG50" i="18"/>
  <c r="HH50" i="18"/>
  <c r="HI50" i="18"/>
  <c r="HJ50" i="18"/>
  <c r="HK50" i="18"/>
  <c r="HL50" i="18"/>
  <c r="HM50" i="18"/>
  <c r="HN50" i="18"/>
  <c r="HO50" i="18"/>
  <c r="HP50" i="18"/>
  <c r="HQ50" i="18"/>
  <c r="HR50" i="18"/>
  <c r="HS50" i="18"/>
  <c r="HT50" i="18"/>
  <c r="HU50" i="18"/>
  <c r="HV50" i="18"/>
  <c r="HW50" i="18"/>
  <c r="HX50" i="18"/>
  <c r="HY50" i="18"/>
  <c r="HZ50" i="18"/>
  <c r="IA50" i="18"/>
  <c r="IB50" i="18"/>
  <c r="IC50" i="18"/>
  <c r="ID50" i="18"/>
  <c r="IE50" i="18"/>
  <c r="IF50" i="18"/>
  <c r="IG50" i="18"/>
  <c r="IH50" i="18"/>
  <c r="II50" i="18"/>
  <c r="IJ50" i="18"/>
  <c r="IK50" i="18"/>
  <c r="IL50" i="18"/>
  <c r="IM50" i="18"/>
  <c r="IN50" i="18"/>
  <c r="IO50" i="18"/>
  <c r="IP50" i="18"/>
  <c r="IQ50" i="18"/>
  <c r="IR50" i="18"/>
  <c r="IS50" i="18"/>
  <c r="IT50" i="18"/>
  <c r="IU50" i="18"/>
  <c r="IV50" i="18"/>
  <c r="A51" i="18"/>
  <c r="B51" i="18"/>
  <c r="C51" i="18"/>
  <c r="D51" i="18"/>
  <c r="E51" i="18"/>
  <c r="F51" i="18"/>
  <c r="G51" i="18"/>
  <c r="H51" i="18"/>
  <c r="I51" i="18"/>
  <c r="J51" i="18"/>
  <c r="K51" i="18"/>
  <c r="L51" i="18"/>
  <c r="M51" i="18"/>
  <c r="N51" i="18"/>
  <c r="O51" i="18"/>
  <c r="P51" i="18"/>
  <c r="Q51" i="18"/>
  <c r="R51" i="18"/>
  <c r="S51" i="18"/>
  <c r="T51" i="18"/>
  <c r="U51" i="18"/>
  <c r="V51" i="18"/>
  <c r="W51" i="18"/>
  <c r="X51" i="18"/>
  <c r="Y51" i="18"/>
  <c r="Z51" i="18"/>
  <c r="AA51" i="18"/>
  <c r="AB51" i="18"/>
  <c r="AC51" i="18"/>
  <c r="AD51" i="18"/>
  <c r="AE51" i="18"/>
  <c r="AF51" i="18"/>
  <c r="AG51" i="18"/>
  <c r="AH51" i="18"/>
  <c r="AI51" i="18"/>
  <c r="AJ51" i="18"/>
  <c r="AK51" i="18"/>
  <c r="AL51" i="18"/>
  <c r="AM51" i="18"/>
  <c r="AN51" i="18"/>
  <c r="AO51" i="18"/>
  <c r="AP51" i="18"/>
  <c r="AQ51" i="18"/>
  <c r="AR51" i="18"/>
  <c r="AS51" i="18"/>
  <c r="AT51" i="18"/>
  <c r="AU51" i="18"/>
  <c r="AV51" i="18"/>
  <c r="AW51" i="18"/>
  <c r="AX51" i="18"/>
  <c r="AY51" i="18"/>
  <c r="AZ51" i="18"/>
  <c r="BA51" i="18"/>
  <c r="BB51" i="18"/>
  <c r="BC51" i="18"/>
  <c r="BD51" i="18"/>
  <c r="BE51" i="18"/>
  <c r="BF51" i="18"/>
  <c r="BG51" i="18"/>
  <c r="BH51" i="18"/>
  <c r="BI51" i="18"/>
  <c r="BJ51" i="18"/>
  <c r="BK51" i="18"/>
  <c r="BL51" i="18"/>
  <c r="BM51" i="18"/>
  <c r="BN51" i="18"/>
  <c r="BO51" i="18"/>
  <c r="BP51" i="18"/>
  <c r="BQ51" i="18"/>
  <c r="BR51" i="18"/>
  <c r="BS51" i="18"/>
  <c r="BT51" i="18"/>
  <c r="BU51" i="18"/>
  <c r="BV51" i="18"/>
  <c r="BW51" i="18"/>
  <c r="BX51" i="18"/>
  <c r="BY51" i="18"/>
  <c r="BZ51" i="18"/>
  <c r="CA51" i="18"/>
  <c r="CB51" i="18"/>
  <c r="CC51" i="18"/>
  <c r="CD51" i="18"/>
  <c r="CE51" i="18"/>
  <c r="CF51" i="18"/>
  <c r="CG51" i="18"/>
  <c r="CH51" i="18"/>
  <c r="CI51" i="18"/>
  <c r="CJ51" i="18"/>
  <c r="CK51" i="18"/>
  <c r="CL51" i="18"/>
  <c r="CM51" i="18"/>
  <c r="CN51" i="18"/>
  <c r="CO51" i="18"/>
  <c r="CP51" i="18"/>
  <c r="CQ51" i="18"/>
  <c r="CR51" i="18"/>
  <c r="CS51" i="18"/>
  <c r="CT51" i="18"/>
  <c r="CU51" i="18"/>
  <c r="CV51" i="18"/>
  <c r="CW51" i="18"/>
  <c r="CX51" i="18"/>
  <c r="CY51" i="18"/>
  <c r="CZ51" i="18"/>
  <c r="DA51" i="18"/>
  <c r="DB51" i="18"/>
  <c r="DC51" i="18"/>
  <c r="DD51" i="18"/>
  <c r="DE51" i="18"/>
  <c r="DF51" i="18"/>
  <c r="DG51" i="18"/>
  <c r="DH51" i="18"/>
  <c r="DI51" i="18"/>
  <c r="DJ51" i="18"/>
  <c r="DK51" i="18"/>
  <c r="DL51" i="18"/>
  <c r="DM51" i="18"/>
  <c r="DN51" i="18"/>
  <c r="DO51" i="18"/>
  <c r="DP51" i="18"/>
  <c r="DQ51" i="18"/>
  <c r="DR51" i="18"/>
  <c r="DS51" i="18"/>
  <c r="DT51" i="18"/>
  <c r="DU51" i="18"/>
  <c r="DV51" i="18"/>
  <c r="DW51" i="18"/>
  <c r="DX51" i="18"/>
  <c r="DY51" i="18"/>
  <c r="DZ51" i="18"/>
  <c r="EA51" i="18"/>
  <c r="EB51" i="18"/>
  <c r="EC51" i="18"/>
  <c r="ED51" i="18"/>
  <c r="EE51" i="18"/>
  <c r="EF51" i="18"/>
  <c r="EG51" i="18"/>
  <c r="EH51" i="18"/>
  <c r="EI51" i="18"/>
  <c r="EJ51" i="18"/>
  <c r="EK51" i="18"/>
  <c r="EL51" i="18"/>
  <c r="EM51" i="18"/>
  <c r="EN51" i="18"/>
  <c r="EO51" i="18"/>
  <c r="EP51" i="18"/>
  <c r="EQ51" i="18"/>
  <c r="ER51" i="18"/>
  <c r="ES51" i="18"/>
  <c r="ET51" i="18"/>
  <c r="EU51" i="18"/>
  <c r="EV51" i="18"/>
  <c r="EW51" i="18"/>
  <c r="EX51" i="18"/>
  <c r="EY51" i="18"/>
  <c r="EZ51" i="18"/>
  <c r="FA51" i="18"/>
  <c r="FB51" i="18"/>
  <c r="FC51" i="18"/>
  <c r="FD51" i="18"/>
  <c r="FE51" i="18"/>
  <c r="FF51" i="18"/>
  <c r="FG51" i="18"/>
  <c r="FH51" i="18"/>
  <c r="FI51" i="18"/>
  <c r="FJ51" i="18"/>
  <c r="FK51" i="18"/>
  <c r="FL51" i="18"/>
  <c r="FM51" i="18"/>
  <c r="FN51" i="18"/>
  <c r="FO51" i="18"/>
  <c r="FP51" i="18"/>
  <c r="FQ51" i="18"/>
  <c r="FR51" i="18"/>
  <c r="FS51" i="18"/>
  <c r="FT51" i="18"/>
  <c r="FU51" i="18"/>
  <c r="FV51" i="18"/>
  <c r="FW51" i="18"/>
  <c r="FX51" i="18"/>
  <c r="FY51" i="18"/>
  <c r="FZ51" i="18"/>
  <c r="GA51" i="18"/>
  <c r="GB51" i="18"/>
  <c r="GC51" i="18"/>
  <c r="GD51" i="18"/>
  <c r="GE51" i="18"/>
  <c r="GF51" i="18"/>
  <c r="GG51" i="18"/>
  <c r="GH51" i="18"/>
  <c r="GI51" i="18"/>
  <c r="GJ51" i="18"/>
  <c r="GK51" i="18"/>
  <c r="GL51" i="18"/>
  <c r="GM51" i="18"/>
  <c r="GN51" i="18"/>
  <c r="GO51" i="18"/>
  <c r="GP51" i="18"/>
  <c r="GQ51" i="18"/>
  <c r="GR51" i="18"/>
  <c r="GS51" i="18"/>
  <c r="GT51" i="18"/>
  <c r="GU51" i="18"/>
  <c r="GV51" i="18"/>
  <c r="GW51" i="18"/>
  <c r="GX51" i="18"/>
  <c r="GY51" i="18"/>
  <c r="GZ51" i="18"/>
  <c r="HA51" i="18"/>
  <c r="HB51" i="18"/>
  <c r="HC51" i="18"/>
  <c r="HD51" i="18"/>
  <c r="HE51" i="18"/>
  <c r="HF51" i="18"/>
  <c r="HG51" i="18"/>
  <c r="HH51" i="18"/>
  <c r="HI51" i="18"/>
  <c r="HJ51" i="18"/>
  <c r="HK51" i="18"/>
  <c r="HL51" i="18"/>
  <c r="HM51" i="18"/>
  <c r="HN51" i="18"/>
  <c r="HO51" i="18"/>
  <c r="HP51" i="18"/>
  <c r="HQ51" i="18"/>
  <c r="HR51" i="18"/>
  <c r="HS51" i="18"/>
  <c r="HT51" i="18"/>
  <c r="HU51" i="18"/>
  <c r="HV51" i="18"/>
  <c r="HW51" i="18"/>
  <c r="HX51" i="18"/>
  <c r="HY51" i="18"/>
  <c r="HZ51" i="18"/>
  <c r="IA51" i="18"/>
  <c r="IB51" i="18"/>
  <c r="IC51" i="18"/>
  <c r="ID51" i="18"/>
  <c r="IE51" i="18"/>
  <c r="IF51" i="18"/>
  <c r="IG51" i="18"/>
  <c r="IH51" i="18"/>
  <c r="II51" i="18"/>
  <c r="IJ51" i="18"/>
  <c r="IK51" i="18"/>
  <c r="IL51" i="18"/>
  <c r="IM51" i="18"/>
  <c r="IN51" i="18"/>
  <c r="IO51" i="18"/>
  <c r="IP51" i="18"/>
  <c r="IQ51" i="18"/>
  <c r="IR51" i="18"/>
  <c r="IS51" i="18"/>
  <c r="IT51" i="18"/>
  <c r="IU51" i="18"/>
  <c r="IV51" i="18"/>
  <c r="A52" i="18"/>
  <c r="B52" i="18"/>
  <c r="C52" i="18"/>
  <c r="D52" i="18"/>
  <c r="E52" i="18"/>
  <c r="F52" i="18"/>
  <c r="G52" i="18"/>
  <c r="H52" i="18"/>
  <c r="I52" i="18"/>
  <c r="J52" i="18"/>
  <c r="K52" i="18"/>
  <c r="L52" i="18"/>
  <c r="M52" i="18"/>
  <c r="N52" i="18"/>
  <c r="O52" i="18"/>
  <c r="P52" i="18"/>
  <c r="Q52" i="18"/>
  <c r="R52" i="18"/>
  <c r="S52" i="18"/>
  <c r="T52" i="18"/>
  <c r="U52" i="18"/>
  <c r="V52" i="18"/>
  <c r="W52" i="18"/>
  <c r="X52" i="18"/>
  <c r="Y52" i="18"/>
  <c r="Z52" i="18"/>
  <c r="AA52" i="18"/>
  <c r="AB52" i="18"/>
  <c r="AC52" i="18"/>
  <c r="AD52" i="18"/>
  <c r="AE52" i="18"/>
  <c r="AF52" i="18"/>
  <c r="AG52" i="18"/>
  <c r="AH52" i="18"/>
  <c r="AI52" i="18"/>
  <c r="AJ52" i="18"/>
  <c r="AK52" i="18"/>
  <c r="AL52" i="18"/>
  <c r="AM52" i="18"/>
  <c r="AN52" i="18"/>
  <c r="AO52" i="18"/>
  <c r="AP52" i="18"/>
  <c r="AQ52" i="18"/>
  <c r="AR52" i="18"/>
  <c r="AS52" i="18"/>
  <c r="AT52" i="18"/>
  <c r="AU52" i="18"/>
  <c r="AV52" i="18"/>
  <c r="AW52" i="18"/>
  <c r="AX52" i="18"/>
  <c r="AY52" i="18"/>
  <c r="AZ52" i="18"/>
  <c r="BA52" i="18"/>
  <c r="BB52" i="18"/>
  <c r="BC52" i="18"/>
  <c r="BD52" i="18"/>
  <c r="BE52" i="18"/>
  <c r="BF52" i="18"/>
  <c r="BG52" i="18"/>
  <c r="BH52" i="18"/>
  <c r="BI52" i="18"/>
  <c r="BJ52" i="18"/>
  <c r="BK52" i="18"/>
  <c r="BL52" i="18"/>
  <c r="BM52" i="18"/>
  <c r="BN52" i="18"/>
  <c r="BO52" i="18"/>
  <c r="BP52" i="18"/>
  <c r="BQ52" i="18"/>
  <c r="BR52" i="18"/>
  <c r="BS52" i="18"/>
  <c r="BT52" i="18"/>
  <c r="BU52" i="18"/>
  <c r="BV52" i="18"/>
  <c r="BW52" i="18"/>
  <c r="BX52" i="18"/>
  <c r="BY52" i="18"/>
  <c r="BZ52" i="18"/>
  <c r="CA52" i="18"/>
  <c r="CB52" i="18"/>
  <c r="CC52" i="18"/>
  <c r="CD52" i="18"/>
  <c r="CE52" i="18"/>
  <c r="CF52" i="18"/>
  <c r="CG52" i="18"/>
  <c r="CH52" i="18"/>
  <c r="CI52" i="18"/>
  <c r="CJ52" i="18"/>
  <c r="CK52" i="18"/>
  <c r="CL52" i="18"/>
  <c r="CM52" i="18"/>
  <c r="CN52" i="18"/>
  <c r="CO52" i="18"/>
  <c r="CP52" i="18"/>
  <c r="CQ52" i="18"/>
  <c r="CR52" i="18"/>
  <c r="CS52" i="18"/>
  <c r="CT52" i="18"/>
  <c r="CU52" i="18"/>
  <c r="CV52" i="18"/>
  <c r="CW52" i="18"/>
  <c r="CX52" i="18"/>
  <c r="CY52" i="18"/>
  <c r="CZ52" i="18"/>
  <c r="DA52" i="18"/>
  <c r="DB52" i="18"/>
  <c r="DC52" i="18"/>
  <c r="DD52" i="18"/>
  <c r="DE52" i="18"/>
  <c r="DF52" i="18"/>
  <c r="DG52" i="18"/>
  <c r="DH52" i="18"/>
  <c r="DI52" i="18"/>
  <c r="DJ52" i="18"/>
  <c r="DK52" i="18"/>
  <c r="DL52" i="18"/>
  <c r="DM52" i="18"/>
  <c r="DN52" i="18"/>
  <c r="DO52" i="18"/>
  <c r="DP52" i="18"/>
  <c r="DQ52" i="18"/>
  <c r="DR52" i="18"/>
  <c r="DS52" i="18"/>
  <c r="DT52" i="18"/>
  <c r="DU52" i="18"/>
  <c r="DV52" i="18"/>
  <c r="DW52" i="18"/>
  <c r="DX52" i="18"/>
  <c r="DY52" i="18"/>
  <c r="DZ52" i="18"/>
  <c r="EA52" i="18"/>
  <c r="EB52" i="18"/>
  <c r="EC52" i="18"/>
  <c r="ED52" i="18"/>
  <c r="EE52" i="18"/>
  <c r="EF52" i="18"/>
  <c r="EG52" i="18"/>
  <c r="EH52" i="18"/>
  <c r="EI52" i="18"/>
  <c r="EJ52" i="18"/>
  <c r="EK52" i="18"/>
  <c r="EL52" i="18"/>
  <c r="EM52" i="18"/>
  <c r="EN52" i="18"/>
  <c r="EO52" i="18"/>
  <c r="EP52" i="18"/>
  <c r="EQ52" i="18"/>
  <c r="ER52" i="18"/>
  <c r="ES52" i="18"/>
  <c r="ET52" i="18"/>
  <c r="EU52" i="18"/>
  <c r="EV52" i="18"/>
  <c r="EW52" i="18"/>
  <c r="EX52" i="18"/>
  <c r="EY52" i="18"/>
  <c r="EZ52" i="18"/>
  <c r="FA52" i="18"/>
  <c r="FB52" i="18"/>
  <c r="FC52" i="18"/>
  <c r="FD52" i="18"/>
  <c r="FE52" i="18"/>
  <c r="FF52" i="18"/>
  <c r="FG52" i="18"/>
  <c r="FH52" i="18"/>
  <c r="FI52" i="18"/>
  <c r="FJ52" i="18"/>
  <c r="FK52" i="18"/>
  <c r="FL52" i="18"/>
  <c r="FM52" i="18"/>
  <c r="FN52" i="18"/>
  <c r="FO52" i="18"/>
  <c r="FP52" i="18"/>
  <c r="FQ52" i="18"/>
  <c r="FR52" i="18"/>
  <c r="FS52" i="18"/>
  <c r="FT52" i="18"/>
  <c r="FU52" i="18"/>
  <c r="FV52" i="18"/>
  <c r="FW52" i="18"/>
  <c r="FX52" i="18"/>
  <c r="FY52" i="18"/>
  <c r="FZ52" i="18"/>
  <c r="GA52" i="18"/>
  <c r="GB52" i="18"/>
  <c r="GC52" i="18"/>
  <c r="GD52" i="18"/>
  <c r="GE52" i="18"/>
  <c r="GF52" i="18"/>
  <c r="GG52" i="18"/>
  <c r="GH52" i="18"/>
  <c r="GI52" i="18"/>
  <c r="GJ52" i="18"/>
  <c r="GK52" i="18"/>
  <c r="GL52" i="18"/>
  <c r="GM52" i="18"/>
  <c r="GN52" i="18"/>
  <c r="GO52" i="18"/>
  <c r="GP52" i="18"/>
  <c r="GQ52" i="18"/>
  <c r="GR52" i="18"/>
  <c r="GS52" i="18"/>
  <c r="GT52" i="18"/>
  <c r="GU52" i="18"/>
  <c r="GV52" i="18"/>
  <c r="GW52" i="18"/>
  <c r="GX52" i="18"/>
  <c r="GY52" i="18"/>
  <c r="GZ52" i="18"/>
  <c r="HA52" i="18"/>
  <c r="HB52" i="18"/>
  <c r="HC52" i="18"/>
  <c r="HD52" i="18"/>
  <c r="HE52" i="18"/>
  <c r="HF52" i="18"/>
  <c r="HG52" i="18"/>
  <c r="HH52" i="18"/>
  <c r="HI52" i="18"/>
  <c r="HJ52" i="18"/>
  <c r="HK52" i="18"/>
  <c r="HL52" i="18"/>
  <c r="HM52" i="18"/>
  <c r="HN52" i="18"/>
  <c r="HO52" i="18"/>
  <c r="HP52" i="18"/>
  <c r="HQ52" i="18"/>
  <c r="HR52" i="18"/>
  <c r="HS52" i="18"/>
  <c r="HT52" i="18"/>
  <c r="HU52" i="18"/>
  <c r="HV52" i="18"/>
  <c r="HW52" i="18"/>
  <c r="HX52" i="18"/>
  <c r="HY52" i="18"/>
  <c r="HZ52" i="18"/>
  <c r="IA52" i="18"/>
  <c r="IB52" i="18"/>
  <c r="IC52" i="18"/>
  <c r="ID52" i="18"/>
  <c r="IE52" i="18"/>
  <c r="IF52" i="18"/>
  <c r="IG52" i="18"/>
  <c r="IH52" i="18"/>
  <c r="II52" i="18"/>
  <c r="IJ52" i="18"/>
  <c r="IK52" i="18"/>
  <c r="IL52" i="18"/>
  <c r="IM52" i="18"/>
  <c r="IN52" i="18"/>
  <c r="IO52" i="18"/>
  <c r="IP52" i="18"/>
  <c r="IQ52" i="18"/>
  <c r="IR52" i="18"/>
  <c r="IS52" i="18"/>
  <c r="IT52" i="18"/>
  <c r="IU52" i="18"/>
  <c r="IV52" i="18"/>
  <c r="A53" i="18"/>
  <c r="B53" i="18"/>
  <c r="C53" i="18"/>
  <c r="D53" i="18"/>
  <c r="E53" i="18"/>
  <c r="F53" i="18"/>
  <c r="G53" i="18"/>
  <c r="H53" i="18"/>
  <c r="I53" i="18"/>
  <c r="J53" i="18"/>
  <c r="K53" i="18"/>
  <c r="L53" i="18"/>
  <c r="M53" i="18"/>
  <c r="N53" i="18"/>
  <c r="O53" i="18"/>
  <c r="P53" i="18"/>
  <c r="Q53" i="18"/>
  <c r="R53" i="18"/>
  <c r="S53" i="18"/>
  <c r="T53" i="18"/>
  <c r="U53" i="18"/>
  <c r="V53" i="18"/>
  <c r="W53" i="18"/>
  <c r="X53" i="18"/>
  <c r="Y53" i="18"/>
  <c r="Z53" i="18"/>
  <c r="AA53" i="18"/>
  <c r="AB53" i="18"/>
  <c r="AC53" i="18"/>
  <c r="AD53" i="18"/>
  <c r="AE53" i="18"/>
  <c r="AF53" i="18"/>
  <c r="AG53" i="18"/>
  <c r="AH53" i="18"/>
  <c r="AI53" i="18"/>
  <c r="AJ53" i="18"/>
  <c r="AK53" i="18"/>
  <c r="AL53" i="18"/>
  <c r="AM53" i="18"/>
  <c r="AN53" i="18"/>
  <c r="AO53" i="18"/>
  <c r="AP53" i="18"/>
  <c r="AQ53" i="18"/>
  <c r="AR53" i="18"/>
  <c r="AS53" i="18"/>
  <c r="AT53" i="18"/>
  <c r="AU53" i="18"/>
  <c r="AV53" i="18"/>
  <c r="AW53" i="18"/>
  <c r="AX53" i="18"/>
  <c r="AY53" i="18"/>
  <c r="AZ53" i="18"/>
  <c r="BA53" i="18"/>
  <c r="BB53" i="18"/>
  <c r="BC53" i="18"/>
  <c r="BD53" i="18"/>
  <c r="BE53" i="18"/>
  <c r="BF53" i="18"/>
  <c r="BG53" i="18"/>
  <c r="BH53" i="18"/>
  <c r="BI53" i="18"/>
  <c r="BJ53" i="18"/>
  <c r="BK53" i="18"/>
  <c r="BL53" i="18"/>
  <c r="BM53" i="18"/>
  <c r="BN53" i="18"/>
  <c r="BO53" i="18"/>
  <c r="BP53" i="18"/>
  <c r="BQ53" i="18"/>
  <c r="BR53" i="18"/>
  <c r="BS53" i="18"/>
  <c r="BT53" i="18"/>
  <c r="BU53" i="18"/>
  <c r="BV53" i="18"/>
  <c r="BW53" i="18"/>
  <c r="BX53" i="18"/>
  <c r="BY53" i="18"/>
  <c r="BZ53" i="18"/>
  <c r="CA53" i="18"/>
  <c r="CB53" i="18"/>
  <c r="CC53" i="18"/>
  <c r="CD53" i="18"/>
  <c r="CE53" i="18"/>
  <c r="CF53" i="18"/>
  <c r="CG53" i="18"/>
  <c r="CH53" i="18"/>
  <c r="CI53" i="18"/>
  <c r="CJ53" i="18"/>
  <c r="CK53" i="18"/>
  <c r="CL53" i="18"/>
  <c r="CM53" i="18"/>
  <c r="CN53" i="18"/>
  <c r="CO53" i="18"/>
  <c r="CP53" i="18"/>
  <c r="CQ53" i="18"/>
  <c r="CR53" i="18"/>
  <c r="CS53" i="18"/>
  <c r="CT53" i="18"/>
  <c r="CU53" i="18"/>
  <c r="CV53" i="18"/>
  <c r="CW53" i="18"/>
  <c r="CX53" i="18"/>
  <c r="CY53" i="18"/>
  <c r="CZ53" i="18"/>
  <c r="DA53" i="18"/>
  <c r="DB53" i="18"/>
  <c r="DC53" i="18"/>
  <c r="DD53" i="18"/>
  <c r="DE53" i="18"/>
  <c r="DF53" i="18"/>
  <c r="DG53" i="18"/>
  <c r="DH53" i="18"/>
  <c r="DI53" i="18"/>
  <c r="DJ53" i="18"/>
  <c r="DK53" i="18"/>
  <c r="DL53" i="18"/>
  <c r="DM53" i="18"/>
  <c r="DN53" i="18"/>
  <c r="DO53" i="18"/>
  <c r="DP53" i="18"/>
  <c r="DQ53" i="18"/>
  <c r="DR53" i="18"/>
  <c r="DS53" i="18"/>
  <c r="DT53" i="18"/>
  <c r="DU53" i="18"/>
  <c r="DV53" i="18"/>
  <c r="DW53" i="18"/>
  <c r="DX53" i="18"/>
  <c r="DY53" i="18"/>
  <c r="DZ53" i="18"/>
  <c r="EA53" i="18"/>
  <c r="EB53" i="18"/>
  <c r="EC53" i="18"/>
  <c r="ED53" i="18"/>
  <c r="EE53" i="18"/>
  <c r="EF53" i="18"/>
  <c r="EG53" i="18"/>
  <c r="EH53" i="18"/>
  <c r="EI53" i="18"/>
  <c r="EJ53" i="18"/>
  <c r="EK53" i="18"/>
  <c r="EL53" i="18"/>
  <c r="EM53" i="18"/>
  <c r="EN53" i="18"/>
  <c r="EO53" i="18"/>
  <c r="EP53" i="18"/>
  <c r="EQ53" i="18"/>
  <c r="ER53" i="18"/>
  <c r="ES53" i="18"/>
  <c r="ET53" i="18"/>
  <c r="EU53" i="18"/>
  <c r="EV53" i="18"/>
  <c r="EW53" i="18"/>
  <c r="EX53" i="18"/>
  <c r="EY53" i="18"/>
  <c r="EZ53" i="18"/>
  <c r="FA53" i="18"/>
  <c r="FB53" i="18"/>
  <c r="FC53" i="18"/>
  <c r="FD53" i="18"/>
  <c r="FE53" i="18"/>
  <c r="FF53" i="18"/>
  <c r="FG53" i="18"/>
  <c r="FH53" i="18"/>
  <c r="FI53" i="18"/>
  <c r="FJ53" i="18"/>
  <c r="FK53" i="18"/>
  <c r="FL53" i="18"/>
  <c r="FM53" i="18"/>
  <c r="FN53" i="18"/>
  <c r="FO53" i="18"/>
  <c r="FP53" i="18"/>
  <c r="FQ53" i="18"/>
  <c r="FR53" i="18"/>
  <c r="FS53" i="18"/>
  <c r="FT53" i="18"/>
  <c r="FU53" i="18"/>
  <c r="FV53" i="18"/>
  <c r="FW53" i="18"/>
  <c r="FX53" i="18"/>
  <c r="FY53" i="18"/>
  <c r="FZ53" i="18"/>
  <c r="GA53" i="18"/>
  <c r="GB53" i="18"/>
  <c r="GC53" i="18"/>
  <c r="GD53" i="18"/>
  <c r="GE53" i="18"/>
  <c r="GF53" i="18"/>
  <c r="GG53" i="18"/>
  <c r="GH53" i="18"/>
  <c r="GI53" i="18"/>
  <c r="GJ53" i="18"/>
  <c r="GK53" i="18"/>
  <c r="GL53" i="18"/>
  <c r="GM53" i="18"/>
  <c r="GN53" i="18"/>
  <c r="GO53" i="18"/>
  <c r="GP53" i="18"/>
  <c r="GQ53" i="18"/>
  <c r="GR53" i="18"/>
  <c r="GS53" i="18"/>
  <c r="GT53" i="18"/>
  <c r="GU53" i="18"/>
  <c r="GV53" i="18"/>
  <c r="GW53" i="18"/>
  <c r="GX53" i="18"/>
  <c r="GY53" i="18"/>
  <c r="GZ53" i="18"/>
  <c r="HA53" i="18"/>
  <c r="HB53" i="18"/>
  <c r="HC53" i="18"/>
  <c r="HD53" i="18"/>
  <c r="HE53" i="18"/>
  <c r="HF53" i="18"/>
  <c r="HG53" i="18"/>
  <c r="HH53" i="18"/>
  <c r="HI53" i="18"/>
  <c r="HJ53" i="18"/>
  <c r="HK53" i="18"/>
  <c r="HL53" i="18"/>
  <c r="HM53" i="18"/>
  <c r="HN53" i="18"/>
  <c r="HO53" i="18"/>
  <c r="HP53" i="18"/>
  <c r="HQ53" i="18"/>
  <c r="HR53" i="18"/>
  <c r="HS53" i="18"/>
  <c r="HT53" i="18"/>
  <c r="HU53" i="18"/>
  <c r="HV53" i="18"/>
  <c r="HW53" i="18"/>
  <c r="HX53" i="18"/>
  <c r="HY53" i="18"/>
  <c r="HZ53" i="18"/>
  <c r="IA53" i="18"/>
  <c r="IB53" i="18"/>
  <c r="IC53" i="18"/>
  <c r="ID53" i="18"/>
  <c r="IE53" i="18"/>
  <c r="IF53" i="18"/>
  <c r="IG53" i="18"/>
  <c r="IH53" i="18"/>
  <c r="II53" i="18"/>
  <c r="IJ53" i="18"/>
  <c r="IK53" i="18"/>
  <c r="IL53" i="18"/>
  <c r="IM53" i="18"/>
  <c r="IN53" i="18"/>
  <c r="IO53" i="18"/>
  <c r="IP53" i="18"/>
  <c r="IQ53" i="18"/>
  <c r="IR53" i="18"/>
  <c r="IS53" i="18"/>
  <c r="IT53" i="18"/>
  <c r="IU53" i="18"/>
  <c r="IV53" i="18"/>
  <c r="A54" i="18"/>
  <c r="B54" i="18"/>
  <c r="C54" i="18"/>
  <c r="D54" i="18"/>
  <c r="E54" i="18"/>
  <c r="F54" i="18"/>
  <c r="G54" i="18"/>
  <c r="H54" i="18"/>
  <c r="I54" i="18"/>
  <c r="J54" i="18"/>
  <c r="K54" i="18"/>
  <c r="L54" i="18"/>
  <c r="M54" i="18"/>
  <c r="N54" i="18"/>
  <c r="O54" i="18"/>
  <c r="P54" i="18"/>
  <c r="Q54" i="18"/>
  <c r="R54" i="18"/>
  <c r="S54" i="18"/>
  <c r="T54" i="18"/>
  <c r="U54" i="18"/>
  <c r="V54" i="18"/>
  <c r="W54" i="18"/>
  <c r="X54" i="18"/>
  <c r="Y54" i="18"/>
  <c r="Z54" i="18"/>
  <c r="AA54" i="18"/>
  <c r="AB54" i="18"/>
  <c r="AC54" i="18"/>
  <c r="AD54" i="18"/>
  <c r="AE54" i="18"/>
  <c r="AF54" i="18"/>
  <c r="AG54" i="18"/>
  <c r="AH54" i="18"/>
  <c r="AI54" i="18"/>
  <c r="AJ54" i="18"/>
  <c r="AK54" i="18"/>
  <c r="AL54" i="18"/>
  <c r="AM54" i="18"/>
  <c r="AN54" i="18"/>
  <c r="AO54" i="18"/>
  <c r="AP54" i="18"/>
  <c r="AQ54" i="18"/>
  <c r="AR54" i="18"/>
  <c r="AS54" i="18"/>
  <c r="AT54" i="18"/>
  <c r="AU54" i="18"/>
  <c r="AV54" i="18"/>
  <c r="AW54" i="18"/>
  <c r="AX54" i="18"/>
  <c r="AY54" i="18"/>
  <c r="AZ54" i="18"/>
  <c r="BA54" i="18"/>
  <c r="BB54" i="18"/>
  <c r="BC54" i="18"/>
  <c r="BD54" i="18"/>
  <c r="BE54" i="18"/>
  <c r="BF54" i="18"/>
  <c r="BG54" i="18"/>
  <c r="BH54" i="18"/>
  <c r="BI54" i="18"/>
  <c r="BJ54" i="18"/>
  <c r="BK54" i="18"/>
  <c r="BL54" i="18"/>
  <c r="BM54" i="18"/>
  <c r="BN54" i="18"/>
  <c r="BO54" i="18"/>
  <c r="BP54" i="18"/>
  <c r="BQ54" i="18"/>
  <c r="BR54" i="18"/>
  <c r="BS54" i="18"/>
  <c r="BT54" i="18"/>
  <c r="BU54" i="18"/>
  <c r="BV54" i="18"/>
  <c r="BW54" i="18"/>
  <c r="BX54" i="18"/>
  <c r="BY54" i="18"/>
  <c r="BZ54" i="18"/>
  <c r="CA54" i="18"/>
  <c r="CB54" i="18"/>
  <c r="CC54" i="18"/>
  <c r="CD54" i="18"/>
  <c r="CE54" i="18"/>
  <c r="CF54" i="18"/>
  <c r="CG54" i="18"/>
  <c r="CH54" i="18"/>
  <c r="CI54" i="18"/>
  <c r="CJ54" i="18"/>
  <c r="CK54" i="18"/>
  <c r="CL54" i="18"/>
  <c r="CM54" i="18"/>
  <c r="CN54" i="18"/>
  <c r="CO54" i="18"/>
  <c r="CP54" i="18"/>
  <c r="CQ54" i="18"/>
  <c r="CR54" i="18"/>
  <c r="CS54" i="18"/>
  <c r="CT54" i="18"/>
  <c r="CU54" i="18"/>
  <c r="CV54" i="18"/>
  <c r="CW54" i="18"/>
  <c r="CX54" i="18"/>
  <c r="CY54" i="18"/>
  <c r="CZ54" i="18"/>
  <c r="DA54" i="18"/>
  <c r="DB54" i="18"/>
  <c r="DC54" i="18"/>
  <c r="DD54" i="18"/>
  <c r="DE54" i="18"/>
  <c r="DF54" i="18"/>
  <c r="DG54" i="18"/>
  <c r="DH54" i="18"/>
  <c r="DI54" i="18"/>
  <c r="DJ54" i="18"/>
  <c r="DK54" i="18"/>
  <c r="DL54" i="18"/>
  <c r="DM54" i="18"/>
  <c r="DN54" i="18"/>
  <c r="DO54" i="18"/>
  <c r="DP54" i="18"/>
  <c r="DQ54" i="18"/>
  <c r="DR54" i="18"/>
  <c r="DS54" i="18"/>
  <c r="DT54" i="18"/>
  <c r="DU54" i="18"/>
  <c r="DV54" i="18"/>
  <c r="DW54" i="18"/>
  <c r="DX54" i="18"/>
  <c r="DY54" i="18"/>
  <c r="DZ54" i="18"/>
  <c r="EA54" i="18"/>
  <c r="EB54" i="18"/>
  <c r="EC54" i="18"/>
  <c r="ED54" i="18"/>
  <c r="EE54" i="18"/>
  <c r="EF54" i="18"/>
  <c r="EG54" i="18"/>
  <c r="EH54" i="18"/>
  <c r="EI54" i="18"/>
  <c r="EJ54" i="18"/>
  <c r="EK54" i="18"/>
  <c r="EL54" i="18"/>
  <c r="EM54" i="18"/>
  <c r="EN54" i="18"/>
  <c r="EO54" i="18"/>
  <c r="EP54" i="18"/>
  <c r="EQ54" i="18"/>
  <c r="ER54" i="18"/>
  <c r="ES54" i="18"/>
  <c r="ET54" i="18"/>
  <c r="EU54" i="18"/>
  <c r="EV54" i="18"/>
  <c r="EW54" i="18"/>
  <c r="EX54" i="18"/>
  <c r="EY54" i="18"/>
  <c r="EZ54" i="18"/>
  <c r="FA54" i="18"/>
  <c r="FB54" i="18"/>
  <c r="FC54" i="18"/>
  <c r="FD54" i="18"/>
  <c r="FE54" i="18"/>
  <c r="FF54" i="18"/>
  <c r="FG54" i="18"/>
  <c r="FH54" i="18"/>
  <c r="FI54" i="18"/>
  <c r="FJ54" i="18"/>
  <c r="FK54" i="18"/>
  <c r="FL54" i="18"/>
  <c r="FM54" i="18"/>
  <c r="FN54" i="18"/>
  <c r="FO54" i="18"/>
  <c r="FP54" i="18"/>
  <c r="FQ54" i="18"/>
  <c r="FR54" i="18"/>
  <c r="FS54" i="18"/>
  <c r="FT54" i="18"/>
  <c r="FU54" i="18"/>
  <c r="FV54" i="18"/>
  <c r="FW54" i="18"/>
  <c r="FX54" i="18"/>
  <c r="FY54" i="18"/>
  <c r="FZ54" i="18"/>
  <c r="GA54" i="18"/>
  <c r="GB54" i="18"/>
  <c r="GC54" i="18"/>
  <c r="GD54" i="18"/>
  <c r="GE54" i="18"/>
  <c r="GF54" i="18"/>
  <c r="GG54" i="18"/>
  <c r="GH54" i="18"/>
  <c r="GI54" i="18"/>
  <c r="GJ54" i="18"/>
  <c r="GK54" i="18"/>
  <c r="GL54" i="18"/>
  <c r="GM54" i="18"/>
  <c r="GN54" i="18"/>
  <c r="GO54" i="18"/>
  <c r="GP54" i="18"/>
  <c r="GQ54" i="18"/>
  <c r="GR54" i="18"/>
  <c r="GS54" i="18"/>
  <c r="GT54" i="18"/>
  <c r="GU54" i="18"/>
  <c r="GV54" i="18"/>
  <c r="GW54" i="18"/>
  <c r="GX54" i="18"/>
  <c r="GY54" i="18"/>
  <c r="GZ54" i="18"/>
  <c r="HA54" i="18"/>
  <c r="HB54" i="18"/>
  <c r="HC54" i="18"/>
  <c r="HD54" i="18"/>
  <c r="HE54" i="18"/>
  <c r="HF54" i="18"/>
  <c r="HG54" i="18"/>
  <c r="HH54" i="18"/>
  <c r="HI54" i="18"/>
  <c r="HJ54" i="18"/>
  <c r="HK54" i="18"/>
  <c r="HL54" i="18"/>
  <c r="HM54" i="18"/>
  <c r="HN54" i="18"/>
  <c r="HO54" i="18"/>
  <c r="HP54" i="18"/>
  <c r="HQ54" i="18"/>
  <c r="HR54" i="18"/>
  <c r="HS54" i="18"/>
  <c r="HT54" i="18"/>
  <c r="HU54" i="18"/>
  <c r="HV54" i="18"/>
  <c r="HW54" i="18"/>
  <c r="HX54" i="18"/>
  <c r="HY54" i="18"/>
  <c r="HZ54" i="18"/>
  <c r="IA54" i="18"/>
  <c r="IB54" i="18"/>
  <c r="IC54" i="18"/>
  <c r="ID54" i="18"/>
  <c r="IE54" i="18"/>
  <c r="IF54" i="18"/>
  <c r="IG54" i="18"/>
  <c r="IH54" i="18"/>
  <c r="II54" i="18"/>
  <c r="IJ54" i="18"/>
  <c r="IK54" i="18"/>
  <c r="IL54" i="18"/>
  <c r="IM54" i="18"/>
  <c r="IN54" i="18"/>
  <c r="IO54" i="18"/>
  <c r="IP54" i="18"/>
  <c r="IQ54" i="18"/>
  <c r="IR54" i="18"/>
  <c r="IS54" i="18"/>
  <c r="IT54" i="18"/>
  <c r="IU54" i="18"/>
  <c r="IV54" i="18"/>
  <c r="A55" i="18"/>
  <c r="B55" i="18"/>
  <c r="C55" i="18"/>
  <c r="D55" i="18"/>
  <c r="E55" i="18"/>
  <c r="F55" i="18"/>
  <c r="G55" i="18"/>
  <c r="H55" i="18"/>
  <c r="I55" i="18"/>
  <c r="J55" i="18"/>
  <c r="K55" i="18"/>
  <c r="L55" i="18"/>
  <c r="M55" i="18"/>
  <c r="N55" i="18"/>
  <c r="O55" i="18"/>
  <c r="P55" i="18"/>
  <c r="Q55" i="18"/>
  <c r="R55" i="18"/>
  <c r="S55" i="18"/>
  <c r="T55" i="18"/>
  <c r="U55" i="18"/>
  <c r="V55" i="18"/>
  <c r="W55" i="18"/>
  <c r="X55" i="18"/>
  <c r="Y55" i="18"/>
  <c r="Z55" i="18"/>
  <c r="AA55" i="18"/>
  <c r="AB55" i="18"/>
  <c r="AC55" i="18"/>
  <c r="AD55" i="18"/>
  <c r="AE55" i="18"/>
  <c r="AF55" i="18"/>
  <c r="AG55" i="18"/>
  <c r="AH55" i="18"/>
  <c r="AI55" i="18"/>
  <c r="AJ55" i="18"/>
  <c r="AK55" i="18"/>
  <c r="AL55" i="18"/>
  <c r="AM55" i="18"/>
  <c r="AN55" i="18"/>
  <c r="AO55" i="18"/>
  <c r="AP55" i="18"/>
  <c r="AQ55" i="18"/>
  <c r="AR55" i="18"/>
  <c r="AS55" i="18"/>
  <c r="AT55" i="18"/>
  <c r="AU55" i="18"/>
  <c r="AV55" i="18"/>
  <c r="AW55" i="18"/>
  <c r="AX55" i="18"/>
  <c r="AY55" i="18"/>
  <c r="AZ55" i="18"/>
  <c r="BA55" i="18"/>
  <c r="BB55" i="18"/>
  <c r="BC55" i="18"/>
  <c r="BD55" i="18"/>
  <c r="BE55" i="18"/>
  <c r="BF55" i="18"/>
  <c r="BG55" i="18"/>
  <c r="BH55" i="18"/>
  <c r="BI55" i="18"/>
  <c r="BJ55" i="18"/>
  <c r="BK55" i="18"/>
  <c r="BL55" i="18"/>
  <c r="BM55" i="18"/>
  <c r="BN55" i="18"/>
  <c r="BO55" i="18"/>
  <c r="BP55" i="18"/>
  <c r="BQ55" i="18"/>
  <c r="BR55" i="18"/>
  <c r="BS55" i="18"/>
  <c r="BT55" i="18"/>
  <c r="BU55" i="18"/>
  <c r="BV55" i="18"/>
  <c r="BW55" i="18"/>
  <c r="BX55" i="18"/>
  <c r="BY55" i="18"/>
  <c r="BZ55" i="18"/>
  <c r="CA55" i="18"/>
  <c r="CB55" i="18"/>
  <c r="CC55" i="18"/>
  <c r="CD55" i="18"/>
  <c r="CE55" i="18"/>
  <c r="CF55" i="18"/>
  <c r="CG55" i="18"/>
  <c r="CH55" i="18"/>
  <c r="CI55" i="18"/>
  <c r="CJ55" i="18"/>
  <c r="CK55" i="18"/>
  <c r="CL55" i="18"/>
  <c r="CM55" i="18"/>
  <c r="CN55" i="18"/>
  <c r="CO55" i="18"/>
  <c r="CP55" i="18"/>
  <c r="CQ55" i="18"/>
  <c r="CR55" i="18"/>
  <c r="CS55" i="18"/>
  <c r="CT55" i="18"/>
  <c r="CU55" i="18"/>
  <c r="CV55" i="18"/>
  <c r="CW55" i="18"/>
  <c r="CX55" i="18"/>
  <c r="CY55" i="18"/>
  <c r="CZ55" i="18"/>
  <c r="DA55" i="18"/>
  <c r="DB55" i="18"/>
  <c r="DC55" i="18"/>
  <c r="DD55" i="18"/>
  <c r="DE55" i="18"/>
  <c r="DF55" i="18"/>
  <c r="DG55" i="18"/>
  <c r="DH55" i="18"/>
  <c r="DI55" i="18"/>
  <c r="DJ55" i="18"/>
  <c r="DK55" i="18"/>
  <c r="DL55" i="18"/>
  <c r="DM55" i="18"/>
  <c r="DN55" i="18"/>
  <c r="DO55" i="18"/>
  <c r="DP55" i="18"/>
  <c r="DQ55" i="18"/>
  <c r="DR55" i="18"/>
  <c r="DS55" i="18"/>
  <c r="DT55" i="18"/>
  <c r="DU55" i="18"/>
  <c r="DV55" i="18"/>
  <c r="DW55" i="18"/>
  <c r="DX55" i="18"/>
  <c r="DY55" i="18"/>
  <c r="DZ55" i="18"/>
  <c r="EA55" i="18"/>
  <c r="EB55" i="18"/>
  <c r="EC55" i="18"/>
  <c r="ED55" i="18"/>
  <c r="EE55" i="18"/>
  <c r="EF55" i="18"/>
  <c r="EG55" i="18"/>
  <c r="EH55" i="18"/>
  <c r="EI55" i="18"/>
  <c r="EJ55" i="18"/>
  <c r="EK55" i="18"/>
  <c r="EL55" i="18"/>
  <c r="EM55" i="18"/>
  <c r="EN55" i="18"/>
  <c r="EO55" i="18"/>
  <c r="EP55" i="18"/>
  <c r="EQ55" i="18"/>
  <c r="ER55" i="18"/>
  <c r="ES55" i="18"/>
  <c r="ET55" i="18"/>
  <c r="EU55" i="18"/>
  <c r="EV55" i="18"/>
  <c r="EW55" i="18"/>
  <c r="EX55" i="18"/>
  <c r="EY55" i="18"/>
  <c r="EZ55" i="18"/>
  <c r="FA55" i="18"/>
  <c r="FB55" i="18"/>
  <c r="FC55" i="18"/>
  <c r="FD55" i="18"/>
  <c r="FE55" i="18"/>
  <c r="FF55" i="18"/>
  <c r="FG55" i="18"/>
  <c r="FH55" i="18"/>
  <c r="FI55" i="18"/>
  <c r="FJ55" i="18"/>
  <c r="FK55" i="18"/>
  <c r="FL55" i="18"/>
  <c r="FM55" i="18"/>
  <c r="FN55" i="18"/>
  <c r="FO55" i="18"/>
  <c r="FP55" i="18"/>
  <c r="FQ55" i="18"/>
  <c r="FR55" i="18"/>
  <c r="FS55" i="18"/>
  <c r="FT55" i="18"/>
  <c r="FU55" i="18"/>
  <c r="FV55" i="18"/>
  <c r="FW55" i="18"/>
  <c r="FX55" i="18"/>
  <c r="FY55" i="18"/>
  <c r="FZ55" i="18"/>
  <c r="GA55" i="18"/>
  <c r="GB55" i="18"/>
  <c r="GC55" i="18"/>
  <c r="GD55" i="18"/>
  <c r="GE55" i="18"/>
  <c r="GF55" i="18"/>
  <c r="GG55" i="18"/>
  <c r="GH55" i="18"/>
  <c r="GI55" i="18"/>
  <c r="GJ55" i="18"/>
  <c r="GK55" i="18"/>
  <c r="GL55" i="18"/>
  <c r="GM55" i="18"/>
  <c r="GN55" i="18"/>
  <c r="GO55" i="18"/>
  <c r="GP55" i="18"/>
  <c r="GQ55" i="18"/>
  <c r="GR55" i="18"/>
  <c r="GS55" i="18"/>
  <c r="GT55" i="18"/>
  <c r="GU55" i="18"/>
  <c r="GV55" i="18"/>
  <c r="GW55" i="18"/>
  <c r="GX55" i="18"/>
  <c r="GY55" i="18"/>
  <c r="GZ55" i="18"/>
  <c r="HA55" i="18"/>
  <c r="HB55" i="18"/>
  <c r="HC55" i="18"/>
  <c r="HD55" i="18"/>
  <c r="HE55" i="18"/>
  <c r="HF55" i="18"/>
  <c r="HG55" i="18"/>
  <c r="HH55" i="18"/>
  <c r="HI55" i="18"/>
  <c r="HJ55" i="18"/>
  <c r="HK55" i="18"/>
  <c r="HL55" i="18"/>
  <c r="HM55" i="18"/>
  <c r="HN55" i="18"/>
  <c r="HO55" i="18"/>
  <c r="HP55" i="18"/>
  <c r="HQ55" i="18"/>
  <c r="HR55" i="18"/>
  <c r="HS55" i="18"/>
  <c r="HT55" i="18"/>
  <c r="HU55" i="18"/>
  <c r="HV55" i="18"/>
  <c r="HW55" i="18"/>
  <c r="HX55" i="18"/>
  <c r="HY55" i="18"/>
  <c r="HZ55" i="18"/>
  <c r="IA55" i="18"/>
  <c r="IB55" i="18"/>
  <c r="IC55" i="18"/>
  <c r="ID55" i="18"/>
  <c r="IE55" i="18"/>
  <c r="IF55" i="18"/>
  <c r="IG55" i="18"/>
  <c r="IH55" i="18"/>
  <c r="II55" i="18"/>
  <c r="IJ55" i="18"/>
  <c r="IK55" i="18"/>
  <c r="IL55" i="18"/>
  <c r="IM55" i="18"/>
  <c r="IN55" i="18"/>
  <c r="IO55" i="18"/>
  <c r="IP55" i="18"/>
  <c r="IQ55" i="18"/>
  <c r="IR55" i="18"/>
  <c r="IS55" i="18"/>
  <c r="IT55" i="18"/>
  <c r="IU55" i="18"/>
  <c r="IV55" i="18"/>
  <c r="A56" i="18"/>
  <c r="B56" i="18"/>
  <c r="C56" i="18"/>
  <c r="D56" i="18"/>
  <c r="E56" i="18"/>
  <c r="F56" i="18"/>
  <c r="G56" i="18"/>
  <c r="H56" i="18"/>
  <c r="I56" i="18"/>
  <c r="J56" i="18"/>
  <c r="K56" i="18"/>
  <c r="L56" i="18"/>
  <c r="M56" i="18"/>
  <c r="N56" i="18"/>
  <c r="O56" i="18"/>
  <c r="P56" i="18"/>
  <c r="Q56" i="18"/>
  <c r="R56" i="18"/>
  <c r="S56" i="18"/>
  <c r="T56" i="18"/>
  <c r="U56" i="18"/>
  <c r="V56" i="18"/>
  <c r="W56" i="18"/>
  <c r="X56" i="18"/>
  <c r="Y56" i="18"/>
  <c r="Z56" i="18"/>
  <c r="AA56" i="18"/>
  <c r="AB56" i="18"/>
  <c r="AC56" i="18"/>
  <c r="AD56" i="18"/>
  <c r="AE56" i="18"/>
  <c r="AF56" i="18"/>
  <c r="AG56" i="18"/>
  <c r="AH56" i="18"/>
  <c r="AI56" i="18"/>
  <c r="AJ56" i="18"/>
  <c r="AK56" i="18"/>
  <c r="AL56" i="18"/>
  <c r="AM56" i="18"/>
  <c r="AN56" i="18"/>
  <c r="AO56" i="18"/>
  <c r="AP56" i="18"/>
  <c r="AQ56" i="18"/>
  <c r="AR56" i="18"/>
  <c r="AS56" i="18"/>
  <c r="AT56" i="18"/>
  <c r="AU56" i="18"/>
  <c r="AV56" i="18"/>
  <c r="AW56" i="18"/>
  <c r="AX56" i="18"/>
  <c r="AY56" i="18"/>
  <c r="AZ56" i="18"/>
  <c r="BA56" i="18"/>
  <c r="BB56" i="18"/>
  <c r="BC56" i="18"/>
  <c r="BD56" i="18"/>
  <c r="BE56" i="18"/>
  <c r="BF56" i="18"/>
  <c r="BG56" i="18"/>
  <c r="BH56" i="18"/>
  <c r="BI56" i="18"/>
  <c r="BJ56" i="18"/>
  <c r="BK56" i="18"/>
  <c r="BL56" i="18"/>
  <c r="BM56" i="18"/>
  <c r="BN56" i="18"/>
  <c r="BO56" i="18"/>
  <c r="BP56" i="18"/>
  <c r="BQ56" i="18"/>
  <c r="BR56" i="18"/>
  <c r="BS56" i="18"/>
  <c r="BT56" i="18"/>
  <c r="BU56" i="18"/>
  <c r="BV56" i="18"/>
  <c r="BW56" i="18"/>
  <c r="BX56" i="18"/>
  <c r="BY56" i="18"/>
  <c r="BZ56" i="18"/>
  <c r="CA56" i="18"/>
  <c r="CB56" i="18"/>
  <c r="CC56" i="18"/>
  <c r="CD56" i="18"/>
  <c r="CE56" i="18"/>
  <c r="CF56" i="18"/>
  <c r="CG56" i="18"/>
  <c r="CH56" i="18"/>
  <c r="CI56" i="18"/>
  <c r="CJ56" i="18"/>
  <c r="CK56" i="18"/>
  <c r="CL56" i="18"/>
  <c r="CM56" i="18"/>
  <c r="CN56" i="18"/>
  <c r="CO56" i="18"/>
  <c r="CP56" i="18"/>
  <c r="CQ56" i="18"/>
  <c r="CR56" i="18"/>
  <c r="CS56" i="18"/>
  <c r="CT56" i="18"/>
  <c r="CU56" i="18"/>
  <c r="CV56" i="18"/>
  <c r="CW56" i="18"/>
  <c r="CX56" i="18"/>
  <c r="CY56" i="18"/>
  <c r="CZ56" i="18"/>
  <c r="DA56" i="18"/>
  <c r="DB56" i="18"/>
  <c r="DC56" i="18"/>
  <c r="DD56" i="18"/>
  <c r="DE56" i="18"/>
  <c r="DF56" i="18"/>
  <c r="DG56" i="18"/>
  <c r="DH56" i="18"/>
  <c r="DI56" i="18"/>
  <c r="DJ56" i="18"/>
  <c r="DK56" i="18"/>
  <c r="DL56" i="18"/>
  <c r="DM56" i="18"/>
  <c r="DN56" i="18"/>
  <c r="DO56" i="18"/>
  <c r="DP56" i="18"/>
  <c r="DQ56" i="18"/>
  <c r="DR56" i="18"/>
  <c r="DS56" i="18"/>
  <c r="DT56" i="18"/>
  <c r="DU56" i="18"/>
  <c r="DV56" i="18"/>
  <c r="DW56" i="18"/>
  <c r="DX56" i="18"/>
  <c r="DY56" i="18"/>
  <c r="DZ56" i="18"/>
  <c r="EA56" i="18"/>
  <c r="EB56" i="18"/>
  <c r="EC56" i="18"/>
  <c r="ED56" i="18"/>
  <c r="EE56" i="18"/>
  <c r="EF56" i="18"/>
  <c r="EG56" i="18"/>
  <c r="EH56" i="18"/>
  <c r="EI56" i="18"/>
  <c r="EJ56" i="18"/>
  <c r="EK56" i="18"/>
  <c r="EL56" i="18"/>
  <c r="EM56" i="18"/>
  <c r="EN56" i="18"/>
  <c r="EO56" i="18"/>
  <c r="EP56" i="18"/>
  <c r="EQ56" i="18"/>
  <c r="ER56" i="18"/>
  <c r="ES56" i="18"/>
  <c r="ET56" i="18"/>
  <c r="EU56" i="18"/>
  <c r="EV56" i="18"/>
  <c r="EW56" i="18"/>
  <c r="EX56" i="18"/>
  <c r="EY56" i="18"/>
  <c r="EZ56" i="18"/>
  <c r="FA56" i="18"/>
  <c r="FB56" i="18"/>
  <c r="FC56" i="18"/>
  <c r="FD56" i="18"/>
  <c r="FE56" i="18"/>
  <c r="FF56" i="18"/>
  <c r="FG56" i="18"/>
  <c r="FH56" i="18"/>
  <c r="FI56" i="18"/>
  <c r="FJ56" i="18"/>
  <c r="FK56" i="18"/>
  <c r="FL56" i="18"/>
  <c r="FM56" i="18"/>
  <c r="FN56" i="18"/>
  <c r="FO56" i="18"/>
  <c r="FP56" i="18"/>
  <c r="FQ56" i="18"/>
  <c r="FR56" i="18"/>
  <c r="FS56" i="18"/>
  <c r="FT56" i="18"/>
  <c r="FU56" i="18"/>
  <c r="FV56" i="18"/>
  <c r="FW56" i="18"/>
  <c r="FX56" i="18"/>
  <c r="FY56" i="18"/>
  <c r="FZ56" i="18"/>
  <c r="GA56" i="18"/>
  <c r="GB56" i="18"/>
  <c r="GC56" i="18"/>
  <c r="GD56" i="18"/>
  <c r="GE56" i="18"/>
  <c r="GF56" i="18"/>
  <c r="GG56" i="18"/>
  <c r="GH56" i="18"/>
  <c r="GI56" i="18"/>
  <c r="GJ56" i="18"/>
  <c r="GK56" i="18"/>
  <c r="GL56" i="18"/>
  <c r="GM56" i="18"/>
  <c r="GN56" i="18"/>
  <c r="GO56" i="18"/>
  <c r="GP56" i="18"/>
  <c r="GQ56" i="18"/>
  <c r="GR56" i="18"/>
  <c r="GS56" i="18"/>
  <c r="GT56" i="18"/>
  <c r="GU56" i="18"/>
  <c r="GV56" i="18"/>
  <c r="GW56" i="18"/>
  <c r="GX56" i="18"/>
  <c r="GY56" i="18"/>
  <c r="GZ56" i="18"/>
  <c r="HA56" i="18"/>
  <c r="HB56" i="18"/>
  <c r="HC56" i="18"/>
  <c r="HD56" i="18"/>
  <c r="HE56" i="18"/>
  <c r="HF56" i="18"/>
  <c r="HG56" i="18"/>
  <c r="HH56" i="18"/>
  <c r="HI56" i="18"/>
  <c r="HJ56" i="18"/>
  <c r="HK56" i="18"/>
  <c r="HL56" i="18"/>
  <c r="HM56" i="18"/>
  <c r="HN56" i="18"/>
  <c r="HO56" i="18"/>
  <c r="HP56" i="18"/>
  <c r="HQ56" i="18"/>
  <c r="HR56" i="18"/>
  <c r="HS56" i="18"/>
  <c r="HT56" i="18"/>
  <c r="HU56" i="18"/>
  <c r="HV56" i="18"/>
  <c r="HW56" i="18"/>
  <c r="HX56" i="18"/>
  <c r="HY56" i="18"/>
  <c r="HZ56" i="18"/>
  <c r="IA56" i="18"/>
  <c r="IB56" i="18"/>
  <c r="IC56" i="18"/>
  <c r="ID56" i="18"/>
  <c r="IE56" i="18"/>
  <c r="IF56" i="18"/>
  <c r="IG56" i="18"/>
  <c r="IH56" i="18"/>
  <c r="II56" i="18"/>
  <c r="IJ56" i="18"/>
  <c r="IK56" i="18"/>
  <c r="IL56" i="18"/>
  <c r="IM56" i="18"/>
  <c r="IN56" i="18"/>
  <c r="IO56" i="18"/>
  <c r="IP56" i="18"/>
  <c r="IQ56" i="18"/>
  <c r="IR56" i="18"/>
  <c r="IS56" i="18"/>
  <c r="IT56" i="18"/>
  <c r="IU56" i="18"/>
  <c r="IV56" i="18"/>
  <c r="A57" i="18"/>
  <c r="B57" i="18"/>
  <c r="C57" i="18"/>
  <c r="D57" i="18"/>
  <c r="E57" i="18"/>
  <c r="F57" i="18"/>
  <c r="G57" i="18"/>
  <c r="H57" i="18"/>
  <c r="I57" i="18"/>
  <c r="J57" i="18"/>
  <c r="K57" i="18"/>
  <c r="L57" i="18"/>
  <c r="M57" i="18"/>
  <c r="N57" i="18"/>
  <c r="O57" i="18"/>
  <c r="P57" i="18"/>
  <c r="Q57" i="18"/>
  <c r="R57" i="18"/>
  <c r="S57" i="18"/>
  <c r="T57" i="18"/>
  <c r="U57" i="18"/>
  <c r="V57" i="18"/>
  <c r="W57" i="18"/>
  <c r="X57" i="18"/>
  <c r="Y57" i="18"/>
  <c r="Z57" i="18"/>
  <c r="AA57" i="18"/>
  <c r="AB57" i="18"/>
  <c r="AC57" i="18"/>
  <c r="AD57" i="18"/>
  <c r="AE57" i="18"/>
  <c r="AF57" i="18"/>
  <c r="AG57" i="18"/>
  <c r="AH57" i="18"/>
  <c r="AI57" i="18"/>
  <c r="AJ57" i="18"/>
  <c r="AK57" i="18"/>
  <c r="AL57" i="18"/>
  <c r="AM57" i="18"/>
  <c r="AN57" i="18"/>
  <c r="AO57" i="18"/>
  <c r="AP57" i="18"/>
  <c r="AQ57" i="18"/>
  <c r="AR57" i="18"/>
  <c r="AS57" i="18"/>
  <c r="AT57" i="18"/>
  <c r="AU57" i="18"/>
  <c r="AV57" i="18"/>
  <c r="AW57" i="18"/>
  <c r="AX57" i="18"/>
  <c r="AY57" i="18"/>
  <c r="AZ57" i="18"/>
  <c r="BA57" i="18"/>
  <c r="BB57" i="18"/>
  <c r="BC57" i="18"/>
  <c r="BD57" i="18"/>
  <c r="BE57" i="18"/>
  <c r="BF57" i="18"/>
  <c r="BG57" i="18"/>
  <c r="BH57" i="18"/>
  <c r="BI57" i="18"/>
  <c r="BJ57" i="18"/>
  <c r="BK57" i="18"/>
  <c r="BL57" i="18"/>
  <c r="BM57" i="18"/>
  <c r="BN57" i="18"/>
  <c r="BO57" i="18"/>
  <c r="BP57" i="18"/>
  <c r="BQ57" i="18"/>
  <c r="BR57" i="18"/>
  <c r="BS57" i="18"/>
  <c r="BT57" i="18"/>
  <c r="BU57" i="18"/>
  <c r="BV57" i="18"/>
  <c r="BW57" i="18"/>
  <c r="BX57" i="18"/>
  <c r="BY57" i="18"/>
  <c r="BZ57" i="18"/>
  <c r="CA57" i="18"/>
  <c r="CB57" i="18"/>
  <c r="CC57" i="18"/>
  <c r="CD57" i="18"/>
  <c r="CE57" i="18"/>
  <c r="CF57" i="18"/>
  <c r="CG57" i="18"/>
  <c r="CH57" i="18"/>
  <c r="CI57" i="18"/>
  <c r="CJ57" i="18"/>
  <c r="CK57" i="18"/>
  <c r="CL57" i="18"/>
  <c r="CM57" i="18"/>
  <c r="CN57" i="18"/>
  <c r="CO57" i="18"/>
  <c r="CP57" i="18"/>
  <c r="CQ57" i="18"/>
  <c r="CR57" i="18"/>
  <c r="CS57" i="18"/>
  <c r="CT57" i="18"/>
  <c r="CU57" i="18"/>
  <c r="CV57" i="18"/>
  <c r="CW57" i="18"/>
  <c r="CX57" i="18"/>
  <c r="CY57" i="18"/>
  <c r="CZ57" i="18"/>
  <c r="DA57" i="18"/>
  <c r="DB57" i="18"/>
  <c r="DC57" i="18"/>
  <c r="DD57" i="18"/>
  <c r="DE57" i="18"/>
  <c r="DF57" i="18"/>
  <c r="DG57" i="18"/>
  <c r="DH57" i="18"/>
  <c r="DI57" i="18"/>
  <c r="DJ57" i="18"/>
  <c r="DK57" i="18"/>
  <c r="DL57" i="18"/>
  <c r="DM57" i="18"/>
  <c r="DN57" i="18"/>
  <c r="DO57" i="18"/>
  <c r="DP57" i="18"/>
  <c r="DQ57" i="18"/>
  <c r="DR57" i="18"/>
  <c r="DS57" i="18"/>
  <c r="DT57" i="18"/>
  <c r="DU57" i="18"/>
  <c r="DV57" i="18"/>
  <c r="DW57" i="18"/>
  <c r="DX57" i="18"/>
  <c r="DY57" i="18"/>
  <c r="DZ57" i="18"/>
  <c r="EA57" i="18"/>
  <c r="EB57" i="18"/>
  <c r="EC57" i="18"/>
  <c r="ED57" i="18"/>
  <c r="EE57" i="18"/>
  <c r="EF57" i="18"/>
  <c r="EG57" i="18"/>
  <c r="EH57" i="18"/>
  <c r="EI57" i="18"/>
  <c r="EJ57" i="18"/>
  <c r="EK57" i="18"/>
  <c r="EL57" i="18"/>
  <c r="EM57" i="18"/>
  <c r="EN57" i="18"/>
  <c r="EO57" i="18"/>
  <c r="EP57" i="18"/>
  <c r="EQ57" i="18"/>
  <c r="ER57" i="18"/>
  <c r="ES57" i="18"/>
  <c r="ET57" i="18"/>
  <c r="EU57" i="18"/>
  <c r="EV57" i="18"/>
  <c r="EW57" i="18"/>
  <c r="EX57" i="18"/>
  <c r="EY57" i="18"/>
  <c r="EZ57" i="18"/>
  <c r="FA57" i="18"/>
  <c r="FB57" i="18"/>
  <c r="FC57" i="18"/>
  <c r="FD57" i="18"/>
  <c r="FE57" i="18"/>
  <c r="FF57" i="18"/>
  <c r="FG57" i="18"/>
  <c r="FH57" i="18"/>
  <c r="FI57" i="18"/>
  <c r="FJ57" i="18"/>
  <c r="FK57" i="18"/>
  <c r="FL57" i="18"/>
  <c r="FM57" i="18"/>
  <c r="FN57" i="18"/>
  <c r="FO57" i="18"/>
  <c r="FP57" i="18"/>
  <c r="FQ57" i="18"/>
  <c r="FR57" i="18"/>
  <c r="FS57" i="18"/>
  <c r="FT57" i="18"/>
  <c r="FU57" i="18"/>
  <c r="FV57" i="18"/>
  <c r="FW57" i="18"/>
  <c r="FX57" i="18"/>
  <c r="FY57" i="18"/>
  <c r="FZ57" i="18"/>
  <c r="GA57" i="18"/>
  <c r="GB57" i="18"/>
  <c r="GC57" i="18"/>
  <c r="GD57" i="18"/>
  <c r="GE57" i="18"/>
  <c r="GF57" i="18"/>
  <c r="GG57" i="18"/>
  <c r="GH57" i="18"/>
  <c r="GI57" i="18"/>
  <c r="GJ57" i="18"/>
  <c r="GK57" i="18"/>
  <c r="GL57" i="18"/>
  <c r="GM57" i="18"/>
  <c r="GN57" i="18"/>
  <c r="GO57" i="18"/>
  <c r="GP57" i="18"/>
  <c r="GQ57" i="18"/>
  <c r="GR57" i="18"/>
  <c r="GS57" i="18"/>
  <c r="GT57" i="18"/>
  <c r="GU57" i="18"/>
  <c r="GV57" i="18"/>
  <c r="GW57" i="18"/>
  <c r="GX57" i="18"/>
  <c r="GY57" i="18"/>
  <c r="GZ57" i="18"/>
  <c r="HA57" i="18"/>
  <c r="HB57" i="18"/>
  <c r="HC57" i="18"/>
  <c r="HD57" i="18"/>
  <c r="HE57" i="18"/>
  <c r="HF57" i="18"/>
  <c r="HG57" i="18"/>
  <c r="HH57" i="18"/>
  <c r="HI57" i="18"/>
  <c r="HJ57" i="18"/>
  <c r="HK57" i="18"/>
  <c r="HL57" i="18"/>
  <c r="HM57" i="18"/>
  <c r="HN57" i="18"/>
  <c r="HO57" i="18"/>
  <c r="HP57" i="18"/>
  <c r="HQ57" i="18"/>
  <c r="HR57" i="18"/>
  <c r="HS57" i="18"/>
  <c r="HT57" i="18"/>
  <c r="HU57" i="18"/>
  <c r="HV57" i="18"/>
  <c r="HW57" i="18"/>
  <c r="HX57" i="18"/>
  <c r="HY57" i="18"/>
  <c r="HZ57" i="18"/>
  <c r="IA57" i="18"/>
  <c r="IB57" i="18"/>
  <c r="IC57" i="18"/>
  <c r="ID57" i="18"/>
  <c r="IE57" i="18"/>
  <c r="IF57" i="18"/>
  <c r="IG57" i="18"/>
  <c r="IH57" i="18"/>
  <c r="II57" i="18"/>
  <c r="IJ57" i="18"/>
  <c r="IK57" i="18"/>
  <c r="IL57" i="18"/>
  <c r="IM57" i="18"/>
  <c r="IN57" i="18"/>
  <c r="IO57" i="18"/>
  <c r="IP57" i="18"/>
  <c r="IQ57" i="18"/>
  <c r="IR57" i="18"/>
  <c r="IS57" i="18"/>
  <c r="IT57" i="18"/>
  <c r="IU57" i="18"/>
  <c r="IV57" i="18"/>
  <c r="A58" i="18"/>
  <c r="B58" i="18"/>
  <c r="C58" i="18"/>
  <c r="D58" i="18"/>
  <c r="E58" i="18"/>
  <c r="F58" i="18"/>
  <c r="G58" i="18"/>
  <c r="H58" i="18"/>
  <c r="I58" i="18"/>
  <c r="J58" i="18"/>
  <c r="K58" i="18"/>
  <c r="L58" i="18"/>
  <c r="M58" i="18"/>
  <c r="N58" i="18"/>
  <c r="O58" i="18"/>
  <c r="P58" i="18"/>
  <c r="Q58" i="18"/>
  <c r="R58" i="18"/>
  <c r="S58" i="18"/>
  <c r="T58" i="18"/>
  <c r="U58" i="18"/>
  <c r="V58" i="18"/>
  <c r="W58" i="18"/>
  <c r="X58" i="18"/>
  <c r="Y58" i="18"/>
  <c r="Z58" i="18"/>
  <c r="AA58" i="18"/>
  <c r="AB58" i="18"/>
  <c r="AC58" i="18"/>
  <c r="AD58" i="18"/>
  <c r="AE58" i="18"/>
  <c r="AF58" i="18"/>
  <c r="AG58" i="18"/>
  <c r="AH58" i="18"/>
  <c r="AI58" i="18"/>
  <c r="AJ58" i="18"/>
  <c r="AK58" i="18"/>
  <c r="AL58" i="18"/>
  <c r="AM58" i="18"/>
  <c r="AN58" i="18"/>
  <c r="AO58" i="18"/>
  <c r="AP58" i="18"/>
  <c r="AQ58" i="18"/>
  <c r="AR58" i="18"/>
  <c r="AS58" i="18"/>
  <c r="AT58" i="18"/>
  <c r="AU58" i="18"/>
  <c r="AV58" i="18"/>
  <c r="AW58" i="18"/>
  <c r="AX58" i="18"/>
  <c r="AY58" i="18"/>
  <c r="AZ58" i="18"/>
  <c r="BA58" i="18"/>
  <c r="BB58" i="18"/>
  <c r="BC58" i="18"/>
  <c r="BD58" i="18"/>
  <c r="BE58" i="18"/>
  <c r="BF58" i="18"/>
  <c r="BG58" i="18"/>
  <c r="BH58" i="18"/>
  <c r="BI58" i="18"/>
  <c r="BJ58" i="18"/>
  <c r="BK58" i="18"/>
  <c r="BL58" i="18"/>
  <c r="BM58" i="18"/>
  <c r="BN58" i="18"/>
  <c r="BO58" i="18"/>
  <c r="BP58" i="18"/>
  <c r="BQ58" i="18"/>
  <c r="BR58" i="18"/>
  <c r="BS58" i="18"/>
  <c r="BT58" i="18"/>
  <c r="BU58" i="18"/>
  <c r="BV58" i="18"/>
  <c r="BW58" i="18"/>
  <c r="BX58" i="18"/>
  <c r="BY58" i="18"/>
  <c r="BZ58" i="18"/>
  <c r="CA58" i="18"/>
  <c r="CB58" i="18"/>
  <c r="CC58" i="18"/>
  <c r="CD58" i="18"/>
  <c r="CE58" i="18"/>
  <c r="CF58" i="18"/>
  <c r="CG58" i="18"/>
  <c r="CH58" i="18"/>
  <c r="CI58" i="18"/>
  <c r="CJ58" i="18"/>
  <c r="CK58" i="18"/>
  <c r="CL58" i="18"/>
  <c r="CM58" i="18"/>
  <c r="CN58" i="18"/>
  <c r="CO58" i="18"/>
  <c r="CP58" i="18"/>
  <c r="CQ58" i="18"/>
  <c r="CR58" i="18"/>
  <c r="CS58" i="18"/>
  <c r="CT58" i="18"/>
  <c r="CU58" i="18"/>
  <c r="CV58" i="18"/>
  <c r="CW58" i="18"/>
  <c r="CX58" i="18"/>
  <c r="CY58" i="18"/>
  <c r="CZ58" i="18"/>
  <c r="DA58" i="18"/>
  <c r="DB58" i="18"/>
  <c r="DC58" i="18"/>
  <c r="DD58" i="18"/>
  <c r="DE58" i="18"/>
  <c r="DF58" i="18"/>
  <c r="DG58" i="18"/>
  <c r="DH58" i="18"/>
  <c r="DI58" i="18"/>
  <c r="DJ58" i="18"/>
  <c r="DK58" i="18"/>
  <c r="DL58" i="18"/>
  <c r="DM58" i="18"/>
  <c r="DN58" i="18"/>
  <c r="DO58" i="18"/>
  <c r="DP58" i="18"/>
  <c r="DQ58" i="18"/>
  <c r="DR58" i="18"/>
  <c r="DS58" i="18"/>
  <c r="DT58" i="18"/>
  <c r="DU58" i="18"/>
  <c r="DV58" i="18"/>
  <c r="DW58" i="18"/>
  <c r="DX58" i="18"/>
  <c r="DY58" i="18"/>
  <c r="DZ58" i="18"/>
  <c r="EA58" i="18"/>
  <c r="EB58" i="18"/>
  <c r="EC58" i="18"/>
  <c r="ED58" i="18"/>
  <c r="EE58" i="18"/>
  <c r="EF58" i="18"/>
  <c r="EG58" i="18"/>
  <c r="EH58" i="18"/>
  <c r="EI58" i="18"/>
  <c r="EJ58" i="18"/>
  <c r="EK58" i="18"/>
  <c r="EL58" i="18"/>
  <c r="EM58" i="18"/>
  <c r="EN58" i="18"/>
  <c r="EO58" i="18"/>
  <c r="EP58" i="18"/>
  <c r="EQ58" i="18"/>
  <c r="ER58" i="18"/>
  <c r="ES58" i="18"/>
  <c r="ET58" i="18"/>
  <c r="EU58" i="18"/>
  <c r="EV58" i="18"/>
  <c r="EW58" i="18"/>
  <c r="EX58" i="18"/>
  <c r="EY58" i="18"/>
  <c r="EZ58" i="18"/>
  <c r="FA58" i="18"/>
  <c r="FB58" i="18"/>
  <c r="FC58" i="18"/>
  <c r="FD58" i="18"/>
  <c r="FE58" i="18"/>
  <c r="FF58" i="18"/>
  <c r="FG58" i="18"/>
  <c r="FH58" i="18"/>
  <c r="FI58" i="18"/>
  <c r="FJ58" i="18"/>
  <c r="FK58" i="18"/>
  <c r="FL58" i="18"/>
  <c r="FM58" i="18"/>
  <c r="FN58" i="18"/>
  <c r="FO58" i="18"/>
  <c r="FP58" i="18"/>
  <c r="FQ58" i="18"/>
  <c r="FR58" i="18"/>
  <c r="FS58" i="18"/>
  <c r="FT58" i="18"/>
  <c r="FU58" i="18"/>
  <c r="FV58" i="18"/>
  <c r="FW58" i="18"/>
  <c r="FX58" i="18"/>
  <c r="FY58" i="18"/>
  <c r="FZ58" i="18"/>
  <c r="GA58" i="18"/>
  <c r="GB58" i="18"/>
  <c r="GC58" i="18"/>
  <c r="GD58" i="18"/>
  <c r="GE58" i="18"/>
  <c r="GF58" i="18"/>
  <c r="GG58" i="18"/>
  <c r="GH58" i="18"/>
  <c r="GI58" i="18"/>
  <c r="GJ58" i="18"/>
  <c r="GK58" i="18"/>
  <c r="GL58" i="18"/>
  <c r="GM58" i="18"/>
  <c r="GN58" i="18"/>
  <c r="GO58" i="18"/>
  <c r="GP58" i="18"/>
  <c r="GQ58" i="18"/>
  <c r="GR58" i="18"/>
  <c r="GS58" i="18"/>
  <c r="GT58" i="18"/>
  <c r="GU58" i="18"/>
  <c r="GV58" i="18"/>
  <c r="GW58" i="18"/>
  <c r="GX58" i="18"/>
  <c r="GY58" i="18"/>
  <c r="GZ58" i="18"/>
  <c r="HA58" i="18"/>
  <c r="HB58" i="18"/>
  <c r="HC58" i="18"/>
  <c r="HD58" i="18"/>
  <c r="HE58" i="18"/>
  <c r="HF58" i="18"/>
  <c r="HG58" i="18"/>
  <c r="HH58" i="18"/>
  <c r="HI58" i="18"/>
  <c r="HJ58" i="18"/>
  <c r="HK58" i="18"/>
  <c r="HL58" i="18"/>
  <c r="HM58" i="18"/>
  <c r="HN58" i="18"/>
  <c r="HO58" i="18"/>
  <c r="HP58" i="18"/>
  <c r="HQ58" i="18"/>
  <c r="HR58" i="18"/>
  <c r="HS58" i="18"/>
  <c r="HT58" i="18"/>
  <c r="HU58" i="18"/>
  <c r="HV58" i="18"/>
  <c r="HW58" i="18"/>
  <c r="HX58" i="18"/>
  <c r="HY58" i="18"/>
  <c r="HZ58" i="18"/>
  <c r="IA58" i="18"/>
  <c r="IB58" i="18"/>
  <c r="IC58" i="18"/>
  <c r="ID58" i="18"/>
  <c r="IE58" i="18"/>
  <c r="IF58" i="18"/>
  <c r="IG58" i="18"/>
  <c r="IH58" i="18"/>
  <c r="II58" i="18"/>
  <c r="IJ58" i="18"/>
  <c r="IK58" i="18"/>
  <c r="IL58" i="18"/>
  <c r="IM58" i="18"/>
  <c r="IN58" i="18"/>
  <c r="IO58" i="18"/>
  <c r="IP58" i="18"/>
  <c r="IQ58" i="18"/>
  <c r="IR58" i="18"/>
  <c r="IS58" i="18"/>
  <c r="IT58" i="18"/>
  <c r="IU58" i="18"/>
  <c r="IV58" i="18"/>
  <c r="A59" i="18"/>
  <c r="B59" i="18"/>
  <c r="C59" i="18"/>
  <c r="D59" i="18"/>
  <c r="E59" i="18"/>
  <c r="F59" i="18"/>
  <c r="G59" i="18"/>
  <c r="H59" i="18"/>
  <c r="I59" i="18"/>
  <c r="J59" i="18"/>
  <c r="K59" i="18"/>
  <c r="L59" i="18"/>
  <c r="M59" i="18"/>
  <c r="N59" i="18"/>
  <c r="O59" i="18"/>
  <c r="P59" i="18"/>
  <c r="Q59" i="18"/>
  <c r="R59" i="18"/>
  <c r="S59" i="18"/>
  <c r="T59" i="18"/>
  <c r="U59" i="18"/>
  <c r="V59" i="18"/>
  <c r="W59" i="18"/>
  <c r="X59" i="18"/>
  <c r="Y59" i="18"/>
  <c r="Z59" i="18"/>
  <c r="AA59" i="18"/>
  <c r="AB59" i="18"/>
  <c r="AC59" i="18"/>
  <c r="AD59" i="18"/>
  <c r="AE59" i="18"/>
  <c r="AF59" i="18"/>
  <c r="AG59" i="18"/>
  <c r="AH59" i="18"/>
  <c r="AI59" i="18"/>
  <c r="AJ59" i="18"/>
  <c r="AK59" i="18"/>
  <c r="AL59" i="18"/>
  <c r="AM59" i="18"/>
  <c r="AN59" i="18"/>
  <c r="AO59" i="18"/>
  <c r="AP59" i="18"/>
  <c r="AQ59" i="18"/>
  <c r="AR59" i="18"/>
  <c r="AS59" i="18"/>
  <c r="AT59" i="18"/>
  <c r="AU59" i="18"/>
  <c r="AV59" i="18"/>
  <c r="AW59" i="18"/>
  <c r="AX59" i="18"/>
  <c r="AY59" i="18"/>
  <c r="AZ59" i="18"/>
  <c r="BA59" i="18"/>
  <c r="BB59" i="18"/>
  <c r="BC59" i="18"/>
  <c r="BD59" i="18"/>
  <c r="BE59" i="18"/>
  <c r="BF59" i="18"/>
  <c r="BG59" i="18"/>
  <c r="BH59" i="18"/>
  <c r="BI59" i="18"/>
  <c r="BJ59" i="18"/>
  <c r="BK59" i="18"/>
  <c r="BL59" i="18"/>
  <c r="BM59" i="18"/>
  <c r="BN59" i="18"/>
  <c r="BO59" i="18"/>
  <c r="BP59" i="18"/>
  <c r="BQ59" i="18"/>
  <c r="BR59" i="18"/>
  <c r="BS59" i="18"/>
  <c r="BT59" i="18"/>
  <c r="BU59" i="18"/>
  <c r="BV59" i="18"/>
  <c r="BW59" i="18"/>
  <c r="BX59" i="18"/>
  <c r="BY59" i="18"/>
  <c r="BZ59" i="18"/>
  <c r="CA59" i="18"/>
  <c r="CB59" i="18"/>
  <c r="CC59" i="18"/>
  <c r="CD59" i="18"/>
  <c r="CE59" i="18"/>
  <c r="CF59" i="18"/>
  <c r="CG59" i="18"/>
  <c r="CH59" i="18"/>
  <c r="CI59" i="18"/>
  <c r="CJ59" i="18"/>
  <c r="CK59" i="18"/>
  <c r="CL59" i="18"/>
  <c r="CM59" i="18"/>
  <c r="CN59" i="18"/>
  <c r="CO59" i="18"/>
  <c r="CP59" i="18"/>
  <c r="CQ59" i="18"/>
  <c r="CR59" i="18"/>
  <c r="CS59" i="18"/>
  <c r="CT59" i="18"/>
  <c r="CU59" i="18"/>
  <c r="CV59" i="18"/>
  <c r="CW59" i="18"/>
  <c r="CX59" i="18"/>
  <c r="CY59" i="18"/>
  <c r="CZ59" i="18"/>
  <c r="DA59" i="18"/>
  <c r="DB59" i="18"/>
  <c r="DC59" i="18"/>
  <c r="DD59" i="18"/>
  <c r="DE59" i="18"/>
  <c r="DF59" i="18"/>
  <c r="DG59" i="18"/>
  <c r="DH59" i="18"/>
  <c r="DI59" i="18"/>
  <c r="DJ59" i="18"/>
  <c r="DK59" i="18"/>
  <c r="DL59" i="18"/>
  <c r="DM59" i="18"/>
  <c r="DN59" i="18"/>
  <c r="DO59" i="18"/>
  <c r="DP59" i="18"/>
  <c r="DQ59" i="18"/>
  <c r="DR59" i="18"/>
  <c r="DS59" i="18"/>
  <c r="DT59" i="18"/>
  <c r="DU59" i="18"/>
  <c r="DV59" i="18"/>
  <c r="DW59" i="18"/>
  <c r="DX59" i="18"/>
  <c r="DY59" i="18"/>
  <c r="DZ59" i="18"/>
  <c r="EA59" i="18"/>
  <c r="EB59" i="18"/>
  <c r="EC59" i="18"/>
  <c r="ED59" i="18"/>
  <c r="EE59" i="18"/>
  <c r="EF59" i="18"/>
  <c r="EG59" i="18"/>
  <c r="EH59" i="18"/>
  <c r="EI59" i="18"/>
  <c r="EJ59" i="18"/>
  <c r="EK59" i="18"/>
  <c r="EL59" i="18"/>
  <c r="EM59" i="18"/>
  <c r="EN59" i="18"/>
  <c r="EO59" i="18"/>
  <c r="EP59" i="18"/>
  <c r="EQ59" i="18"/>
  <c r="ER59" i="18"/>
  <c r="ES59" i="18"/>
  <c r="ET59" i="18"/>
  <c r="EU59" i="18"/>
  <c r="EV59" i="18"/>
  <c r="EW59" i="18"/>
  <c r="EX59" i="18"/>
  <c r="EY59" i="18"/>
  <c r="EZ59" i="18"/>
  <c r="FA59" i="18"/>
  <c r="FB59" i="18"/>
  <c r="FC59" i="18"/>
  <c r="FD59" i="18"/>
  <c r="FE59" i="18"/>
  <c r="FF59" i="18"/>
  <c r="FG59" i="18"/>
  <c r="FH59" i="18"/>
  <c r="FI59" i="18"/>
  <c r="FJ59" i="18"/>
  <c r="FK59" i="18"/>
  <c r="FL59" i="18"/>
  <c r="FM59" i="18"/>
  <c r="FN59" i="18"/>
  <c r="FO59" i="18"/>
  <c r="FP59" i="18"/>
  <c r="FQ59" i="18"/>
  <c r="FR59" i="18"/>
  <c r="FS59" i="18"/>
  <c r="FT59" i="18"/>
  <c r="FU59" i="18"/>
  <c r="FV59" i="18"/>
  <c r="FW59" i="18"/>
  <c r="FX59" i="18"/>
  <c r="FY59" i="18"/>
  <c r="FZ59" i="18"/>
  <c r="GA59" i="18"/>
  <c r="GB59" i="18"/>
  <c r="GC59" i="18"/>
  <c r="GD59" i="18"/>
  <c r="GE59" i="18"/>
  <c r="GF59" i="18"/>
  <c r="GG59" i="18"/>
  <c r="GH59" i="18"/>
  <c r="GI59" i="18"/>
  <c r="GJ59" i="18"/>
  <c r="GK59" i="18"/>
  <c r="GL59" i="18"/>
  <c r="GM59" i="18"/>
  <c r="GN59" i="18"/>
  <c r="GO59" i="18"/>
  <c r="GP59" i="18"/>
  <c r="GQ59" i="18"/>
  <c r="GR59" i="18"/>
  <c r="GS59" i="18"/>
  <c r="GT59" i="18"/>
  <c r="GU59" i="18"/>
  <c r="GV59" i="18"/>
  <c r="GW59" i="18"/>
  <c r="GX59" i="18"/>
  <c r="GY59" i="18"/>
  <c r="GZ59" i="18"/>
  <c r="HA59" i="18"/>
  <c r="HB59" i="18"/>
  <c r="HC59" i="18"/>
  <c r="HD59" i="18"/>
  <c r="HE59" i="18"/>
  <c r="HF59" i="18"/>
  <c r="HG59" i="18"/>
  <c r="HH59" i="18"/>
  <c r="HI59" i="18"/>
  <c r="HJ59" i="18"/>
  <c r="HK59" i="18"/>
  <c r="HL59" i="18"/>
  <c r="HM59" i="18"/>
  <c r="HN59" i="18"/>
  <c r="HO59" i="18"/>
  <c r="HP59" i="18"/>
  <c r="HQ59" i="18"/>
  <c r="HR59" i="18"/>
  <c r="HS59" i="18"/>
  <c r="HT59" i="18"/>
  <c r="HU59" i="18"/>
  <c r="HV59" i="18"/>
  <c r="HW59" i="18"/>
  <c r="HX59" i="18"/>
  <c r="HY59" i="18"/>
  <c r="HZ59" i="18"/>
  <c r="IA59" i="18"/>
  <c r="IB59" i="18"/>
  <c r="IC59" i="18"/>
  <c r="ID59" i="18"/>
  <c r="IE59" i="18"/>
  <c r="IF59" i="18"/>
  <c r="IG59" i="18"/>
  <c r="IH59" i="18"/>
  <c r="II59" i="18"/>
  <c r="IJ59" i="18"/>
  <c r="IK59" i="18"/>
  <c r="IL59" i="18"/>
  <c r="IM59" i="18"/>
  <c r="IN59" i="18"/>
  <c r="IO59" i="18"/>
  <c r="IP59" i="18"/>
  <c r="IQ59" i="18"/>
  <c r="IR59" i="18"/>
  <c r="IS59" i="18"/>
  <c r="IT59" i="18"/>
  <c r="IU59" i="18"/>
  <c r="IV59" i="18"/>
  <c r="A60" i="18"/>
  <c r="B60" i="18"/>
  <c r="C60" i="18"/>
  <c r="D60" i="18"/>
  <c r="E60" i="18"/>
  <c r="F60" i="18"/>
  <c r="G60" i="18"/>
  <c r="H60" i="18"/>
  <c r="I60" i="18"/>
  <c r="J60" i="18"/>
  <c r="K60" i="18"/>
  <c r="L60" i="18"/>
  <c r="M60" i="18"/>
  <c r="N60" i="18"/>
  <c r="O60" i="18"/>
  <c r="P60" i="18"/>
  <c r="Q60" i="18"/>
  <c r="R60" i="18"/>
  <c r="S60" i="18"/>
  <c r="T60" i="18"/>
  <c r="U60" i="18"/>
  <c r="V60" i="18"/>
  <c r="W60" i="18"/>
  <c r="X60" i="18"/>
  <c r="Y60" i="18"/>
  <c r="Z60" i="18"/>
  <c r="AA60" i="18"/>
  <c r="AB60" i="18"/>
  <c r="AC60" i="18"/>
  <c r="AD60" i="18"/>
  <c r="AE60" i="18"/>
  <c r="AF60" i="18"/>
  <c r="AG60" i="18"/>
  <c r="AH60" i="18"/>
  <c r="AI60" i="18"/>
  <c r="AJ60" i="18"/>
  <c r="AK60" i="18"/>
  <c r="AL60" i="18"/>
  <c r="AM60" i="18"/>
  <c r="AN60" i="18"/>
  <c r="AO60" i="18"/>
  <c r="AP60" i="18"/>
  <c r="AQ60" i="18"/>
  <c r="AR60" i="18"/>
  <c r="AS60" i="18"/>
  <c r="AT60" i="18"/>
  <c r="AU60" i="18"/>
  <c r="AV60" i="18"/>
  <c r="AW60" i="18"/>
  <c r="AX60" i="18"/>
  <c r="AY60" i="18"/>
  <c r="AZ60" i="18"/>
  <c r="BA60" i="18"/>
  <c r="BB60" i="18"/>
  <c r="BC60" i="18"/>
  <c r="BD60" i="18"/>
  <c r="BE60" i="18"/>
  <c r="BF60" i="18"/>
  <c r="BG60" i="18"/>
  <c r="BH60" i="18"/>
  <c r="BI60" i="18"/>
  <c r="BJ60" i="18"/>
  <c r="BK60" i="18"/>
  <c r="BL60" i="18"/>
  <c r="BM60" i="18"/>
  <c r="BN60" i="18"/>
  <c r="BO60" i="18"/>
  <c r="BP60" i="18"/>
  <c r="BQ60" i="18"/>
  <c r="BR60" i="18"/>
  <c r="BS60" i="18"/>
  <c r="BT60" i="18"/>
  <c r="BU60" i="18"/>
  <c r="BV60" i="18"/>
  <c r="BW60" i="18"/>
  <c r="BX60" i="18"/>
  <c r="BY60" i="18"/>
  <c r="BZ60" i="18"/>
  <c r="CA60" i="18"/>
  <c r="CB60" i="18"/>
  <c r="CC60" i="18"/>
  <c r="CD60" i="18"/>
  <c r="CE60" i="18"/>
  <c r="CF60" i="18"/>
  <c r="CG60" i="18"/>
  <c r="CH60" i="18"/>
  <c r="CI60" i="18"/>
  <c r="CJ60" i="18"/>
  <c r="CK60" i="18"/>
  <c r="CL60" i="18"/>
  <c r="CM60" i="18"/>
  <c r="CN60" i="18"/>
  <c r="CO60" i="18"/>
  <c r="CP60" i="18"/>
  <c r="CQ60" i="18"/>
  <c r="CR60" i="18"/>
  <c r="CS60" i="18"/>
  <c r="CT60" i="18"/>
  <c r="CU60" i="18"/>
  <c r="CV60" i="18"/>
  <c r="CW60" i="18"/>
  <c r="CX60" i="18"/>
  <c r="CY60" i="18"/>
  <c r="CZ60" i="18"/>
  <c r="DA60" i="18"/>
  <c r="DB60" i="18"/>
  <c r="DC60" i="18"/>
  <c r="DD60" i="18"/>
  <c r="DE60" i="18"/>
  <c r="DF60" i="18"/>
  <c r="DG60" i="18"/>
  <c r="DH60" i="18"/>
  <c r="DI60" i="18"/>
  <c r="DJ60" i="18"/>
  <c r="DK60" i="18"/>
  <c r="DL60" i="18"/>
  <c r="DM60" i="18"/>
  <c r="DN60" i="18"/>
  <c r="DO60" i="18"/>
  <c r="DP60" i="18"/>
  <c r="DQ60" i="18"/>
  <c r="DR60" i="18"/>
  <c r="DS60" i="18"/>
  <c r="DT60" i="18"/>
  <c r="DU60" i="18"/>
  <c r="DV60" i="18"/>
  <c r="DW60" i="18"/>
  <c r="DX60" i="18"/>
  <c r="DY60" i="18"/>
  <c r="DZ60" i="18"/>
  <c r="EA60" i="18"/>
  <c r="EB60" i="18"/>
  <c r="EC60" i="18"/>
  <c r="ED60" i="18"/>
  <c r="EE60" i="18"/>
  <c r="EF60" i="18"/>
  <c r="EG60" i="18"/>
  <c r="EH60" i="18"/>
  <c r="EI60" i="18"/>
  <c r="EJ60" i="18"/>
  <c r="EK60" i="18"/>
  <c r="EL60" i="18"/>
  <c r="EM60" i="18"/>
  <c r="EN60" i="18"/>
  <c r="EO60" i="18"/>
  <c r="EP60" i="18"/>
  <c r="EQ60" i="18"/>
  <c r="ER60" i="18"/>
  <c r="ES60" i="18"/>
  <c r="ET60" i="18"/>
  <c r="EU60" i="18"/>
  <c r="EV60" i="18"/>
  <c r="EW60" i="18"/>
  <c r="EX60" i="18"/>
  <c r="EY60" i="18"/>
  <c r="EZ60" i="18"/>
  <c r="FA60" i="18"/>
  <c r="FB60" i="18"/>
  <c r="FC60" i="18"/>
  <c r="FD60" i="18"/>
  <c r="FE60" i="18"/>
  <c r="FF60" i="18"/>
  <c r="FG60" i="18"/>
  <c r="FH60" i="18"/>
  <c r="FI60" i="18"/>
  <c r="FJ60" i="18"/>
  <c r="FK60" i="18"/>
  <c r="FL60" i="18"/>
  <c r="FM60" i="18"/>
  <c r="FN60" i="18"/>
  <c r="FO60" i="18"/>
  <c r="FP60" i="18"/>
  <c r="FQ60" i="18"/>
  <c r="FR60" i="18"/>
  <c r="FS60" i="18"/>
  <c r="FT60" i="18"/>
  <c r="FU60" i="18"/>
  <c r="FV60" i="18"/>
  <c r="FW60" i="18"/>
  <c r="FX60" i="18"/>
  <c r="FY60" i="18"/>
  <c r="FZ60" i="18"/>
  <c r="GA60" i="18"/>
  <c r="GB60" i="18"/>
  <c r="GC60" i="18"/>
  <c r="GD60" i="18"/>
  <c r="GE60" i="18"/>
  <c r="GF60" i="18"/>
  <c r="GG60" i="18"/>
  <c r="GH60" i="18"/>
  <c r="GI60" i="18"/>
  <c r="GJ60" i="18"/>
  <c r="GK60" i="18"/>
  <c r="GL60" i="18"/>
  <c r="GM60" i="18"/>
  <c r="GN60" i="18"/>
  <c r="GO60" i="18"/>
  <c r="GP60" i="18"/>
  <c r="GQ60" i="18"/>
  <c r="GR60" i="18"/>
  <c r="GS60" i="18"/>
  <c r="GT60" i="18"/>
  <c r="GU60" i="18"/>
  <c r="GV60" i="18"/>
  <c r="GW60" i="18"/>
  <c r="GX60" i="18"/>
  <c r="GY60" i="18"/>
  <c r="GZ60" i="18"/>
  <c r="HA60" i="18"/>
  <c r="HB60" i="18"/>
  <c r="HC60" i="18"/>
  <c r="HD60" i="18"/>
  <c r="HE60" i="18"/>
  <c r="HF60" i="18"/>
  <c r="HG60" i="18"/>
  <c r="HH60" i="18"/>
  <c r="HI60" i="18"/>
  <c r="HJ60" i="18"/>
  <c r="HK60" i="18"/>
  <c r="HL60" i="18"/>
  <c r="HM60" i="18"/>
  <c r="HN60" i="18"/>
  <c r="HO60" i="18"/>
  <c r="HP60" i="18"/>
  <c r="HQ60" i="18"/>
  <c r="HR60" i="18"/>
  <c r="HS60" i="18"/>
  <c r="HT60" i="18"/>
  <c r="HU60" i="18"/>
  <c r="HV60" i="18"/>
  <c r="HW60" i="18"/>
  <c r="HX60" i="18"/>
  <c r="HY60" i="18"/>
  <c r="HZ60" i="18"/>
  <c r="IA60" i="18"/>
  <c r="IB60" i="18"/>
  <c r="IC60" i="18"/>
  <c r="ID60" i="18"/>
  <c r="IE60" i="18"/>
  <c r="IF60" i="18"/>
  <c r="IG60" i="18"/>
  <c r="IH60" i="18"/>
  <c r="II60" i="18"/>
  <c r="IJ60" i="18"/>
  <c r="IK60" i="18"/>
  <c r="IL60" i="18"/>
  <c r="IM60" i="18"/>
  <c r="IN60" i="18"/>
  <c r="IO60" i="18"/>
  <c r="IP60" i="18"/>
  <c r="IQ60" i="18"/>
  <c r="IR60" i="18"/>
  <c r="IS60" i="18"/>
  <c r="IT60" i="18"/>
  <c r="IU60" i="18"/>
  <c r="IV60" i="18"/>
  <c r="A61" i="18"/>
  <c r="B61" i="18"/>
  <c r="C61" i="18"/>
  <c r="D61" i="18"/>
  <c r="E61" i="18"/>
  <c r="F61" i="18"/>
  <c r="G61" i="18"/>
  <c r="H61" i="18"/>
  <c r="I61" i="18"/>
  <c r="J61" i="18"/>
  <c r="K61" i="18"/>
  <c r="L61" i="18"/>
  <c r="M61" i="18"/>
  <c r="N61" i="18"/>
  <c r="O61" i="18"/>
  <c r="P61" i="18"/>
  <c r="Q61" i="18"/>
  <c r="R61" i="18"/>
  <c r="S61" i="18"/>
  <c r="T61" i="18"/>
  <c r="U61" i="18"/>
  <c r="V61" i="18"/>
  <c r="W61" i="18"/>
  <c r="X61" i="18"/>
  <c r="Y61" i="18"/>
  <c r="Z61" i="18"/>
  <c r="AA61" i="18"/>
  <c r="AB61" i="18"/>
  <c r="AC61" i="18"/>
  <c r="AD61" i="18"/>
  <c r="AE61" i="18"/>
  <c r="AF61" i="18"/>
  <c r="AG61" i="18"/>
  <c r="AH61" i="18"/>
  <c r="AI61" i="18"/>
  <c r="AJ61" i="18"/>
  <c r="AK61" i="18"/>
  <c r="AL61" i="18"/>
  <c r="AM61" i="18"/>
  <c r="AN61" i="18"/>
  <c r="AO61" i="18"/>
  <c r="AP61" i="18"/>
  <c r="AQ61" i="18"/>
  <c r="AR61" i="18"/>
  <c r="AS61" i="18"/>
  <c r="AT61" i="18"/>
  <c r="AU61" i="18"/>
  <c r="AV61" i="18"/>
  <c r="AW61" i="18"/>
  <c r="AX61" i="18"/>
  <c r="AY61" i="18"/>
  <c r="AZ61" i="18"/>
  <c r="BA61" i="18"/>
  <c r="BB61" i="18"/>
  <c r="BC61" i="18"/>
  <c r="BD61" i="18"/>
  <c r="BE61" i="18"/>
  <c r="BF61" i="18"/>
  <c r="BG61" i="18"/>
  <c r="BH61" i="18"/>
  <c r="BI61" i="18"/>
  <c r="BJ61" i="18"/>
  <c r="BK61" i="18"/>
  <c r="BL61" i="18"/>
  <c r="BM61" i="18"/>
  <c r="BN61" i="18"/>
  <c r="BO61" i="18"/>
  <c r="BP61" i="18"/>
  <c r="BQ61" i="18"/>
  <c r="BR61" i="18"/>
  <c r="BS61" i="18"/>
  <c r="BT61" i="18"/>
  <c r="BU61" i="18"/>
  <c r="BV61" i="18"/>
  <c r="BW61" i="18"/>
  <c r="BX61" i="18"/>
  <c r="BY61" i="18"/>
  <c r="BZ61" i="18"/>
  <c r="CA61" i="18"/>
  <c r="CB61" i="18"/>
  <c r="CC61" i="18"/>
  <c r="CD61" i="18"/>
  <c r="CE61" i="18"/>
  <c r="CF61" i="18"/>
  <c r="CG61" i="18"/>
  <c r="CH61" i="18"/>
  <c r="CI61" i="18"/>
  <c r="CJ61" i="18"/>
  <c r="CK61" i="18"/>
  <c r="CL61" i="18"/>
  <c r="CM61" i="18"/>
  <c r="CN61" i="18"/>
  <c r="CO61" i="18"/>
  <c r="CP61" i="18"/>
  <c r="CQ61" i="18"/>
  <c r="CR61" i="18"/>
  <c r="CS61" i="18"/>
  <c r="CT61" i="18"/>
  <c r="CU61" i="18"/>
  <c r="CV61" i="18"/>
  <c r="CW61" i="18"/>
  <c r="CX61" i="18"/>
  <c r="CY61" i="18"/>
  <c r="CZ61" i="18"/>
  <c r="DA61" i="18"/>
  <c r="DB61" i="18"/>
  <c r="DC61" i="18"/>
  <c r="DD61" i="18"/>
  <c r="DE61" i="18"/>
  <c r="DF61" i="18"/>
  <c r="DG61" i="18"/>
  <c r="DH61" i="18"/>
  <c r="DI61" i="18"/>
  <c r="DJ61" i="18"/>
  <c r="DK61" i="18"/>
  <c r="DL61" i="18"/>
  <c r="DM61" i="18"/>
  <c r="DN61" i="18"/>
  <c r="DO61" i="18"/>
  <c r="DP61" i="18"/>
  <c r="DQ61" i="18"/>
  <c r="DR61" i="18"/>
  <c r="DS61" i="18"/>
  <c r="DT61" i="18"/>
  <c r="DU61" i="18"/>
  <c r="DV61" i="18"/>
  <c r="DW61" i="18"/>
  <c r="DX61" i="18"/>
  <c r="DY61" i="18"/>
  <c r="DZ61" i="18"/>
  <c r="EA61" i="18"/>
  <c r="EB61" i="18"/>
  <c r="EC61" i="18"/>
  <c r="ED61" i="18"/>
  <c r="EE61" i="18"/>
  <c r="EF61" i="18"/>
  <c r="EG61" i="18"/>
  <c r="EH61" i="18"/>
  <c r="EI61" i="18"/>
  <c r="EJ61" i="18"/>
  <c r="EK61" i="18"/>
  <c r="EL61" i="18"/>
  <c r="EM61" i="18"/>
  <c r="EN61" i="18"/>
  <c r="EO61" i="18"/>
  <c r="EP61" i="18"/>
  <c r="EQ61" i="18"/>
  <c r="ER61" i="18"/>
  <c r="ES61" i="18"/>
  <c r="ET61" i="18"/>
  <c r="EU61" i="18"/>
  <c r="EV61" i="18"/>
  <c r="EW61" i="18"/>
  <c r="EX61" i="18"/>
  <c r="EY61" i="18"/>
  <c r="EZ61" i="18"/>
  <c r="FA61" i="18"/>
  <c r="FB61" i="18"/>
  <c r="FC61" i="18"/>
  <c r="FD61" i="18"/>
  <c r="FE61" i="18"/>
  <c r="FF61" i="18"/>
  <c r="FG61" i="18"/>
  <c r="FH61" i="18"/>
  <c r="FI61" i="18"/>
  <c r="FJ61" i="18"/>
  <c r="FK61" i="18"/>
  <c r="FL61" i="18"/>
  <c r="FM61" i="18"/>
  <c r="FN61" i="18"/>
  <c r="FO61" i="18"/>
  <c r="FP61" i="18"/>
  <c r="FQ61" i="18"/>
  <c r="FR61" i="18"/>
  <c r="FS61" i="18"/>
  <c r="FT61" i="18"/>
  <c r="FU61" i="18"/>
  <c r="FV61" i="18"/>
  <c r="FW61" i="18"/>
  <c r="FX61" i="18"/>
  <c r="FY61" i="18"/>
  <c r="FZ61" i="18"/>
  <c r="GA61" i="18"/>
  <c r="GB61" i="18"/>
  <c r="GC61" i="18"/>
  <c r="GD61" i="18"/>
  <c r="GE61" i="18"/>
  <c r="GF61" i="18"/>
  <c r="GG61" i="18"/>
  <c r="GH61" i="18"/>
  <c r="GI61" i="18"/>
  <c r="GJ61" i="18"/>
  <c r="GK61" i="18"/>
  <c r="GL61" i="18"/>
  <c r="GM61" i="18"/>
  <c r="GN61" i="18"/>
  <c r="GO61" i="18"/>
  <c r="GP61" i="18"/>
  <c r="GQ61" i="18"/>
  <c r="GR61" i="18"/>
  <c r="GS61" i="18"/>
  <c r="GT61" i="18"/>
  <c r="GU61" i="18"/>
  <c r="GV61" i="18"/>
  <c r="GW61" i="18"/>
  <c r="GX61" i="18"/>
  <c r="GY61" i="18"/>
  <c r="GZ61" i="18"/>
  <c r="HA61" i="18"/>
  <c r="HB61" i="18"/>
  <c r="HC61" i="18"/>
  <c r="HD61" i="18"/>
  <c r="HE61" i="18"/>
  <c r="HF61" i="18"/>
  <c r="HG61" i="18"/>
  <c r="HH61" i="18"/>
  <c r="HI61" i="18"/>
  <c r="HJ61" i="18"/>
  <c r="HK61" i="18"/>
  <c r="HL61" i="18"/>
  <c r="HM61" i="18"/>
  <c r="HN61" i="18"/>
  <c r="HO61" i="18"/>
  <c r="HP61" i="18"/>
  <c r="HQ61" i="18"/>
  <c r="HR61" i="18"/>
  <c r="HS61" i="18"/>
  <c r="HT61" i="18"/>
  <c r="HU61" i="18"/>
  <c r="HV61" i="18"/>
  <c r="HW61" i="18"/>
  <c r="HX61" i="18"/>
  <c r="HY61" i="18"/>
  <c r="HZ61" i="18"/>
  <c r="IA61" i="18"/>
  <c r="IB61" i="18"/>
  <c r="IC61" i="18"/>
  <c r="ID61" i="18"/>
  <c r="IE61" i="18"/>
  <c r="IF61" i="18"/>
  <c r="IG61" i="18"/>
  <c r="IH61" i="18"/>
  <c r="II61" i="18"/>
  <c r="IJ61" i="18"/>
  <c r="IK61" i="18"/>
  <c r="IL61" i="18"/>
  <c r="IM61" i="18"/>
  <c r="IN61" i="18"/>
  <c r="IO61" i="18"/>
  <c r="IP61" i="18"/>
  <c r="IQ61" i="18"/>
  <c r="IR61" i="18"/>
  <c r="IS61" i="18"/>
  <c r="IT61" i="18"/>
  <c r="IU61" i="18"/>
  <c r="IV61" i="18"/>
  <c r="A62" i="18"/>
  <c r="B62" i="18"/>
  <c r="C62" i="18"/>
  <c r="D62" i="18"/>
  <c r="E62" i="18"/>
  <c r="F62" i="18"/>
  <c r="G62" i="18"/>
  <c r="H62" i="18"/>
  <c r="I62" i="18"/>
  <c r="J62" i="18"/>
  <c r="K62" i="18"/>
  <c r="L62" i="18"/>
  <c r="M62" i="18"/>
  <c r="N62" i="18"/>
  <c r="O62" i="18"/>
  <c r="P62" i="18"/>
  <c r="Q62" i="18"/>
  <c r="R62" i="18"/>
  <c r="S62" i="18"/>
  <c r="T62" i="18"/>
  <c r="U62" i="18"/>
  <c r="V62" i="18"/>
  <c r="W62" i="18"/>
  <c r="X62" i="18"/>
  <c r="Y62" i="18"/>
  <c r="Z62" i="18"/>
  <c r="AA62" i="18"/>
  <c r="AB62" i="18"/>
  <c r="AC62" i="18"/>
  <c r="AD62" i="18"/>
  <c r="AE62" i="18"/>
  <c r="AF62" i="18"/>
  <c r="AG62" i="18"/>
  <c r="AH62" i="18"/>
  <c r="AI62" i="18"/>
  <c r="AJ62" i="18"/>
  <c r="AK62" i="18"/>
  <c r="AL62" i="18"/>
  <c r="AM62" i="18"/>
  <c r="AN62" i="18"/>
  <c r="AO62" i="18"/>
  <c r="AP62" i="18"/>
  <c r="AQ62" i="18"/>
  <c r="AR62" i="18"/>
  <c r="AS62" i="18"/>
  <c r="AT62" i="18"/>
  <c r="AU62" i="18"/>
  <c r="AV62" i="18"/>
  <c r="AW62" i="18"/>
  <c r="AX62" i="18"/>
  <c r="AY62" i="18"/>
  <c r="AZ62" i="18"/>
  <c r="BA62" i="18"/>
  <c r="BB62" i="18"/>
  <c r="BC62" i="18"/>
  <c r="BD62" i="18"/>
  <c r="BE62" i="18"/>
  <c r="BF62" i="18"/>
  <c r="BG62" i="18"/>
  <c r="BH62" i="18"/>
  <c r="BI62" i="18"/>
  <c r="BJ62" i="18"/>
  <c r="BK62" i="18"/>
  <c r="BL62" i="18"/>
  <c r="BM62" i="18"/>
  <c r="BN62" i="18"/>
  <c r="BO62" i="18"/>
  <c r="BP62" i="18"/>
  <c r="BQ62" i="18"/>
  <c r="BR62" i="18"/>
  <c r="BS62" i="18"/>
  <c r="BT62" i="18"/>
  <c r="BU62" i="18"/>
  <c r="BV62" i="18"/>
  <c r="BW62" i="18"/>
  <c r="BX62" i="18"/>
  <c r="BY62" i="18"/>
  <c r="BZ62" i="18"/>
  <c r="CA62" i="18"/>
  <c r="CB62" i="18"/>
  <c r="CC62" i="18"/>
  <c r="CD62" i="18"/>
  <c r="CE62" i="18"/>
  <c r="CF62" i="18"/>
  <c r="CG62" i="18"/>
  <c r="CH62" i="18"/>
  <c r="CI62" i="18"/>
  <c r="CJ62" i="18"/>
  <c r="CK62" i="18"/>
  <c r="CL62" i="18"/>
  <c r="CM62" i="18"/>
  <c r="CN62" i="18"/>
  <c r="CO62" i="18"/>
  <c r="CP62" i="18"/>
  <c r="CQ62" i="18"/>
  <c r="CR62" i="18"/>
  <c r="CS62" i="18"/>
  <c r="CT62" i="18"/>
  <c r="CU62" i="18"/>
  <c r="CV62" i="18"/>
  <c r="CW62" i="18"/>
  <c r="CX62" i="18"/>
  <c r="CY62" i="18"/>
  <c r="CZ62" i="18"/>
  <c r="DA62" i="18"/>
  <c r="DB62" i="18"/>
  <c r="DC62" i="18"/>
  <c r="DD62" i="18"/>
  <c r="DE62" i="18"/>
  <c r="DF62" i="18"/>
  <c r="DG62" i="18"/>
  <c r="DH62" i="18"/>
  <c r="DI62" i="18"/>
  <c r="DJ62" i="18"/>
  <c r="DK62" i="18"/>
  <c r="DL62" i="18"/>
  <c r="DM62" i="18"/>
  <c r="DN62" i="18"/>
  <c r="DO62" i="18"/>
  <c r="DP62" i="18"/>
  <c r="DQ62" i="18"/>
  <c r="DR62" i="18"/>
  <c r="DS62" i="18"/>
  <c r="DT62" i="18"/>
  <c r="DU62" i="18"/>
  <c r="DV62" i="18"/>
  <c r="DW62" i="18"/>
  <c r="DX62" i="18"/>
  <c r="DY62" i="18"/>
  <c r="DZ62" i="18"/>
  <c r="EA62" i="18"/>
  <c r="EB62" i="18"/>
  <c r="EC62" i="18"/>
  <c r="ED62" i="18"/>
  <c r="EE62" i="18"/>
  <c r="EF62" i="18"/>
  <c r="EG62" i="18"/>
  <c r="EH62" i="18"/>
  <c r="EI62" i="18"/>
  <c r="EJ62" i="18"/>
  <c r="EK62" i="18"/>
  <c r="EL62" i="18"/>
  <c r="EM62" i="18"/>
  <c r="EN62" i="18"/>
  <c r="EO62" i="18"/>
  <c r="EP62" i="18"/>
  <c r="EQ62" i="18"/>
  <c r="ER62" i="18"/>
  <c r="ES62" i="18"/>
  <c r="ET62" i="18"/>
  <c r="EU62" i="18"/>
  <c r="EV62" i="18"/>
  <c r="EW62" i="18"/>
  <c r="EX62" i="18"/>
  <c r="EY62" i="18"/>
  <c r="EZ62" i="18"/>
  <c r="FA62" i="18"/>
  <c r="FB62" i="18"/>
  <c r="FC62" i="18"/>
  <c r="FD62" i="18"/>
  <c r="FE62" i="18"/>
  <c r="FF62" i="18"/>
  <c r="FG62" i="18"/>
  <c r="FH62" i="18"/>
  <c r="FI62" i="18"/>
  <c r="FJ62" i="18"/>
  <c r="FK62" i="18"/>
  <c r="FL62" i="18"/>
  <c r="FM62" i="18"/>
  <c r="FN62" i="18"/>
  <c r="FO62" i="18"/>
  <c r="FP62" i="18"/>
  <c r="FQ62" i="18"/>
  <c r="FR62" i="18"/>
  <c r="FS62" i="18"/>
  <c r="FT62" i="18"/>
  <c r="FU62" i="18"/>
  <c r="FV62" i="18"/>
  <c r="FW62" i="18"/>
  <c r="FX62" i="18"/>
  <c r="FY62" i="18"/>
  <c r="FZ62" i="18"/>
  <c r="GA62" i="18"/>
  <c r="GB62" i="18"/>
  <c r="GC62" i="18"/>
  <c r="GD62" i="18"/>
  <c r="GE62" i="18"/>
  <c r="GF62" i="18"/>
  <c r="GG62" i="18"/>
  <c r="GH62" i="18"/>
  <c r="GI62" i="18"/>
  <c r="GJ62" i="18"/>
  <c r="GK62" i="18"/>
  <c r="GL62" i="18"/>
  <c r="GM62" i="18"/>
  <c r="GN62" i="18"/>
  <c r="GO62" i="18"/>
  <c r="GP62" i="18"/>
  <c r="GQ62" i="18"/>
  <c r="GR62" i="18"/>
  <c r="GS62" i="18"/>
  <c r="GT62" i="18"/>
  <c r="GU62" i="18"/>
  <c r="GV62" i="18"/>
  <c r="GW62" i="18"/>
  <c r="GX62" i="18"/>
  <c r="GY62" i="18"/>
  <c r="GZ62" i="18"/>
  <c r="HA62" i="18"/>
  <c r="HB62" i="18"/>
  <c r="HC62" i="18"/>
  <c r="HD62" i="18"/>
  <c r="HE62" i="18"/>
  <c r="HF62" i="18"/>
  <c r="HG62" i="18"/>
  <c r="HH62" i="18"/>
  <c r="HI62" i="18"/>
  <c r="HJ62" i="18"/>
  <c r="HK62" i="18"/>
  <c r="HL62" i="18"/>
  <c r="HM62" i="18"/>
  <c r="HN62" i="18"/>
  <c r="HO62" i="18"/>
  <c r="HP62" i="18"/>
  <c r="HQ62" i="18"/>
  <c r="HR62" i="18"/>
  <c r="HS62" i="18"/>
  <c r="HT62" i="18"/>
  <c r="HU62" i="18"/>
  <c r="HV62" i="18"/>
  <c r="HW62" i="18"/>
  <c r="HX62" i="18"/>
  <c r="HY62" i="18"/>
  <c r="HZ62" i="18"/>
  <c r="IA62" i="18"/>
  <c r="IB62" i="18"/>
  <c r="IC62" i="18"/>
  <c r="ID62" i="18"/>
  <c r="IE62" i="18"/>
  <c r="IF62" i="18"/>
  <c r="IG62" i="18"/>
  <c r="IH62" i="18"/>
  <c r="II62" i="18"/>
  <c r="IJ62" i="18"/>
  <c r="IK62" i="18"/>
  <c r="IL62" i="18"/>
  <c r="IM62" i="18"/>
  <c r="IN62" i="18"/>
  <c r="IO62" i="18"/>
  <c r="IP62" i="18"/>
  <c r="IQ62" i="18"/>
  <c r="IR62" i="18"/>
  <c r="IS62" i="18"/>
  <c r="IT62" i="18"/>
  <c r="IU62" i="18"/>
  <c r="IV62" i="18"/>
  <c r="A63" i="18"/>
  <c r="B63" i="18"/>
  <c r="C63" i="18"/>
  <c r="D63" i="18"/>
  <c r="E63" i="18"/>
  <c r="F63" i="18"/>
  <c r="G63" i="18"/>
  <c r="H63" i="18"/>
  <c r="I63" i="18"/>
  <c r="J63" i="18"/>
  <c r="K63" i="18"/>
  <c r="L63" i="18"/>
  <c r="M63" i="18"/>
  <c r="N63" i="18"/>
  <c r="O63" i="18"/>
  <c r="P63" i="18"/>
  <c r="Q63" i="18"/>
  <c r="R63" i="18"/>
  <c r="S63" i="18"/>
  <c r="T63" i="18"/>
  <c r="U63" i="18"/>
  <c r="V63" i="18"/>
  <c r="W63" i="18"/>
  <c r="X63" i="18"/>
  <c r="Y63" i="18"/>
  <c r="Z63" i="18"/>
  <c r="AA63" i="18"/>
  <c r="AB63" i="18"/>
  <c r="AC63" i="18"/>
  <c r="AD63" i="18"/>
  <c r="AE63" i="18"/>
  <c r="AF63" i="18"/>
  <c r="AG63" i="18"/>
  <c r="AH63" i="18"/>
  <c r="AI63" i="18"/>
  <c r="AJ63" i="18"/>
  <c r="AK63" i="18"/>
  <c r="AL63" i="18"/>
  <c r="AM63" i="18"/>
  <c r="AN63" i="18"/>
  <c r="AO63" i="18"/>
  <c r="AP63" i="18"/>
  <c r="AQ63" i="18"/>
  <c r="AR63" i="18"/>
  <c r="AS63" i="18"/>
  <c r="AT63" i="18"/>
  <c r="AU63" i="18"/>
  <c r="AV63" i="18"/>
  <c r="AW63" i="18"/>
  <c r="AX63" i="18"/>
  <c r="AY63" i="18"/>
  <c r="AZ63" i="18"/>
  <c r="BA63" i="18"/>
  <c r="BB63" i="18"/>
  <c r="BC63" i="18"/>
  <c r="BD63" i="18"/>
  <c r="BE63" i="18"/>
  <c r="BF63" i="18"/>
  <c r="BG63" i="18"/>
  <c r="BH63" i="18"/>
  <c r="BI63" i="18"/>
  <c r="BJ63" i="18"/>
  <c r="BK63" i="18"/>
  <c r="BL63" i="18"/>
  <c r="BM63" i="18"/>
  <c r="BN63" i="18"/>
  <c r="BO63" i="18"/>
  <c r="BP63" i="18"/>
  <c r="BQ63" i="18"/>
  <c r="BR63" i="18"/>
  <c r="BS63" i="18"/>
  <c r="BT63" i="18"/>
  <c r="BU63" i="18"/>
  <c r="BV63" i="18"/>
  <c r="BW63" i="18"/>
  <c r="BX63" i="18"/>
  <c r="BY63" i="18"/>
  <c r="BZ63" i="18"/>
  <c r="CA63" i="18"/>
  <c r="CB63" i="18"/>
  <c r="CC63" i="18"/>
  <c r="CD63" i="18"/>
  <c r="CE63" i="18"/>
  <c r="CF63" i="18"/>
  <c r="CG63" i="18"/>
  <c r="CH63" i="18"/>
  <c r="CI63" i="18"/>
  <c r="CJ63" i="18"/>
  <c r="CK63" i="18"/>
  <c r="CL63" i="18"/>
  <c r="CM63" i="18"/>
  <c r="CN63" i="18"/>
  <c r="CO63" i="18"/>
  <c r="CP63" i="18"/>
  <c r="CQ63" i="18"/>
  <c r="CR63" i="18"/>
  <c r="CS63" i="18"/>
  <c r="CT63" i="18"/>
  <c r="CU63" i="18"/>
  <c r="CV63" i="18"/>
  <c r="CW63" i="18"/>
  <c r="CX63" i="18"/>
  <c r="CY63" i="18"/>
  <c r="CZ63" i="18"/>
  <c r="DA63" i="18"/>
  <c r="DB63" i="18"/>
  <c r="DC63" i="18"/>
  <c r="DD63" i="18"/>
  <c r="DE63" i="18"/>
  <c r="DF63" i="18"/>
  <c r="DG63" i="18"/>
  <c r="DH63" i="18"/>
  <c r="DI63" i="18"/>
  <c r="DJ63" i="18"/>
  <c r="DK63" i="18"/>
  <c r="DL63" i="18"/>
  <c r="DM63" i="18"/>
  <c r="DN63" i="18"/>
  <c r="DO63" i="18"/>
  <c r="DP63" i="18"/>
  <c r="DQ63" i="18"/>
  <c r="DR63" i="18"/>
  <c r="DS63" i="18"/>
  <c r="DT63" i="18"/>
  <c r="DU63" i="18"/>
  <c r="DV63" i="18"/>
  <c r="DW63" i="18"/>
  <c r="DX63" i="18"/>
  <c r="DY63" i="18"/>
  <c r="DZ63" i="18"/>
  <c r="EA63" i="18"/>
  <c r="EB63" i="18"/>
  <c r="EC63" i="18"/>
  <c r="ED63" i="18"/>
  <c r="EE63" i="18"/>
  <c r="EF63" i="18"/>
  <c r="EG63" i="18"/>
  <c r="EH63" i="18"/>
  <c r="EI63" i="18"/>
  <c r="EJ63" i="18"/>
  <c r="EK63" i="18"/>
  <c r="EL63" i="18"/>
  <c r="EM63" i="18"/>
  <c r="EN63" i="18"/>
  <c r="EO63" i="18"/>
  <c r="EP63" i="18"/>
  <c r="EQ63" i="18"/>
  <c r="ER63" i="18"/>
  <c r="ES63" i="18"/>
  <c r="ET63" i="18"/>
  <c r="EU63" i="18"/>
  <c r="EV63" i="18"/>
  <c r="EW63" i="18"/>
  <c r="EX63" i="18"/>
  <c r="EY63" i="18"/>
  <c r="EZ63" i="18"/>
  <c r="FA63" i="18"/>
  <c r="FB63" i="18"/>
  <c r="FC63" i="18"/>
  <c r="FD63" i="18"/>
  <c r="FE63" i="18"/>
  <c r="FF63" i="18"/>
  <c r="FG63" i="18"/>
  <c r="FH63" i="18"/>
  <c r="FI63" i="18"/>
  <c r="FJ63" i="18"/>
  <c r="FK63" i="18"/>
  <c r="FL63" i="18"/>
  <c r="FM63" i="18"/>
  <c r="FN63" i="18"/>
  <c r="FO63" i="18"/>
  <c r="FP63" i="18"/>
  <c r="FQ63" i="18"/>
  <c r="FR63" i="18"/>
  <c r="FS63" i="18"/>
  <c r="FT63" i="18"/>
  <c r="FU63" i="18"/>
  <c r="FV63" i="18"/>
  <c r="FW63" i="18"/>
  <c r="FX63" i="18"/>
  <c r="FY63" i="18"/>
  <c r="FZ63" i="18"/>
  <c r="GA63" i="18"/>
  <c r="GB63" i="18"/>
  <c r="GC63" i="18"/>
  <c r="GD63" i="18"/>
  <c r="GE63" i="18"/>
  <c r="GF63" i="18"/>
  <c r="GG63" i="18"/>
  <c r="GH63" i="18"/>
  <c r="GI63" i="18"/>
  <c r="GJ63" i="18"/>
  <c r="GK63" i="18"/>
  <c r="GL63" i="18"/>
  <c r="GM63" i="18"/>
  <c r="GN63" i="18"/>
  <c r="GO63" i="18"/>
  <c r="GP63" i="18"/>
  <c r="GQ63" i="18"/>
  <c r="GR63" i="18"/>
  <c r="GS63" i="18"/>
  <c r="GT63" i="18"/>
  <c r="GU63" i="18"/>
  <c r="GV63" i="18"/>
  <c r="GW63" i="18"/>
  <c r="GX63" i="18"/>
  <c r="GY63" i="18"/>
  <c r="GZ63" i="18"/>
  <c r="HA63" i="18"/>
  <c r="HB63" i="18"/>
  <c r="HC63" i="18"/>
  <c r="HD63" i="18"/>
  <c r="HE63" i="18"/>
  <c r="HF63" i="18"/>
  <c r="HG63" i="18"/>
  <c r="HH63" i="18"/>
  <c r="HI63" i="18"/>
  <c r="HJ63" i="18"/>
  <c r="HK63" i="18"/>
  <c r="HL63" i="18"/>
  <c r="HM63" i="18"/>
  <c r="HN63" i="18"/>
  <c r="HO63" i="18"/>
  <c r="HP63" i="18"/>
  <c r="HQ63" i="18"/>
  <c r="HR63" i="18"/>
  <c r="HS63" i="18"/>
  <c r="HT63" i="18"/>
  <c r="HU63" i="18"/>
  <c r="HV63" i="18"/>
  <c r="HW63" i="18"/>
  <c r="HX63" i="18"/>
  <c r="HY63" i="18"/>
  <c r="HZ63" i="18"/>
  <c r="IA63" i="18"/>
  <c r="IB63" i="18"/>
  <c r="IC63" i="18"/>
  <c r="ID63" i="18"/>
  <c r="IE63" i="18"/>
  <c r="IF63" i="18"/>
  <c r="IG63" i="18"/>
  <c r="IH63" i="18"/>
  <c r="II63" i="18"/>
  <c r="IJ63" i="18"/>
  <c r="IK63" i="18"/>
  <c r="IL63" i="18"/>
  <c r="IM63" i="18"/>
  <c r="IN63" i="18"/>
  <c r="IO63" i="18"/>
  <c r="IP63" i="18"/>
  <c r="IQ63" i="18"/>
  <c r="IR63" i="18"/>
  <c r="IS63" i="18"/>
  <c r="IT63" i="18"/>
  <c r="IU63" i="18"/>
  <c r="IV63" i="18"/>
  <c r="A64" i="18"/>
  <c r="B64" i="18"/>
  <c r="C64" i="18"/>
  <c r="D64" i="18"/>
  <c r="E64" i="18"/>
  <c r="F64" i="18"/>
  <c r="G64" i="18"/>
  <c r="H64" i="18"/>
  <c r="I64" i="18"/>
  <c r="J64" i="18"/>
  <c r="K64" i="18"/>
  <c r="L64" i="18"/>
  <c r="M64" i="18"/>
  <c r="N64" i="18"/>
  <c r="O64" i="18"/>
  <c r="P64" i="18"/>
  <c r="Q64" i="18"/>
  <c r="R64" i="18"/>
  <c r="S64" i="18"/>
  <c r="T64" i="18"/>
  <c r="U64" i="18"/>
  <c r="V64" i="18"/>
  <c r="W64" i="18"/>
  <c r="X64" i="18"/>
  <c r="Y64" i="18"/>
  <c r="Z64" i="18"/>
  <c r="AA64" i="18"/>
  <c r="AB64" i="18"/>
  <c r="AC64" i="18"/>
  <c r="AD64" i="18"/>
  <c r="AE64" i="18"/>
  <c r="AF64" i="18"/>
  <c r="AG64" i="18"/>
  <c r="AH64" i="18"/>
  <c r="AI64" i="18"/>
  <c r="AJ64" i="18"/>
  <c r="AK64" i="18"/>
  <c r="AL64" i="18"/>
  <c r="AM64" i="18"/>
  <c r="AN64" i="18"/>
  <c r="AO64" i="18"/>
  <c r="AP64" i="18"/>
  <c r="AQ64" i="18"/>
  <c r="AR64" i="18"/>
  <c r="AS64" i="18"/>
  <c r="AT64" i="18"/>
  <c r="AU64" i="18"/>
  <c r="AV64" i="18"/>
  <c r="AW64" i="18"/>
  <c r="AX64" i="18"/>
  <c r="AY64" i="18"/>
  <c r="AZ64" i="18"/>
  <c r="BA64" i="18"/>
  <c r="BB64" i="18"/>
  <c r="BC64" i="18"/>
  <c r="BD64" i="18"/>
  <c r="BE64" i="18"/>
  <c r="BF64" i="18"/>
  <c r="BG64" i="18"/>
  <c r="BH64" i="18"/>
  <c r="BI64" i="18"/>
  <c r="BJ64" i="18"/>
  <c r="BK64" i="18"/>
  <c r="BL64" i="18"/>
  <c r="BM64" i="18"/>
  <c r="BN64" i="18"/>
  <c r="BO64" i="18"/>
  <c r="BP64" i="18"/>
  <c r="BQ64" i="18"/>
  <c r="BR64" i="18"/>
  <c r="BS64" i="18"/>
  <c r="BT64" i="18"/>
  <c r="BU64" i="18"/>
  <c r="BV64" i="18"/>
  <c r="BW64" i="18"/>
  <c r="BX64" i="18"/>
  <c r="BY64" i="18"/>
  <c r="BZ64" i="18"/>
  <c r="CA64" i="18"/>
  <c r="CB64" i="18"/>
  <c r="CC64" i="18"/>
  <c r="CD64" i="18"/>
  <c r="CE64" i="18"/>
  <c r="CF64" i="18"/>
  <c r="CG64" i="18"/>
  <c r="CH64" i="18"/>
  <c r="CI64" i="18"/>
  <c r="CJ64" i="18"/>
  <c r="CK64" i="18"/>
  <c r="CL64" i="18"/>
  <c r="CM64" i="18"/>
  <c r="CN64" i="18"/>
  <c r="CO64" i="18"/>
  <c r="CP64" i="18"/>
  <c r="CQ64" i="18"/>
  <c r="CR64" i="18"/>
  <c r="CS64" i="18"/>
  <c r="CT64" i="18"/>
  <c r="CU64" i="18"/>
  <c r="CV64" i="18"/>
  <c r="CW64" i="18"/>
  <c r="CX64" i="18"/>
  <c r="CY64" i="18"/>
  <c r="CZ64" i="18"/>
  <c r="DA64" i="18"/>
  <c r="DB64" i="18"/>
  <c r="DC64" i="18"/>
  <c r="DD64" i="18"/>
  <c r="DE64" i="18"/>
  <c r="DF64" i="18"/>
  <c r="DG64" i="18"/>
  <c r="DH64" i="18"/>
  <c r="DI64" i="18"/>
  <c r="DJ64" i="18"/>
  <c r="DK64" i="18"/>
  <c r="DL64" i="18"/>
  <c r="DM64" i="18"/>
  <c r="DN64" i="18"/>
  <c r="DO64" i="18"/>
  <c r="DP64" i="18"/>
  <c r="DQ64" i="18"/>
  <c r="DR64" i="18"/>
  <c r="DS64" i="18"/>
  <c r="DT64" i="18"/>
  <c r="DU64" i="18"/>
  <c r="DV64" i="18"/>
  <c r="DW64" i="18"/>
  <c r="DX64" i="18"/>
  <c r="DY64" i="18"/>
  <c r="DZ64" i="18"/>
  <c r="EA64" i="18"/>
  <c r="EB64" i="18"/>
  <c r="EC64" i="18"/>
  <c r="ED64" i="18"/>
  <c r="EE64" i="18"/>
  <c r="EF64" i="18"/>
  <c r="EG64" i="18"/>
  <c r="EH64" i="18"/>
  <c r="EI64" i="18"/>
  <c r="EJ64" i="18"/>
  <c r="EK64" i="18"/>
  <c r="EL64" i="18"/>
  <c r="EM64" i="18"/>
  <c r="EN64" i="18"/>
  <c r="EO64" i="18"/>
  <c r="EP64" i="18"/>
  <c r="EQ64" i="18"/>
  <c r="ER64" i="18"/>
  <c r="ES64" i="18"/>
  <c r="ET64" i="18"/>
  <c r="EU64" i="18"/>
  <c r="EV64" i="18"/>
  <c r="EW64" i="18"/>
  <c r="EX64" i="18"/>
  <c r="EY64" i="18"/>
  <c r="EZ64" i="18"/>
  <c r="FA64" i="18"/>
  <c r="FB64" i="18"/>
  <c r="FC64" i="18"/>
  <c r="FD64" i="18"/>
  <c r="FE64" i="18"/>
  <c r="FF64" i="18"/>
  <c r="FG64" i="18"/>
  <c r="FH64" i="18"/>
  <c r="FI64" i="18"/>
  <c r="FJ64" i="18"/>
  <c r="FK64" i="18"/>
  <c r="FL64" i="18"/>
  <c r="FM64" i="18"/>
  <c r="FN64" i="18"/>
  <c r="FO64" i="18"/>
  <c r="FP64" i="18"/>
  <c r="FQ64" i="18"/>
  <c r="FR64" i="18"/>
  <c r="FS64" i="18"/>
  <c r="FT64" i="18"/>
  <c r="FU64" i="18"/>
  <c r="FV64" i="18"/>
  <c r="FW64" i="18"/>
  <c r="FX64" i="18"/>
  <c r="FY64" i="18"/>
  <c r="FZ64" i="18"/>
  <c r="GA64" i="18"/>
  <c r="GB64" i="18"/>
  <c r="GC64" i="18"/>
  <c r="GD64" i="18"/>
  <c r="GE64" i="18"/>
  <c r="GF64" i="18"/>
  <c r="GG64" i="18"/>
  <c r="GH64" i="18"/>
  <c r="GI64" i="18"/>
  <c r="GJ64" i="18"/>
  <c r="GK64" i="18"/>
  <c r="GL64" i="18"/>
  <c r="GM64" i="18"/>
  <c r="GN64" i="18"/>
  <c r="GO64" i="18"/>
  <c r="GP64" i="18"/>
  <c r="GQ64" i="18"/>
  <c r="GR64" i="18"/>
  <c r="GS64" i="18"/>
  <c r="GT64" i="18"/>
  <c r="GU64" i="18"/>
  <c r="GV64" i="18"/>
  <c r="GW64" i="18"/>
  <c r="GX64" i="18"/>
  <c r="GY64" i="18"/>
  <c r="GZ64" i="18"/>
  <c r="HA64" i="18"/>
  <c r="HB64" i="18"/>
  <c r="HC64" i="18"/>
  <c r="HD64" i="18"/>
  <c r="HE64" i="18"/>
  <c r="HF64" i="18"/>
  <c r="HG64" i="18"/>
  <c r="HH64" i="18"/>
  <c r="HI64" i="18"/>
  <c r="HJ64" i="18"/>
  <c r="HK64" i="18"/>
  <c r="HL64" i="18"/>
  <c r="HM64" i="18"/>
  <c r="HN64" i="18"/>
  <c r="HO64" i="18"/>
  <c r="HP64" i="18"/>
  <c r="HQ64" i="18"/>
  <c r="HR64" i="18"/>
  <c r="HS64" i="18"/>
  <c r="HT64" i="18"/>
  <c r="HU64" i="18"/>
  <c r="HV64" i="18"/>
  <c r="HW64" i="18"/>
  <c r="HX64" i="18"/>
  <c r="HY64" i="18"/>
  <c r="HZ64" i="18"/>
  <c r="IA64" i="18"/>
  <c r="IB64" i="18"/>
  <c r="IC64" i="18"/>
  <c r="ID64" i="18"/>
  <c r="IE64" i="18"/>
  <c r="IF64" i="18"/>
  <c r="IG64" i="18"/>
  <c r="IH64" i="18"/>
  <c r="II64" i="18"/>
  <c r="IJ64" i="18"/>
  <c r="IK64" i="18"/>
  <c r="IL64" i="18"/>
  <c r="IM64" i="18"/>
  <c r="IN64" i="18"/>
  <c r="IO64" i="18"/>
  <c r="IP64" i="18"/>
  <c r="IQ64" i="18"/>
  <c r="IR64" i="18"/>
  <c r="IS64" i="18"/>
  <c r="IT64" i="18"/>
  <c r="IU64" i="18"/>
  <c r="IV64" i="18"/>
  <c r="A65" i="18"/>
  <c r="B65" i="18"/>
  <c r="C65" i="18"/>
  <c r="D65" i="18"/>
  <c r="E65" i="18"/>
  <c r="F65" i="18"/>
  <c r="G65" i="18"/>
  <c r="H65" i="18"/>
  <c r="I65" i="18"/>
  <c r="J65" i="18"/>
  <c r="K65" i="18"/>
  <c r="L65" i="18"/>
  <c r="M65" i="18"/>
  <c r="N65" i="18"/>
  <c r="O65" i="18"/>
  <c r="P65" i="18"/>
  <c r="Q65" i="18"/>
  <c r="R65" i="18"/>
  <c r="S65" i="18"/>
  <c r="T65" i="18"/>
  <c r="U65" i="18"/>
  <c r="V65" i="18"/>
  <c r="W65" i="18"/>
  <c r="X65" i="18"/>
  <c r="Y65" i="18"/>
  <c r="Z65" i="18"/>
  <c r="AA65" i="18"/>
  <c r="AB65" i="18"/>
  <c r="AC65" i="18"/>
  <c r="AD65" i="18"/>
  <c r="AE65" i="18"/>
  <c r="AF65" i="18"/>
  <c r="AG65" i="18"/>
  <c r="AH65" i="18"/>
  <c r="AI65" i="18"/>
  <c r="AJ65" i="18"/>
  <c r="AK65" i="18"/>
  <c r="AL65" i="18"/>
  <c r="AM65" i="18"/>
  <c r="AN65" i="18"/>
  <c r="AO65" i="18"/>
  <c r="AP65" i="18"/>
  <c r="AQ65" i="18"/>
  <c r="AR65" i="18"/>
  <c r="AS65" i="18"/>
  <c r="AT65" i="18"/>
  <c r="AU65" i="18"/>
  <c r="AV65" i="18"/>
  <c r="AW65" i="18"/>
  <c r="AX65" i="18"/>
  <c r="AY65" i="18"/>
  <c r="AZ65" i="18"/>
  <c r="BA65" i="18"/>
  <c r="BB65" i="18"/>
  <c r="BC65" i="18"/>
  <c r="BD65" i="18"/>
  <c r="BE65" i="18"/>
  <c r="BF65" i="18"/>
  <c r="BG65" i="18"/>
  <c r="BH65" i="18"/>
  <c r="BI65" i="18"/>
  <c r="BJ65" i="18"/>
  <c r="BK65" i="18"/>
  <c r="BL65" i="18"/>
  <c r="BM65" i="18"/>
  <c r="BN65" i="18"/>
  <c r="BO65" i="18"/>
  <c r="BP65" i="18"/>
  <c r="BQ65" i="18"/>
  <c r="BR65" i="18"/>
  <c r="BS65" i="18"/>
  <c r="BT65" i="18"/>
  <c r="BU65" i="18"/>
  <c r="BV65" i="18"/>
  <c r="BW65" i="18"/>
  <c r="BX65" i="18"/>
  <c r="BY65" i="18"/>
  <c r="BZ65" i="18"/>
  <c r="CA65" i="18"/>
  <c r="CB65" i="18"/>
  <c r="CC65" i="18"/>
  <c r="CD65" i="18"/>
  <c r="CE65" i="18"/>
  <c r="CF65" i="18"/>
  <c r="CG65" i="18"/>
  <c r="CH65" i="18"/>
  <c r="CI65" i="18"/>
  <c r="CJ65" i="18"/>
  <c r="CK65" i="18"/>
  <c r="CL65" i="18"/>
  <c r="CM65" i="18"/>
  <c r="CN65" i="18"/>
  <c r="CO65" i="18"/>
  <c r="CP65" i="18"/>
  <c r="CQ65" i="18"/>
  <c r="CR65" i="18"/>
  <c r="CS65" i="18"/>
  <c r="CT65" i="18"/>
  <c r="CU65" i="18"/>
  <c r="CV65" i="18"/>
  <c r="CW65" i="18"/>
  <c r="CX65" i="18"/>
  <c r="CY65" i="18"/>
  <c r="CZ65" i="18"/>
  <c r="DA65" i="18"/>
  <c r="DB65" i="18"/>
  <c r="DC65" i="18"/>
  <c r="DD65" i="18"/>
  <c r="DE65" i="18"/>
  <c r="DF65" i="18"/>
  <c r="DG65" i="18"/>
  <c r="DH65" i="18"/>
  <c r="DI65" i="18"/>
  <c r="DJ65" i="18"/>
  <c r="DK65" i="18"/>
  <c r="DL65" i="18"/>
  <c r="DM65" i="18"/>
  <c r="DN65" i="18"/>
  <c r="DO65" i="18"/>
  <c r="DP65" i="18"/>
  <c r="DQ65" i="18"/>
  <c r="DR65" i="18"/>
  <c r="DS65" i="18"/>
  <c r="DT65" i="18"/>
  <c r="DU65" i="18"/>
  <c r="DV65" i="18"/>
  <c r="DW65" i="18"/>
  <c r="DX65" i="18"/>
  <c r="DY65" i="18"/>
  <c r="DZ65" i="18"/>
  <c r="EA65" i="18"/>
  <c r="EB65" i="18"/>
  <c r="EC65" i="18"/>
  <c r="ED65" i="18"/>
  <c r="EE65" i="18"/>
  <c r="EF65" i="18"/>
  <c r="EG65" i="18"/>
  <c r="EH65" i="18"/>
  <c r="EI65" i="18"/>
  <c r="EJ65" i="18"/>
  <c r="EK65" i="18"/>
  <c r="EL65" i="18"/>
  <c r="EM65" i="18"/>
  <c r="EN65" i="18"/>
  <c r="EO65" i="18"/>
  <c r="EP65" i="18"/>
  <c r="EQ65" i="18"/>
  <c r="ER65" i="18"/>
  <c r="ES65" i="18"/>
  <c r="ET65" i="18"/>
  <c r="EU65" i="18"/>
  <c r="EV65" i="18"/>
  <c r="EW65" i="18"/>
  <c r="EX65" i="18"/>
  <c r="EY65" i="18"/>
  <c r="EZ65" i="18"/>
  <c r="FA65" i="18"/>
  <c r="FB65" i="18"/>
  <c r="FC65" i="18"/>
  <c r="FD65" i="18"/>
  <c r="FE65" i="18"/>
  <c r="FF65" i="18"/>
  <c r="FG65" i="18"/>
  <c r="FH65" i="18"/>
  <c r="FI65" i="18"/>
  <c r="FJ65" i="18"/>
  <c r="FK65" i="18"/>
  <c r="FL65" i="18"/>
  <c r="FM65" i="18"/>
  <c r="FN65" i="18"/>
  <c r="FO65" i="18"/>
  <c r="FP65" i="18"/>
  <c r="FQ65" i="18"/>
  <c r="FR65" i="18"/>
  <c r="FS65" i="18"/>
  <c r="FT65" i="18"/>
  <c r="FU65" i="18"/>
  <c r="FV65" i="18"/>
  <c r="FW65" i="18"/>
  <c r="FX65" i="18"/>
  <c r="FY65" i="18"/>
  <c r="FZ65" i="18"/>
  <c r="GA65" i="18"/>
  <c r="GB65" i="18"/>
  <c r="GC65" i="18"/>
  <c r="GD65" i="18"/>
  <c r="GE65" i="18"/>
  <c r="GF65" i="18"/>
  <c r="GG65" i="18"/>
  <c r="GH65" i="18"/>
  <c r="GI65" i="18"/>
  <c r="GJ65" i="18"/>
  <c r="GK65" i="18"/>
  <c r="GL65" i="18"/>
  <c r="GM65" i="18"/>
  <c r="GN65" i="18"/>
  <c r="GO65" i="18"/>
  <c r="GP65" i="18"/>
  <c r="GQ65" i="18"/>
  <c r="GR65" i="18"/>
  <c r="GS65" i="18"/>
  <c r="GT65" i="18"/>
  <c r="GU65" i="18"/>
  <c r="GV65" i="18"/>
  <c r="GW65" i="18"/>
  <c r="GX65" i="18"/>
  <c r="GY65" i="18"/>
  <c r="GZ65" i="18"/>
  <c r="HA65" i="18"/>
  <c r="HB65" i="18"/>
  <c r="HC65" i="18"/>
  <c r="HD65" i="18"/>
  <c r="HE65" i="18"/>
  <c r="HF65" i="18"/>
  <c r="HG65" i="18"/>
  <c r="HH65" i="18"/>
  <c r="HI65" i="18"/>
  <c r="HJ65" i="18"/>
  <c r="HK65" i="18"/>
  <c r="HL65" i="18"/>
  <c r="HM65" i="18"/>
  <c r="HN65" i="18"/>
  <c r="HO65" i="18"/>
  <c r="HP65" i="18"/>
  <c r="HQ65" i="18"/>
  <c r="HR65" i="18"/>
  <c r="HS65" i="18"/>
  <c r="HT65" i="18"/>
  <c r="HU65" i="18"/>
  <c r="HV65" i="18"/>
  <c r="HW65" i="18"/>
  <c r="HX65" i="18"/>
  <c r="HY65" i="18"/>
  <c r="HZ65" i="18"/>
  <c r="IA65" i="18"/>
  <c r="IB65" i="18"/>
  <c r="IC65" i="18"/>
  <c r="ID65" i="18"/>
  <c r="IE65" i="18"/>
  <c r="IF65" i="18"/>
  <c r="IG65" i="18"/>
  <c r="IH65" i="18"/>
  <c r="II65" i="18"/>
  <c r="IJ65" i="18"/>
  <c r="IK65" i="18"/>
  <c r="IL65" i="18"/>
  <c r="IM65" i="18"/>
  <c r="IN65" i="18"/>
  <c r="IO65" i="18"/>
  <c r="IP65" i="18"/>
  <c r="IQ65" i="18"/>
  <c r="IR65" i="18"/>
  <c r="IS65" i="18"/>
  <c r="IT65" i="18"/>
  <c r="IU65" i="18"/>
  <c r="IV65" i="18"/>
  <c r="A66" i="18"/>
  <c r="B66" i="18"/>
  <c r="C66" i="18"/>
  <c r="D66" i="18"/>
  <c r="E66" i="18"/>
  <c r="F66" i="18"/>
  <c r="G66" i="18"/>
  <c r="H66" i="18"/>
  <c r="I66" i="18"/>
  <c r="J66" i="18"/>
  <c r="K66" i="18"/>
  <c r="L66" i="18"/>
  <c r="M66" i="18"/>
  <c r="N66" i="18"/>
  <c r="O66" i="18"/>
  <c r="P66" i="18"/>
  <c r="Q66" i="18"/>
  <c r="R66" i="18"/>
  <c r="S66" i="18"/>
  <c r="T66" i="18"/>
  <c r="U66" i="18"/>
  <c r="V66" i="18"/>
  <c r="W66" i="18"/>
  <c r="X66" i="18"/>
  <c r="Y66" i="18"/>
  <c r="Z66" i="18"/>
  <c r="AA66" i="18"/>
  <c r="AB66" i="18"/>
  <c r="AC66" i="18"/>
  <c r="AD66" i="18"/>
  <c r="AE66" i="18"/>
  <c r="AF66" i="18"/>
  <c r="AG66" i="18"/>
  <c r="AH66" i="18"/>
  <c r="AI66" i="18"/>
  <c r="AJ66" i="18"/>
  <c r="AK66" i="18"/>
  <c r="AL66" i="18"/>
  <c r="AM66" i="18"/>
  <c r="AN66" i="18"/>
  <c r="AO66" i="18"/>
  <c r="AP66" i="18"/>
  <c r="AQ66" i="18"/>
  <c r="AR66" i="18"/>
  <c r="AS66" i="18"/>
  <c r="AT66" i="18"/>
  <c r="AU66" i="18"/>
  <c r="AV66" i="18"/>
  <c r="AW66" i="18"/>
  <c r="AX66" i="18"/>
  <c r="AY66" i="18"/>
  <c r="AZ66" i="18"/>
  <c r="BA66" i="18"/>
  <c r="BB66" i="18"/>
  <c r="BC66" i="18"/>
  <c r="BD66" i="18"/>
  <c r="BE66" i="18"/>
  <c r="BF66" i="18"/>
  <c r="BG66" i="18"/>
  <c r="BH66" i="18"/>
  <c r="BI66" i="18"/>
  <c r="BJ66" i="18"/>
  <c r="BK66" i="18"/>
  <c r="BL66" i="18"/>
  <c r="BM66" i="18"/>
  <c r="BN66" i="18"/>
  <c r="BO66" i="18"/>
  <c r="BP66" i="18"/>
  <c r="BQ66" i="18"/>
  <c r="BR66" i="18"/>
  <c r="BS66" i="18"/>
  <c r="BT66" i="18"/>
  <c r="BU66" i="18"/>
  <c r="BV66" i="18"/>
  <c r="BW66" i="18"/>
  <c r="BX66" i="18"/>
  <c r="BY66" i="18"/>
  <c r="BZ66" i="18"/>
  <c r="CA66" i="18"/>
  <c r="CB66" i="18"/>
  <c r="CC66" i="18"/>
  <c r="CD66" i="18"/>
  <c r="CE66" i="18"/>
  <c r="CF66" i="18"/>
  <c r="CG66" i="18"/>
  <c r="CH66" i="18"/>
  <c r="CI66" i="18"/>
  <c r="CJ66" i="18"/>
  <c r="CK66" i="18"/>
  <c r="CL66" i="18"/>
  <c r="CM66" i="18"/>
  <c r="CN66" i="18"/>
  <c r="CO66" i="18"/>
  <c r="CP66" i="18"/>
  <c r="CQ66" i="18"/>
  <c r="CR66" i="18"/>
  <c r="CS66" i="18"/>
  <c r="CT66" i="18"/>
  <c r="CU66" i="18"/>
  <c r="CV66" i="18"/>
  <c r="CW66" i="18"/>
  <c r="CX66" i="18"/>
  <c r="CY66" i="18"/>
  <c r="CZ66" i="18"/>
  <c r="DA66" i="18"/>
  <c r="DB66" i="18"/>
  <c r="DC66" i="18"/>
  <c r="DD66" i="18"/>
  <c r="DE66" i="18"/>
  <c r="DF66" i="18"/>
  <c r="DG66" i="18"/>
  <c r="DH66" i="18"/>
  <c r="DI66" i="18"/>
  <c r="DJ66" i="18"/>
  <c r="DK66" i="18"/>
  <c r="DL66" i="18"/>
  <c r="DM66" i="18"/>
  <c r="DN66" i="18"/>
  <c r="DO66" i="18"/>
  <c r="DP66" i="18"/>
  <c r="DQ66" i="18"/>
  <c r="DR66" i="18"/>
  <c r="DS66" i="18"/>
  <c r="DT66" i="18"/>
  <c r="DU66" i="18"/>
  <c r="DV66" i="18"/>
  <c r="DW66" i="18"/>
  <c r="DX66" i="18"/>
  <c r="DY66" i="18"/>
  <c r="DZ66" i="18"/>
  <c r="EA66" i="18"/>
  <c r="EB66" i="18"/>
  <c r="EC66" i="18"/>
  <c r="ED66" i="18"/>
  <c r="EE66" i="18"/>
  <c r="EF66" i="18"/>
  <c r="EG66" i="18"/>
  <c r="EH66" i="18"/>
  <c r="EI66" i="18"/>
  <c r="EJ66" i="18"/>
  <c r="EK66" i="18"/>
  <c r="EL66" i="18"/>
  <c r="EM66" i="18"/>
  <c r="EN66" i="18"/>
  <c r="EO66" i="18"/>
  <c r="EP66" i="18"/>
  <c r="EQ66" i="18"/>
  <c r="ER66" i="18"/>
  <c r="ES66" i="18"/>
  <c r="ET66" i="18"/>
  <c r="EU66" i="18"/>
  <c r="EV66" i="18"/>
  <c r="EW66" i="18"/>
  <c r="EX66" i="18"/>
  <c r="EY66" i="18"/>
  <c r="EZ66" i="18"/>
  <c r="FA66" i="18"/>
  <c r="FB66" i="18"/>
  <c r="FC66" i="18"/>
  <c r="FD66" i="18"/>
  <c r="FE66" i="18"/>
  <c r="FF66" i="18"/>
  <c r="FG66" i="18"/>
  <c r="FH66" i="18"/>
  <c r="FI66" i="18"/>
  <c r="FJ66" i="18"/>
  <c r="FK66" i="18"/>
  <c r="FL66" i="18"/>
  <c r="FM66" i="18"/>
  <c r="FN66" i="18"/>
  <c r="FO66" i="18"/>
  <c r="FP66" i="18"/>
  <c r="FQ66" i="18"/>
  <c r="FR66" i="18"/>
  <c r="FS66" i="18"/>
  <c r="FT66" i="18"/>
  <c r="FU66" i="18"/>
  <c r="FV66" i="18"/>
  <c r="FW66" i="18"/>
  <c r="FX66" i="18"/>
  <c r="FY66" i="18"/>
  <c r="FZ66" i="18"/>
  <c r="GA66" i="18"/>
  <c r="GB66" i="18"/>
  <c r="GC66" i="18"/>
  <c r="GD66" i="18"/>
  <c r="GE66" i="18"/>
  <c r="GF66" i="18"/>
  <c r="GG66" i="18"/>
  <c r="GH66" i="18"/>
  <c r="GI66" i="18"/>
  <c r="GJ66" i="18"/>
  <c r="GK66" i="18"/>
  <c r="GL66" i="18"/>
  <c r="GM66" i="18"/>
  <c r="GN66" i="18"/>
  <c r="GO66" i="18"/>
  <c r="GP66" i="18"/>
  <c r="GQ66" i="18"/>
  <c r="GR66" i="18"/>
  <c r="GS66" i="18"/>
  <c r="GT66" i="18"/>
  <c r="GU66" i="18"/>
  <c r="GV66" i="18"/>
  <c r="GW66" i="18"/>
  <c r="GX66" i="18"/>
  <c r="GY66" i="18"/>
  <c r="GZ66" i="18"/>
  <c r="HA66" i="18"/>
  <c r="HB66" i="18"/>
  <c r="HC66" i="18"/>
  <c r="HD66" i="18"/>
  <c r="HE66" i="18"/>
  <c r="HF66" i="18"/>
  <c r="HG66" i="18"/>
  <c r="HH66" i="18"/>
  <c r="HI66" i="18"/>
  <c r="HJ66" i="18"/>
  <c r="HK66" i="18"/>
  <c r="HL66" i="18"/>
  <c r="HM66" i="18"/>
  <c r="HN66" i="18"/>
  <c r="HO66" i="18"/>
  <c r="HP66" i="18"/>
  <c r="HQ66" i="18"/>
  <c r="HR66" i="18"/>
  <c r="HS66" i="18"/>
  <c r="HT66" i="18"/>
  <c r="HU66" i="18"/>
  <c r="HV66" i="18"/>
  <c r="HW66" i="18"/>
  <c r="HX66" i="18"/>
  <c r="HY66" i="18"/>
  <c r="HZ66" i="18"/>
  <c r="IA66" i="18"/>
  <c r="IB66" i="18"/>
  <c r="IC66" i="18"/>
  <c r="ID66" i="18"/>
  <c r="IE66" i="18"/>
  <c r="IF66" i="18"/>
  <c r="IG66" i="18"/>
  <c r="IH66" i="18"/>
  <c r="II66" i="18"/>
  <c r="IJ66" i="18"/>
  <c r="IK66" i="18"/>
  <c r="IL66" i="18"/>
  <c r="IM66" i="18"/>
  <c r="IN66" i="18"/>
  <c r="IO66" i="18"/>
  <c r="IP66" i="18"/>
  <c r="IQ66" i="18"/>
  <c r="IR66" i="18"/>
  <c r="IS66" i="18"/>
  <c r="IT66" i="18"/>
  <c r="IU66" i="18"/>
  <c r="IV66" i="18"/>
  <c r="A67" i="18"/>
  <c r="B67" i="18"/>
  <c r="C67" i="18"/>
  <c r="D67" i="18"/>
  <c r="E67" i="18"/>
  <c r="F67" i="18"/>
  <c r="G67" i="18"/>
  <c r="H67" i="18"/>
  <c r="I67" i="18"/>
  <c r="J67" i="18"/>
  <c r="K67" i="18"/>
  <c r="L67" i="18"/>
  <c r="M67" i="18"/>
  <c r="N67" i="18"/>
  <c r="O67" i="18"/>
  <c r="P67" i="18"/>
  <c r="Q67" i="18"/>
  <c r="R67" i="18"/>
  <c r="S67" i="18"/>
  <c r="T67" i="18"/>
  <c r="U67" i="18"/>
  <c r="V67" i="18"/>
  <c r="W67" i="18"/>
  <c r="X67" i="18"/>
  <c r="Y67" i="18"/>
  <c r="Z67" i="18"/>
  <c r="AA67" i="18"/>
  <c r="AB67" i="18"/>
  <c r="AC67" i="18"/>
  <c r="AD67" i="18"/>
  <c r="AE67" i="18"/>
  <c r="AF67" i="18"/>
  <c r="AG67" i="18"/>
  <c r="AH67" i="18"/>
  <c r="AI67" i="18"/>
  <c r="AJ67" i="18"/>
  <c r="AK67" i="18"/>
  <c r="AL67" i="18"/>
  <c r="AM67" i="18"/>
  <c r="AN67" i="18"/>
  <c r="AO67" i="18"/>
  <c r="AP67" i="18"/>
  <c r="AQ67" i="18"/>
  <c r="AR67" i="18"/>
  <c r="AS67" i="18"/>
  <c r="AT67" i="18"/>
  <c r="AU67" i="18"/>
  <c r="AV67" i="18"/>
  <c r="AW67" i="18"/>
  <c r="AX67" i="18"/>
  <c r="AY67" i="18"/>
  <c r="AZ67" i="18"/>
  <c r="BA67" i="18"/>
  <c r="BB67" i="18"/>
  <c r="BC67" i="18"/>
  <c r="BD67" i="18"/>
  <c r="BE67" i="18"/>
  <c r="BF67" i="18"/>
  <c r="BG67" i="18"/>
  <c r="BH67" i="18"/>
  <c r="BI67" i="18"/>
  <c r="BJ67" i="18"/>
  <c r="BK67" i="18"/>
  <c r="BL67" i="18"/>
  <c r="BM67" i="18"/>
  <c r="BN67" i="18"/>
  <c r="BO67" i="18"/>
  <c r="BP67" i="18"/>
  <c r="BQ67" i="18"/>
  <c r="BR67" i="18"/>
  <c r="BS67" i="18"/>
  <c r="BT67" i="18"/>
  <c r="BU67" i="18"/>
  <c r="BV67" i="18"/>
  <c r="BW67" i="18"/>
  <c r="BX67" i="18"/>
  <c r="BY67" i="18"/>
  <c r="BZ67" i="18"/>
  <c r="CA67" i="18"/>
  <c r="CB67" i="18"/>
  <c r="CC67" i="18"/>
  <c r="CD67" i="18"/>
  <c r="CE67" i="18"/>
  <c r="CF67" i="18"/>
  <c r="CG67" i="18"/>
  <c r="CH67" i="18"/>
  <c r="CI67" i="18"/>
  <c r="CJ67" i="18"/>
  <c r="CK67" i="18"/>
  <c r="CL67" i="18"/>
  <c r="CM67" i="18"/>
  <c r="CN67" i="18"/>
  <c r="CO67" i="18"/>
  <c r="CP67" i="18"/>
  <c r="CQ67" i="18"/>
  <c r="CR67" i="18"/>
  <c r="CS67" i="18"/>
  <c r="CT67" i="18"/>
  <c r="CU67" i="18"/>
  <c r="CV67" i="18"/>
  <c r="CW67" i="18"/>
  <c r="CX67" i="18"/>
  <c r="CY67" i="18"/>
  <c r="CZ67" i="18"/>
  <c r="DA67" i="18"/>
  <c r="DB67" i="18"/>
  <c r="DC67" i="18"/>
  <c r="DD67" i="18"/>
  <c r="DE67" i="18"/>
  <c r="DF67" i="18"/>
  <c r="DG67" i="18"/>
  <c r="DH67" i="18"/>
  <c r="DI67" i="18"/>
  <c r="DJ67" i="18"/>
  <c r="DK67" i="18"/>
  <c r="DL67" i="18"/>
  <c r="DM67" i="18"/>
  <c r="DN67" i="18"/>
  <c r="DO67" i="18"/>
  <c r="DP67" i="18"/>
  <c r="DQ67" i="18"/>
  <c r="DR67" i="18"/>
  <c r="DS67" i="18"/>
  <c r="DT67" i="18"/>
  <c r="DU67" i="18"/>
  <c r="DV67" i="18"/>
  <c r="DW67" i="18"/>
  <c r="DX67" i="18"/>
  <c r="DY67" i="18"/>
  <c r="DZ67" i="18"/>
  <c r="EA67" i="18"/>
  <c r="EB67" i="18"/>
  <c r="EC67" i="18"/>
  <c r="ED67" i="18"/>
  <c r="EE67" i="18"/>
  <c r="EF67" i="18"/>
  <c r="EI67" i="18"/>
  <c r="EJ67" i="18"/>
  <c r="EK67" i="18"/>
</calcChain>
</file>

<file path=xl/sharedStrings.xml><?xml version="1.0" encoding="utf-8"?>
<sst xmlns="http://schemas.openxmlformats.org/spreadsheetml/2006/main" count="3816" uniqueCount="1252">
  <si>
    <t>UNIVERSIDAD DE CÓRDOBA</t>
  </si>
  <si>
    <t>N°</t>
  </si>
  <si>
    <t>TIPO DE ACCIÓN</t>
  </si>
  <si>
    <t>ACTIVIDADES</t>
  </si>
  <si>
    <t>FECHA DE IMPLEMENTACIÓN</t>
  </si>
  <si>
    <t>PROCESO:</t>
  </si>
  <si>
    <t>FECHA DE ANÁLISIS</t>
  </si>
  <si>
    <t>AAAAAHz+f4g=</t>
  </si>
  <si>
    <t>AAAAAHz+f4k=</t>
  </si>
  <si>
    <t>ORIGEN</t>
  </si>
  <si>
    <t>Auditoria Externa de Calidad</t>
  </si>
  <si>
    <t>Actividad</t>
  </si>
  <si>
    <t>Responsable</t>
  </si>
  <si>
    <t xml:space="preserve"> Fecha de Ejecución</t>
  </si>
  <si>
    <t>Inicio</t>
  </si>
  <si>
    <t>Final</t>
  </si>
  <si>
    <t>En Implementación</t>
  </si>
  <si>
    <t>Eficaz</t>
  </si>
  <si>
    <t>No Eficaz</t>
  </si>
  <si>
    <t>Vencida</t>
  </si>
  <si>
    <t>DEPENDENCIA</t>
  </si>
  <si>
    <t>CORRECIÓN</t>
  </si>
  <si>
    <t>FECHA DE EVALUACIÓN</t>
  </si>
  <si>
    <t>Acción Correctiva</t>
  </si>
  <si>
    <t>Acción Preventiva</t>
  </si>
  <si>
    <t>Acción de Mejora</t>
  </si>
  <si>
    <t>Autoevaluación</t>
  </si>
  <si>
    <t>Sistema de peticiones Reclamos y Sugerencias</t>
  </si>
  <si>
    <t>Analisis de Indicadores</t>
  </si>
  <si>
    <t>Revisión por la Dirección</t>
  </si>
  <si>
    <t>Riesgos del proceso</t>
  </si>
  <si>
    <t>Servicio no Conforme</t>
  </si>
  <si>
    <t>Resultado de la Encuesta de Satisfacción</t>
  </si>
  <si>
    <t>Otro</t>
  </si>
  <si>
    <t>FIRMA DEL LIDER DEL PROCESO VERIFICADO</t>
  </si>
  <si>
    <t>FIRMA DEL FUNCIONARIO QUE REALIZA EL SEGUIMIENTO</t>
  </si>
  <si>
    <r>
      <rPr>
        <b/>
        <sz val="9"/>
        <rFont val="Arial"/>
        <family val="2"/>
      </rPr>
      <t>Estado de la Acción:</t>
    </r>
    <r>
      <rPr>
        <sz val="9"/>
        <rFont val="Arial"/>
        <family val="2"/>
      </rPr>
      <t xml:space="preserve"> Eficaz, no eficaz, en implementación, vencida </t>
    </r>
  </si>
  <si>
    <t>CONSOLIDADO DE PLANES DE MEJORAMIENTO</t>
  </si>
  <si>
    <t>Auditoria Interna de Calidad</t>
  </si>
  <si>
    <t>Uso exclusivo Para Plan de Mejora Producto de Autoevaluación</t>
  </si>
  <si>
    <t>Factor</t>
  </si>
  <si>
    <t>Característica</t>
  </si>
  <si>
    <t>Auditoria Interna de SST</t>
  </si>
  <si>
    <t>Auditoria Externa de SST</t>
  </si>
  <si>
    <t>Auditoria de Control Interno</t>
  </si>
  <si>
    <r>
      <t xml:space="preserve">CÓDIGO: 
</t>
    </r>
    <r>
      <rPr>
        <sz val="9"/>
        <rFont val="Tahoma"/>
        <family val="2"/>
      </rPr>
      <t xml:space="preserve">FMAM-021
</t>
    </r>
    <r>
      <rPr>
        <b/>
        <sz val="9"/>
        <rFont val="Tahoma"/>
        <family val="2"/>
      </rPr>
      <t xml:space="preserve">VERSIÓN: </t>
    </r>
    <r>
      <rPr>
        <sz val="9"/>
        <rFont val="Tahoma"/>
        <family val="2"/>
      </rPr>
      <t xml:space="preserve">03
</t>
    </r>
    <r>
      <rPr>
        <b/>
        <sz val="9"/>
        <rFont val="Tahoma"/>
        <family val="2"/>
      </rPr>
      <t xml:space="preserve">EMISIÓN:
</t>
    </r>
    <r>
      <rPr>
        <sz val="9"/>
        <rFont val="Tahoma"/>
        <family val="2"/>
      </rPr>
      <t>02/06/2020</t>
    </r>
  </si>
  <si>
    <t>Gestión de Admisiones y Registro</t>
  </si>
  <si>
    <t xml:space="preserve">División de Admisiones, Registro y Control Académico				</t>
  </si>
  <si>
    <t>PERIODO DE EVALUACIÓN</t>
  </si>
  <si>
    <t>DESCRIPCIÓN DEL HALLAZGO</t>
  </si>
  <si>
    <t>CATEGORIZACIÓN DEL HALLAZGO</t>
  </si>
  <si>
    <t>META QUE SE PRETENDE ALCANZAR</t>
  </si>
  <si>
    <t>INDICADOR</t>
  </si>
  <si>
    <t>EVIDENCIA DE CUMPLIMIENTO DE LA ACTIVIDAD</t>
  </si>
  <si>
    <t>ACTIVIDAD EJECUTADA DENTRO DEL TIEMPO</t>
  </si>
  <si>
    <t>ESTADO DE LA ACCIÓN</t>
  </si>
  <si>
    <t>% DE IMPLEMENTACIÓN</t>
  </si>
  <si>
    <t>OBSERVACIONES DEL SEGUIMIENTO</t>
  </si>
  <si>
    <t>Los controles establecidos por parte del proceso Admisiones y Registro a los Docentes que rucurrentemente presentan notas extemporaneas.</t>
  </si>
  <si>
    <t>Oportunidad de Mejora</t>
  </si>
  <si>
    <t>Disminuir para el periodo 2020-I un 10% de reporte extemporaneo de notas en comparación con el periodo 2019-II</t>
  </si>
  <si>
    <t xml:space="preserve"># de acciones implementadas durante el semestre / # de acciones definidas para disminuir el reporte extemporane de notas por parte de los docentes </t>
  </si>
  <si>
    <t>Implementar acciones de sensibilización para minimizar el reporte de notas de notas extemporaneas por parte de los docentes de la Universidad</t>
  </si>
  <si>
    <t>La justificación descrita por los docentes en el formato Formato FGAR–003 Corrección de Notas.</t>
  </si>
  <si>
    <t>Implementar acciones de sensibilización y formación para indicar a los docentes en que casos se debe solicitar el reporte de notas extemporaneas en el formato (FGAR-003).</t>
  </si>
  <si>
    <t>No Conformidad</t>
  </si>
  <si>
    <t>Fortaleza</t>
  </si>
  <si>
    <t>Recomendación</t>
  </si>
  <si>
    <t>Si</t>
  </si>
  <si>
    <t>Debilidad</t>
  </si>
  <si>
    <t>No</t>
  </si>
  <si>
    <t>Enero - Junio 2020</t>
  </si>
  <si>
    <t>El proceso de admisiones expidio dos comunicados para el periodo 2020-1, en el sentido que los docentes cumplan con las fechas establecidas para el cargue de notas en el Calendario Académico</t>
  </si>
  <si>
    <t>Ver archivo anexo, se solicita a los docentes ingreso de notas oportunamente</t>
  </si>
  <si>
    <t>En dos comuicaciones se informa los docentes de la Universidad hacer el ingreso de notas oportuamente, al igal que los cambios de notas se hacen durante el mismo semestre, no en el siguiente y como hacer lo reportes de notas extemporaneos</t>
  </si>
  <si>
    <t xml:space="preserve">
11 de junio de 2020</t>
  </si>
  <si>
    <t xml:space="preserve">
Winston Calé Garces</t>
  </si>
  <si>
    <t xml:space="preserve">
Enilse Sibaja Mendoza</t>
  </si>
  <si>
    <t>Calidad</t>
  </si>
  <si>
    <t>Unidad de Desarrollo Organizacional y Gestión de la Calidad</t>
  </si>
  <si>
    <t>Disminución del resultado del indicador  Porcentaje de eficacia de las acciones preventivas y de mejora del SIGEC</t>
  </si>
  <si>
    <t>Aumentar el resultado del indicador  Porcentaje de eficacia de las acciones de mejora del SIGEC a su  meta basica (50%)</t>
  </si>
  <si>
    <t>50%  de eficacia de las acciones de mejora del SIGEC</t>
  </si>
  <si>
    <t>Revisar y ajustar el indicador Porcentaje de eficacia de las acciones preventivas y de mejora del SIGEC, teniendo en cuenta que ya no se habla de acciones preventivas y elaborar la nueva ficha técnica</t>
  </si>
  <si>
    <t>Ficha tecnica del indicador actualizada</t>
  </si>
  <si>
    <t xml:space="preserve">Se realizó la revisión y ajuste del indicado, como se evidencia en acta de equipo de mejoramiento # 11 de fecha 5 de mayo de 2020. Evidencia anexo 4 y anexo 5.
La ficha técnica del indicador fue actualizada en el software de indicadores.
</t>
  </si>
  <si>
    <t>Tramitar la aprobación de la ficha técnica del indicador</t>
  </si>
  <si>
    <t>Indicador aprobado</t>
  </si>
  <si>
    <t>El trámite de aprobación del indicador se realizó en las fechas establecias, sin embargo por solicitud del proceso de planeación se le hicieron algunos ajustes. Por lo que fue aprobado despues de la fecha definida. Evidencia de aprobación anexo 6.</t>
  </si>
  <si>
    <t>Hacer un corte de medición del indicador</t>
  </si>
  <si>
    <t>medición del indicador</t>
  </si>
  <si>
    <t>Programada para el mes de octubre</t>
  </si>
  <si>
    <t>12 de Junio 2020</t>
  </si>
  <si>
    <t>TATIANA MARTINEZ SIMANCA</t>
  </si>
  <si>
    <t>ENILSE SIBAJA MENDOZA</t>
  </si>
  <si>
    <r>
      <t xml:space="preserve">CÓDIGO: 
</t>
    </r>
    <r>
      <rPr>
        <sz val="9"/>
        <rFont val="Benguiat Bk BT"/>
        <family val="1"/>
      </rPr>
      <t>FMAM</t>
    </r>
    <r>
      <rPr>
        <sz val="9"/>
        <rFont val="Benguiat Bk BT"/>
        <family val="1"/>
      </rPr>
      <t xml:space="preserve">-021
</t>
    </r>
    <r>
      <rPr>
        <b/>
        <sz val="9"/>
        <rFont val="Benguiat Bk BT"/>
        <family val="1"/>
      </rPr>
      <t xml:space="preserve">VERSIÓN: </t>
    </r>
    <r>
      <rPr>
        <sz val="9"/>
        <rFont val="Benguiat Bk BT"/>
        <family val="1"/>
      </rPr>
      <t xml:space="preserve">02
</t>
    </r>
    <r>
      <rPr>
        <b/>
        <sz val="9"/>
        <rFont val="Benguiat Bk BT"/>
        <family val="1"/>
      </rPr>
      <t xml:space="preserve">EMISIÓN:
</t>
    </r>
    <r>
      <rPr>
        <sz val="9"/>
        <rFont val="Benguiat Bk BT"/>
        <family val="1"/>
      </rPr>
      <t>19/02/2018</t>
    </r>
    <r>
      <rPr>
        <b/>
        <sz val="9"/>
        <rFont val="Benguiat Bk BT"/>
        <family val="1"/>
      </rPr>
      <t xml:space="preserve">
PÁGINA
</t>
    </r>
    <r>
      <rPr>
        <sz val="9"/>
        <rFont val="Benguiat Bk BT"/>
        <family val="1"/>
      </rPr>
      <t xml:space="preserve">1 </t>
    </r>
    <r>
      <rPr>
        <b/>
        <sz val="9"/>
        <rFont val="Benguiat Bk BT"/>
        <family val="1"/>
      </rPr>
      <t>DE</t>
    </r>
    <r>
      <rPr>
        <sz val="9"/>
        <rFont val="Benguiat Bk BT"/>
        <family val="1"/>
      </rPr>
      <t xml:space="preserve"> 1</t>
    </r>
  </si>
  <si>
    <t>GESTIÓN DEL DESARROLLO TECNOLOGICO</t>
  </si>
  <si>
    <t>Unidad de Planeación y Desarrollo- Sección de Sistemas</t>
  </si>
  <si>
    <t>PERIODO DE EVALUACIÓN:</t>
  </si>
  <si>
    <t>Enero-Junio 2020</t>
  </si>
  <si>
    <t>NO CONFORMIDAD /OPORTUNIDAD DE MEJORA/DEBILIDAD</t>
  </si>
  <si>
    <t>CAUSA RAÍZ</t>
  </si>
  <si>
    <t>META POR ACTIVIDAD</t>
  </si>
  <si>
    <t>INDICADOR POR ACTIVIDAD</t>
  </si>
  <si>
    <t>% de Implementación</t>
  </si>
  <si>
    <t>Estado de la Acción</t>
  </si>
  <si>
    <t>Observaciones del Seguimiento</t>
  </si>
  <si>
    <t xml:space="preserve">No se ha dado inicio a la ejecución de los modulos según lo establecido en el contrato 0082 de 2011
</t>
  </si>
  <si>
    <t>09 de Agosto 2019</t>
  </si>
  <si>
    <t>No se estan utilizando los modulos del Software Kactus en los procesos de la División de Talento Humano</t>
  </si>
  <si>
    <t>Reunion de los procesos de Gestión y Desarrollo del Talento Humano y Gestión del Desarrollo Tecnologico para definir responsabilidades en la elaboración del cronograma de implementación de los modulos pendientes 2019 y 2020</t>
  </si>
  <si>
    <t>1 plan de implementción realizado</t>
  </si>
  <si>
    <t xml:space="preserve">Reunion de los procesos de Gestión y Desarrollo del Talento Humano y Gestión del Desarrollo Tecnologico </t>
  </si>
  <si>
    <t>Se evidencia acta de reunión de  fecha 21 de Marzo de 2019 en donde se definieron los modulos que se iban a implementar en el año 2019(Formación y Desarrollo y Evaluación del Desempeño), Se evidencia en acta de fecha 24 de Septiembre la entrega final de los modulos al proceso de talento humano, esta programada para finales del mes de diciembre la reunión para definir los modulos que se van a implementar en el año 2020.
Al no poderse concretar la reunion se le envia el 27 de Diciembre correo electronico con el pln sugerido. La reunión se realiza con todo el equipo de Talento Humano el 03 de Marzo de 2020. Se anex acta y correo</t>
  </si>
  <si>
    <t>Implementación de los modulos pendientes para 2019:  2 módulos: Evaluación de desempeño y Módulo de Formación</t>
  </si>
  <si>
    <t>2 módulos Implementados</t>
  </si>
  <si>
    <t>Cronograma Elaborado</t>
  </si>
  <si>
    <t>Se evidencia en acta de fecha 24 de Septiembre la entrega final de los modulos al proceso de talento humano (Formación y Desarrollo y Evaluación del Desempeño)</t>
  </si>
  <si>
    <t>Implementación del Cronograma de implementación 2020</t>
  </si>
  <si>
    <t xml:space="preserve">Modulos implementados acorde a cronograma/ Modulos Planeados  a implementar </t>
  </si>
  <si>
    <t>Esta actividad esta programada para finales del mes de diciembre de 2020..</t>
  </si>
  <si>
    <t>Se debe culminar la ejecupin de los modulos: Seguridad y salud en el Trabajo, Biodata( Hojas de Vida), Planta del Personal y Cargos, Nomina, Seguridad Social e Incapacidades del Software Kactus- ERP del Proceso de Talento Humano ya que evidencia un bajo porcentaje de avance.</t>
  </si>
  <si>
    <t>Se estan utilizando de manera parcial los modulos del Software Kactus en los procesos de la División de Talento Humano</t>
  </si>
  <si>
    <t>Realizar reuniones de Seguimiento Trimestrales a la implementación de los modulos del Kactus</t>
  </si>
  <si>
    <t>4  Seguimiento</t>
  </si>
  <si>
    <t>4 Seguimientos trimestrales</t>
  </si>
  <si>
    <t xml:space="preserve">Se evidencia que el 03 de Marzo del presente año se realizó seguimiento a los avances del plan del modulo Kactus con el grupo sistemas de información sobre cada software, también se evidencia la programación de reuniones. </t>
  </si>
  <si>
    <t>Enviar informes semestrales sobre el uso de los módulos en Kactus a TH, ViceAdmva y CI</t>
  </si>
  <si>
    <t>Nro. De informes enviados</t>
  </si>
  <si>
    <t>Esta actividad a la fecha no ha sido ejecutada.</t>
  </si>
  <si>
    <t>Atender las necesidades de soporte solicitadas por el proeso de Talento Humano</t>
  </si>
  <si>
    <t>No están utilizando el conducto de solicitud de atención por mesa de ayuda</t>
  </si>
  <si>
    <t>Utilizar la mesa de ayuda para solicitud de servicios</t>
  </si>
  <si>
    <t>Nro de solicitudes por mesa de ayuda/Nro. De solicitudes de servicio solicitadas</t>
  </si>
  <si>
    <t>Se evidencia que la Mesa de Ayuda se encuentra disponible, se evidencia repórte de servicios de la mesa de ayuda y atecniones de Kactus</t>
  </si>
  <si>
    <t>Dar tramites a los tickets asignados en la mesa de ayuda para soporte a modulos de kactus</t>
  </si>
  <si>
    <t>Ticket resueltos mensuales / tickets asignados mensuales</t>
  </si>
  <si>
    <t>Se evidencia que los Tickets asignados a la fecha en la mesa de ayuda son resueltos en su totalidad.</t>
  </si>
  <si>
    <t>Gestión de Desarrollo Tecnológico</t>
  </si>
  <si>
    <t>Unidad de Planeación y Desarrollo - Sección de Sistemas de Información y Telemática</t>
  </si>
  <si>
    <t xml:space="preserve">Calificación mínima  del indicador Satisfacción Usuario Servicios de Tecnologías de Información </t>
  </si>
  <si>
    <t>Aumentar la calificación de este indicador hasta obtener una calificación del 80% o superior</t>
  </si>
  <si>
    <t>(Calificación total obtenida en la encuesta de satisfacción de Desarrollo Tecnologico/Calificación total esperada en la encuesta de satisfacción de Desarrollo Tecnológico)*100</t>
  </si>
  <si>
    <t>Eliminar el servicio de Videoconferencia del formulario de evaluación que se aplica a   doncentes, estudiantes y administrativos</t>
  </si>
  <si>
    <t>Pantallazo de los formularios de evaluación de docentes, estudiantes y admisnitrativos</t>
  </si>
  <si>
    <t>Se evidencia pantallazo Pantallazo de los formularios de evaluación de docentes, estudiantes y admisnitrativos: Calificación mínima del indicador Satisfacción Usuario Servicios de Tecnologías de Información</t>
  </si>
  <si>
    <t>Crear formulario de evaluación para el servicio de VideoConfencia, el cual solo estará disponible para quienes accedan al servicio</t>
  </si>
  <si>
    <t>Pantallazo de los formularios de evaluación del Servicio de VideoConfencia</t>
  </si>
  <si>
    <t>Realizar Estudio y análisis de cobertura y desempeño de los puntos de acceso versus las controladoras versus condiciones de sostenimiento por zona, análisis y optimización de la red con los componentes de calidad de servicio</t>
  </si>
  <si>
    <t>Documento de estudio y análsis de cobertura y desempeño de la red de datos de la Universidad de Córdoba</t>
  </si>
  <si>
    <t>Se evidencia que se esta realizando diagnostico.</t>
  </si>
  <si>
    <t>Presentar estudio y propuesta de inversión en conectividad a Unidad de Planeación para ser incluido en POAI</t>
  </si>
  <si>
    <t>propuesta de inversión para la infraestructura de Red de datos de la Universidad de Córdoba</t>
  </si>
  <si>
    <t>Se evidencia estudio previo de inversión en Redes: Se han presentado 2 proyectos, estos fueron enviados por medio de correo electrónico de fecha 8 de Junio de 2020.</t>
  </si>
  <si>
    <t>11 DE JUNIO 2020</t>
  </si>
  <si>
    <t>ERIKA RESTREPO URZOLA</t>
  </si>
  <si>
    <t>LUCILA ALVIS ECHENIQUE</t>
  </si>
  <si>
    <t>11 DE JUNIO DE 2020</t>
  </si>
  <si>
    <t>DOCENCIA</t>
  </si>
  <si>
    <t>Vicerrectoria Académica</t>
  </si>
  <si>
    <t>Asegurar que se documente y se mantenga la trazabilidad de las etapas y del control de cambios del diseño curricular de los programas cada vez que se haga un ajuste o modificación, según lo especifica la ISO 9001, para identificar y poder validar que los cambios que se realizan al diseño son eficaces y cumplen con los objetivos especificados.</t>
  </si>
  <si>
    <t>14/02/2019
16/12/2019</t>
  </si>
  <si>
    <t>N.A</t>
  </si>
  <si>
    <t>Solicitar a la oficina de CINTIA la creación de una colección en el repositorio Institucional para subir los ajustes o modificaciones curriculares de los programas académicos</t>
  </si>
  <si>
    <t>1 solicitud</t>
  </si>
  <si>
    <t>Solicitud enviada</t>
  </si>
  <si>
    <t>7 de octubre de 2019</t>
  </si>
  <si>
    <t>11 de octubre de 2019</t>
  </si>
  <si>
    <t>Correo enviado a CINTIA y Correo aprobación colección en el repositorio de 20 de noviembre de 2019</t>
  </si>
  <si>
    <t>Solicitar a los programas académicos el envío de los ajustes o modificaciones curriculares de los programas académicos para subirlos en el repositorio Institucional</t>
  </si>
  <si>
    <t>21 de octubre de 2019</t>
  </si>
  <si>
    <t>Se solicitó el día 27 de noviembre de 2019</t>
  </si>
  <si>
    <t>Enviar a la Oficina de CINTIA los archivos de los ajustes o modificaciones curriculares de los programas académicos para incluirlos  en el repositorio Institucional</t>
  </si>
  <si>
    <t>100% ajustes enviados</t>
  </si>
  <si>
    <t>(No. De ajustes incluídos en el repositorio/No. De ajustes enviados)*100</t>
  </si>
  <si>
    <t>23 de octubre de 2019</t>
  </si>
  <si>
    <t>18 de noviembre de 2019</t>
  </si>
  <si>
    <t>Se crearon usuarios para que los Departamentos ingresen directamente los ajustes o modificaciones curriculares.</t>
  </si>
  <si>
    <t>Subir los ajustes o modificaciones curriculares de los programas académicos  en el repositorio Institucional</t>
  </si>
  <si>
    <t>25 de noviembre de 2019</t>
  </si>
  <si>
    <r>
      <t xml:space="preserve">Los programas de Educación Infantil, Cultura Física y Derecho realizaron depósito de los planes de curso.
</t>
    </r>
    <r>
      <rPr>
        <b/>
        <sz val="9"/>
        <color indexed="8"/>
        <rFont val="Tahoma"/>
        <family val="2"/>
      </rPr>
      <t xml:space="preserve">
11 de junio de 2020</t>
    </r>
    <r>
      <rPr>
        <sz val="9"/>
        <color indexed="8"/>
        <rFont val="Tahoma"/>
        <family val="2"/>
      </rPr>
      <t xml:space="preserve">
Los programas de Química, Geografía, Matemáticas, Física, Estadística, Agronomía, Ciencias Administrativas, Salud pública, Bacteriología, Lic. Educación Infantil, Español, Ciencias Sociales, Música, Ciencias Naturales, Ingeniería Mecánica, Acuicultura, Ingeniería Industrial subieron los contenidos programáticos (Ver informe de CINTIA).</t>
    </r>
  </si>
  <si>
    <t>Dinamizar la ejecución del plan de acción establecido para mejorar los resultados de las pruebas SABER PRO a nivel institucional.</t>
  </si>
  <si>
    <t>Ejecutar plan de trabajo de grupo de expertos SABERPRO Unicordoba</t>
  </si>
  <si>
    <t>Porcentaje de implementación de actividades del Grupo SaberPro</t>
  </si>
  <si>
    <t>Noviembre de 2018</t>
  </si>
  <si>
    <r>
      <t xml:space="preserve">Se cumplió un 90% de las actividades del 2019, quedando pendiente la capacitación en construcción de preguntas tipo Saber Pro que fue reprogramada para el 2020.
</t>
    </r>
    <r>
      <rPr>
        <b/>
        <sz val="9"/>
        <color indexed="8"/>
        <rFont val="Tahoma"/>
        <family val="2"/>
      </rPr>
      <t xml:space="preserve">
11 de junio de 2020
</t>
    </r>
    <r>
      <rPr>
        <sz val="9"/>
        <color indexed="8"/>
        <rFont val="Tahoma"/>
        <family val="2"/>
      </rPr>
      <t>Continúa el mismo porcentaje. La capacitación no se ha podido realizar debido a las restricciones por covid-19.</t>
    </r>
  </si>
  <si>
    <t>Continuar trabajando y reforzando lo relacionado con la internacionalización de los currículos de los programas, con el fin de garantizar y facilitar la movilidad de estudiantes a otras universidades a nivel internacional.</t>
  </si>
  <si>
    <t>Implementación de Acuerdo Académico 147 (BIS) por el cual se modifica el acuerdo 08 de 22 de febrero de 2018 de Política y procedimientos curriculaes en la Universidad de Córdoba en su artículo 24. "Bibliografia y bases de dato: En los planes de cursos de los programas académicos se debe incluir al menos dos (2) Bibliografía en inglés…"</t>
  </si>
  <si>
    <t>70% de los planes de cursos con al menos 2 bibliografia en inglés.</t>
  </si>
  <si>
    <t xml:space="preserve"># Planes de cursos con al menos 2 bibliografia en ingles de programas de pregrado / Total planes de cursos de programas de pregrado. </t>
  </si>
  <si>
    <t>Febrero de 2019</t>
  </si>
  <si>
    <r>
      <t xml:space="preserve">Se evidencia correos de los programas académicos que reportan los cursos que tienen al menos 2 bibliografías en inglés.
</t>
    </r>
    <r>
      <rPr>
        <b/>
        <sz val="9"/>
        <color indexed="8"/>
        <rFont val="Tahoma"/>
        <family val="2"/>
      </rPr>
      <t>11 de junio de 2020</t>
    </r>
    <r>
      <rPr>
        <sz val="9"/>
        <color indexed="8"/>
        <rFont val="Tahoma"/>
        <family val="2"/>
      </rPr>
      <t xml:space="preserve">
Continúa el mismo porcentaje</t>
    </r>
  </si>
  <si>
    <t>Garantizar que se realice la evaluación docente dentro de los tiempos establecidos, y que se registren todos los datos necesarios y requeridos, de cada una de las instancias evaluadoras, estudiante, autoevaluación docente y coordinador del programa, para que los resultados sean más objetivos y que contribuyan a la mejora de la prestación del servicio, a través de planes de mejora de las competencias del personal docente, en caso de ser necesario.
Asegurar que todos los docentes realicen el proceso de autoevaluación docente, asegurar el respectivo seguimiento para lograr este objetivo y que se cuente con toda la información necesaria para el proceso de evaluación.</t>
  </si>
  <si>
    <t>Enviar mensajes  a través de correo electrónico y redes sociales dirigidos a  estudiantes, docentes, Jefes de Departamento y Decanos, recordándoles la importancia de la evaluación docente y  los plazos para realizarla</t>
  </si>
  <si>
    <t xml:space="preserve">3 comunicaciones </t>
  </si>
  <si>
    <t>(No. de comunicaciones enviadas / No. de comunicaciones proyectadas)*100</t>
  </si>
  <si>
    <t>15 de noviembre de 2019</t>
  </si>
  <si>
    <t>30 d enero de 2020</t>
  </si>
  <si>
    <r>
      <t xml:space="preserve">Se evidencian correos del 5 y 6 de diciembre de 2019.
</t>
    </r>
    <r>
      <rPr>
        <b/>
        <sz val="9"/>
        <color indexed="8"/>
        <rFont val="Tahoma"/>
        <family val="2"/>
      </rPr>
      <t xml:space="preserve">
11 de junio de 2020</t>
    </r>
    <r>
      <rPr>
        <sz val="9"/>
        <color indexed="8"/>
        <rFont val="Tahoma"/>
        <family val="2"/>
      </rPr>
      <t xml:space="preserve">
Se evidencia correo del 1 de junio de 2020</t>
    </r>
  </si>
  <si>
    <t>Realizar seguimiento al desarrollo de la evaluación docente y enviar reporte de los docentes sin autoevaluación y sin evaluación del jefe inmediato a los Jefes de Departamento y Decanos</t>
  </si>
  <si>
    <t xml:space="preserve">4 reportes </t>
  </si>
  <si>
    <t>(No. de reportes enviados / No. de reportes proyectados)*100</t>
  </si>
  <si>
    <t>20 de noviembre de 2019</t>
  </si>
  <si>
    <t>30 de enero de 2020</t>
  </si>
  <si>
    <r>
      <t xml:space="preserve">Se evidencian reportes elaborados
</t>
    </r>
    <r>
      <rPr>
        <b/>
        <sz val="9"/>
        <color indexed="8"/>
        <rFont val="Tahoma"/>
        <family val="2"/>
      </rPr>
      <t xml:space="preserve">
11 de junio de 2020</t>
    </r>
    <r>
      <rPr>
        <sz val="9"/>
        <color indexed="8"/>
        <rFont val="Tahoma"/>
        <family val="2"/>
      </rPr>
      <t xml:space="preserve">
Se evidencia correo del 20 de enero de 2020</t>
    </r>
  </si>
  <si>
    <t>Enviar comunicación a los Jefes de Departamento  para que al momento de evaluar a los docentes a su cargo tengan en cuenta la realización de la autoevaluación por parte de estos.</t>
  </si>
  <si>
    <t>1 comunicación</t>
  </si>
  <si>
    <t>Comunicación enviada</t>
  </si>
  <si>
    <t>1 de diciembre de 2019</t>
  </si>
  <si>
    <t>Se evidencia comunicación enviada a Jefes de Departamento.</t>
  </si>
  <si>
    <t>Realizar informe de la evaluación docente</t>
  </si>
  <si>
    <t>1 informe</t>
  </si>
  <si>
    <t>Informe realizado</t>
  </si>
  <si>
    <t>28 de febrero de 2020</t>
  </si>
  <si>
    <r>
      <t xml:space="preserve">11 de junio de 2020
</t>
    </r>
    <r>
      <rPr>
        <sz val="9"/>
        <color indexed="8"/>
        <rFont val="Tahoma"/>
        <family val="2"/>
      </rPr>
      <t>Se evidencia informe de evaluación docente 2019-2</t>
    </r>
  </si>
  <si>
    <t>Elaborar los planes de mejoramiento individual para los docentes con resultados deficientes</t>
  </si>
  <si>
    <t>100% planes de mejora requeridos</t>
  </si>
  <si>
    <t>(No. de planes de mejoramiento individual elaborados/No. De planes de mejoramiento requeridos)*100</t>
  </si>
  <si>
    <t>2 de marzo de 2020</t>
  </si>
  <si>
    <r>
      <rPr>
        <b/>
        <sz val="9"/>
        <color indexed="8"/>
        <rFont val="Tahoma"/>
        <family val="2"/>
      </rPr>
      <t>11 de junio de 2020</t>
    </r>
    <r>
      <rPr>
        <sz val="9"/>
        <color indexed="8"/>
        <rFont val="Tahoma"/>
        <family val="2"/>
      </rPr>
      <t xml:space="preserve">
Dos(2) docentes obtuvieron resultados deficientes. Un docente elaboró plan de mejora individual, el otro caso está para estudio de la División de Talento Humano.</t>
    </r>
  </si>
  <si>
    <t>1 de octubre de 2019</t>
  </si>
  <si>
    <t>Docencia</t>
  </si>
  <si>
    <t>Vicerrectoría Académica</t>
  </si>
  <si>
    <t>Continuar garantizando que se realice el seguimiento al quehacer docente, siguiendo lo establecido en el procedimiento de seguimiento al desarrollo docente.
Adicionalmente, se debe estandarizar el procedimiento de seguimiento al desarrollo docente en posgrado, al igual como se realiza en pregrado</t>
  </si>
  <si>
    <t>100% programas de pregrado 
y posgrado</t>
  </si>
  <si>
    <t>Programas que implementan el seguimiento al desarrollo curricular por curso</t>
  </si>
  <si>
    <t>Revisar y ajustar el procedimiento de desarrollo curricular por curso PDOC-014, para  incluir en el alcance los programas de posgrado y la forma cómo se realizará.</t>
  </si>
  <si>
    <t>Documento PDOC-014 aprobado</t>
  </si>
  <si>
    <t>Se evidencia borrador del procedimiento, el cual se revisará en equipo de mejora el día jueves 18 de junio.</t>
  </si>
  <si>
    <t>Divulgar procedimiento a los docentes</t>
  </si>
  <si>
    <t>Correo electrónico</t>
  </si>
  <si>
    <t>Esta actividad depende de la primera</t>
  </si>
  <si>
    <t>Realizar seguimiento a la prestación del servicio docentes de pregrado</t>
  </si>
  <si>
    <t>FDOC-084</t>
  </si>
  <si>
    <t>Realizar seguimiento a la prestación del servicio docentes de posgrado</t>
  </si>
  <si>
    <t>Documento que se apruebe</t>
  </si>
  <si>
    <t xml:space="preserve">Establecer compromisos en caso que se requiera,  para
el desarrollo de las actividades no ejecutadas. </t>
  </si>
  <si>
    <t>Acta o documento escrito</t>
  </si>
  <si>
    <t>actividad pendiente por ejecutar</t>
  </si>
  <si>
    <t>En taller especializado de internacionalización de currículos realizado por el proceso de internacionalización se sugiere mejorar el enfoque internacional en los curriculos (flexibilidad curricular, enfoque por competencias, codificaciones, bibliografias internacionales, profesores extranjeros invitados)</t>
  </si>
  <si>
    <t>(Número de programas de pregrado con revisión curricular/Número de programas académicos de pregrado)*100</t>
  </si>
  <si>
    <t xml:space="preserve">Revisión de la Misión, Visión de la Universidad, la Facultad y el programa, para identificar la coherencia entre ellas y realizar los ajustes pertinentes  </t>
  </si>
  <si>
    <t>Listados de asistencia a talleres</t>
  </si>
  <si>
    <t>Revisión de la coherencia entre la Misión, Visión y los propósitos de formación del programa, los objetivos y los perfiles.</t>
  </si>
  <si>
    <t>Revisión de la coherencia entre el propósito de formación, los perfiles y las comptencias y resultados de aprendizaje, utilizando directrices de las asociaciones de las profesiones y los resultados de aprendizaje de universidades acreditadas internacionalmente que se asemejen a la Universidad.</t>
  </si>
  <si>
    <t>Revisión de la coherencia entre los cursos que se desarrollan, competencias y resultados de aprendizaje que se formularon, de acuerdo al perfil internacional y nacional y competencias Saber Pro</t>
  </si>
  <si>
    <t xml:space="preserve">Revisión de los contenidos de los cursos y revisión del aporte del curso a los resultados de aprendizaje del programa tanto nacionales como internacionales </t>
  </si>
  <si>
    <t>Planes de curso</t>
  </si>
  <si>
    <t>Realizar talleres de planeación,  evaluación por competencias y resultados de aprendizaje y  taller  para la evaluación centrada en evidencias y elaboración de ítems.</t>
  </si>
  <si>
    <t>Hacer revisión y ajustes curriculares</t>
  </si>
  <si>
    <t>Contenidos programáticos</t>
  </si>
  <si>
    <t>Realizar la evaluación curricular y  las acciones pertinentes en coherencia con los resultados obtenidos</t>
  </si>
  <si>
    <t>Documentos de evaluación curricular y de rediseños curriculares</t>
  </si>
  <si>
    <t xml:space="preserve">
19-06-2020</t>
  </si>
  <si>
    <t>Facultad de Educación, Facultad Ciencias Agricolas, Vicerrectoria Académica y Posgrados</t>
  </si>
  <si>
    <r>
      <t xml:space="preserve">No se determinan los métodos para obtener, realizar seguimiento y revisar la información de la percepción de los clientes del grado en que se cumplen sus necesidades y expectativas. Evidencia: No se evidenció estandarización en el instrumento utilizado para la medición de satisfacción de estudiantes de programas de posgrado. La Maestría en Educación utiliza un formato del SUE Caribe, la Maestría en Didáctica de las Ciencias Naturales lo hace a través del formato FEXT-042  EVALUACIÓN DE ACTIVIDADES DE EDUCACIÓN CONTINUADA,  y la Maestría en Ciencias Sociales lo hace por medio de un formato propio. Además, en la Vicerrectoría Académica se suministró un formato distinto no controlado, según el cual, los coordinadores de programas de posgrado evalúan la satisfacción de los estudiantes. </t>
    </r>
    <r>
      <rPr>
        <b/>
        <sz val="8"/>
        <rFont val="Tahoma"/>
        <family val="2"/>
      </rPr>
      <t xml:space="preserve">(Facultad de educación)
</t>
    </r>
    <r>
      <rPr>
        <sz val="8"/>
        <rFont val="Tahoma"/>
        <family val="2"/>
      </rPr>
      <t xml:space="preserve">
El análisis de los resultados de la encuesta de satisfacción aplicada en los programas de posgrado de la Facultad. Para garantizar y propiciar la toma de decisiones e implementación de acciones conducentes a la mejora de los aspectos que resulten como debilidades (</t>
    </r>
    <r>
      <rPr>
        <b/>
        <sz val="8"/>
        <rFont val="Tahoma"/>
        <family val="2"/>
      </rPr>
      <t>Facultad de educación)</t>
    </r>
    <r>
      <rPr>
        <sz val="8"/>
        <rFont val="Tahoma"/>
        <family val="2"/>
      </rPr>
      <t xml:space="preserve">
La organización no realiza el seguimiento de la percepción de los clientes, del grado en que se cumplen sus necesidades y expectativas. Al solicitar  la medición de la satisfacción de los usuarios que acceden a los servicios de posgrado, esta no fue evidenciada  para ninguno de los servicios ofertados </t>
    </r>
    <r>
      <rPr>
        <b/>
        <sz val="8"/>
        <rFont val="Tahoma"/>
        <family val="2"/>
      </rPr>
      <t xml:space="preserve">(Posgrados)
</t>
    </r>
    <r>
      <rPr>
        <sz val="8"/>
        <rFont val="Tahoma"/>
        <family val="2"/>
      </rPr>
      <t xml:space="preserve">
Documentar la evaluación de los docentes de posgrado. Para tener evidencia de que se están desarrollando las actividades académicas, con docentes que cumplan los requisitos y las espectativas acordes a las necesidades de los programas </t>
    </r>
    <r>
      <rPr>
        <b/>
        <sz val="8"/>
        <rFont val="Tahoma"/>
        <family val="2"/>
      </rPr>
      <t>(Vicerrectoría Académica)</t>
    </r>
  </si>
  <si>
    <r>
      <t xml:space="preserve">16 de Agosto 2019
</t>
    </r>
    <r>
      <rPr>
        <sz val="9"/>
        <color theme="1" tint="0.249977111117893"/>
        <rFont val="Tahoma"/>
        <family val="2"/>
      </rPr>
      <t>16 de dic de 2019</t>
    </r>
  </si>
  <si>
    <t>No se ha definido una metodología institucional para evaluar la satisfacción de los usuarios de los programas de posgrado (docentes e infraestructura)</t>
  </si>
  <si>
    <t>Elaborar  propuesta de metodología Institucional para evaluar la satisfacción de los usuarios de los programas de posgrado (docentes e infraestructura) y remitirla al Consejo Académico</t>
  </si>
  <si>
    <t xml:space="preserve">1  propuesta </t>
  </si>
  <si>
    <t>Propuesta elaborada y enviada</t>
  </si>
  <si>
    <t>16 de septiembre de 2019</t>
  </si>
  <si>
    <t>30 de octubre de 2019</t>
  </si>
  <si>
    <t>Revisar y aprobar propuesta de metodología institucional para evaluar la satisfacción de los programas de posgrado</t>
  </si>
  <si>
    <t>1  metodología</t>
  </si>
  <si>
    <t>Metodología  revisada y aprobada</t>
  </si>
  <si>
    <t>1 de noviembre de 2019</t>
  </si>
  <si>
    <r>
      <rPr>
        <b/>
        <sz val="9"/>
        <color indexed="8"/>
        <rFont val="Tahoma"/>
        <family val="2"/>
      </rPr>
      <t xml:space="preserve">
11 de noviembre de 2020</t>
    </r>
    <r>
      <rPr>
        <sz val="9"/>
        <color indexed="8"/>
        <rFont val="Tahoma"/>
        <family val="2"/>
      </rPr>
      <t xml:space="preserve">
Se evidencia encuesta aprobada por Consejo Académico  y aprobada  ante el SIGEC  (FDOC-089 y correo del 7 de febrero de 2020)</t>
    </r>
  </si>
  <si>
    <t>Socializar metodología aprobada a los coordinadores y oficina de posgrado</t>
  </si>
  <si>
    <t>1 socialización</t>
  </si>
  <si>
    <t>Socialización realizada</t>
  </si>
  <si>
    <t>29 de noviembre de 2019</t>
  </si>
  <si>
    <t xml:space="preserve">Evaluar la satisfacción de los usuarios de los programas de posgrado </t>
  </si>
  <si>
    <t>100% programas de posgrado</t>
  </si>
  <si>
    <t>(No. de programas de posgrado que aplican la evaluación/No. de programas de posgrado)*100</t>
  </si>
  <si>
    <t>I semestre de 2020</t>
  </si>
  <si>
    <t>Actividad pendiente por ejecutar</t>
  </si>
  <si>
    <t xml:space="preserve">Elaborar informe de los resultados producto de la medición de la satisfacción de los usuarios de los programas de posgrado </t>
  </si>
  <si>
    <t>Informe elaborado</t>
  </si>
  <si>
    <t xml:space="preserve">Elaborar planes de mejoramiento producto de la medición de la satisfacción de los usuarios de los programas de posgrado, en los casos que se requieran  </t>
  </si>
  <si>
    <t xml:space="preserve">1 plan de mejoramiento </t>
  </si>
  <si>
    <t>Plan de mejoramiento elaborado</t>
  </si>
  <si>
    <t>Diciembre de 2019</t>
  </si>
  <si>
    <t>OSCAR ARISMENDY MARTINEZ</t>
  </si>
  <si>
    <r>
      <t xml:space="preserve">Se evidencia propuesta elaborada por los coordinadores de posgrado
</t>
    </r>
    <r>
      <rPr>
        <b/>
        <sz val="9"/>
        <color indexed="8"/>
        <rFont val="Tahoma"/>
        <family val="2"/>
      </rPr>
      <t>11 de noviembre de 2020</t>
    </r>
    <r>
      <rPr>
        <sz val="9"/>
        <color indexed="8"/>
        <rFont val="Tahoma"/>
        <family val="2"/>
      </rPr>
      <t xml:space="preserve">
Se evidencia encuesta aprobada por Consejo Académico  y aprobada  ante el SIGEC  (FDOC-089 y correo del 7 de febrero de 2020)</t>
    </r>
  </si>
  <si>
    <r>
      <rPr>
        <b/>
        <sz val="9"/>
        <color indexed="8"/>
        <rFont val="Tahoma"/>
        <family val="2"/>
      </rPr>
      <t>11 de noviembre de 2020</t>
    </r>
    <r>
      <rPr>
        <sz val="9"/>
        <color indexed="8"/>
        <rFont val="Tahoma"/>
        <family val="2"/>
      </rPr>
      <t xml:space="preserve">
Se evidencia correo del 27 de febrero de 2020, dirigido a los coordinadores y oficina de posgrados.</t>
    </r>
  </si>
  <si>
    <t>19 DE JUNIO DE 2020</t>
  </si>
  <si>
    <t>19 DE JUNIO 2020</t>
  </si>
  <si>
    <t>Facultad de Ciencias Agricolas, Facultad ciencias de la Salud, Vicerectoria Académica, Facultad Medicina Veterinaria y Zootecnia</t>
  </si>
  <si>
    <r>
      <t xml:space="preserve">Culminar la revisión y ajustes a los planes de cursos, con especial énfasis en lo referente a competencias transversales y específicas. Para dar cumplimiento al artículo 22 del acuerdo 147(BIS) del 11 de diciembre de 2018 y que dichos planes de cursos estén disponibles y se puedan incorporar para el segundo semestre de 2019 en la plataforma institucional - campusvirtual.unicordoba.edu.co </t>
    </r>
    <r>
      <rPr>
        <b/>
        <sz val="8"/>
        <rFont val="Tahoma"/>
        <family val="2"/>
      </rPr>
      <t>(Facultad de Ciencias Agrícolas)</t>
    </r>
    <r>
      <rPr>
        <sz val="8"/>
        <rFont val="Tahoma"/>
        <family val="2"/>
      </rPr>
      <t xml:space="preserve">
El reporte de las necesidades de capacitación en competencias transversales para los docentes de los programas de la Facultad de Ciencias de la Salud. Para asegurar que se incluya en el Plan de capacitación institucional y se imparta la formación, y se garantice el registro en el formato FDOC-088 Plan de curso de manera adecuada y pertinente. </t>
    </r>
    <r>
      <rPr>
        <b/>
        <sz val="8"/>
        <rFont val="Tahoma"/>
        <family val="2"/>
      </rPr>
      <t>(Facultad de Ciencias de la Salud)</t>
    </r>
  </si>
  <si>
    <r>
      <t xml:space="preserve">16 DE AGOSTO 2019
</t>
    </r>
    <r>
      <rPr>
        <sz val="9"/>
        <color theme="1" tint="0.249977111117893"/>
        <rFont val="Tahoma"/>
        <family val="2"/>
      </rPr>
      <t>16 de diciembre 2019</t>
    </r>
  </si>
  <si>
    <t>Realizar capacitación en competencias transversales y específicas para el diligenciamiento del formato plan de curso, dirigida a docentes de la Facultad de Ciencias Agrícolas y Facultad de Ciencias de la Salud de la Institución</t>
  </si>
  <si>
    <t>1 capacitación</t>
  </si>
  <si>
    <t>Capacitación realizada</t>
  </si>
  <si>
    <t>10 de agosto de 2019</t>
  </si>
  <si>
    <t>Capacitación plan de curso: Acta 25 del 7 de noviembre de 2019, Bacteriología
Enfermería 28 de agosto de 2019
Agrícolas: listado de asistencia capacitación 26 de agosto de 2019</t>
  </si>
  <si>
    <t>Ajustar los planes de curso en el formato FDOC-088</t>
  </si>
  <si>
    <t>100% planes de curso ajustados</t>
  </si>
  <si>
    <t>(No. De planes de curso ajustado/No. De planes de curso)*100</t>
  </si>
  <si>
    <t>División de Posgrados y educación Continuada</t>
  </si>
  <si>
    <t>El análisis a partir de los datos relacionados con la deserción de los estudiantes de posgrados. Con el fin de establecer acciones enfocadas a los programas con mayor deserción estudiantil y propender por la graduación de estos y generar controles para los riesgos del proceso.</t>
  </si>
  <si>
    <r>
      <t xml:space="preserve">16 DE AGOSTO 2019
</t>
    </r>
    <r>
      <rPr>
        <sz val="8"/>
        <color theme="1" tint="0.249977111117893"/>
        <rFont val="Tahoma"/>
        <family val="2"/>
      </rPr>
      <t>16 de diciembre de 2020</t>
    </r>
  </si>
  <si>
    <t>Solicitar información de deserción de los programas de posgrado a la Unidad de Planeación y Desarrollo de los años 2015-2018</t>
  </si>
  <si>
    <t xml:space="preserve">1 solicitud </t>
  </si>
  <si>
    <t>26 de septiembre de 2019</t>
  </si>
  <si>
    <t>Se evidencia correos a planeación donde se solicitó la información de deserción de posgrados a planeación del 3 de octubre, 21 de octubre y 19 de noviembre de 2019
Información entregada por la Unidad Estadística el 25 de noviembre de 2019, se solicitó enviarla desagregada por programas académicos.</t>
  </si>
  <si>
    <t>Realizar análisis de los resultados de deserción de programas de posgrado</t>
  </si>
  <si>
    <t>1 análisis</t>
  </si>
  <si>
    <t>Análisis realizado</t>
  </si>
  <si>
    <t xml:space="preserve">15 de noviembre  de 2019 </t>
  </si>
  <si>
    <r>
      <rPr>
        <b/>
        <sz val="9"/>
        <color indexed="8"/>
        <rFont val="Tahoma"/>
        <family val="2"/>
      </rPr>
      <t>11 de junio de 2020</t>
    </r>
    <r>
      <rPr>
        <sz val="9"/>
        <color indexed="8"/>
        <rFont val="Tahoma"/>
        <family val="2"/>
      </rPr>
      <t xml:space="preserve">
Se evidencia análisis realizado por los programas de Maestría en Ciencias Agroalimentarias, Maestría en Comunicaciones y especialización en Ciencias Veterinarias del Trópico.</t>
    </r>
  </si>
  <si>
    <t>Elaborar planes de mejoramiento que se requieran según estudio de deserción</t>
  </si>
  <si>
    <t>100% planes requeridos</t>
  </si>
  <si>
    <t>(No. de planes de mejoramiento elaborados/No de planes de mejoramiento requeridos)*100</t>
  </si>
  <si>
    <r>
      <rPr>
        <b/>
        <sz val="9"/>
        <color indexed="8"/>
        <rFont val="Tahoma"/>
        <family val="2"/>
      </rPr>
      <t xml:space="preserve">11 de junio de 2020 </t>
    </r>
    <r>
      <rPr>
        <sz val="9"/>
        <color indexed="8"/>
        <rFont val="Tahoma"/>
        <family val="2"/>
      </rPr>
      <t xml:space="preserve">
Se evidencia plan de mejoramiento realizado por los programas de Maestría en Ciencias Agroalimentarias y especialización en Ciencias Veterinarias del Trópico.</t>
    </r>
  </si>
  <si>
    <t xml:space="preserve">Gestión Documental </t>
  </si>
  <si>
    <t>Sección de archivo y Correspondencia</t>
  </si>
  <si>
    <t>Realizar cronograma de seguimiento a las actividades planteadas en el Plan de Intervención Archivístico y Valoración de Fondos Documentales</t>
  </si>
  <si>
    <t>16 de julio 2018</t>
  </si>
  <si>
    <t xml:space="preserve">El cronograma fue presentado en la Auditoría, sin embargo no se ha podido cumplir debido a la falta de personal en la Sección de Archivo y Correspondencia, para la realización de las actividades                                                                                                                                                                                                                                                        </t>
  </si>
  <si>
    <t xml:space="preserve">Implementar los compromisos contemplados en el programa de Gestión Documental </t>
  </si>
  <si>
    <t>Número de compromisos programados/Número de compromisos ejecutados</t>
  </si>
  <si>
    <t>Se aprobó el programa de gestión documental mediante resolución 1368 de junio de 2019, donde se plantearon actividades y compromisos bajo la responsabilidad de distintos procesos, el seguimiento se realiza en el comité de archivo con cada uno de los integrantes, con respecto a las actividades del año 2019 el programa se ha ejecutado en un 72%, se recomienda  seguir trabajando en la actualización del inventario y en los seguimientos para verificar la aplicación de las TRD.</t>
  </si>
  <si>
    <t xml:space="preserve">Aunque se han venido adelantando acciones para implementar el proyecto de Gestión de Archivo a nivel institucional, es necesario que se dinamice la ejecución de dicho proyecto, ya que se evidencio un bajo porcentaje de avance. Es necesario que se realice la aprobación por parte del comité de Archivo de las TRD y TVD, culminar el archivo histórico y el inventario documental de la universidad, y culminar el proceso de formación y capacitación para lograr su apropiación e implementación. Adicionalmente se debe disponer el espacio físico para implementar el archivo central y poder realizar todas las transferencias documentales primarias, y albergar el fondo histórico de la institución. </t>
  </si>
  <si>
    <t>7 DE FEBRERO DE 2019</t>
  </si>
  <si>
    <t>Elaborar el proyecto para el diseño e implementación de las TVD.</t>
  </si>
  <si>
    <t>1 proyecto elaborado</t>
  </si>
  <si>
    <t>Proyecto elaborado</t>
  </si>
  <si>
    <t>Se elaboró el proyecto para el diseño de las TVD FORTALECIMIENTO DE LA FUNCIÓN ARCHIVISTICA INSTITUCIONAL DE LA UNIVERSIDAD DE CORDOBA . A la espera de la adjucación del contrato.</t>
  </si>
  <si>
    <t>Presentar y aprobar en comité de archivo el proyecto para el diseño e implementación de las TVD.</t>
  </si>
  <si>
    <t>1 proyecto aprobado</t>
  </si>
  <si>
    <t>Proyecto aprobado</t>
  </si>
  <si>
    <t>Se socializó el proyecto según consta en acta 001 de 23 de abril de 2019.</t>
  </si>
  <si>
    <t xml:space="preserve">Realizar el inventario documental del Archivo Central </t>
  </si>
  <si>
    <t>100% inventariado</t>
  </si>
  <si>
    <t>número de documentos inventariados / total documentos</t>
  </si>
  <si>
    <r>
      <t xml:space="preserve">Se está trabajando en esta actividad con  la eliminación de documentos para lo cual se asignaron  dos funcionarios encargados de la actividad y se establecieron compromisos en reunión sostenida con planeación el 14/11/2019.
</t>
    </r>
    <r>
      <rPr>
        <b/>
        <sz val="9"/>
        <color indexed="8"/>
        <rFont val="Tahoma"/>
        <family val="2"/>
      </rPr>
      <t>11  de Junio de 2020:</t>
    </r>
    <r>
      <rPr>
        <sz val="9"/>
        <color indexed="8"/>
        <rFont val="Tahoma"/>
        <family val="2"/>
      </rPr>
      <t xml:space="preserve">
Actualmente se està trabajando en la actualizaciòn del inventario, se lleva aproximadamente un 15% de ejecuciòn debido a que se està trabajando por turnos, 
se evidencia acta de eliminaciòn de documentos N°001 24/2/2020 y Comunicación de asignación de función de inventario de archivo a funcionarios de la sección Archivo y correspondencia, por turnos y medio tiempo por contingencia ante emergencia Covid – 19.</t>
    </r>
  </si>
  <si>
    <t xml:space="preserve">Solicitar a la Unidad de Planeación Institucional la construcción del archivo histórico y la ampliación del archivo central de la Universidad. </t>
  </si>
  <si>
    <t>2 Solicitudes por semestre</t>
  </si>
  <si>
    <t xml:space="preserve">Solicitudes realizadas/Solicitudes programadas </t>
  </si>
  <si>
    <t>Se solicita en repetidas ocasiones en los Comites de Archivo según consta en las actas de comité y se envió la comunicación SAC-109 de fecha 5 de julio de 2019  a Planeación con copia a Rectoria y Vice Administrativa.</t>
  </si>
  <si>
    <t>Continuar gestionando ante el archivo general de la nación la evaluación y aprobación de las TRD, a través de la solicitud realizada por la Universidad con radicado No. 1-2018-05392 del 28 Mayo de 2018, con el fin de dinamizar el proceso de implementación interno.</t>
  </si>
  <si>
    <t>Realizar una vez al mes contacto con el Archivo General de la Nación, solicitando información de la convalidación de las TRD de la Universidad, mientras se recibe la respuesta del Archivo General de la Nación.</t>
  </si>
  <si>
    <t>1 contacto mensual</t>
  </si>
  <si>
    <t>Contactos realizados / contactos programados</t>
  </si>
  <si>
    <t>Se envío la solicitud de ajustes según las observaciones del AGN, el dia 25 de noviembre de 2019.
Se enviaron ajustes el 26/02/2020 al AGN, se asistió a mesa de trabajo virtual  20/04/2020, programaron otra mesa de trabajo para el 8/05/2020  que fue cancelada por falta de contratistas en el AGN.</t>
  </si>
  <si>
    <t>Insuficiente nivel en el indicador de transferencias al Archivo Central.</t>
  </si>
  <si>
    <t>6 DE MARZO DE 2019</t>
  </si>
  <si>
    <t>Gestionar la adecuación y construcción de los archivos Central e Histórico de la Institución</t>
  </si>
  <si>
    <t>1 Solicitud semestral</t>
  </si>
  <si>
    <t>Solicitud elaborada</t>
  </si>
  <si>
    <t>Se realizó reunión el 14 de nov de 2019 estableciendo compromisos y se está realizando el inventario para determinar el espacio necesario.</t>
  </si>
  <si>
    <t xml:space="preserve">Diseñar, aprobar y ejecutar el Plan Anual de Transferencias a los Archivos de Gestión de la Institución </t>
  </si>
  <si>
    <t xml:space="preserve">1 Plan Anual de Transferencia </t>
  </si>
  <si>
    <t>Plan elaborado y ejecutado. (La ejecucion de este plan esta sujeta a la disponibilidad del requirimiento solicitado en la actividad #1)</t>
  </si>
  <si>
    <t>Se elaboró un cronograma de transferencias 2019 el cual no se ha llevado a cabo de acuerdo a la disponibilidad del archivo, que no tiene capacidad para recibir todas las transferencias documentales.</t>
  </si>
  <si>
    <t>Ejecutar la campaña de apoyo y soporte a las dependencias para la organización de sus Archivos de Gestion, inventario y alistamiento de documentacion a transferir</t>
  </si>
  <si>
    <t>1 campaña semestral</t>
  </si>
  <si>
    <t>Campañas realizadas / campañas programadas</t>
  </si>
  <si>
    <t xml:space="preserve">Aprobar y adoptar mediante acto administrativo, el Programa de Gestion Documental, PGD, por parte del Comité de Archivo y la Universidad. </t>
  </si>
  <si>
    <t>1 PGD</t>
  </si>
  <si>
    <t>1 PGD aprobado y adoptado</t>
  </si>
  <si>
    <t>Se aprobó mediante resolución 1368 de junio de 2019</t>
  </si>
  <si>
    <t>El control en la digitalización de la correspondencia tramitada por la ventanilla única.</t>
  </si>
  <si>
    <t>13 DE AGOSTO 2019</t>
  </si>
  <si>
    <t xml:space="preserve">No se digitalizó la correspondencia original como tampoco los anexos </t>
  </si>
  <si>
    <t>Sensibilizar a los funcionarios en el PGDO-009 Procedimiento de Comunicaciones Oficiales (esta actividad queda sujeta a la implementación del software documental ORFEO)</t>
  </si>
  <si>
    <t>Capacitaciones realizadas</t>
  </si>
  <si>
    <t>Número de capacitaciones programadas/Número de capacitaciones realizadas</t>
  </si>
  <si>
    <t>11 de junio de 2020</t>
  </si>
  <si>
    <t>DIANA ESPINOZA</t>
  </si>
  <si>
    <t>ANGELICA MORALES MORALES</t>
  </si>
  <si>
    <t>Se está realizando con el seguimiento a las dependencias en el año 2019 se visitaron 53 de 65 oficinas y el año 2020 se han visitado  33 dependencias.</t>
  </si>
  <si>
    <t>Gestión Documental</t>
  </si>
  <si>
    <t>Aunque se han venido adelantando acciones para implementar el proyecto de Gestión de Archivo a nivel institucional y la implementación del sistema de Gestión Documental ORFEO, es necesario que se dinamice la ejecución de dicho proyecto y se garanticen los recursos necesarios para llevarlo a cabo, ya que se evidenció nuevamente un bajo porcentaje de avance. Es necesario que se disponga del espacio físico para implementar el archivo central y poder realizar todas las transferencias documentales primarias, y albergar el fondo histórico de la institución.</t>
  </si>
  <si>
    <t xml:space="preserve"> 95 dependencias capacitadas e implementando el SGD Orfeo</t>
  </si>
  <si>
    <t># de dependencias capacitadas e implementando Orfeo/# total de dependencias de la institución</t>
  </si>
  <si>
    <t>1) Realizar nueva capacitación a los funcionarios académico - administrativos de la Universidad, en el uso y manejo del Sistema de Gestión Documental, SGD  ORFEO.
2) Finalizar el despliegue de implementación del Orfeo hasta cubrir el total de las Dependencias de la institución.</t>
  </si>
  <si>
    <t>Listado de asistencia FGDO-016.
Comunicaciones internas</t>
  </si>
  <si>
    <t xml:space="preserve">1. El proceso manifestó que por motivos de emergencia sanitaria por la Covid – 19, se tomó la decisión de manejar las re-capacitaciones con un instructivo de Orfeo que ya se creó y fue cargado a la página web, por medio de una campaña se dará a conocer la ruta para consultarlo y a la vez se enviaran  videos tutoriales de manejo y uso de ORFEO en coordinación con Talento Humano. Evidencia acta equipo de mejoramiento N° 005 12 de mayo 2020 
2. Falta la sede Berastegui y Sede Lorica, para visitar de manera presencial, capacitar y hacer entrega de equipos electrónicos configurados con el SGD ORFEO. 3. Se espera la aprobaciòn de la Resoluciòn de uso del sistema ORFEO para que se de cumplimiento de uso Por parte de la comunidad administrativa  </t>
  </si>
  <si>
    <t>Continuar gestionando ante el archivo general de la nación la evaluación y aprobación de las TRD, con el fin de dinamizar el proceso de implementación interno, ya que a la fecha de la auditoría no se ha obtenido respuesta de aprobación.</t>
  </si>
  <si>
    <t>100% TRD aprobadas por el Archivo General de la Nación</t>
  </si>
  <si>
    <t>#TRD aprobadas/#total de TRD</t>
  </si>
  <si>
    <t>Solicitar trimestralmente al contratista que elaboró las TRD información del estado de avance en la aprobación de estas ante el AGN</t>
  </si>
  <si>
    <t>correos electrónicos de seguimiento</t>
  </si>
  <si>
    <t>Se enviaron ajustes el 26/02/2020 al AGN, se asistio a mesa de trabajo virtual  20/04/2020, programaron otra mesa de trabajo para el 8/05/2020  que fue cancelada por falta de contratistas en el AGN.</t>
  </si>
  <si>
    <t>Asegurar que los procesos envíen las respectivas actas de eliminación de los documentos, con el fin de llevar el control documental en el proceso de Gestión Documental.</t>
  </si>
  <si>
    <t>1). 100% de dependencias capacitadas en uso y aplicación del formato acta de eliminación de documentos de apoyo FGDO-008
2). Comunicación por correo de tiempos de entrega de actas de eliminación documentos de apoyo</t>
  </si>
  <si>
    <t># de actas de eliminación de documentos de apoyo/ # total de dependencias de la institución</t>
  </si>
  <si>
    <t>1). Dar a conocer e indicar el diligenciamiento de acta de eliminación de documentos de apoyo FGDO-008 a los funcionarios encargados de los archivos de gestión
2).  Incluir en el procedimiento Disposición final PGDO-013 el trámite para realizar disposición final de los documentos de apoyo</t>
  </si>
  <si>
    <t>Listado de asistencia FGDO-016.</t>
  </si>
  <si>
    <t>1. Se tiene diseñado un cronograma de capacitaciòn para los archivos de gestiòn que se ejecutarà en 2020-II. 
2. No se ha realizado l actividad.</t>
  </si>
  <si>
    <t>Incumplimiento  en la aplicación de las Tablas de Retención Documental en los archivos de gestión</t>
  </si>
  <si>
    <t>(Número total de dependencias que usan la TRD/número total de dependencias) *100</t>
  </si>
  <si>
    <t>Elaborar cronograma de Capacitaciones en Organización de Archivo y aplicación de la TRD a los funcionarios encargados de los archivos de gestión</t>
  </si>
  <si>
    <t>Cronograma de capacitaciones</t>
  </si>
  <si>
    <t>Se evidencia la eloboración del cronograma de capacitaciones a distintas dependencias, el cual se empezara a ejecutar desde el mes de agosto a septiembre de 2020.</t>
  </si>
  <si>
    <t>Realizar capacitaciòn en organizaciòn de archivos y aplicaciòn de las TRD a los funcionarios encargados de los archivos de gestiòn</t>
  </si>
  <si>
    <t xml:space="preserve">Formato de asistencia a eventos y/o fotos </t>
  </si>
  <si>
    <t>Debido a la pandemia tocò reprogramar para el semestre 2020-II. Se hizo la solicitud a  CINTIA para diseño de video con informaciòn relacionada que oriente a los funcionarios de los AG a organizar su documentaciòn</t>
  </si>
  <si>
    <t>Elaborar cronograma semestral de seguimiento a los archivos de gestiòn</t>
  </si>
  <si>
    <t>Cronograma de seguimiento</t>
  </si>
  <si>
    <t>Se evidencia la eloboración del cronograma de seguimientos a distintas dependencias, el cual se empezará a ejecutar desde el mes de agosto a septiembre de 2020.</t>
  </si>
  <si>
    <t>Realizar seguimiento semestral a los archivos de gestiòn</t>
  </si>
  <si>
    <t>Formato de seguimiento a los archivos de gestiòn</t>
  </si>
  <si>
    <t>Se tiene reprogramado para el semestre 2020-II, ya que se iniciío en marzo y solo se logró hacer seguimiento a 33 dependencias, el proceso manifiesta que es una actividad netamente presencial.</t>
  </si>
  <si>
    <t>Realizar nueva mediciòn del indicdor de aplicaciòn de las TRD a los archivos de gestiòn</t>
  </si>
  <si>
    <t>Software de mediciòn de indicadores</t>
  </si>
  <si>
    <t>A la fecha no se ha realizado. Este se mide por las respuestas dadas en los seguimientos archivos de gestión los cuales no se han podido terminar de realizar por emergencia sanitaria Covid – 19.</t>
  </si>
  <si>
    <t>DIANA ESPINOZA ALMANZA</t>
  </si>
  <si>
    <t>ANGÉLICA MORALES MORALES</t>
  </si>
  <si>
    <t>Extensión</t>
  </si>
  <si>
    <t>Vicerrectoria de Investigación y Extensión</t>
  </si>
  <si>
    <t>Oportunidad de mejora: Incorporar en el Plan Institucional de Extensión 2018-2022, en el programa Portafolio de Servicios, las actividades de educación continuada ofertadas desde las diferentes facultades y Centros de Extensión.</t>
  </si>
  <si>
    <t>23 DE JULIO 2018
16 DE  OCTUBRE 2019</t>
  </si>
  <si>
    <t>Realizar un diagnóstico en materia de extensión por facultades.</t>
  </si>
  <si>
    <t xml:space="preserve">Diagnostico de extension por facultad </t>
  </si>
  <si>
    <t>Octubre de 2019</t>
  </si>
  <si>
    <t xml:space="preserve"> Análisis prospectivo de extensión</t>
  </si>
  <si>
    <t>Enero de 2020</t>
  </si>
  <si>
    <t>Abril de 2020</t>
  </si>
  <si>
    <t>No se ha realizado esta actividad</t>
  </si>
  <si>
    <t>Socializar el análisis prospectivo de extensión de la universidad ante Consejo Academico, para su aprobación</t>
  </si>
  <si>
    <t xml:space="preserve"> Análisis prospectivo de extensión socializado</t>
  </si>
  <si>
    <t>Mayo de 2020</t>
  </si>
  <si>
    <t>Junio de 2020</t>
  </si>
  <si>
    <t xml:space="preserve">
Incorporar las acciones estrategias en materia de extensión arrojadas en este analisis, en el Plan de Desarrollo de la Universidad
</t>
  </si>
  <si>
    <t>Plan de Desarrollo de la Universidad con acciones estrategias en materia de extensión incorporadas</t>
  </si>
  <si>
    <t>Julio de 2020</t>
  </si>
  <si>
    <t xml:space="preserve"> Establecer un cronograma de seguimiento al cumplimiento de las acciones definidas en el plan de desarrollo  materia de extensión</t>
  </si>
  <si>
    <t>Cronograma realizado</t>
  </si>
  <si>
    <t>Enero de 2021</t>
  </si>
  <si>
    <t>Esta actividad no se ha ejecutado esta programada para el año 2021.</t>
  </si>
  <si>
    <t xml:space="preserve">El indicador tasa de vinculación laboral de los graduados al primer año de finalizar sus estudios, no alcanzó la meta minima, teniendo en cuenta que el 48,40% de los graduados de los programas de pregrado ofertados por la universidad  en el año 2017 se encuentran ocupados en el año 2018. </t>
  </si>
  <si>
    <t>29 DE ABRIL 2019</t>
  </si>
  <si>
    <t>Gestionar la adquisición de la plataforma de empleo de la Universidad</t>
  </si>
  <si>
    <t xml:space="preserve"> Plataforma de empleo de la Universidad adquirida</t>
  </si>
  <si>
    <t>Mayo de 2019</t>
  </si>
  <si>
    <t>Realizar seguimiento a la implementación de la plataforma de empleo</t>
  </si>
  <si>
    <t>Número  de seguimientos realizados</t>
  </si>
  <si>
    <t>Esta actividad no se ha ejecutado, debido a que depende de la actividad anterior.</t>
  </si>
  <si>
    <t xml:space="preserve">
GILMAR SANTAFE PATIÑO</t>
  </si>
  <si>
    <t xml:space="preserve">
LUCILA ALVIS ECHENIQUE</t>
  </si>
  <si>
    <t>17 DE JUNIO DE 2020</t>
  </si>
  <si>
    <t>Vicerrectoría de Investigación y Extensión</t>
  </si>
  <si>
    <t>El indicador tasa de vinculación laboral de los graduados al primer año de finalizar sus estudios, no alcanzó la meta minima  en la vigencia 2019,  teniendo en cuenta que, teniendo en cuenta que el 15,04 % de los graduados de los programas de pregrado ofertados por la universidad  en el año 2018 se encuentran ocupados en el año 2019. Lo anterior se debe a que en la vigencia 2018 se graduaron 1376 de los cuales 207 se encuentran laborando en la vigencia 2019.</t>
  </si>
  <si>
    <t xml:space="preserve">Numero de ajustes o cambios resultantes de la revisión de la ficha tecnica del indicador </t>
  </si>
  <si>
    <t xml:space="preserve">Revisar la ficha tecnica del indicador tasa de vinculación laboral de los graduados al primer año de finalizar sus estudios, analizando si este es el mecanismo adecuado para  realizar seguimiento sistemático al desempeño profesional
de los egresados graduados de la institución </t>
  </si>
  <si>
    <t>Acta de revisión de la meta del indicador de Comité Central de Extensión</t>
  </si>
  <si>
    <t xml:space="preserve">Implementar los ajustes o cambios resultantes de la revisión de la ficha tecnica del indicador </t>
  </si>
  <si>
    <t xml:space="preserve">Registros de implementacion de ajustes o cambios </t>
  </si>
  <si>
    <t xml:space="preserve">El indicador Estudiantes vinculados al desarrollo de la Extensión  la meta minima en el segndo semestre de 2019,  teniendo en cuenta que durante  el segundo semestre del año 2019 se matricularon en total 16.841 estudiantes en los diferentes programas academicos, de los cuales 10.757 se encontraban vinculados al desarrollo de la extensión, por lo cual el indicador muestra un porcentaje del 63,87%. </t>
  </si>
  <si>
    <t>Numero de indicadores ajustados</t>
  </si>
  <si>
    <t xml:space="preserve">Revisar la meta del Indicador  Estudiantes vinculados al desarrollo de la Extensión, respecto a los resultados obtenidos en periodos anteriores </t>
  </si>
  <si>
    <t>Ajustar la ficha tecnica del indicador Indicador  Estudiantes vinculados al desarrollo de la Extensión</t>
  </si>
  <si>
    <t>Ficha tecnica del indicador ajustada</t>
  </si>
  <si>
    <t>Socilitar la publicación de la ficha tecnica del indicador en el SIGEC</t>
  </si>
  <si>
    <t>Ficha tecnica del indicador publicada en el SIGEC</t>
  </si>
  <si>
    <t xml:space="preserve">
17 de Junio de 2020</t>
  </si>
  <si>
    <t>Gilmar Santafe Patiño</t>
  </si>
  <si>
    <t>Lucila Alvis Echenique</t>
  </si>
  <si>
    <t>Gestión Financiera</t>
  </si>
  <si>
    <t xml:space="preserve">Unidad de Asuntos financieros </t>
  </si>
  <si>
    <t>Porcentaje de Recursos Propios</t>
  </si>
  <si>
    <t>(Recaudo de Recursos Propios / Valor del presupuesto de ingresos recaudado) * 100</t>
  </si>
  <si>
    <t xml:space="preserve">Revision y ajuste del procedimiento Cobro Persuasivo. </t>
  </si>
  <si>
    <t>acta de revision</t>
  </si>
  <si>
    <t>Socializacion del procedimiento cobro persuasivo a los funcionarios del grupo de Cartera de la Division de Asuntos Financieros</t>
  </si>
  <si>
    <t>Lista de Asistencia, correos.</t>
  </si>
  <si>
    <t xml:space="preserve">Realizar seguimiento a la aplicación del procedimiento de cobro Persuasivo </t>
  </si>
  <si>
    <t>Acta de Reuniones de seguimiento</t>
  </si>
  <si>
    <t xml:space="preserve">Adqusición e implemetación de Pasarela de pagos para venta de servicos de educativos (pago de pines y matrículas en Linea).  </t>
  </si>
  <si>
    <t>adquisición de pasarela para pagos de matrículas  en linea)</t>
  </si>
  <si>
    <t xml:space="preserve">Se adquirio con el banco davivienda la plataforma de pagos en linea a traves de boton PSE para el pago de matricula. Igualmente con el banco de occidente se desarrollo un boton pse para pagos en linea de los recursos varios que se recibian en la caja de la UNiversidad y pagos de diplomados.   </t>
  </si>
  <si>
    <t>Revision de los modulos que tiene el software financiero para la Facturación Rápida, así como la Generación de los Códigos de Barras para ser impresos en las Facturas.</t>
  </si>
  <si>
    <t>Acta de Revision</t>
  </si>
  <si>
    <t>Se realizó revisión de los m+odulos financieros debido a las necesidades de la institución y se priorizaron las necesidades de implementacion. La reunión se realizó el 5 de mayo de 2020. Estas prioridades fueron tomadas de acuerdo a las medidas tomadas por la emerencia sanitaria</t>
  </si>
  <si>
    <t xml:space="preserve">Apoyo al proceso de  sistematzación  de las matrículas del Centro de idiomas </t>
  </si>
  <si>
    <t>Matrículas en linea.</t>
  </si>
  <si>
    <t xml:space="preserve">Se adquirio con el banco davivienda la plataforma de pagos en linea a traves de boton PSE para el pago de matricula. Igualmente con el banco de occidente se desarrollo un boton pse para pagos en linea de los recursos varios que se recibian en la caja de la Universidad y pagos de diplomados.   </t>
  </si>
  <si>
    <t>Elaborar un Plan de trabajo para la implementación de los programas que tiene el software financiero para la Facturación Rápida.</t>
  </si>
  <si>
    <t>Plan de trabajo</t>
  </si>
  <si>
    <t>Debido a las necesidades de implementaco se realio el plan e trabajo.</t>
  </si>
  <si>
    <t>Nivel de Endeudamiento</t>
  </si>
  <si>
    <t>(Total Pasivo/Total Activo)*100</t>
  </si>
  <si>
    <t>Apoyar el proceso de contratacion de personal especializado para culminar el pacto de concurrencia del pasivo pensional ante el ministerio.</t>
  </si>
  <si>
    <t xml:space="preserve">Documentación </t>
  </si>
  <si>
    <t xml:space="preserve">La oficina financiera apoyo el proceso de contratacio del persoal especialiado para la culmiacio del pacto de concurrencia  de pasivo mediante contrato No 547 Y No de cdp 1950  </t>
  </si>
  <si>
    <t xml:space="preserve">Redefinir la forma de medicion del indicador nivel de endeudamiento desagregando la variable del pasivo pensional. </t>
  </si>
  <si>
    <t>Indicador Desagregado</t>
  </si>
  <si>
    <t>Propuesto para  finales de junio.</t>
  </si>
  <si>
    <t xml:space="preserve">Modificar el indicador nivel de endeudamiento en el Sistema de Control de Indicadores Institucionales.  </t>
  </si>
  <si>
    <t>Publicacion de Indicador</t>
  </si>
  <si>
    <t>Razon Corriente</t>
  </si>
  <si>
    <t>Activo Corriente/Pasivo Corriente</t>
  </si>
  <si>
    <t xml:space="preserve">La oficina financiera apoyo el proceso de contratacion del personal especialziado para la culminacio del pacto de concurrencia  de pasivo mediante contrato No 547 Y No de CDP1950  </t>
  </si>
  <si>
    <t>Se incumple el procedimiento de legalización de Anticipos y Cajas Menores. Evidencia : Al revisar las carpetas de legalizacion de anticipos de practicas academicas se evidenció que los funcionarios que reciben recursos por anticipos de practicas academicas no estan diligenciando el formato FGFI-035 Planilla de legalizacion de anticipos y avances.</t>
  </si>
  <si>
    <t>No de anticipos legalizados / No total de los anticipos por practicas academicas</t>
  </si>
  <si>
    <t>Establecer una herramienta que permita simplificar la legalizacion de los recursos asignados a las prácticas académicas</t>
  </si>
  <si>
    <t>Herramienta elaborada</t>
  </si>
  <si>
    <t>Socialización de la herramienta a las partes interesadas</t>
  </si>
  <si>
    <t>Lista asistencia, correos.</t>
  </si>
  <si>
    <t>Elaborar un instructivo para la legalizacion de los anticipos por prácticas académicas</t>
  </si>
  <si>
    <t>1 instructivo</t>
  </si>
  <si>
    <t>Socialización del instructivo a las partes interesadas</t>
  </si>
  <si>
    <t>Realizar seguimiento y control a la legalización de anticipos por prácticas académicas</t>
  </si>
  <si>
    <t xml:space="preserve">carpetas de legalización de prácticas académicas </t>
  </si>
  <si>
    <t xml:space="preserve">Para el seguimiento y control de la legalización de practicas académicas se estableció que el grupo de cartera revisara las solicitudes de practicas con el fin de evaluar si no tienen alguna legalización pendiente. Esto se aplico para los giros que se hicieron en los primeros meses del año.  </t>
  </si>
  <si>
    <t xml:space="preserve">Tomar las medidas necesarias en caso de incumplimiento </t>
  </si>
  <si>
    <t>Oficios de legalización</t>
  </si>
  <si>
    <t>Se reportaron a la oficina de control interno  las legaliaciones pendientes por realiar y fueron legalizadas.</t>
  </si>
  <si>
    <t>Se incumple el procedimiento de practicas Academicas. 
Al revisar las  carpetas de legalizacion de anticipos de prácticas académicas se evidenció que  los funcionarios que reciben recursos por anticipos de practicas Academicas  no estan diligenciando el formato FGFI-035  planilla de legalizacion de Anticipos y avances.</t>
  </si>
  <si>
    <t>Modificacion del procedimiento de prácticas académicas</t>
  </si>
  <si>
    <t>Documento aprobado</t>
  </si>
  <si>
    <t>No se ha realizado la actividad, el proceso manifiesta que es responsabilidad de vicerectoria Académica</t>
  </si>
  <si>
    <t xml:space="preserve">Socializar el procedimiento de practicas academicas a los docentes y conductores. </t>
  </si>
  <si>
    <t>Lista de asistencia</t>
  </si>
  <si>
    <t>Se incumple el procedimiento legalizacion de Anticipos y Cajas Menores.
Al revisar las  carpetas de legalizacion de anticipos y cajas menores  se evidenció que las facturas de legalizacion de combustible por valor de $ 440,000 y $ 350,000 de la estacion india catalina son copias   de anticipo  a nombre de hernan del castillo practica academica realizada a la ciudad de cartagena.</t>
  </si>
  <si>
    <t>Establecer una herramienta y un instructivo que permita simplificar la legalizacion de los recursos asignados a las prácticas académicas</t>
  </si>
  <si>
    <t>Instructivo y formato</t>
  </si>
  <si>
    <t>Socialización de la herramienta, el instructivo de legalización y  el procedimiento de prácticas académicas a las partes interesadas</t>
  </si>
  <si>
    <t xml:space="preserve">Para el seguimiento y control de la legalización de practicas academicas se establecio que el grupo de cartera revisara las solicitudes de practicas con el fin de evaluar si no tienen alguna legalizacion pendiente. Esto se aplico para los giros que se hicieron en los primeros meses del año.  </t>
  </si>
  <si>
    <t>Luis Diaz Vargas, Jefe Division Financiera.  - Carlos Bula Murillo Gestor Documental</t>
  </si>
  <si>
    <t xml:space="preserve">Felix Burgos Burgos </t>
  </si>
  <si>
    <t>Internacionalización</t>
  </si>
  <si>
    <t>Unidad de Relaciones Internacionales</t>
  </si>
  <si>
    <t>Oportunidad de Mejora: El seguimiento al Plan Estratégico de Internacionalización y su articulación con el POA del proceso.</t>
  </si>
  <si>
    <t>03 de septiembre 2018</t>
  </si>
  <si>
    <t xml:space="preserve">Realizar seguimiento a las actividades establecidas en el Plan Estratégico de Internacionalización 2016-2018 </t>
  </si>
  <si>
    <t xml:space="preserve">Seguimientos realizados </t>
  </si>
  <si>
    <t>Se evidencia que el proceso realizó seguimiento a las actividades establecidad en el plan estrategico de Internacionalización 2016-2018, lo cual se observa en correo electrónico enviado a la Uidad de Control Interno el 9 y 14 de agosto de 2019.</t>
  </si>
  <si>
    <t xml:space="preserve">Elaborar un informe de evaluación al Plan Estratégico de Internacionalización 2016-2018 </t>
  </si>
  <si>
    <t>Se evidencia Informe de evaluación al Plan Estrategico de Internacionalización 2016-2018, el cual fue enviado a la Unidad de Control Interno a través de correo electrónico el 14 de agosto de 2019.</t>
  </si>
  <si>
    <t>Coordinar la elaboración  y aprobación del nuevo Plan Estratégico de Internacionalización</t>
  </si>
  <si>
    <t>Plan aprobado</t>
  </si>
  <si>
    <t xml:space="preserve"> 
Se evidencia a través de correo electrónico, que el Plan Estratégico de Internacionalización fue enviado para su aprobación a Consejo Académico el día 28 de febrero de 2020 y en una segunda ocasión el 05 de mayo de 2020. Estamos a la espera de aprobación.</t>
  </si>
  <si>
    <t>Socializar el Plan Estratégico de Internacionalización ante las partes interesadas</t>
  </si>
  <si>
    <t>Plan socializado</t>
  </si>
  <si>
    <t xml:space="preserve">Se evidencia que no  se ha ejecutado, esta actividad, ya que va en conexión con la aprobación del Plan por parte del Consejo académico..  </t>
  </si>
  <si>
    <t>FECHA DE EVALUACIÓN:</t>
  </si>
  <si>
    <t>MANUEL ANTONIO ANICHIARICO BUELVAS</t>
  </si>
  <si>
    <t>ARNEYDA HERNANDEZ BALLESTEROS</t>
  </si>
  <si>
    <t>Investigación</t>
  </si>
  <si>
    <t xml:space="preserve">Los indicadores: "Variación de Artículos publicados en Revistas indexadas reconocidas por Colciencias"  y "Número de Patentes y Obras Artísticas de la institución", no alcanzo la meta satisfactoria establecida en la respectiva ficha tecnica de cada indicador. </t>
  </si>
  <si>
    <t>29 de Mayo de 2019</t>
  </si>
  <si>
    <t>No se tenia contemplado la financiación y estimulo a docentes para la generación de productos de nuevos conocimientos</t>
  </si>
  <si>
    <t>Formular el  proyecto de Modificación del Plan individual de trabajo donde se contemple asignación de  horas para realizar  productos de nuevo conocimiento por año (artículos científicos en revistas indexadas, libros de investigación, capítulos de libro de investigación, obras artísticas, patentes, variedades vegetal, variedad biológica o animal)</t>
  </si>
  <si>
    <t>Proyecto de acuerdo elaborado</t>
  </si>
  <si>
    <t>Se evidencia formulación de Proyecto de Modificación del Plan Individual de Trabajo.</t>
  </si>
  <si>
    <t>Aprobar el  proyecto de Modificación del Plan individual de trabajo donde se contemple asignación de  horas para realizar  productos de nuevo conocimiento por año (artículos científicos en revistas indexadas, libros de investigación, capítulos de libro de investigación, obras artísticas, patentes, variedades vegetal, variedad biológica o animal)</t>
  </si>
  <si>
    <t>Proyecto de acuerdo aprobado por Consejo Academico</t>
  </si>
  <si>
    <t>Se evidencia Acta N° 23 de fecha 23 de Mayo, Acta N° 26 de fecha 6 de Junio  y Acta N° 23 de fecha 23 de mayo de 2019, en las cuales se evidencia debate por parte del consejo académico, se mando a comisión para socialización con la base (Docentes de cada programa).</t>
  </si>
  <si>
    <t>Socializar a través de correo masivos a los docentes del  proyecto de Modificación del Plan individual de trabajo donde se contemple asignación de  horas para realizar  productos de nuevo conocimiento por año (artículos científicos en revistas indexadas, libros de investigación, capítulos de libro de investigación, obras artísticas, patentes, variedades vegetal, variedad biológica o animal)</t>
  </si>
  <si>
    <t xml:space="preserve">Socialización realizada </t>
  </si>
  <si>
    <t>No se evidencia la ejecución de esta actividad.</t>
  </si>
  <si>
    <t>No conformidad: No se asegura el cumplimiento de los requisitos legales y reglamentarios aplicables a los productos y servicios, incumpliendo lo establecido en el numeral 8.2.3.1. d)
Evidencia 1:No se evidencia que el proceso cumpla con la reglamentación establecida en el Acuerdo No.022 de 21 de febrero de 2018  Capitulo II con lo relacionado a la aprobación del Plan Institucional de Investigación.
Evidencia 2: No se evidencia que el proceso cumpla con el Estatuto General y Acuerdo No.022 de 21 de febrero de 2018. La instancia de nivel superior (Consejo Académico y Vicerrectoria de Investigación y Extensión) en lo referente a la realización de la convocatoria interna de proyectos de investigación para 2018.</t>
  </si>
  <si>
    <t>17 de septiembre 2019</t>
  </si>
  <si>
    <t>Reanudar la convocatoria de investigación, suspendida mediante Acuerdo de Consejo académico No. 134 de 2018</t>
  </si>
  <si>
    <t>Consejo Académico</t>
  </si>
  <si>
    <t xml:space="preserve">La herramienta de planeación en materia de Investigación establecida en el Estatuto de Investigación aprobado mediante Acuerdo 022 de 2018, no esta articulada a los nuevos lineamientos de Acreditación Institucional
La situación del paro de los estudiantes a nivel nacional de las instituciones de educacion superior en el segundo periordo 2018, no garantizan el desarrollo y ejecución de los proyectos de investigación </t>
  </si>
  <si>
    <t xml:space="preserve">Coordinar la elaboración y aprobación del proyecto de modificación del Capitulo II del Estatuto de Investigación, referente al Plan Institucional de Investigación, con el Comité Central de Investigación. </t>
  </si>
  <si>
    <t>Proyecto de proyecto de modificación del Capitulo II del Estatuto de Investigación aprobado por esta instancia</t>
  </si>
  <si>
    <t>Se realizo el poryecto de modificación del Capitulo II del Estatuto de Investigación, referente al Plan Institucional de Investigación, con el Comité Central de Investigación el 29 de mayo de 2020</t>
  </si>
  <si>
    <t>Presentar el proyecto de modificación del Capitulo II del Estatuto de Investigación, referente al Plan Institucional de Investigación, ante Consejo Académico para su revisión y visto bueno</t>
  </si>
  <si>
    <t>Proyecto de modificación del Capitulo II del Estatuto de Investigación radicado ante esta instancia</t>
  </si>
  <si>
    <t xml:space="preserve">Establecer en el procedimiento para la financiación de convocatorias internas de investigación, que los mecanismos de clasificacion o seleccion de proyectos, seran establecidos con base los criterios establecidos en cada convocatoria </t>
  </si>
  <si>
    <t xml:space="preserve"> Procedimiento modificado</t>
  </si>
  <si>
    <t>Se evidencia la modificación del procedimiento.</t>
  </si>
  <si>
    <t>Solicitar la aprobación y publicación del procedimiento en el SIGEC</t>
  </si>
  <si>
    <t>Solicitud realizada</t>
  </si>
  <si>
    <t>Se evidencia solicitud a través del aplicativo SIGEC realizada a calidad el 04 de Diciembre de 2019.</t>
  </si>
  <si>
    <t xml:space="preserve"> No conformidad: El proceso no controla la idoneidad de la información documentada, incumpliendo lo establecido en el numeral 7.5.3.1
Evidencia: No se evidencia que en las actas del comité central de investigación No. 05 del 15-06-2018, No.  06 del 13 -08-2018, No.07 del 14-09-2018 y No.08 del 22-10-2018; registren la asistencia o motivo de inasistencia del representante de los semilleros de investigación de la universidad, como lo establece para tal fin el Acuerdo 022  Capitulo IV  Art. 20.</t>
  </si>
  <si>
    <t xml:space="preserve">No se ha elegido el representante de los semilleros de investigación ante el Comité Central de Investigación
</t>
  </si>
  <si>
    <t>Solicitar a Secretaria General la realización de la convocatoria para eleccción del representante de los semilleros de investigación ante el Comité Central de Investigación</t>
  </si>
  <si>
    <t xml:space="preserve">Solicitud realizada </t>
  </si>
  <si>
    <t xml:space="preserve">Se evidencia solicitud realizada a secretaria general por medio de comunicación interna de fecha 25 de Julio de 2019 con el fin de realizar la Convocatoria para la Elección del representante de los Semilleros de Investigación ante el Comité Central de Investigación </t>
  </si>
  <si>
    <t xml:space="preserve">Realizar la Convocatoria para la Elección del representante de los Semilleros de Investigación ante el Comité Central de Investigación </t>
  </si>
  <si>
    <t>Convocatoria realizada</t>
  </si>
  <si>
    <t xml:space="preserve">Se evidencia solicitud realizada a secretaria general para realizar la Convocatoria para la Elección del representante de los Semilleros de Investigación ante el Comité Central de Investigación </t>
  </si>
  <si>
    <t>Convocar y presentar al representante de los semilleros de investigación ante el Comité Central de Investigación, como el nuevo mienbro de este comité</t>
  </si>
  <si>
    <t>Acta de Comité donde se presente al representante</t>
  </si>
  <si>
    <t>19 de junio 2020</t>
  </si>
  <si>
    <t>PLANEACIÓN INSTITUCIONAL</t>
  </si>
  <si>
    <t>Unidad de Planeación y Desarrollo</t>
  </si>
  <si>
    <t>El proceso de Planeación Institucional,  no considera  la disponibilidad de los recursos  al planificar los cambios
Asegurarse que se le haga seguimiento a las percepciones de todos los servicios que ofrece el proceso</t>
  </si>
  <si>
    <t>No existe una metodología que integre el Procedimiento PGDC-008 Gestión de Cambios del Sistema Integral de Gestión de la Calidad con el Procedimiento PPIN-003 Banco de Proyectos, en lo referente a cambios e impactos en el marco de la ejecución de proyectos de inversión</t>
  </si>
  <si>
    <t>Modificar el Procedimiento PPIN-003 Banco de Proyectos, de tal manera que se contemplen actividades relacionadas con la identificación de la necesidad de abordar el proyecto mediante planes de gestión del cambio</t>
  </si>
  <si>
    <t>Procedimiento ajustado</t>
  </si>
  <si>
    <r>
      <t xml:space="preserve">El procedimiento fue actualizado el 19 de noviembre de 2019 y se encuentra publicado en la página web.
</t>
    </r>
    <r>
      <rPr>
        <b/>
        <sz val="9"/>
        <color rgb="FF000000"/>
        <rFont val="Tahoma"/>
        <family val="2"/>
      </rPr>
      <t>Ver http://docsigec.www3.unicordoba.edu.co/web/uploads/documentos/PPIN-003_BancodeProyectos_7.pdf</t>
    </r>
  </si>
  <si>
    <t>Socializar el Procedimiento ante las partes interesadas</t>
  </si>
  <si>
    <t>% de partes interesadas a las que se socializó el procedimiento</t>
  </si>
  <si>
    <t>El procedimiento fue socializado en reunión de gestores y profesionales de las facultades del viernes 22 de Noviembre de 2019.</t>
  </si>
  <si>
    <t>Ajustar la encuesta de satisfacción de Planeación Institucional con el fin de medir la percepción que tienen los clientes frente a la formulación de proyectos de inversión y la planificación de sus impactos en la operación de las dependencias, así como la percepción referente a los servicios prestados por la Sección de Sistemas de información y Estadísticas</t>
  </si>
  <si>
    <t>Encuesta ajustada</t>
  </si>
  <si>
    <t xml:space="preserve">La encuesta fue socializada en reunión de 25 de noviembre de 2019  con profesionales de Planeamiento Físico, fue aprobada para su uso.
Inicialmente se aplicará para validar su validez y luego se ajustará, de ser necesario.
</t>
  </si>
  <si>
    <t>Aplicar la encuesta de satisfacción para la formulación de proyectos de inversión y la planificación de sus impactos en la operación de las dependencias</t>
  </si>
  <si>
    <t>% de ejecución de encuestas de satisfacción</t>
  </si>
  <si>
    <t>Se realizó la encuesta durante 2019-2 y 2020-1</t>
  </si>
  <si>
    <t>Analizar los resultados del indicador de satisfacción de Planeación Institucional en lo referente a formulación de proyectos de inversión y la planificación de sus impactos en la operación de las dependencias</t>
  </si>
  <si>
    <t>Análisis de resultados de encuesta realizados</t>
  </si>
  <si>
    <t>Se elaboró el informe correspondiente 2019-2</t>
  </si>
  <si>
    <t xml:space="preserve">
10 de junio de 2020</t>
  </si>
  <si>
    <t xml:space="preserve">
CESAR REYES NEGRETE</t>
  </si>
  <si>
    <t xml:space="preserve">
ANGÉLICA MORALES MORALES</t>
  </si>
  <si>
    <t>PROCESO</t>
  </si>
  <si>
    <t>GESTIÓN DE ADQUISICIÓN Y CONTRATACIÓN</t>
  </si>
  <si>
    <t>División de Adquisición y Contratación</t>
  </si>
  <si>
    <t>Que los soportes de los comprobantes de pago, de cada contrato se encuentren archivados en la respectiva carpeta del contrato</t>
  </si>
  <si>
    <t>19 de octubre de 2018</t>
  </si>
  <si>
    <t>Solicitar capacitación a la Sección de Sistemas de Información y Telemática, para consulta y reporte de comprobantes de pago de contratos u ordenes en el módulo de contratación y compras del software administrativo y financiero de la Institución.</t>
  </si>
  <si>
    <t>Solicitud de Capacitación</t>
  </si>
  <si>
    <t>El proceso informa que solicitó por mesa de ayuda la capacitación a la sección de sistemas de información y telematica para consulta y reporte de comprobantes de pago de contratos u ordenes en el modulo de contratación y compras del software administrativo y financiero de la institución, la capacitación se realizó el 07 de Noviembre y el 16 de Noviembre de 2018, se evidencia en listado de asistencia.</t>
  </si>
  <si>
    <t>Imprimir comprobantes de pago de contratos u órdenes</t>
  </si>
  <si>
    <t>Comprobantes de pago impresos y anexados a la carpeta de contrato u orden</t>
  </si>
  <si>
    <t>Se evidencia que se esta dando cumplimiento a esta actividad, lo cual se puede observar en los comprobantes de pago #109 y 5,768 del contrato N°480 de 2018 y el #6,611 del contrato N°535-2019.
La actividad no se  ha ejecutado al 100% por inconvenientes en las consultas de egresos por No. de contrato, para lo cual se han realizado reuniones con Planeación, el área financiera y la sección de sistemas para requerir al proveedor verificación y ajustes al software SEVEN.</t>
  </si>
  <si>
    <t>12 de Junio de 2020</t>
  </si>
  <si>
    <t>Estela Barco Jarava</t>
  </si>
  <si>
    <t>Aura Castro Ramos</t>
  </si>
  <si>
    <t>SEGUIMIENTO Y CONTROL</t>
  </si>
  <si>
    <t xml:space="preserve">Unidad de Control Interno </t>
  </si>
  <si>
    <t>La organización no analiza y evalua los datos y la información apropiada que surgen por el seguimiento y medición de los procesos, para evaluar: el desempeño y eficia del SGC, si lo planificado se ha implementado de manera eficaz, y  la eficacia de las acciones tomadas para abordar los riesgos y oportunidades.
• Aunque se evidencia que en la actualidad la institución realiza el seguimiento al cumplimiento de las acciones propuestas para abordar los riesgos y oportunidades, no se evidencia que la metodología de gestión de los riesgos permita evaluar si dichas acciones fueron eficaces para abordar los riesgos de acuerdo al impacto potencial en la conformidad de los servicios. No se reevalua el riesgo o se calcula el riesgo residual, posterior a la implementación de las acciones.</t>
  </si>
  <si>
    <t>22 de octubre 2018</t>
  </si>
  <si>
    <t>No se realizó un adecuado análisis de hacia donde queríamos llegar con el seguimiento y solo se centró en cumplir con lo dispuesto en la norma ISO9001:2015.</t>
  </si>
  <si>
    <t>Revisar en equipo de mejoramiento la guía del DAFP actualizada a 2018 para determinar los ajustes a realizar teniendo en cuenta lo que se pretende obtener una vez realizado el seguimiento.</t>
  </si>
  <si>
    <t>1acta</t>
  </si>
  <si>
    <t>Acta de equipo de mejoramiento</t>
  </si>
  <si>
    <t>7 de noviembre de 2018</t>
  </si>
  <si>
    <t>9 de noviembre de 2018</t>
  </si>
  <si>
    <t>Cumpliminto evidenciado en Acta de equipo de mejoraiento # 011 del 22 de noviembre de 2018.</t>
  </si>
  <si>
    <t>Modificar el formato mapa de riesgos atendiendo las nuevas disposiciones del DAFP y agregando una nueva columna de indicador para medir la eficacia de las acciones propuestas sobre la materialización del riesgo.
Dejar en el formato mapa de riesgos a publicar tanto la zona de riesgos inherente como la zona de riesgos residual.</t>
  </si>
  <si>
    <t>1 formato actualizado</t>
  </si>
  <si>
    <t>Formato Mapa de Riesgos actualizado y publicado</t>
  </si>
  <si>
    <t>14 de noviembre de 2018</t>
  </si>
  <si>
    <t>21 de noviembre de 2018</t>
  </si>
  <si>
    <t xml:space="preserve">EL formato ha sido actualizado, faltando su publicación. </t>
  </si>
  <si>
    <t>Socializar el nuevo formato a lideres y gestores de proceso.</t>
  </si>
  <si>
    <t>18 procesos</t>
  </si>
  <si>
    <t>No. de procesos asistentes a socialización/ No. de procesos del SIGEC.</t>
  </si>
  <si>
    <t>27 de noviembre 2018</t>
  </si>
  <si>
    <t>29 de noviembre 2018</t>
  </si>
  <si>
    <t xml:space="preserve">Formato socializado a los gestores de calidad en reunión realizada el 16 de julio del presente año. </t>
  </si>
  <si>
    <t>Gestionar la actualización de los mapas de riesgos a razón del nuevo formato.</t>
  </si>
  <si>
    <t>18 mapas de riesgo actualizados</t>
  </si>
  <si>
    <t>No. Mapas de riesgo actualizado/No de procesos del SIGEC</t>
  </si>
  <si>
    <t>15 de febrero de  2019</t>
  </si>
  <si>
    <t>Se está a la espera de la aprobación y publicación del formato actualizado.</t>
  </si>
  <si>
    <t>Realizar seguimiento a los mapas de riesgo.</t>
  </si>
  <si>
    <t>1 seguimiento por proceso</t>
  </si>
  <si>
    <t>No. de procesos a los que se les hizo seguimiento/No. De procesos del SIGEC</t>
  </si>
  <si>
    <t>12 de Marzo 2019</t>
  </si>
  <si>
    <t>18 de Marzo 2019</t>
  </si>
  <si>
    <t xml:space="preserve">Se realizó el primer seguimiento a los mapas de riesgo correspondiente al I de 2019, sin embargo no fue a los mapas de riesgo actualizado. </t>
  </si>
  <si>
    <t>Solicitar plan de mejoramiento y revisión y/o ajuste del mapa de riesgos a los procesos donde se evidencia la materialización del riesgo.</t>
  </si>
  <si>
    <t xml:space="preserve">1 solicitud enviada </t>
  </si>
  <si>
    <t>No. de procesos a los que se solicitó plan de mejora y revisar el mapa de riesgos/ No.de procesos a los que se les materializó uno o más riesgos</t>
  </si>
  <si>
    <t>26 de marzo de 2019</t>
  </si>
  <si>
    <t>29 de marzo de 2019</t>
  </si>
  <si>
    <t xml:space="preserve">No hubo la necesidad de enviar la solicitud. </t>
  </si>
  <si>
    <t>Fortalecer la implementación del Procedimiento de Salidas No Conformes, con el fin de asegurar su apropiación y desarrollo en cuanto a la identificación, reporte, y gestión de los SNC detectados en todos los procesos, pero en especial en los misionales, para garantizar la mejora continua del SGC y los procesos. Incluir su análisis de recurrencia.</t>
  </si>
  <si>
    <t xml:space="preserve">Socializar el procedimiento salidas no conformes en las facultades. </t>
  </si>
  <si>
    <t xml:space="preserve">7 facultades socializadas </t>
  </si>
  <si>
    <t>No. de facultades socializadas/ Total de facultades</t>
  </si>
  <si>
    <t>10 de junio de 2020</t>
  </si>
  <si>
    <t>AURA MARIA CASTRO RAMOS</t>
  </si>
  <si>
    <t>HILDA ALVAREZ</t>
  </si>
  <si>
    <t>Se envió solicitud de espacio a las facultades el mes de febrero,  y concedieron el espacio  la Facultad de ciencias Basicas y en la facultad de ciencias de la salud el dia 3 de marzo de 2020, las demas facultades quedaron en informar la fecha y por la situación de aislamiento no fue posible continuar con la socialización, no se considero hacerlo virtual por ser un tema un poco pesado, pero se retomará la actividad para el segundo semestre.</t>
  </si>
  <si>
    <t>Infraestructura</t>
  </si>
  <si>
    <t>División de Apoyo Logístico</t>
  </si>
  <si>
    <t>Se insiste en culminar y entregar el inventario completo y actualizado de los equipos y herramientas con los que cuenta la institución, para que le proceso de mantenimiento pueda realizar la actualización de todas las respectivas hojas de vida</t>
  </si>
  <si>
    <t xml:space="preserve">100% de los inventarios  de equipos y herramientas actualizados por campus, zonas, bloques y dependencias </t>
  </si>
  <si>
    <t>Reunión con el proceso de financiera - Almacén 
- Para socialización de procedimientos PINF-005 y PINF-008
-Definir responsabilidades en la elaboración de hojas de vida de los equipos 
- Definir metodología para actualización de hojas de vida</t>
  </si>
  <si>
    <t>1 Acta de reunión</t>
  </si>
  <si>
    <t xml:space="preserve">Elaboración y entrega de lista de herramientas y equipos de la División de Apoyo Logístico (mantenimiento) a almacen para ser incluídos en inventarios </t>
  </si>
  <si>
    <t>1 Acta de entrega de invetario</t>
  </si>
  <si>
    <t xml:space="preserve">Entrega por parte de almacen de inventarios completos y actualizados por campus, zonas, bloques y dependencias </t>
  </si>
  <si>
    <t>Habilitación aplicativo del software SEVEN (consulta inventarios - mantenimiento)</t>
  </si>
  <si>
    <t>Capacitación a funcionarios de Apoyo logístico en manejo de SEVEN modulos (consulta inventarios - mantenimiento)</t>
  </si>
  <si>
    <t>1 Acta de capacitación</t>
  </si>
  <si>
    <t>Actualización de hojas de vida de equipos (mantenimientos)</t>
  </si>
  <si>
    <t>Actualización de mantenimientos en SEVEN</t>
  </si>
  <si>
    <t>No se habia realizado debido a q se estaba ajustando el procedimiento.</t>
  </si>
  <si>
    <t>Se evidencia acta número 002 de fecha 17 de febrero de 2020.</t>
  </si>
  <si>
    <t>Esta actividad esta programada para ser ejecutada en el mes de Noviembre de 2020.</t>
  </si>
  <si>
    <t>12 de junio de 2020</t>
  </si>
  <si>
    <t>Carlos Mora Pacheco</t>
  </si>
  <si>
    <t>Felix Burgos Burgos</t>
  </si>
  <si>
    <r>
      <t xml:space="preserve">CÓDIGO: </t>
    </r>
    <r>
      <rPr>
        <sz val="9"/>
        <rFont val="Benguiat Bk BT"/>
        <family val="1"/>
      </rPr>
      <t>FMAM</t>
    </r>
    <r>
      <rPr>
        <sz val="9"/>
        <rFont val="Benguiat Bk BT"/>
        <family val="1"/>
      </rPr>
      <t>-021</t>
    </r>
    <r>
      <rPr>
        <b/>
        <sz val="9"/>
        <rFont val="Benguiat Bk BT"/>
        <family val="1"/>
      </rPr>
      <t xml:space="preserve">
VERSIÓN: </t>
    </r>
    <r>
      <rPr>
        <sz val="9"/>
        <rFont val="Benguiat Bk BT"/>
        <family val="1"/>
      </rPr>
      <t>01</t>
    </r>
    <r>
      <rPr>
        <b/>
        <sz val="9"/>
        <rFont val="Benguiat Bk BT"/>
        <family val="1"/>
      </rPr>
      <t xml:space="preserve">
EMISIÓN: </t>
    </r>
    <r>
      <rPr>
        <sz val="9"/>
        <rFont val="Benguiat Bk BT"/>
        <family val="1"/>
      </rPr>
      <t>05/10/2015</t>
    </r>
    <r>
      <rPr>
        <b/>
        <sz val="9"/>
        <rFont val="Benguiat Bk BT"/>
        <family val="1"/>
      </rPr>
      <t xml:space="preserve">
PÁGINA </t>
    </r>
    <r>
      <rPr>
        <sz val="9"/>
        <rFont val="Benguiat Bk BT"/>
        <family val="1"/>
      </rPr>
      <t>1 de 1</t>
    </r>
  </si>
  <si>
    <t>Gestión y Desarrollo del Talento Humano</t>
  </si>
  <si>
    <t>División de Talento Humano</t>
  </si>
  <si>
    <t>NO CONFORMIDAD /OBSERVACIÓN</t>
  </si>
  <si>
    <t xml:space="preserve">*La entidad no tiene capacidad para cumplir  con los requisitos definidos </t>
  </si>
  <si>
    <t>04/05/2017
16/08/2019</t>
  </si>
  <si>
    <t>Auditoria Inerna de Calidad</t>
  </si>
  <si>
    <t>Asignar un profesional idoneo en el área de sistemas para la gestión de los sistemas de información.</t>
  </si>
  <si>
    <t>proporcionar recurso humano cualificado para alimentar los sistemas de informacion del SIGEP</t>
  </si>
  <si>
    <t>Funcionario asignado</t>
  </si>
  <si>
    <t>Asignación de Usuario para el cargue de la información</t>
  </si>
  <si>
    <t>Las funciones estan asignadas al Ingeniero Carlos Bula, en espera de directirces del SIGEP.</t>
  </si>
  <si>
    <t xml:space="preserve"> cargue datos al   sistema de información SIGEP</t>
  </si>
  <si>
    <t>datos ingresados</t>
  </si>
  <si>
    <t>100%  datos igresados</t>
  </si>
  <si>
    <t>16 de junio de 2020</t>
  </si>
  <si>
    <t>Elias Aruachan Torres</t>
  </si>
  <si>
    <t xml:space="preserve">División de Talento Humano </t>
  </si>
  <si>
    <t>21 DE AGOSTO 2019</t>
  </si>
  <si>
    <t>una Reunión realizada</t>
  </si>
  <si>
    <t xml:space="preserve"> No se está evaluando la eficacia de las acciones tomadas para que los servidores públicos adquieran las competencias necesarias.     Se realizó capacitación en bases de datos a los docentes del programa de Licenciatura en Ciencias Sociales los dias 11/03/2018 y 18/03/2018 para las cuales no existe evaluación del impacto porque solo tenia una intensidad horaria de 2 horas.</t>
  </si>
  <si>
    <t>Procedimiento no contempla la evaluación de todas las actividades frormativas</t>
  </si>
  <si>
    <t>Realizar reunión con el equipo de mejora para revisar la documentación actual que se tiene para la medición del impacto de las actividades formativas y que deben  ser ajustados.</t>
  </si>
  <si>
    <t>No de reuniones</t>
  </si>
  <si>
    <t xml:space="preserve">Se evidencia acta N°20 de fecha 13 de Agosto de 2019 en donde uno de los temas tratados fue la creación del procedimiento Capacitación de servidores públicos, el cual fue aprobado y públicado el 08 de Octubre de 2019 en la página Web de la Institución, en el paso 13 del procedimiento esta definida la forma en la que se va a medir el impacto de las actividades formativas. </t>
  </si>
  <si>
    <t xml:space="preserve"> Identificar y definir metodología para la evaluación de la eficacia de las formaciones</t>
  </si>
  <si>
    <t xml:space="preserve">1 Metodología </t>
  </si>
  <si>
    <t>Metodologia definida</t>
  </si>
  <si>
    <t xml:space="preserve">Se evidencia procedimiento Capacitación de servidores públicos, el cual fue aprobado y públicado el 08 de Octubre de 2019 en la página Web de la Institución, en el paso 13 del procedimiento esta definida la forma en la que se va a medir el impacto de las actividades formativas. </t>
  </si>
  <si>
    <t>Socializar la  metodología para la evaluación de la eficacia de las formaciones a las partes interesadas</t>
  </si>
  <si>
    <t>Socializar la  metodología para la evaluación de la eficacia de las formaciones</t>
  </si>
  <si>
    <t>una socilización realizada</t>
  </si>
  <si>
    <t>No de socializaciones  realizadas/No de socializaciones programadas</t>
  </si>
  <si>
    <t>Se evidencia en acta de equipo de mejoramiento N° 31 de fecha 7 de Noviembre de 2019 en la cual se socializó la  metodología para la evaluación de la eficacia de las formaciones a las partes interesadas</t>
  </si>
  <si>
    <t>Implementar la metodología definida por el proceso.</t>
  </si>
  <si>
    <t>metodología implementada</t>
  </si>
  <si>
    <t>Se evidencia informe de evaluaciones de impacto del año 2019, acorde a lo establecido el procedimiento de capacitación de servidores publicos. De igual manera se evidencia inclusión de una columna destinada a la medición del impacto de actividades compartidas en el cronograma de actividades de capacitación 2020. Es de notar que dicho cronograma se encuentra en revisión y ajuste acorde a actividad de Gestión del Cambio por la pandemia.</t>
  </si>
  <si>
    <t>Realizar reunión de seguimiento trimestral para evaluar la efectividad de la metodología definida e implementada</t>
  </si>
  <si>
    <t>2 Reuniones de seguimiento</t>
  </si>
  <si>
    <t>No de reuniones de seguimiento</t>
  </si>
  <si>
    <t>El seguimiento a la medición de impacto de las capacitaciones se realizará en el mes de julio para evaluar el impacto de las actividades formativas que se han ejecutado en el primer semestre de2020.
Es de notar que dicho cronograma se encuentra en revisión y ajuste acorde a actividad de Gestión del Cambio por la pandemia.</t>
  </si>
  <si>
    <t>Gestión del Talento Humano</t>
  </si>
  <si>
    <t>Aunque se cuenta señalización, no se cuenta con planos de emergencias en la Institución</t>
  </si>
  <si>
    <t>1  plano de emergencia elaborado y divulgado</t>
  </si>
  <si>
    <t>Plano de emergencia elaborado y divulgado</t>
  </si>
  <si>
    <t>Realizar mesa de trabajo entre los procesos de Planeación Institucional, Infraestructura y Gestión y Desarrollo del Talento Humano, para verificar la información pertinente( rutas de de evacuacion, puntos de encuentro, entre otros) así como los recursos tecnologicos disponibles( Software a los que haya lugar)  que se deben tener en cuenta para la elaboración de los planos de emergencia requeridos por la institución</t>
  </si>
  <si>
    <t>Acta de reunión, listado de asistencia</t>
  </si>
  <si>
    <t>Diseñar y elaborar, con acompañamiento del proceso de Planeación Institucional en el software definido, los planos de emergencia de la institución</t>
  </si>
  <si>
    <t>Planos de emergencia elaborados</t>
  </si>
  <si>
    <t>Esta proyectada para segundo semestre del año 2020.</t>
  </si>
  <si>
    <t xml:space="preserve">Incluir como anexos del Plan de  prevención, preparación y respuesta ante emergencias los planos de emergencia elaborados </t>
  </si>
  <si>
    <t>Anexo incluido al  Plan de  prevención, preparación y respuesta ante emergencias de la institución</t>
  </si>
  <si>
    <t>Divulgar mediante correo institucional a la comunidad universitaria los planos de emergencia elaborados</t>
  </si>
  <si>
    <t>Correos institucionales enviados</t>
  </si>
  <si>
    <t>16 de Junio de 2020</t>
  </si>
  <si>
    <t>• COPASST:
La adecuación del plan de trabajo del COPASST, para que se indique con precisión la programación de las inspecciones que realizara el COPASST. Actualmente en el plan de trabajo se indica para la actividad de inspecciones que se realizaran “Cuando se requiera”, lo que no permite tener una planificación, que permita realizar seguimiento al cumplimiento de la actividad.
Se sugiere que a partir de los hallazgos se generen planes de acción con responsable y fechas, de tal manera que se facilite el seguimiento. Pues a la fecha se evidencian acciones sin realizar, de la inspección de Agosto de 2017.
Definir disposiciones relacionadas con la participación del COPASST en las gestiones del cambio.
No se ha realizado divulgación de los resultados de las mediciones ambientales al COPASST, pues no se tienen mediciones ambientales.</t>
  </si>
  <si>
    <t>27 de julio 2018</t>
  </si>
  <si>
    <t>Anexar al plan de trabajo la programación de las inspecciones en las cuales participará el COPASST durante el segundo semestre de 2018, esta programación se trabajará  como apoyo a los sistemas de vigilancia (Riesgo Biologico y Osteomuscular; de igual forma inspecciones de seguridad con el area de infraestructura.)</t>
  </si>
  <si>
    <t>un plan de trabajo</t>
  </si>
  <si>
    <t>Se evidencia esta actividad en el plan de trabajo.</t>
  </si>
  <si>
    <t xml:space="preserve">Realizar acompañamiento en las inspecciones. </t>
  </si>
  <si>
    <t>Registros de evidencias</t>
  </si>
  <si>
    <t>Se evidencia en registros fotograficos el acompañamiento realizado a las inspecciones: Edificio Bioclimático.</t>
  </si>
  <si>
    <t xml:space="preserve">Realizar plan de accion luego de realizar las inspecciones realizadas con el fin de establecer actividades a realizar, fechas de ejecución y responsables; estas actividades se le hará seguimiento en el COPASST para garantizar el cumplimiento </t>
  </si>
  <si>
    <t>Actas</t>
  </si>
  <si>
    <t>Se evidencia la elaboración del plan de trabajo acorde a la normatividad y se videncia acta N° 003 de fecha 21 de marzo de 2019 donde se hace la revisión y aprobación del plan de trabajo acorde a unas fechas estipuladas.</t>
  </si>
  <si>
    <t>Solicitar a la Unidad de Planeación institucional que incluya dentro de los comites de obra la presencia de un representante del COPASST</t>
  </si>
  <si>
    <t>comunicado</t>
  </si>
  <si>
    <t>En reunión del COPASST, se establece que no se requiere realizar esta solicitud, dado que la responsable del SG-SST asiste a los comites. 
Actividad evidenciada en acta de reunión de copasst N° 5 del 28/08/2018.</t>
  </si>
  <si>
    <t>Solicitar a la resposanble de  SST la divulgación de los resultados de las mediciones ambientales toda vez estan seas realizadas ya que aun se encuentra en elaboración el sistema de vigilancia para riesgo quimico el cual contempla dichas mediciones.</t>
  </si>
  <si>
    <t>oficio</t>
  </si>
  <si>
    <t>Oficio realizado</t>
  </si>
  <si>
    <t>Se recibieron los resultados de las mediciones ambientales realizadas a finales del 2019 en las areas requeridas, sin embargo es necesario hacer una verificación con los directivos de las areas medidas previamente a su socialización, esta verificación fue enviada mediante correo institucional en el mes de marzo, se cuentan con correos institucionales con respuestas de los jefes. Ver Anexo</t>
  </si>
  <si>
    <t>Seria conveniente la revisión y ajuste de las autoridades definidas dentro de la matriz de autoridades y responsabilidades ante el SIGEC, ya que las definidas se pueden llegar a confundir como responsabilidades, como es el caso de la autoridad definidas para el representante de la alta dirección ante el sigec, asesorar a la rectoría en la toma de decisiones para que se asegure la disponibilidad de recursos humanos, físicos y financieros que sean necesarios para el mantenimiento y mejoramiento del SIGEC.
Así mismo es conveniente el revisar sobre la autoridad de realizar seguimiento y evaluar el cumplimiento de dichas responsabilidades, según lo definido en el decreto 1072 del 2015.</t>
  </si>
  <si>
    <t>Convocar reuniones de trabajo con las partes interesadas (calidad, comunicaciones) para la revision y ajuste de la matriz de autoridades y responsabilidades ante el SIGEC</t>
  </si>
  <si>
    <t>Ajuste de la matriz.</t>
  </si>
  <si>
    <t>Acta de reunion con los ajustes a la matriz</t>
  </si>
  <si>
    <t>Se evidencia la actualización de la matriz de autoridades y responsabilidades SIGEC, esta fue publicada en la página web el dia 11 de diciembre de 2018, se evidencia acta de reunión N°011 de fecha 06 de diciembre de 2018.</t>
  </si>
  <si>
    <t>Socializar a los roles definidos en la matriz de autoridades y responsabilidades ante el sigec sus responsabilidades.</t>
  </si>
  <si>
    <t>una socializacion</t>
  </si>
  <si>
    <t>socializacion realizada</t>
  </si>
  <si>
    <t>Se evidencia la socialización en la reinducción el 24 y 26 de marzo.</t>
  </si>
  <si>
    <t>Incluir en el manual de funciones las responsabilidades ante  el SIGEC, de los diferentes roles definidos en la matriz</t>
  </si>
  <si>
    <t>Un manual de funcionciones</t>
  </si>
  <si>
    <t>Manual de funciones actualizado</t>
  </si>
  <si>
    <t>Dado que aún se encuentra en proceso de actualización de la planta de personal de la Universidad, esta actividad no obtiene avance de implementación.</t>
  </si>
  <si>
    <t>Se recomienda adecuar el manual de funciones asegurando la alineación del mismo a los lineamientos establecidos en la legislación colombiana, relacionados las responsabilidades de los trabajadores en el SGSST, términos y definiciones (aun se hace referencia a términos como ARP, COPASO, enfermedad profesional, Salud ocupacional, PSO, etc.).
Así mismo adecuar los requisitos de competencia, del perfil del cargo del responsable del SGSST, con los requerimientos de competencia indicados en la Resolución 1111 de 2017.</t>
  </si>
  <si>
    <t>Actualizacion del manual de funciones a las normatividades de SST</t>
  </si>
  <si>
    <t>manual actualizado</t>
  </si>
  <si>
    <t>Manual actualizado</t>
  </si>
  <si>
    <r>
      <rPr>
        <b/>
        <sz val="10"/>
        <rFont val="Tahoma"/>
        <family val="2"/>
      </rPr>
      <t xml:space="preserve">Actividades de Alto Riesgo </t>
    </r>
    <r>
      <rPr>
        <sz val="10"/>
        <rFont val="Tahoma"/>
        <family val="2"/>
      </rPr>
      <t xml:space="preserve">  -    No se pudo evidenciar que se les está cotizando el monto establecido en la norma al Sistema de Pensiones a los trabajadores de laboratorio y Clínica Veterinaria que realizan actividades descritas en el Decreto 2090 de 2003. </t>
    </r>
  </si>
  <si>
    <t>20 DE JULIO DE 2019</t>
  </si>
  <si>
    <t>Porque no se ha definido responsables de la realización de la evaluación de las historias laborales del personal identificado para la  aplicación de la pensión especial por actividades de alto riesgo</t>
  </si>
  <si>
    <t>Designar mediante comunicación escrita responsables del desarrollo de la cotización y aportes al Sistema de Pensiones por actividad de alto riesgo</t>
  </si>
  <si>
    <t>Una comunicación enviada</t>
  </si>
  <si>
    <t>No de comunicaciones enviadas</t>
  </si>
  <si>
    <t>Se evidencia comunicación interna DTH - 1419 en la cual se designa a los abogados responsables del desarrollo de la cotización y aportes al Sistema de Pensiones por actividad de alto riesgo</t>
  </si>
  <si>
    <t>Valorar las historias laborales del personal identificado por el sistema de vigilancia como alto riesgo</t>
  </si>
  <si>
    <t>Informe de resultados de la valoración de historias laborales del personal identificado</t>
  </si>
  <si>
    <t xml:space="preserve">Se evidencia que estan en el levantamiento de la información, a la fecha cuentan con el tiempo de servicio de los funcionarios de planta de la institución, se debe efectuar un analisis mes a mes de cada funcionario con el fin de determinar el IBC correspondiente para efecto de calcular el valor real de los aportes. </t>
  </si>
  <si>
    <t xml:space="preserve">Realizar cálculo actuarial de personal identificado para la  aplicación de la pensión especial por actividades de alto riesgo </t>
  </si>
  <si>
    <t>Calculo Actuarial realizado</t>
  </si>
  <si>
    <t>Realizar la liquidaciÓn y pago del reconocimiento pensional</t>
  </si>
  <si>
    <t>Pago realizado</t>
  </si>
  <si>
    <t>Liquidación realizada</t>
  </si>
  <si>
    <r>
      <rPr>
        <b/>
        <sz val="8"/>
        <rFont val="Tahoma"/>
        <family val="2"/>
      </rPr>
      <t>Rendición de cuentas-</t>
    </r>
    <r>
      <rPr>
        <sz val="8"/>
        <rFont val="Tahoma"/>
        <family val="2"/>
      </rPr>
      <t xml:space="preserve">         No se evidencia implementación de mecanismos  rendición de cuentas en seguridad y salud en el trabajo para Funcionarios Públicos  (docentes), </t>
    </r>
  </si>
  <si>
    <t>No se cuenta con un mecanismo que permita la rendición de cuentas en SST para funcionarios públicos docentes.</t>
  </si>
  <si>
    <t>Reuniones con el equipo de mejora de docencia para Establecer un mecanismo que permita la rendición de cuentas en SST para funcionarios públicos docentes.</t>
  </si>
  <si>
    <t>1 reunión</t>
  </si>
  <si>
    <t>No. de reuniones</t>
  </si>
  <si>
    <t>Se evidencia acta N° 21  de equipo de mejoramiento de fecha 15 de Agosto de 2019 en la cual uno de los temas tratados fue la incluisión dentro de la evaluación docente del componente de SG-SST.</t>
  </si>
  <si>
    <t>Realizar los cambios en los documentos definidos en las   mesas de trabajo del proceso de Docencia</t>
  </si>
  <si>
    <t>No. de documentos modificados</t>
  </si>
  <si>
    <t>No. de documentos aprobados</t>
  </si>
  <si>
    <t>Socializar los cambios con las partes interesadas.</t>
  </si>
  <si>
    <t>1 socialización programada</t>
  </si>
  <si>
    <t>No. Socialización ejecutada</t>
  </si>
  <si>
    <r>
      <rPr>
        <b/>
        <sz val="8"/>
        <rFont val="Tahoma"/>
        <family val="2"/>
      </rPr>
      <t>Identificación, evaluación y valoración de peligro</t>
    </r>
    <r>
      <rPr>
        <sz val="8"/>
        <rFont val="Tahoma"/>
        <family val="2"/>
      </rPr>
      <t>s - En la matriz de identificación de peligros y evaluación de riesgos, no se identifican peligros a los que se exponen:
• El tractorista.  No se identifican peligros químicos (líquidos, nieblas y rocíos), Físicos (vibraciones), Locativo (Sup. de trabajo), Transito (operación del equipo).
• No se identifican peligros asociados al almacenamiento y uso de cilindros de gases comprimidos.
El riesgo público del Celador,</t>
    </r>
  </si>
  <si>
    <t>Ajustar la Matriz  de Identificación de pelígros  y evaluación de riesgos, con los peligros no identificados hasta la fecha</t>
  </si>
  <si>
    <t>Responsable del SG SST</t>
  </si>
  <si>
    <t>Fallas en la planeación  para actualizar de la matriz IPER</t>
  </si>
  <si>
    <t>Conformar un equipo de trabajo de funcionarios de la Universidad con formación en  en SST,  encargado de la actualización de la matriz IPER</t>
  </si>
  <si>
    <t>1 revisión</t>
  </si>
  <si>
    <t>Acta con informe sobre resultados de la revisión.</t>
  </si>
  <si>
    <t>Se evidencia acta N° 10 de fecha 14 de Noviembre de 2019 de comité paritario de seguridad y salud en el trabajo(COPASST) en donde se evidencia el grupo de trabajo y el cronograma de trabajo para actualizar la matriz de peligro.</t>
  </si>
  <si>
    <t>Elaborar un cronográma de trabajo para la actualización de la matriz IPER</t>
  </si>
  <si>
    <t xml:space="preserve">cronograma de trabajo </t>
  </si>
  <si>
    <t>cronograma implementado</t>
  </si>
  <si>
    <t>Actualizar la Matriz  IPER</t>
  </si>
  <si>
    <t>matriz actualizada</t>
  </si>
  <si>
    <t xml:space="preserve">Matriz actualizada </t>
  </si>
  <si>
    <t>Realizar una reunión con el  equipo de trabajo de  SST,  encargado de la actualización de la matriz IPER, con el fin de verificar  los  ajustes realizados al IPER.</t>
  </si>
  <si>
    <t>Procedimiento y formato solializado</t>
  </si>
  <si>
    <t>Implementar de medidas de prevención y control de peligros - En el salón de maquinaria agrícola se evidencio extensión en mal estado, cables sin aislamiento, sin tapa.
• Se evidencio almacenamiento inadecuado (ubicados sobre el tractor) y en condiciones deficientes de aseo y limpieza de equipos de altura.
• En el taller de maquinaria Agrícola, se evidenciaron recipientes (de Coca-Cola y Quattro) con sustancias químicas (ACPM y Varsol) sin identificar.
• No se evidenciaron las hojas de seguridad (SDS) de las sustancias químicas utilizadas en el taller de maquinaria agrícola, en el taller de Mecánica, en el laboratorio de química de productos naturales.
• En el taller de Mecánica se evidenció pulidora de 7" sin guarda de seguridad.
• Se evidenciaron un numero importante de extintores (No. 71 en Laboratorio  de productos naturales, No. 36 y  53 de taller de Mecánica y maquinaria agrícola) con fecha de recarga expirada.
• La campana de extracción de gases del laboratorio de química de productos naturales, no esta operativa, se encuentra fuera de servicio.</t>
  </si>
  <si>
    <t>Arreglo de redes electricas internas del salón de maquinaria Agrícola.
Recarga de Extintores (No. 71 en Laboratorio  de productos naturales, No. 36 y  53 de taller de Mecánica y maquinaria agrícola)</t>
  </si>
  <si>
    <t>Logística</t>
  </si>
  <si>
    <t>PORQUE NO ESTABA INTEGRADO EL EQUIPO RESPONSABLE DEL PROCEDIMIENTO</t>
  </si>
  <si>
    <t>Implementación del Cronograma de Inspecciones de Seguridad</t>
  </si>
  <si>
    <t>Cronograma implementado</t>
  </si>
  <si>
    <t>Se evidencia que el cronograma fue implementado y a la fecha se encuentra en proceso de elaboración de informes</t>
  </si>
  <si>
    <t xml:space="preserve">Identificación y disposición de las (SDS) de sustancias químicas que utiliza el taller de maquinaria Agrícola </t>
  </si>
  <si>
    <t>Sustancias identificadas y disponibilidad de las (SDS)</t>
  </si>
  <si>
    <t>Se evidencia la identificacion mediante inspecciones de seguridad en los formatos FINF-059, FINF-051, FINF-057</t>
  </si>
  <si>
    <t>Arreglo de la campana de extracción de gases del laboratorio de química de productos naturales</t>
  </si>
  <si>
    <t>Campana enbuen estado</t>
  </si>
  <si>
    <t xml:space="preserve">Esta actividad se encuentra incluida y programada en el Plan de mantenimiento correctivo del año en curso, sin embargo, debido a la situación de emergencia sanitaria, los mantenimientos se encuentran suspendidos, por lo que para el desarrollo de esta actividad se está a la espera de que se reactiven los procesos de mantenimiento correctivo en la institución. Es importante aclarar que en ese momento se determinará si la campana será arreglada o si se le realizará reposición de acuerdo al diagnóstico que emita el técnico al momento de realizar el mantenimiento correctivo. 
La fecha para la ejecución de esta actividad fue ampliada  al mes de septiembre debido a que es posible realizar la misma durante el mantenimiento preventivo obligatorio que se debe realizar al laboratorio de aguas que se desarrollará en el mes en mención.
</t>
  </si>
  <si>
    <t xml:space="preserve">• No se evidencio disponibilidad de elementos de protección personal en taller de maquinaria agrícola (guantes), taller de mecánica (protección respiratoria humos metálicos, guantes, etc.).
• En el taller de Mecánica, no se utilizan gafas de seguridad debajo de la careta de soldar. Los lentes de la careta de soldar son de vidrio, deberían ser en Policarbonato. </t>
  </si>
  <si>
    <t xml:space="preserve">Se desconocian prestadores de servicios y no se pudo realizar la solicitus a tiempo </t>
  </si>
  <si>
    <t xml:space="preserve">Elabrar un listado de proveedores de productos y/o servicios de SST y enviarlos a la División de Contratación </t>
  </si>
  <si>
    <t>Un listado de provedores</t>
  </si>
  <si>
    <t>Se evidencia correo electrónico de fecha 17 de octubre de 2019 a la División de Contratación con el listado de proveedores, de productos y/o servicios de sst.</t>
  </si>
  <si>
    <t>Realizar la solicitud de EPP para el año 2020 con antelrioridad a la finalización de asignación de los recursos económicos, es decir con vigencia futuro.</t>
  </si>
  <si>
    <t>1 Solicitud de  EPP</t>
  </si>
  <si>
    <t>Solicitud de EPP aprobada</t>
  </si>
  <si>
    <t>Se evidencia solicitud de CDP con vigencia futura para elementos de protección el 17 de Octubre de 2019 y CDP para examenes ocupacionales el 15 de Octubre de 2019, los cuales no fueron aprobados debido a que no habia presupuesto y por esto se realizaron ajustes a las solicitudes de CDP y se enviaron por segunda vez el 08 de Noviembre de 2019</t>
  </si>
  <si>
    <t xml:space="preserve">Realizar la entrega de los EPP, a los servidores pubicos, dentro del  primer trimestre del año. </t>
  </si>
  <si>
    <t>No. de Funcionarios que recibieron EPP/ No, de funcionarios programados  para entrega de  EPP</t>
  </si>
  <si>
    <t xml:space="preserve">La responsable del SST, comunica que se realizó solicitud de Elementos de Protección Personal, se realizo la compra y se recibieron los mismos a principios del mes de marzo, no se han entregado a todos auxiliares debido a la situación de emergencia sanitaria. A las personas que están realizando labores de manera presencial se están entregando tapabocas y guantes.
Se entregarán EPP al personal correspondiente en el momento del retorno.
</t>
  </si>
  <si>
    <t>Un informe</t>
  </si>
  <si>
    <t>Informe de entrega de EEP</t>
  </si>
  <si>
    <t>Resultado insuficiente de la medicion del indicador Intervención de Peligros y Riesgos Prioritarios</t>
  </si>
  <si>
    <t>Falta de seguimiento a  la ejecución de los controles  establecidos en la matriz de peligro</t>
  </si>
  <si>
    <t xml:space="preserve">Revision de las medidas de intervención establecidas en la matriz de peligro  para los riesgos Prioritarios </t>
  </si>
  <si>
    <t>Matriz de intervecion revisada</t>
  </si>
  <si>
    <t xml:space="preserve">Se evidencia acta de fecha 25 de Noviembre de 2019 en la cual se hizo la revisión de las medidas de intervención establecidas en la matriz de peligro para los riesgos prioritarios
</t>
  </si>
  <si>
    <t>Concertar con los procesos  responsables  de la ejecución de los controles  las fechas de intervencion</t>
  </si>
  <si>
    <t xml:space="preserve">Acta de Reunion con los Procesos  responsables  </t>
  </si>
  <si>
    <t>1 Acta</t>
  </si>
  <si>
    <t>Se evidencia acta de fecha 25 de Noviembre de 2019 en la cual se hizo la revisión de las medidas de intervención establecidas en la matriz de peligro para los riesgos prioritarios. También se evidencia seguimiento a matriz de peligro con fechas de intervención.</t>
  </si>
  <si>
    <t>Diligenciar en la matriz de intervencion las fechas para la ejecucion de los controles .</t>
  </si>
  <si>
    <t xml:space="preserve">Matriz de intervecion de peligro con fechas actualizadas </t>
  </si>
  <si>
    <t>Matriz actualizada 100%</t>
  </si>
  <si>
    <t xml:space="preserve"> Se evidencia  matriz de peligro con fechas de intervención para la ejecución de los controles.</t>
  </si>
  <si>
    <t>Acta de seguimiento</t>
  </si>
  <si>
    <t>100% de seguimiento n</t>
  </si>
  <si>
    <t xml:space="preserve">Medidas de prevención y control de peligros
(Mantenimiento)
Estándar 4.2.5. Mantenimiento.
Decreto 1072/2015 Artículo 2.2.4.6.24. Medidas de prevención y control.
• No se realiza una planificación de los mantenimientos de equipos utilizados en la academia. Torno, máquinas de soldar, tractores.
</t>
  </si>
  <si>
    <t>12 de Agosto de 2019</t>
  </si>
  <si>
    <t>Por desconocimiento que todos los mantenimientos de equipos  deben ser incluidos en el plan de mantenimiento de la universidad liderado por el proceso de infraestructura</t>
  </si>
  <si>
    <t>Solicitar al almacen los inventarios actualizados donde se incluyan: Equipos de laboratorio, equipos de musica (instrumentos), equipos de talleres (maquinaria agricolas y mecanica), Equipos de la emisora y auditorios,equipos de computo (compuitadores, impresoras, fotocopiadoras), equipos de refrigeración (aires, neveras, cavas, cuartos frios, dispensadores, maquinaria de cultura fisica, equipos de planta pilto, equipos de clinia veterinaria, equipos biomédicos (fondo de salud), equipos de audio y video (informatica educativa)</t>
  </si>
  <si>
    <t>Se evidencia solicitud a almacen a través de Comunicación escrita de fecha  Noviembre 29 de 2019</t>
  </si>
  <si>
    <t>actualización y planificación de mantenimientos incluyendo los equipos faltantes</t>
  </si>
  <si>
    <t xml:space="preserve">Plan actualizado </t>
  </si>
  <si>
    <t>Se evidencia que el OINF-001 plan de mantenimiento fue actualzado y publicado en la página web de la institución el 7 de abril de 2020 y se evidencia cronograma de mantenimiento.</t>
  </si>
  <si>
    <t>• No se evidencia un seguimiento al cumplimiento del cronograma de mantenimiento de los vehículos. Ejemplo: Bus Chevrolet NPR OQE-097.</t>
  </si>
  <si>
    <t>Porque no se encuentran definidos dentro del plan de mantenimiento quien realiza el seguimiento al mismo</t>
  </si>
  <si>
    <t>Definir dentro del Plan de manteniiento el responsable al seguimiento del mismo</t>
  </si>
  <si>
    <t>Se evidencia que dentro del OINF-001 plan de mantenimiento fue actualzado y publicado en la página web de la institución el 7 de abril de 2020 se definio el responsable del mismo.</t>
  </si>
  <si>
    <t>• No se evidencian hojas de vida, inspección anual por el Coordinador de altura de las escaleras portátiles.</t>
  </si>
  <si>
    <t>Desconocimiento de la importancia de contar con la hoja de vida de los equipos ó herramientas  para la planificación del mantenimiento preventivo</t>
  </si>
  <si>
    <t xml:space="preserve">Diseño de las hojas de vida de equipos </t>
  </si>
  <si>
    <t>Hoja vida diseñada</t>
  </si>
  <si>
    <t>Definir procedimiento encargado de diligenciar las hojas de vida de los equipos</t>
  </si>
  <si>
    <t>1  acta</t>
  </si>
  <si>
    <t>Se evidencia acta de reunión número 002 de fecha  17 de febrero de 2020 en donde se establece el procedimiento.</t>
  </si>
  <si>
    <t xml:space="preserve">desconocimiento de los diferentes roles del coordinador de alturas dentro del sistema de SST </t>
  </si>
  <si>
    <t>Solicitar a talento humano de la capacitación y certificación del coordinador de alturas d</t>
  </si>
  <si>
    <t>Certificación del funcionario de la División Logística de entrenamiento para trabajo en alturas</t>
  </si>
  <si>
    <r>
      <t xml:space="preserve">CÓDIGO: 
</t>
    </r>
    <r>
      <rPr>
        <sz val="11"/>
        <rFont val="Benguiat Bk BT"/>
        <family val="1"/>
      </rPr>
      <t xml:space="preserve">FMAM-021
</t>
    </r>
    <r>
      <rPr>
        <b/>
        <sz val="11"/>
        <rFont val="Benguiat Bk BT"/>
        <family val="1"/>
      </rPr>
      <t xml:space="preserve">VERSIÓN: </t>
    </r>
    <r>
      <rPr>
        <sz val="11"/>
        <rFont val="Benguiat Bk BT"/>
        <family val="1"/>
      </rPr>
      <t xml:space="preserve">02
</t>
    </r>
    <r>
      <rPr>
        <b/>
        <sz val="11"/>
        <rFont val="Benguiat Bk BT"/>
        <family val="1"/>
      </rPr>
      <t xml:space="preserve">EMISIÓN:
</t>
    </r>
    <r>
      <rPr>
        <sz val="11"/>
        <rFont val="Benguiat Bk BT"/>
        <family val="1"/>
      </rPr>
      <t>19/02/2018</t>
    </r>
    <r>
      <rPr>
        <b/>
        <sz val="11"/>
        <rFont val="Benguiat Bk BT"/>
        <family val="1"/>
      </rPr>
      <t xml:space="preserve">
PÁGINA
</t>
    </r>
    <r>
      <rPr>
        <sz val="11"/>
        <rFont val="Benguiat Bk BT"/>
        <family val="1"/>
      </rPr>
      <t xml:space="preserve">1 </t>
    </r>
    <r>
      <rPr>
        <b/>
        <sz val="11"/>
        <rFont val="Benguiat Bk BT"/>
        <family val="1"/>
      </rPr>
      <t>DE</t>
    </r>
    <r>
      <rPr>
        <sz val="11"/>
        <rFont val="Benguiat Bk BT"/>
        <family val="1"/>
      </rPr>
      <t xml:space="preserve"> 1</t>
    </r>
  </si>
  <si>
    <t>Incluir en folleto de visitantes  alineado a respuestas de emergencias posibles, el escenario de Asonada, teniendo en cuenta que la Universidad es vulnerable a este tipo de emergencias.</t>
  </si>
  <si>
    <t>Ajustar el folleto de visitantes</t>
  </si>
  <si>
    <t xml:space="preserve"> folleto ajustado</t>
  </si>
  <si>
    <t xml:space="preserve">Se evidencia correo de fecha 15/11/2019  con la  informacion a comunicaciones a través de correo electrónico .
Se evidencia correo de fecha 16/06/20120 con la  informacion ajustada a comunicaciones a través de correo electrónico.
Se evidencia folleto plegable plan de emergencias ajustado y publicado en la página web de la institución.
</t>
  </si>
  <si>
    <r>
      <rPr>
        <b/>
        <sz val="11"/>
        <rFont val="Arial"/>
        <family val="2"/>
      </rPr>
      <t>Estado de la Acción:</t>
    </r>
    <r>
      <rPr>
        <sz val="11"/>
        <rFont val="Arial"/>
        <family val="2"/>
      </rPr>
      <t xml:space="preserve"> Eficaz, no eficaz, en implementación, vencida </t>
    </r>
  </si>
  <si>
    <t>Aumento de los accidentes de trabajo por causas asociadas a caidas a Nivel</t>
  </si>
  <si>
    <t>18 de Noviembre de 2019</t>
  </si>
  <si>
    <t>Disminur la accidentalidad por caidas a Nivel  en  un 50%</t>
  </si>
  <si>
    <t>(N° de accidentes x caidas a nivel Primer semestre 2020/ N° Total de accidentes por Caidas a nivel de segundo semestre 2019) - 100%</t>
  </si>
  <si>
    <t xml:space="preserve">Programara mesa de trabajo con la unidad de Planeacion y la division de apoyo logistico, para socializar los lugares donde han ocurrido accidentes  y elaboara plan de intervencion. </t>
  </si>
  <si>
    <t xml:space="preserve">Listado de asistencia y el cronograma de intervencion </t>
  </si>
  <si>
    <t>Se realizó Reunión con la División de Apoyo Logistico el día 07 de noviembre de 2019 y reunion conl la Unidad de Planeacion y Desarrollo el día 15 de noviembre de 2019. Se anexan listados de asistencia y acta de reunion.</t>
  </si>
  <si>
    <t xml:space="preserve">Identificar nuevas estrategias  para prevencion de caidas a nivel  </t>
  </si>
  <si>
    <t>Se realizo la identificación y revisión de nuevas estrategias para el programa con la asesora de ARL el día 19 de noviembre de 2019. Se anexa acta de reunión.</t>
  </si>
  <si>
    <t xml:space="preserve">Elaborar el Plan de Trabajo del Programa de Caidas a Nivel del año 2020, teniendo en cuenta las estrategias identificadas </t>
  </si>
  <si>
    <t xml:space="preserve">Plan de Trabajo Elaborado y Aprobado </t>
  </si>
  <si>
    <t>Se realizo plan de trabajo para el año 2020 en el mes de marzo incluyendo las estrategias acordadas.
Se incluyeron en el plan de trabajo 2020:
Campaña interna por dependencias y oficinas de departamentos y facultades  con personaje sensibilizando las prácticas seguras para prevenir caídas.   
Pausas activas lúdicas "Cazadores de Riesgos"
Intervención al Comportamiento "Comparendos Pedagógicos"
19/11/20
Es de notar que a causa de procedimiento de gestión del cambio producto de pandemia, se realizo el ajuste de este plan de trabajo con las activdiades que se podian desarrollar en  modalidad virtual.</t>
  </si>
  <si>
    <t xml:space="preserve">Realizar 2 seguimientos al cumplimiento al plan de intervencion de los lugares que originaron los accidentes por caidas a nivel </t>
  </si>
  <si>
    <t xml:space="preserve">Fotografias  e inform de seguimiento </t>
  </si>
  <si>
    <t>20/01/220</t>
  </si>
  <si>
    <t>Esta actividad no se ha realizado debido a la sitruación de  emergencia sanitaria. Es de anotar que los dos seguimientos anuales apuntan ser realizados semestralmente y el trabajo en casa inicio desde el mes de marzo.</t>
  </si>
  <si>
    <t>Solicitar el desarrollo de un software para el Centro de Idiomas  que incluya la realización de la evaluación docente y administración de notas</t>
  </si>
  <si>
    <t xml:space="preserve"> sofware desarrollado</t>
  </si>
  <si>
    <t>Se deberia contar con un software que permita entre otras cosas relizar la evaluación docente, administrar notas y medir la satisfacción de los servicios brindados por el centro.</t>
  </si>
  <si>
    <t>29 DE MAYO 2019</t>
  </si>
  <si>
    <t>30 de marzo de 2021</t>
  </si>
  <si>
    <t>10 de junio de 2021</t>
  </si>
  <si>
    <t>18 de septiembre de 2020</t>
  </si>
  <si>
    <t>I I semestre de 2020</t>
  </si>
  <si>
    <t>II semestre de 2020</t>
  </si>
  <si>
    <t>30 de noviembre de 2020</t>
  </si>
  <si>
    <r>
      <t xml:space="preserve">Evidencia planes de curso de los programas
</t>
    </r>
    <r>
      <rPr>
        <b/>
        <sz val="9"/>
        <color indexed="8"/>
        <rFont val="Tahoma"/>
        <family val="2"/>
      </rPr>
      <t xml:space="preserve">
11 de junio de 2020</t>
    </r>
    <r>
      <rPr>
        <sz val="9"/>
        <color indexed="8"/>
        <rFont val="Tahoma"/>
        <family val="2"/>
      </rPr>
      <t xml:space="preserve">
Continúa en el mismo porcentaje, faltan por ajustar la facultad de ciencias agricolas y la facultad de Ciencias de la Salud.</t>
    </r>
  </si>
  <si>
    <t>Noviembre  de 2020</t>
  </si>
  <si>
    <t>Realizar análisis prospectivo de extensión para la Universidad de Córdoba, con el acompañamiento de la Unidad de Planeación y Desarrollo, teniendo en cuenta el
diagnóstico en materia de extensión realizado
por cada Facultad</t>
  </si>
  <si>
    <t>Se evidencia que el día 26 de Noviembre de 2019 se les informo a los docentes sobre el diagnostico que deben realizar en materia de extensión por facultades.
A  fecha 11 de septiembre  se tienen los diagnosticos de todas las facultades: Ciencias Basicas, Educacion, MVZ, salud, FACEJA, Ingenierias  y Ciencias Agricolas. Igualmente, se tienen los diagnosticos de la división de atención al egresado, centro de idiomas, centro del deporte y centro de extension Educativa.</t>
  </si>
  <si>
    <t>Junio de 2021</t>
  </si>
  <si>
    <t>Se evidencia que el 21 de Febrero de 2019 la División de Atención al Egresado realizó solicitud de CDP para la adquisición de la licencia del servicio Plataforma Portal de Empleo exclusivo para la Institución y esta fue enviada a presupuesto para la expedición de CDP y tramite de contratación correspondiente el 26 de febrero de 2019</t>
  </si>
  <si>
    <t>Se evidencia en acta de comité directivo de fecha 28 de marzo de 2019 que uno de los temas tratados fue el desarrollo de un software para el Centro de Idiomas  que incluya la realización de la evaluación docente y administración de notas, en dicha reunión asistió el contratista que iba a desarrollar el software, la jefe de la oficina de sistemas y el coordinador de sistemas de información de la oficina de sistemas, también se evidenció el formato FGDT - 017 Requerimiento de Software Institucional, sin embargo a la fecha la oficina de sistemas no ha tomado más acciones relacionadas con el desarrollo del software.</t>
  </si>
  <si>
    <t>Se realizó modificación del procedimiento y se encuentra publicado en la plataforma documental institucional SIGEC</t>
  </si>
  <si>
    <t>Se evidencia formato planilla legalización practicas académicas elaborado.</t>
  </si>
  <si>
    <t>No se ha realizado la actividad.</t>
  </si>
  <si>
    <t>Se elaboró esta actividad pero cambió de ser un  instructivo a ser un procedimiento, el cual se encuentra para aprobació.</t>
  </si>
  <si>
    <t xml:space="preserve">Se enviaron los ajustes a vicerectoria Académica para la modificación del procedimiento </t>
  </si>
  <si>
    <t>Se elaboró esta actividad pero cambió de ser un  instructivo a ser un procedimiento, el cual se encuentra para aprobación, asi mismo se evidencia la elaboración de la herramienta.</t>
  </si>
  <si>
    <t xml:space="preserve">Se evidencia que la base de datos de la Institución (Plan de Contingencia), fue revisada  y enviada al Departamento Administrativo de la Función Pública para la respectiva asignación de usuarios para el cargue de datos de los funcionarios al SIGEP, el día 30 de Diciembre de 2019 ( Se adjunta evidencia)
De igual manera, luego de conversaciones de seguimiento a esta actividad mediante llamada del lider de proceso con la funcionaria responsable de dicha entidad, se reenvio la información nuevamente a traves de correo electronico el día 20 de abril de 2020.
Actualmente, el proceso se encuentra a la espera de la proporcion de los usuarios por parte del DAFP. </t>
  </si>
  <si>
    <t>Aunque esta actividad aún no cuenta con avance de implementación, es conveniente aclarar que ya se cuenta con mayor claridad en la situación y se procederá a activar este procedimiento en el menor tiempo posible.</t>
  </si>
  <si>
    <t>Se realizó el pago a los  afiliados a colpensiones, para el resto de personal, se les envió comunicación el 19 de agosto de 2020  informando que deben ser afiliados a colpensiones para efectuar el pago.</t>
  </si>
  <si>
    <r>
      <t xml:space="preserve">Se evidencia acta de reunión de equipo de mejoramiento número 19 de fecha 16 de Junio de 2019, en la que participaron los procesos de docencia, gestión de la calidad y gestión y desarrollo del talento humano, en esta reunión se determino que el mecanismo que sera definido para la rendición de cuentas de los docentes ante el sistema de gestión de seguridad y salud en el trabajo estará definido a traves de la matriz de autoridades y reponsabilidades.
Se cuenta con borrador de la matriz de autoridades y responsabilidades, se realizará  cargue a la plataforma de control de documentos SIGEC después de la revisión final programada para el día 19 de junio de 2020, se evidencia programa de reunión.
</t>
    </r>
    <r>
      <rPr>
        <b/>
        <sz val="10"/>
        <rFont val="Tahoma"/>
        <family val="2"/>
      </rPr>
      <t>Septiembre 2020:</t>
    </r>
    <r>
      <rPr>
        <sz val="10"/>
        <rFont val="Tahoma"/>
        <family val="2"/>
      </rPr>
      <t xml:space="preserve">
Se realizó la inclusión del Rol Servidor Publico docente en la matriz de autoridades y responsabilidades ante el SIGEC publicado el 30 de junio de 2020</t>
    </r>
  </si>
  <si>
    <r>
      <t xml:space="preserve">Se evidencia acta de reunión de equipo de mejoramiento número 19 de fecha 16 de Junio de 2019, en la que participaron los procesos de docencia, gestión de la calidad y gestión y desarrollo del talento humano, en esta reunión se determino que el mecanismo que sera definido para la rendición de cuentas de los docentes ante el sistema de gestión de seguridad y salud en el trabajo estará definido a traves de la matriz de autoridades y reponsabilidades.
Se cuenta con borrador de la matriz de autoridades y responsabilidades, se realizará  cargue a la plataforma de control de documentos SIGEC después de la revisión final programada para el día 19 de junio de 2020, se evidencia programa de reunión.
</t>
    </r>
    <r>
      <rPr>
        <b/>
        <sz val="10"/>
        <rFont val="Tahoma"/>
        <family val="2"/>
      </rPr>
      <t>Septiembre 2020</t>
    </r>
    <r>
      <rPr>
        <sz val="10"/>
        <rFont val="Tahoma"/>
        <family val="2"/>
      </rPr>
      <t xml:space="preserve">
Se socializó con las partes interesadas el 3 de julio de 2020 </t>
    </r>
  </si>
  <si>
    <t>Se realiza actualización de la matriz de identificación de peligros, evaluación y valoración de riesgos de la Institución el día 15 de mayo de 2020. Se evidencia correo electronico en el que la responsable de SST, envia la matriz a la responsable del PVE Riesgo Psicosocial, para ajuste y articulación de la misma con los resultados del Diagnostico de Riesgo Psicosocial. 
Según acta 15 de fecha 28 de mayo de 2020 se realizó ajuste a la matriz IPER en conjunto con el COPASST</t>
  </si>
  <si>
    <t>Según acta 15 de fecha 28 de mayo de 2020 se realizó ajuste a la matriz IPER en conjunto con el COPASST</t>
  </si>
  <si>
    <t>Elaborar informe de los resutados de la entrega de Eep y realizar los ajustes si es necesari</t>
  </si>
  <si>
    <r>
      <rPr>
        <b/>
        <sz val="10"/>
        <rFont val="Tahoma"/>
        <family val="2"/>
      </rPr>
      <t>Septiembre 2020:</t>
    </r>
    <r>
      <rPr>
        <sz val="10"/>
        <rFont val="Tahoma"/>
        <family val="2"/>
      </rPr>
      <t xml:space="preserve">
Se evidencia informe elaborado.</t>
    </r>
  </si>
  <si>
    <t xml:space="preserve">Realizar Seguimiento a las fechas establecidas para la intervención de péligro </t>
  </si>
  <si>
    <r>
      <rPr>
        <b/>
        <sz val="10"/>
        <color indexed="8"/>
        <rFont val="Tahoma"/>
        <family val="2"/>
      </rPr>
      <t>Septiembre 2020:</t>
    </r>
    <r>
      <rPr>
        <sz val="10"/>
        <color indexed="8"/>
        <rFont val="Tahoma"/>
        <family val="2"/>
      </rPr>
      <t xml:space="preserve">
Se evidencia acta No 25 de fecha 16 de julio donde se realizo el seguimiento </t>
    </r>
  </si>
  <si>
    <t>Se evidencia acta de reunión los dias 13 y 18 de agosto de 2020, asi como informe y planos de evacuación</t>
  </si>
  <si>
    <t>Esta proyectada para 2021</t>
  </si>
  <si>
    <r>
      <t xml:space="preserve">Se evidencia acta número 002 de fecha  17 de febrero de 2020 en donde la oficina de Almacén quedo con el compromiso de la elaboración de las hojas de vida de los equipos.
</t>
    </r>
    <r>
      <rPr>
        <b/>
        <sz val="11"/>
        <rFont val="Tahoma"/>
        <family val="2"/>
      </rPr>
      <t xml:space="preserve">
Septiembre 2020:</t>
    </r>
    <r>
      <rPr>
        <sz val="11"/>
        <rFont val="Tahoma"/>
        <family val="2"/>
      </rPr>
      <t xml:space="preserve">
El formato hoja de vida se subió al aplicativo documental y se encuentra publicado.</t>
    </r>
  </si>
  <si>
    <t>Se evidencia envío de la lista de herramientas a  Delcy Sanchez profesional especializado de almacen el dia 11 de septiembre de 2020.</t>
  </si>
  <si>
    <t>2 de Junio de 2020</t>
  </si>
  <si>
    <t>Disminuir los factores de riesgo psicosocial que se presentan</t>
  </si>
  <si>
    <t>Disminución de los factores de riesgo psicosocial</t>
  </si>
  <si>
    <t>Solicitar servicios profesionales  para el desarrollo de habilidades gerenciales ( Coaching)</t>
  </si>
  <si>
    <t>Realizar entrenamiento en habilidades gerenciales con la lider de proceso</t>
  </si>
  <si>
    <t>Solicitar a la contratista que realizo el estudio de la planta, la remision de un informe del Analisis de los puestos de trabajo realizado en la División de Bibliotecas y recursos Educativos</t>
  </si>
  <si>
    <t>Realizar analisis del informe del Analisis de los puestos de trabajo y de ausentismo de los trabajadores realizado en la División de Bibliotecas y recursos Educativos presentado por la contratista y definir acciones a las que haya lugar</t>
  </si>
  <si>
    <t>Implementar las acciones productos del  Analisis de los puestos de trabajo, de ausentismo delos trabajadores de la División de Bibliotecas y recursos Educativos</t>
  </si>
  <si>
    <t xml:space="preserve">Realizar visita a equipo de trabajo de la División de Bibliotecas y recursos Educativos, para evaluar la eficacia de las acciones implementadas. </t>
  </si>
  <si>
    <t>Evidencia de entrenamiento realizado</t>
  </si>
  <si>
    <t>Analisis realizdo</t>
  </si>
  <si>
    <t>No de acciones implementadas/No de Acciones programadas *100</t>
  </si>
  <si>
    <t>Acta de visita</t>
  </si>
  <si>
    <t xml:space="preserve">CONTEXTO: equipo de trabajo de la División de Bibliotecas y Recursos Educativos requiere la contratación de profesionales en bibliotecología que puedan desempeñar funciones que permitan implementar una estructura orgánica dinámica que respondan a los cambios institucionales. Además, el recurso humano asignado a la División de Bibliotecas requiere de capacitación y motivación para asumir nuevos servicios como apoyo a la investigación, orientación al usuario, uso de recursos electrónicos, organización de la información y talleres de formación de usuarios, entre otros servicios que se requieren implementar. 
2019. El equipo de trabajo de la División de Bibliotecas y Recursos Educativos requiere la contratación de profesionales en bibliotecología que puedan desempeñar funciones que permitan implementar una estructura orgánica dinámica que respondan a los cambios institucionales. Además, el recurso humano asignado a la División de Bibliotecas requiere de capacitación y motivación para asumir nuevos servicios como apoyo a la investigación, orientación al usuario, uso de recursos electrónicos, organización de la información y talleres de formación de usuarios, entre otros servicios que se requieren implementar.
Ausentismo laboral de algunos funcionarios de la División de Bibliotecas y Recursos Educativos que repercute en la prestación del servicio y en el clima organizacional.
2019. Ausentismo laboral de algunos funcionarios de la División de Bibliotecas y Recursos Educativos que repercute en la prestación del servicio y en el clima organizacional.
2020. Algunos funcionarios asignados a la División de Bibliotecas y Recursos Educativos no tienen el perfil y las habilidades en manejo de tecnologías de la información, redacción y comunicación escrita para desempeñar las funciones que les fueron asignadas “ </t>
  </si>
  <si>
    <t>El indicador consumo de energía eléctrica no alcanzó la meta Básica</t>
  </si>
  <si>
    <t>vigilar el uso racional de la energía para dar cumplimiento a los objetivos ambientales de la Universisad</t>
  </si>
  <si>
    <t>Solicitar a la División de asuntos financieros  informe relacionando el consumo de energía en Kw/h de cada una de las sedes, casas Universitarias, consultorio Juridico y otros espacios fisicos donde funcione Universidad y se asuma el gasto de energía</t>
  </si>
  <si>
    <t>Comunicación escrita</t>
  </si>
  <si>
    <t>Acta equipo de mejoramiento</t>
  </si>
  <si>
    <t>Ajustar la ficha técnica del indicador  teniendo en cuenta las nuevas metas y publicar el el software</t>
  </si>
  <si>
    <t>Ficha ajustada en software de indicadores</t>
  </si>
  <si>
    <t>realizar seguimiento al consumo de energía según lo establecido en la ficha técnica del indicador</t>
  </si>
  <si>
    <t>1 seguimiento mensual</t>
  </si>
  <si>
    <t>Revisar las metas definidas en la ficha técnica del indicador y ajustar teniendo en cuenta el consumo de energía de cada mes del año 2019 de las diferentes sedes espacios fisicos  en los cuales haga presencia la Universidad de Córdoba</t>
  </si>
  <si>
    <t xml:space="preserve">Solicitar a la División de asuntos financieros informe relacionando el consumo de agua en m³ de cada una de las sedes, casas Universitarias, consultorio Jurídico y otros espacios físicos donde funcione Universidad y se asuma el gasto de agua
</t>
  </si>
  <si>
    <t>Revisar las metas definidas en la ficha técnica del indicador y ajustar teniendo en cuenta el consumo de agua de cada mes del año 2019 de las diferentes sedes espacios fisicos  en los cuales haga presencia la Universidad de Córdoba</t>
  </si>
  <si>
    <t>El indicador consumo de agua no alcanzó la meta Básica</t>
  </si>
  <si>
    <t>Los accidentes laborales con mayor frecuencia para el periodo 2020-I, fueron los accidentes deportivos</t>
  </si>
  <si>
    <t>10 DE JUNIO 2020</t>
  </si>
  <si>
    <t xml:space="preserve">Realizar Capacitación Virtual en en prevención de accidentes deportivos con la población identificada </t>
  </si>
  <si>
    <t>Evidencia de Capacitación realizada</t>
  </si>
  <si>
    <t>Realizar evaluaciones de conocimiento de capacitación en prevención de accidentes deportivos a las personas que asistan a esta formación, para verificar su efectividad.</t>
  </si>
  <si>
    <t>Numero de evaluaciones aplicadas y aprobadas/ No de asistentes a la formación * 100</t>
  </si>
  <si>
    <t>Correos enviados</t>
  </si>
  <si>
    <t>Disminución de accidentes laborales de tipo deportivo en la Universidad de Córdoba con respecto a primer semestre de 2020</t>
  </si>
  <si>
    <t>(No de accidentes deportivos presentados en el 2020-2 - No de accidentes deportivos presentados en el 2020-I)/No de accidentes deportivos presentados en el 2020-I) * 100</t>
  </si>
  <si>
    <t>El resultado del indicador ACCIONES EFICACES obtuvo resultados por debajo de la meta minima.</t>
  </si>
  <si>
    <t>Revisar en reunión de equipo de mejoramiento la posibilidad de solicitar a los procesos revisar el cumplimiento de sus actividades en la actual situación de pandemia</t>
  </si>
  <si>
    <t xml:space="preserve">Acta de equipo de mejoramiento </t>
  </si>
  <si>
    <t xml:space="preserve">Solicitar a los procesos la revisión de sus planes de mejoramiento acorde a la situación presentada y de ser necesario soliciten ajustes a la unidad de control interno </t>
  </si>
  <si>
    <t>comunicación enviada</t>
  </si>
  <si>
    <t xml:space="preserve">Revisar las solicitudes enviadas por los procesos </t>
  </si>
  <si>
    <t xml:space="preserve">Actualizar el consolidado de planes de mejoramiento </t>
  </si>
  <si>
    <t>Consolidado publicado</t>
  </si>
  <si>
    <t>Realizar la medición del indicador Acciones eficaces para el segundo semestre 2020-II</t>
  </si>
  <si>
    <t xml:space="preserve">reporte de indicadores en el aplicativo documental </t>
  </si>
  <si>
    <t>Planes de mejora implentados/planes de mejoramiento establecidos</t>
  </si>
  <si>
    <t>0.8</t>
  </si>
  <si>
    <t xml:space="preserve">Hacer seguimiento a la implementación del procedimiento de gestión del cambio  por parte de los procesos. Para que los procesos gestionen los cambios de manera planificada. (Auditoría SIGEC)
La gestión del cambio está enfocada a ser aplicada en actividades de traslado de personas o equipos (gestión de la calidad). Mantener evidencias de las formaciones del personal que interviene en gestión del cambio. para que: La gestión del cambio es columna vertebral en la prevención de riesgos y eventos mayores. Para ello se requiere de considerar todos los aspectos sin restarle significancia a aquellos cambios que puedan aparentar ser menores y no conllevar grandes riesgos. (Auditoría SST) </t>
  </si>
  <si>
    <t>Gestionar el 100% de cambios identificados con nivel de impacto alto</t>
  </si>
  <si>
    <t>Cambios identificados con nivel de impacto alto Gestionados/ Total de Cambios identificados con nivel de impacto alto</t>
  </si>
  <si>
    <t xml:space="preserve">Ajustar el formato  gestión del cambio (PGDC-028) con el fin de incluir la identificación de posibles riesgos asociados a la gestión del cambio realizada y ajustar el procedimiento gestión de cambios del SIGEC (PGDC-008) para inlcuir una nueva fuente de indetificación de posibles cambios. </t>
  </si>
  <si>
    <t>Entrenar a la responsable del SG-SST en identificación y planificación de cambios que afecten al SIGEC y sus responsabilidades dentro del procediminnto.</t>
  </si>
  <si>
    <t>Gestionar ante la división de Talento Humano la realización de capacitación a los equipos de mejoramiento de los 18 procesos del SIGEC en identificación y planificación de cambios que afecten al SIGEC.</t>
  </si>
  <si>
    <t xml:space="preserve">Incluir como punto de revisión en las reuniones directivas (Revisión del plan anual de mantenimeinto y mejoramiento del SIGEC y Comité Institucional de Calidad y de Coordinación del Sistema de Control Interno) la identificación y gestión de posibles cambios que afecten a la institución. </t>
  </si>
  <si>
    <t xml:space="preserve">Formato y procedimiento aprobados. </t>
  </si>
  <si>
    <t>Listado de asistencia</t>
  </si>
  <si>
    <t>*Listado de asistencia
*Evaluación de la capacitación</t>
  </si>
  <si>
    <t>Actas de reunión</t>
  </si>
  <si>
    <r>
      <t>Solicitar a la ARL Sura la disponibilidad de un deportologo para realizar capacitación en prevención de accidentes deportivos especialmente a los deportist</t>
    </r>
    <r>
      <rPr>
        <sz val="11"/>
        <rFont val="Calibri"/>
        <family val="2"/>
        <scheme val="minor"/>
      </rPr>
      <t>as</t>
    </r>
    <r>
      <rPr>
        <sz val="10"/>
        <rFont val="Arial"/>
        <family val="2"/>
      </rPr>
      <t xml:space="preserve"> ( aunque se hara convocatoria virtual masiva para extender la invitación a esta formación en caso de ser aprobada).</t>
    </r>
  </si>
  <si>
    <t xml:space="preserve">Enviar a través de correo institucional Ecards referentes a Tips para la prevención de accidentes deportivos a los deportistas </t>
  </si>
  <si>
    <t>Tener mayor cobertura en protección de emergencias y dar cumplimiento a requisitos legales.</t>
  </si>
  <si>
    <t>El numero de brigadistas inscritos no esta dando cumplimiento el requerimiento de la resolución 256 de 2014, la cual indica que debe ser el 20% de la población total, actualmente hay 42 para la cede central. La preparación ante respuesta de emergencias debe estar fortalecida para una institución del tamaño de la Unicordoba y las amenazas tiene un potencial de hacer daño como el caso de un incendio, que no pueda ser controlado en sus inicios.</t>
  </si>
  <si>
    <t>28 de AGOSTO 2020</t>
  </si>
  <si>
    <t>Aumento en el numero de brigadistas de la institución</t>
  </si>
  <si>
    <t>Realizar mesa de trabajo con SINTRAUNICOL con el fin de socializar estrategia para lograr un apoyo en la vinculación de los deportistas de la institución a la brigada de emergencia de la institución.</t>
  </si>
  <si>
    <t>Acta de reunión</t>
  </si>
  <si>
    <t>Vinculación de deportistas a la brigada de emergencia</t>
  </si>
  <si>
    <t>Acta de vinculación de deportistas a la brigada de emergencia</t>
  </si>
  <si>
    <t>Enviar solicitud a directores de laboratorio solicitando la designación de un funcionario que particpe en las actividades de formación de la brigada de emergencia</t>
  </si>
  <si>
    <t>Participación de los funcionarios designados por los directores de laboratorio en formaciones de la brigada de emergencia</t>
  </si>
  <si>
    <t>Listados de asistencia de personal designadoo</t>
  </si>
  <si>
    <t>Realizar mesa de trabajo con procesos correspondientes para reforzar el Plan de incentivo para brigadistas</t>
  </si>
  <si>
    <t>Socializar Plan de Incentivos ajustado a Brigadistas</t>
  </si>
  <si>
    <t>Evidencia de Socialización</t>
  </si>
  <si>
    <t>1. La información documentada requerida por el SIGEC no se controla para asegurase de que esté disponible y sea idónea para su uso, donde y cuando se necesite.</t>
  </si>
  <si>
    <t>Procesos de Organizaciónd e Historias Laborales adecuados</t>
  </si>
  <si>
    <t>Documentación de Organizaciónd e Historias Laborale actualizada y publicada</t>
  </si>
  <si>
    <t>Solicitar la adquiscion de 2 equipos de computo para la sección de archivo de gestión de la División de Talento Humano</t>
  </si>
  <si>
    <t>Equipos de computo asignados</t>
  </si>
  <si>
    <t>Actualizar el procedimiento PGRH-014 Gestión de Archivo</t>
  </si>
  <si>
    <t>Procedimiento actualziado y aprobado</t>
  </si>
  <si>
    <t>Elaborar Formato de Hoja de Control para evitar la perdida e ingreso indebido de documentos a las historias laborales</t>
  </si>
  <si>
    <t>Formato de control aprobado y publicado</t>
  </si>
  <si>
    <t>Elaborar Inventario Unico de Historias Laborales por tipo de vinculación</t>
  </si>
  <si>
    <t>Inventario Unico de Historia Laborales elaborado</t>
  </si>
  <si>
    <t>Socializar el procedimiento y formatos aprobados a las partes interesadas</t>
  </si>
  <si>
    <t>Mejorar el entendimiento y la interiorización  de la Política de Calidad por parte de todos los miembros del equipo.</t>
  </si>
  <si>
    <t>Nivel de entendimiento e interiorizacción de la politica adecuado por parte del equipo de mejoramiento del proceso de Gestión y Desarrollo del Talento Humano</t>
  </si>
  <si>
    <t>Evaluaciones aprobadas/ Evaluaciones aplicadas * 100</t>
  </si>
  <si>
    <t>Solicitar asesoria a la Unidad de Desarrollo Organizacional y Gestión de la Calidad para el proceso de entendimiento y la interiorización  de la Política de Calidad por parte de todos los miembros del de mejormiento del proceso de Gestión y Desarrollo del Talento Humano</t>
  </si>
  <si>
    <t xml:space="preserve">Realizar asesoria solicitada </t>
  </si>
  <si>
    <t>Listado de asistencia a asesoria</t>
  </si>
  <si>
    <t xml:space="preserve">Realizar evaluación de entendimiento de la politica de calidad a los miembros del equipo para verificar la interiorización de la misma. </t>
  </si>
  <si>
    <t>Mejorar la oportunidad en la aprobación de los documentos del proceso, tales como el Plan de Bienestar Laboral, Estímulos e Incentivos para servidores públicos y Plan Institucional de Capacitación.</t>
  </si>
  <si>
    <t>Reuniones de seguimiento a planes y programas del proceso</t>
  </si>
  <si>
    <t>Actas de seguimiento a planes y programas del proceso</t>
  </si>
  <si>
    <t>Realizar reuniones de equipo de mejoramiento para realizar seguimiento  a los planes de Bienestar Laboral, Estímulos e Incentivos para servidores públicos y Plan Institucional de Capacitación.</t>
  </si>
  <si>
    <t xml:space="preserve">Actas de reuniones </t>
  </si>
  <si>
    <t>Considerar, además del conocimiento explícito, el tácito, en el inventario de conocimientos que gestiona la institución, así mismo, establecer interacciones de los  programas de Relevo generacional y Desvinculación asistida.</t>
  </si>
  <si>
    <t>Proceso de Gestión del Conocimiento articulado</t>
  </si>
  <si>
    <t>Proceso de Gestión del Conocimiento articulado a programas de Relevo generacional y Desvinculación asistida.</t>
  </si>
  <si>
    <t>Ajustar instructivo de gestión del conocimiento incluyendo la interacciones de los  programas de Relevo generacional y Desvinculación asistida.</t>
  </si>
  <si>
    <t>Instructivo de gestión del conocimiento actualizado</t>
  </si>
  <si>
    <t>Implementar estrategia en los programas de Relevo generacional y Desvinculación asistida tales como memorias institucionales que permita la conservación de memorias historicas de los servidores publicos proximos a pensionarse</t>
  </si>
  <si>
    <t>Evidencias de implementación de las estrategias aplicadas a los programas de Relevo generacional y Desvinculación asistida</t>
  </si>
  <si>
    <t xml:space="preserve">Mejorar el procedimiento para la selección y vinculación docente PGRH-023 </t>
  </si>
  <si>
    <t>Procedimiento para la selección y vinculación docente PGRH-023 actualziado y publicado</t>
  </si>
  <si>
    <t xml:space="preserve">Realizar mesa de trabajo con el proceso de docencia para realizar la actualización del PGRH-023 procedimiento para la selección y vinculación docente  </t>
  </si>
  <si>
    <t>Acta de reunión realizada</t>
  </si>
  <si>
    <t xml:space="preserve">Ajustar el procedimiento para la selección y vinculación docente PGRH-023 </t>
  </si>
  <si>
    <t>Socializar el procedimiento para la selección y vinculación docente PGRH-023  aprobado a las partes interesadas</t>
  </si>
  <si>
    <t>Evidencia de socialzación</t>
  </si>
  <si>
    <t>Actualizar el procedimiento de vinculación de servidores públicos no docentes con el fin de incluir o elaborar un procedimiento específico por aparte para el personal directivo. PGRH-019</t>
  </si>
  <si>
    <t>procedimiento de vinculación de servidores públicos no docentes actualziado y publicado</t>
  </si>
  <si>
    <t>Realizar reunión de equipo de mejoramiento para realizar la actualización del procedimiento de vinculación de servidores públicos no docentes.</t>
  </si>
  <si>
    <t>Ajustar el procedimiento de vinculación de servidores públicos no docentes.</t>
  </si>
  <si>
    <t>Socializar el procedimiento de vinculación de servidores públicos no docentes.aprobado a las partes interesadas</t>
  </si>
  <si>
    <t xml:space="preserve">El personal que presta servicio de apoyo a los procedimientos de infraestuctura, sea personal de contratacion permanente debido a las necesidades de seguimiento y verificacion de este procedimiento. 
Compartida con Infraestructura, Detectada en Infraestructura </t>
  </si>
  <si>
    <t>Emitir recomendación necesaria al proceso</t>
  </si>
  <si>
    <t>Recomendación enviada y comunicada</t>
  </si>
  <si>
    <t>Emitir recomendación a los jefes de oficina que aquellas actividades que ameriten continuidad en el servicio sean asignadas a personal de planta.</t>
  </si>
  <si>
    <t>Recomendación enviada</t>
  </si>
  <si>
    <t>Capacitar a varias personas de planta dentro de la División de Apoyo Logistico para que puedan asumir esas responsabildiades mientras se efectua la contratación y vinculación del personal adicional requerido</t>
  </si>
  <si>
    <t>listados de asistencia o actas de reuniones en el que se realice estas capacitacioens internas</t>
  </si>
  <si>
    <t>Solicitar a la División de Talento Humano gestionar la culminación de la formación de personal interno en la coordinación de tareas de alto riesgo - para la verificación y evaluación de trabajo en alturas</t>
  </si>
  <si>
    <t xml:space="preserve">Solicitud escrita </t>
  </si>
  <si>
    <t>Solicitar a la División de Talento Humano y Unidad de Planeación y Desarrollo  la asignación de coordinación de tareas de alto riesgo - para la verificación y evaluación de trabajo en caliente al ingeniero asignado a la Unidad de Planeación y Desarrollo</t>
  </si>
  <si>
    <t>Solicitar a la División de Talento Humano gestionar la formación de personal interno en la coordinación de tareas de alto riesgo - para la verificación y evaluación de trabajo en Caliente</t>
  </si>
  <si>
    <t>La autorización de permisos de trabajo de alto riesgo, esta en manos del contratista, convirtiéndose este en juez y parte. Lo que podría conllevar a realización de análisis rápidos, y sin profundidad en la detección de peligros potenciales. / Minimizar la posibilidad de perder de vista aquellos peligros asociados a tareas de alto riesgo que tienen consecuencias graves.</t>
  </si>
  <si>
    <t xml:space="preserve"> Personal interno capacitado para verificación y evaluación de trabajo de alto riesgo. Para el año 2021</t>
  </si>
  <si>
    <t># de personas capacitadas para vericar y evaluar trabajos de alto riesgo / total de  personas seleccionadas y capacitadas para vericar y evaluar trabajos de alto riesgo</t>
  </si>
  <si>
    <t>21 de Agosto 2020</t>
  </si>
  <si>
    <t>En el análisis de vulnerabilidad se han identificado escenarios de alta riesgo, y las acciones resultantes para intervención del mismo no son contempladas en el seguimiento de planes de mejoramiento que lidera la dependencia de Seguimiento y Control, se podrían manejar del mismo modo que la matriz de peligros y riesgos o incluyendo en la matriz de mejoramiento.</t>
  </si>
  <si>
    <t xml:space="preserve"> Asignar Controles a los riesgos identifacados en el análisis de vulnerabilidad de los Planes de prevención, preparación y respuesta ante emergencia y contingencia </t>
  </si>
  <si>
    <t xml:space="preserve">(# de actividades de intervención ejecutadas / total de actividades de intervención definidas </t>
  </si>
  <si>
    <t xml:space="preserve">Definir la metodología para el seguimiento de los riesgos determinados dentro del Plan de prevención, preparación y respuesta ante emergencia y contingencia </t>
  </si>
  <si>
    <t>Actualizar el Plan de prevención, preparación y respuesta ante emergencia y contingencia (formato)</t>
  </si>
  <si>
    <t>Plan de prevención, preparación y respuesta ante emergencia y contingencia actualizado y formato elaborado</t>
  </si>
  <si>
    <t>Documentar las medidas de intervención para los riesgos de los planes de prevención, preparación y respuesta ante emergencias de cada sede</t>
  </si>
  <si>
    <t xml:space="preserve">Formatos  con las medidas de intervención definidas para cada riesgo </t>
  </si>
  <si>
    <t>Implementar las medidas de intervención para los riesgos de los planes de prevención, preparación y respuesta ante emergencias de cada sede</t>
  </si>
  <si>
    <t>Cronograma de intervención definido en el formato elaborado</t>
  </si>
  <si>
    <t>Realizar seguimiento a las medidas implementadas en el plan de acción para intervenir los riesgos de los planes de prevención, preparación y respuesta ante emergencias</t>
  </si>
  <si>
    <t xml:space="preserve">Seguimiento a los cronogramas de intervención </t>
  </si>
  <si>
    <t>Diligenciamiento de  formatos pertenecientes al proceso de Infraestructura / Para no llegar a caer en un incumplimiento de norma y tener trazabilidad del procedimiento.</t>
  </si>
  <si>
    <t>NA</t>
  </si>
  <si>
    <t>Formatos correspondientes al  procedimiento de Infraestrcutura diligenciados en su totalidad</t>
  </si>
  <si>
    <t>100% de los formatos diligenciados</t>
  </si>
  <si>
    <t>Capacitar a todos los funcinarios que participan en manejo de formatos del procedimiento de infraestructura en el registro de la información en los mismos</t>
  </si>
  <si>
    <t xml:space="preserve"> 1 acta de reunión</t>
  </si>
  <si>
    <t>Diligenciamiento en su totalidad de los formatos del procedimiento de Infraestrcutura año 2020.</t>
  </si>
  <si>
    <t>Formatos totalmente diligenciados</t>
  </si>
  <si>
    <t xml:space="preserve">Seguimiento al diligenciamiento de la información en los formatos pretenecientes al proceso de Infraestructura </t>
  </si>
  <si>
    <t>2 seguimientos año II semestre 2020</t>
  </si>
  <si>
    <t>El personal que presta servicio de apoyo a los procedimientos de infraestructura, sea personal de contratación permanente debido a las necesidades de seguimiento y verificación de este procedimiento / Evitar atrasos o anomalías en el desarrollo de los procedimientos, el incumplimiento de estos y las metas establecidas en el POA de infraestructura.</t>
  </si>
  <si>
    <t>Comunicación Elaborada y enviada</t>
  </si>
  <si>
    <t>Gestionar ante la división de Talento Humano la continuidad y/o permanencia del personal necesario en  la división de apoyo logístico , en los periodos  intersemestrales para adelantar con normalidad las actividades propias del proceso</t>
  </si>
  <si>
    <t>1 comunicación escrita</t>
  </si>
  <si>
    <t>La organización no ha determinado la necesidad de cambios en el sistema de gestión de la calidad en cuanto al propósito de los cambios y sus consecuencias potenciales.
La planificación y control operacional  de las actividades programadas en el POA</t>
  </si>
  <si>
    <t xml:space="preserve">Gestionar el 100% de cambios identificados con nivel de impacto alto. </t>
  </si>
  <si>
    <t xml:space="preserve"> Cambios identificados con nivel de impacto alto Gestionados/ Total de Cambios identificados con nivel de impacto alto</t>
  </si>
  <si>
    <t>Modificar el procedimiento PPIN-002 FORMULACIÓN, SEGUIMIENTO Y AJUSTE DE LOS PLANES DE GOBIERNO, OTROS PLANES ESTRATÉGICOS Y PLANES OPERATIVOS, para que guarde armonía con el procedimiento gestión de cambios del SIGEC (PGDC-008) y para que se definan controles relacionados con el seguimiento al POA</t>
  </si>
  <si>
    <t>Procedimiento modificado.</t>
  </si>
  <si>
    <t>31/09/2020</t>
  </si>
  <si>
    <t>Actualizar la Matriz de Análisis de Contexto con corte a 2020</t>
  </si>
  <si>
    <t>Matriz actualizada</t>
  </si>
  <si>
    <t>Comunicar a los procesos, las cuestiones internas y externas que requieren ser abordadas mediante la metodología de gestión del cambio</t>
  </si>
  <si>
    <t>Comunicación a los procesos</t>
  </si>
  <si>
    <t>Verificar la realización de planes de gestión del cambio producto del análisis del contexto por parte de los procesos</t>
  </si>
  <si>
    <t>Planes de gestión del cambio realizados</t>
  </si>
  <si>
    <t>Realizar seguimiento al POA 2020</t>
  </si>
  <si>
    <t>Seguimiento realizado</t>
  </si>
  <si>
    <t>Comunicar a los procesos, los resultados obtenidos en el seguimiento al POA, así como las actividades que deben ser priorizadas en su ejecución ya que se encuentran próximas a vencer</t>
  </si>
  <si>
    <t>Resultados comunicados</t>
  </si>
  <si>
    <t>INTERNACIONALIZACIÓN</t>
  </si>
  <si>
    <t>Unidad de Relacioones Internacionales</t>
  </si>
  <si>
    <t>La organización no controla la información documentada</t>
  </si>
  <si>
    <t>Actualizar Procedimiento de movilidad acorde a la normatividad Institucional vigente.</t>
  </si>
  <si>
    <t>Procedimiento actualizado en el SIGEC</t>
  </si>
  <si>
    <t>Reunión virtual del Equipo de Trabajo</t>
  </si>
  <si>
    <t>Analizar acuerdo 070 BIS de 2018  y su modificación (acuerdo 090 de 2019)</t>
  </si>
  <si>
    <t>Actualizar procedimiento acorde a los acuerdos</t>
  </si>
  <si>
    <t xml:space="preserve">Solicitar publicación en el SIGEC del procedimiento modificado  </t>
  </si>
  <si>
    <t>Solicitud en el SIGEC</t>
  </si>
  <si>
    <t xml:space="preserve"> implementar mecanismos de comunicación que permitan llegar con información detallada de becas y convenios a grupos específicos de interes</t>
  </si>
  <si>
    <t>100% de ejecución de las actividades de matriz de comunicaciones.</t>
  </si>
  <si>
    <t>actividades planificadas/actividades ejecutadas*100</t>
  </si>
  <si>
    <t>Clasificar convenios por facultades y programas</t>
  </si>
  <si>
    <t>Documento con clasificación de convenios por facultades  y programas</t>
  </si>
  <si>
    <t>Clasificar becas por programas</t>
  </si>
  <si>
    <t>Documento con clasificación de becas por programas</t>
  </si>
  <si>
    <t>Solicitud de asesoria al proceso de Comunicación para elaborar matriz de comunicaciones del proceso de Internacionalización</t>
  </si>
  <si>
    <t>Solciitud de asesoria (correo electrónico)</t>
  </si>
  <si>
    <t>Elaborar matriz de comunicaciones del proceso</t>
  </si>
  <si>
    <t>Matríz elaborada</t>
  </si>
  <si>
    <t>implementar mecanismos para mejorar la participación activa de los clientes y usuarios del proceso, especificamente en el equipo de mejoramiento del proceso</t>
  </si>
  <si>
    <t>Conformación del Equipo de mejora del proceso</t>
  </si>
  <si>
    <t>reuniones programadas/reuniones realizadas*100</t>
  </si>
  <si>
    <t xml:space="preserve"> Solicitud de espacio en consejo academico para proponer la conformación del Equipo de Mejora del Proceso </t>
  </si>
  <si>
    <t>Solicitud (correo electronico)</t>
  </si>
  <si>
    <t>Solicitud de espacio en los Consejos de Facultad ampliados para socializar convenios, becas, documentos, procedimientos, etc, y recibir sugerencias por parte de los asistentes.</t>
  </si>
  <si>
    <t>Correos electrónicos, actas de reuniones.</t>
  </si>
  <si>
    <t>GESTIÓN DE BIBLIOTECA</t>
  </si>
  <si>
    <t>División de Biblioteca</t>
  </si>
  <si>
    <t>Actualización del procedimiento de selección y adquisición de material bibliográfico y procedimiento de investarios</t>
  </si>
  <si>
    <t>Número de procedimientos a actualizar / Número de procedimientos actualizados</t>
  </si>
  <si>
    <t>Revisión, actualización y publicación del procedimiento de selección y adquisición de material bibliográfico</t>
  </si>
  <si>
    <t>Procedimiento publicado en el SIGEC</t>
  </si>
  <si>
    <t>Revisión, actualización y publicación del procedimiento para realizar inventario de material bibliográfico</t>
  </si>
  <si>
    <t>Los procedimientos de Selección y Adquisición de Material Bibliográfico (PGDB-002) e Inventario de material bibliográfico (PGDB-005) , Para dejar claridad en sus Politicas de operaciones, y en los pasos que los conforman,  por lo que se recomienda hacer una revisión en la redación y detallar mejor cada uno de los pasos que hacen parte integral de estos procedimientos.</t>
  </si>
  <si>
    <t>Establecer en el procedimiento de Selección de estudiantes nuevos, como proceder cuando quedan cupos sin utilizar por los aspirantes admitidos. (segundo llamado)</t>
  </si>
  <si>
    <t>Actuallizar procedimiento de selección de nuevos estudiantes de pregrado</t>
  </si>
  <si>
    <t>procedimiento de selección de nuevos estudiantes de pregrado actualizado</t>
  </si>
  <si>
    <t xml:space="preserve">
Definir en el procedimiento de selección de estudiantes nuevos, como proceder para realizar  el segundo llamado . </t>
  </si>
  <si>
    <t xml:space="preserve">
Acta de equipo de mejoramientio </t>
  </si>
  <si>
    <t xml:space="preserve">
Actualizar el procedimiento de selección de nuevos estudiantes de pregrado</t>
  </si>
  <si>
    <t>Calendario pregrado periodo 2021-1 aprobado</t>
  </si>
  <si>
    <t>Socializar el procedimiento actualizado con el Equipo de Trabajo del Proceso de Admisiones</t>
  </si>
  <si>
    <t>Publicación admitidos segundo llamado pregrado</t>
  </si>
  <si>
    <t>Se sugiere definir estrategias para la realización de la inducción a los estudiantes de posgrado.
(Compartida con Posgrados-Bienestar)</t>
  </si>
  <si>
    <t>Incluir en el calendario de posgrados la fecha de inducción de los matrículados nuevos de posgrados por semestre</t>
  </si>
  <si>
    <t xml:space="preserve">Calendario 2021-I posgrados debe contener las fechas de inducción de los nuevos estudintes de posgrados </t>
  </si>
  <si>
    <r>
      <t xml:space="preserve">Proyectar calendario académico </t>
    </r>
    <r>
      <rPr>
        <sz val="9"/>
        <rFont val="Calibri"/>
        <family val="2"/>
        <scheme val="minor"/>
      </rPr>
      <t>posgrados 202</t>
    </r>
    <r>
      <rPr>
        <sz val="9"/>
        <rFont val="Arial"/>
        <family val="2"/>
      </rPr>
      <t xml:space="preserve">1-I con las partes interesadas (Admisiones, Bienestar, Posgrados), dónde se incluya la fecha de inducción periodo 2021-1 </t>
    </r>
    <r>
      <rPr>
        <sz val="9"/>
        <rFont val="Calibri"/>
        <family val="2"/>
        <scheme val="minor"/>
      </rPr>
      <t>para estudiantes de posgrado</t>
    </r>
  </si>
  <si>
    <t>Correo electrónico, acta de reunión o capture de reunión de la proyección de calendario académico posgrados 2021-1</t>
  </si>
  <si>
    <t xml:space="preserve">Presentar la proyección del calendario académico posgrados 2021-1 al Consejo Académico para su aprobación </t>
  </si>
  <si>
    <t>Correo electrónico de envío de la proyección de calendario académico posgrados 2021-1,
Calendario Académico posgrados 2021-1 aprobado</t>
  </si>
  <si>
    <t>Realizar inducción a los estudiantes de posgrados de primer semestre del periodo académico 2021-1</t>
  </si>
  <si>
    <t xml:space="preserve">
Evidencia realización de inducción posgrados 2021-1</t>
  </si>
  <si>
    <t>Mejorar la redacción de la segunda actividad de la matriz de caracterización del proceso, por cuanto a que la "proyección de las metas financieras de la institución" es una actividad muy amplia frente a la salida presentada "Presupuesto aprobado".  
Así mismo, según lo expresado por los funcionarios del proceso, las actividades de cartera están implícitas en la actividad de "gestionar adecuadamente los recaudos institucionales", pero esta se debería mostrar más detalladamente para un mejor entendimiento de las partes de esta actividad, teniendo en cuenta que la principal parte interesada de la gestión de cartera, que son los estudiantes, no se muestra en este ítem.</t>
  </si>
  <si>
    <t>Actualizacion de la matriz de caracterización</t>
  </si>
  <si>
    <t>Revision de las actividades principales de todas las areas de la Division Financiera para incluirlas en la matriz de caracterizacion.</t>
  </si>
  <si>
    <t>Actualizar la matriz de caracterizacion del proceso de Gestion Financiera</t>
  </si>
  <si>
    <t>Matriz publicada en el SIGEC</t>
  </si>
  <si>
    <t>En el documento PGFI 005 que corresponde a la versión 6 del procedimiento, se debe incluir en la sección 7, “Control de Cambios”, el cambio que motivó la modificación del documento.</t>
  </si>
  <si>
    <t>Documentacion del proceso Actualizada</t>
  </si>
  <si>
    <t>30/02/2020</t>
  </si>
  <si>
    <t>Documentos actualizados</t>
  </si>
  <si>
    <t>Documentos Publicados</t>
  </si>
  <si>
    <t>Revisión de la estructura de los documentos del proceso de Gestion Financiera</t>
  </si>
  <si>
    <t>Actualización de los documentos del proceso de Gestión Financiera</t>
  </si>
  <si>
    <t>Publicación de los documentos del proceso de Gestion Financiera</t>
  </si>
  <si>
    <t>Publicar en la plataforma de Gestion Documental SIGEC, la matriz de caracterizacion del proceso de gestión Financiera.</t>
  </si>
  <si>
    <t>GESTIÓN LEGAL</t>
  </si>
  <si>
    <t>Unidad de Asuntos Juridicos</t>
  </si>
  <si>
    <t>El proceso debe mejorar la identificación de las entradas y salidas en la Matriz de Caracterización.  Procedimiento para el trámite de acciones de Tutela PGLE 003 y el procedimiento para el Trámite de derechos de petición PGLE 004</t>
  </si>
  <si>
    <t>100 % de los documentos del proceso revisados. Actuaizar el 100% de documentos identificados</t>
  </si>
  <si>
    <t>documentos revisados /  total de documentos del proceso. 
Documentos
 actualizados / ducumentos identificados que requieren actualización</t>
  </si>
  <si>
    <t>Realizar reunión de Equipo de Mejoramiento para revisisón  de la Matriz de Caracterización y todos los procedimientos del Proceso</t>
  </si>
  <si>
    <t>Acta de Equipo de Mejoramiento</t>
  </si>
  <si>
    <t>Ajustar la Matriz de Caracterización del proceso y los procedimientos que requieran actualización</t>
  </si>
  <si>
    <t>Matriz publicada</t>
  </si>
  <si>
    <t xml:space="preserve">Socialización de los documentos ajustados a los integrantes del proceso y partes interesadas </t>
  </si>
  <si>
    <t xml:space="preserve">Listado de asistencia o registro de asistencia de herramienta virtual </t>
  </si>
  <si>
    <t>Todos las hojas de vida de equipos actualizadas</t>
  </si>
  <si>
    <t xml:space="preserve">Revisar todas las hojas de vida de los equipos de red, versus los mantenimientos realizados y los registros de bitácora </t>
  </si>
  <si>
    <t>Acta de revisión formato FGDT-006</t>
  </si>
  <si>
    <t>Actualizar las Hojas de Vida de equipos de redes</t>
  </si>
  <si>
    <t>Hoja de vida actualizada</t>
  </si>
  <si>
    <t>No se controla la información documentada requerida por el sistema de gestión de calidad, para asegurarse de que este disponible y sea idonea para su uso.Al preguntar  a los profesionales encargados del Mantenimiento preventivo de la Red, si ellos actualizaban el formato FGDT -009 Hoja de vida equipos de red, con los eventos registrados en la Bitácora, manifestaron de la siguiente manera: uno dijo que por falta de tiempo no lo hacía y el otro que no sabía que debía describir los eventos en el formato; incumpliendo lo establecido en el paso 6 del procedimiento de mantenimiento preventivo de la Red PGDT-004.</t>
  </si>
  <si>
    <t>No se realizan las correcciones, no se toman las acciones correctivas adecuadas sin demora injustificada.
No se evidenció el cumplimiento de las actividades establecidas en el Plan de Mejoramiento producto de la Auditoria Interna de Calidad 2018,  del hallazgo“ los soportes de los comprobantes de pago, de cada contrato no se encuentran archivados en la respectiva carpeta del contrato”.  
Actividad que  se encuentra vencida, con un avance del 60%, no obstante el proceso manifiesta haber realizado reuniones con Planeación, el área financiera y la sección de sistemas para requerir al proveedor verificación y ajustes al software SEVEN.</t>
  </si>
  <si>
    <t>Comprobantes de egresos anexos a las carpetas de contratos</t>
  </si>
  <si>
    <t>Realizar reunión con la participación de las áreas de Contratación, Financiera, Planeación y Sistemas para definir las actividades a seguir, que permitan alcanzar el 100% de ejecución del plan de mejoramiento establecido.</t>
  </si>
  <si>
    <t>Las cuentas para pago de contratos, se remitiran al área financiera mediante una relación en la que se indique el número de contrato u orden y se enviará copia de dicha relación al correo de la Sección de Tesorería o físico.</t>
  </si>
  <si>
    <t>Correos eléctronicos</t>
  </si>
  <si>
    <t>El área de Tesorería realizará impresión de los comprobantes de egresos de contratos y los remitirá a la División de Contratación de acuerdo con las relaciones enviadas por contratación mediante correo electrónico</t>
  </si>
  <si>
    <t>Comprobantes de egresos impresos</t>
  </si>
  <si>
    <t>Para los contratos de vigencias anteriores (2016-2019), una vez esté adecuado el Software SEVEN se enviará relación de los contratos u órdenes de cada vigencia a la Sección de Tesorería</t>
  </si>
  <si>
    <t>Comunicaciones internas o correo electrónico</t>
  </si>
  <si>
    <t>Sujeto a la entrega de las actualizaciones de SEVEN</t>
  </si>
  <si>
    <t xml:space="preserve">La Sección de Tesorería imprimirá los egresos de los contratos y órdenes de vigencias anteriores (2016-2019) </t>
  </si>
  <si>
    <t>Realizar reunión con la participación de las áreas de Contratación, Financiera, Planeación y Sistemas para verificar que las actividades establecidas sirvieron para que la no conformidad no se vuelva a presentar</t>
  </si>
  <si>
    <t>No se evidencia que el proceso controle la información documentada.
No se encuentra diligenciado en su totaliddad el  Formato FGCA-088" Lista de verificaciòn,  en los Contratos No.041-2020 y 151-2020, no estan diligenciado los campos "No. Del Contrato", casillas de documentos de verificaciòn, ni la firma  del responsable de la verificaciòn de los documentos. 
Asi mismo, no se evidenció la comunicación donde se designa el supervisor del contrato  151-2020.</t>
  </si>
  <si>
    <t>Formatos diligenciados en su totalidad</t>
  </si>
  <si>
    <t xml:space="preserve">Realizar reunión de equipo de mejoramiento donde se revisen los formatos que debe tener cada carpeta contractual y las dificultades que se pueden presentar para su diligenciamiento en la actual modalidad de trabajo </t>
  </si>
  <si>
    <t xml:space="preserve">Realizar reuniones cada dos meses para revisar las carpetas de contratos las cuales deben contar con todos los formatos correspondientes diligenciados de acuerdo con los procedimientos del proceso.  </t>
  </si>
  <si>
    <t xml:space="preserve">Definir compromisos para atender las debilidades identificadas que no permiten tener los documentos necesarios en las carpetas contractuales </t>
  </si>
  <si>
    <t>Implementar más estrategias para el empoderamiento de la Política de cero papel en la comunidad universitaria</t>
  </si>
  <si>
    <t xml:space="preserve">Charla Eficiciencia administrativa y cero papel a 95 dependencias  </t>
  </si>
  <si>
    <t>#de dependencias asistentes/ # total de dependencias</t>
  </si>
  <si>
    <t>1)Realizar Charla eficiencia administrativa y cero papel.
2) Re-capacitación SGD ORFEO</t>
  </si>
  <si>
    <t>Listado de Asistencia, fotos, comunicaciones</t>
  </si>
  <si>
    <t>Involucrar a otros funcionarios del proceso en la implementación del Sistemas de Gestión de Calidad</t>
  </si>
  <si>
    <t>Participación activa del total de funcionarios del proceso de Gestión Documental en reuniones de equipo y actividades a desarrollar</t>
  </si>
  <si>
    <t># de funcionarios involucrados en el proceso de GD/ # total de funcionarios del proceso GD</t>
  </si>
  <si>
    <t>1)Realizar reuniones equipo de mejoramiento con el total de funcionarios del proceso
2) Gestionar capacitaciones en temas de Gestión Documental para el equipo de trabajo</t>
  </si>
  <si>
    <t xml:space="preserve">Actas de reuniones, Listado de Asistencia </t>
  </si>
  <si>
    <t>La revisión y aprobación de los planes de mejoramiento producto de las auditorias de control interno, Para que se establecezcan acciones que impacten al proceso en busca del mejoramiento continuo</t>
  </si>
  <si>
    <t>100% de planes revisados y aprobados</t>
  </si>
  <si>
    <t>(Planes de mejoramiento de auditorias de control revisados y aprobados /Planes de mejoramiento de auditorias de control inetrno recibidos) x 100%</t>
  </si>
  <si>
    <t>Solicitar capacitación en análisis de causas y Planes de mejoramiento.</t>
  </si>
  <si>
    <t xml:space="preserve">Revisar en reunión de equipo de mejoramiento los planes de mejoramiento producto de auditorias de control. </t>
  </si>
  <si>
    <t xml:space="preserve">Acta de reunión de equipo de mejoramiento </t>
  </si>
  <si>
    <t>Tener en cuenta como entrada para la planificación del proceso, los planes de mejoramiento de los programas académicos.</t>
  </si>
  <si>
    <t>Matriz de caracterización del proceso  actualizada</t>
  </si>
  <si>
    <t xml:space="preserve">Revisar la matriz de caracterización del proceso en reunión de equipo de mejoramiento </t>
  </si>
  <si>
    <t xml:space="preserve">Actualizar la matriz de caracterización del proceso </t>
  </si>
  <si>
    <t xml:space="preserve">matriz de caracterización actualizada </t>
  </si>
  <si>
    <t>Considerar incluir en el procedimiento de auditorías internas, qué se debe hacer cuando por caso fortuito o fuerza mayor, el proceso no puede aportar los documentos requeridos que evidencien el cumplimiento de un requisito.</t>
  </si>
  <si>
    <t xml:space="preserve">Procedimiento actualizado </t>
  </si>
  <si>
    <t>Incluir en el procedimiento de Auditorias Internas, el proceder cuando se presentan casos de fuerza mayor que impidan la revisión de algun requisito.</t>
  </si>
  <si>
    <t>Procedimiento actualizado</t>
  </si>
  <si>
    <t>La organización no garantiza que la información requerida por el sistema esté disponible y sea idónea para su uso. Al solicitar las actas producto del acompañamiento realizado por la Unidad de Control Interno a los procesos de Infraestructura y extensión por presentar extemporaneidad en la respuesta a las quejas con id 1542, 1579, 1562,  se evidencia que no se encuentran firmadas por el proceso que recibe acompañamiento. 7.5.3.1 NTC ISO 9001: 2015</t>
  </si>
  <si>
    <t>100% actas firmadas</t>
  </si>
  <si>
    <t>(Actas elaboradas y firmadas por las partes/acompañamientos solicitados por quejas) x 100%</t>
  </si>
  <si>
    <t>Revisar el paso 5 y 7 del procedimiento PGDC – 010 Administración de Peticiones, Quejas, Reclamos, Sugerencias y Denuncias, en reunión de equipo de mejoramiento</t>
  </si>
  <si>
    <t>Informar a la Unidad de Desarrollo Organizacional y Gestión de la Calidad las observaciones y/o ajustes resultantes del ejercicio de revisión del procedimiento</t>
  </si>
  <si>
    <t>Realizar el acompañamiento para dar respuesta a las quejas de acuerdo a la actualización del procedimiento, dejando las evidencias pertinentes de la gestión realizada</t>
  </si>
  <si>
    <t>Acompañamiento realizado (correos electrónicos)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</si>
</sst>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_€_-;\-* #,##0.00\ _€_-;_-* &quot;-&quot;??\ _€_-;_-@_-"/>
    <numFmt numFmtId="165" formatCode="_([$€]* #,##0.00_);_([$€]* \(#,##0.00\);_([$€]* \-??_);_(@_)"/>
  </numFmts>
  <fonts count="53">
    <font>
      <sz val="10"/>
      <name val="Arial"/>
    </font>
    <font>
      <sz val="11"/>
      <color theme="1"/>
      <name val="Calibri"/>
      <family val="2"/>
      <scheme val="minor"/>
    </font>
    <font>
      <sz val="10"/>
      <name val="Verdana"/>
      <family val="2"/>
    </font>
    <font>
      <sz val="10"/>
      <name val="Arial"/>
      <family val="2"/>
    </font>
    <font>
      <sz val="8"/>
      <name val="Tahoma"/>
      <family val="2"/>
    </font>
    <font>
      <b/>
      <sz val="8"/>
      <name val="Tahoma"/>
      <family val="2"/>
    </font>
    <font>
      <sz val="10"/>
      <color indexed="8"/>
      <name val="Tahoma"/>
      <family val="2"/>
    </font>
    <font>
      <sz val="9"/>
      <name val="Arial"/>
      <family val="2"/>
    </font>
    <font>
      <b/>
      <sz val="9"/>
      <name val="Arial"/>
      <family val="2"/>
    </font>
    <font>
      <sz val="9"/>
      <color indexed="8"/>
      <name val="Tahoma"/>
      <family val="2"/>
    </font>
    <font>
      <b/>
      <sz val="8"/>
      <color theme="0"/>
      <name val="Tahoma"/>
      <family val="2"/>
    </font>
    <font>
      <b/>
      <sz val="10"/>
      <color theme="0"/>
      <name val="Tahoma"/>
      <family val="2"/>
    </font>
    <font>
      <b/>
      <sz val="9"/>
      <color theme="0"/>
      <name val="Tahoma"/>
      <family val="2"/>
    </font>
    <font>
      <i/>
      <sz val="10"/>
      <color theme="3" tint="0.39997558519241921"/>
      <name val="Tahoma"/>
      <family val="2"/>
    </font>
    <font>
      <sz val="9"/>
      <name val="Tahoma"/>
      <family val="2"/>
    </font>
    <font>
      <sz val="11"/>
      <color indexed="8"/>
      <name val="Calibri"/>
      <family val="2"/>
    </font>
    <font>
      <b/>
      <sz val="9"/>
      <name val="Tahoma"/>
      <family val="2"/>
    </font>
    <font>
      <b/>
      <sz val="14"/>
      <name val="Tahoma"/>
      <family val="2"/>
    </font>
    <font>
      <b/>
      <sz val="12"/>
      <name val="Tahoma"/>
      <family val="2"/>
    </font>
    <font>
      <i/>
      <sz val="10"/>
      <color theme="0"/>
      <name val="Tahoma"/>
      <family val="2"/>
    </font>
    <font>
      <sz val="10"/>
      <color theme="0"/>
      <name val="Tahoma"/>
      <family val="2"/>
    </font>
    <font>
      <sz val="10"/>
      <color theme="0"/>
      <name val="Arial"/>
      <family val="2"/>
    </font>
    <font>
      <u/>
      <sz val="10"/>
      <color theme="10"/>
      <name val="Arial"/>
      <family val="2"/>
    </font>
    <font>
      <sz val="10"/>
      <name val="Tahoma"/>
      <family val="2"/>
    </font>
    <font>
      <sz val="9"/>
      <color rgb="FF000000"/>
      <name val="Tahoma"/>
      <family val="2"/>
    </font>
    <font>
      <b/>
      <sz val="14"/>
      <name val="Benguiat Bk BT"/>
      <family val="1"/>
    </font>
    <font>
      <b/>
      <sz val="9"/>
      <name val="Benguiat Bk BT"/>
      <family val="1"/>
    </font>
    <font>
      <sz val="9"/>
      <name val="Benguiat Bk BT"/>
      <family val="1"/>
    </font>
    <font>
      <b/>
      <sz val="12"/>
      <name val="Benguiat Bk BT"/>
      <family val="1"/>
    </font>
    <font>
      <b/>
      <sz val="9"/>
      <color indexed="8"/>
      <name val="Tahoma"/>
      <family val="2"/>
    </font>
    <font>
      <sz val="9"/>
      <color theme="1" tint="0.249977111117893"/>
      <name val="Tahoma"/>
      <family val="2"/>
    </font>
    <font>
      <sz val="8"/>
      <color theme="1" tint="0.249977111117893"/>
      <name val="Tahoma"/>
      <family val="2"/>
    </font>
    <font>
      <sz val="10"/>
      <color theme="1"/>
      <name val="Tahoma"/>
      <family val="2"/>
    </font>
    <font>
      <sz val="8"/>
      <color indexed="8"/>
      <name val="Tahoma"/>
      <family val="2"/>
    </font>
    <font>
      <sz val="12"/>
      <name val="Tahoma"/>
      <family val="2"/>
    </font>
    <font>
      <b/>
      <sz val="10"/>
      <name val="Tahoma"/>
      <family val="2"/>
    </font>
    <font>
      <b/>
      <sz val="10"/>
      <color indexed="8"/>
      <name val="Tahoma"/>
      <family val="2"/>
    </font>
    <font>
      <b/>
      <sz val="10"/>
      <name val="Arial"/>
      <family val="2"/>
    </font>
    <font>
      <b/>
      <sz val="9"/>
      <color rgb="FF000000"/>
      <name val="Tahoma"/>
      <family val="2"/>
    </font>
    <font>
      <sz val="11"/>
      <color theme="1"/>
      <name val="Tahoma"/>
      <family val="2"/>
    </font>
    <font>
      <b/>
      <sz val="11"/>
      <name val="Tahoma"/>
      <family val="2"/>
    </font>
    <font>
      <sz val="8"/>
      <color theme="1"/>
      <name val="Tahoma"/>
      <family val="2"/>
    </font>
    <font>
      <sz val="11"/>
      <color indexed="8"/>
      <name val="Tahoma"/>
      <family val="2"/>
    </font>
    <font>
      <sz val="11"/>
      <name val="Tahoma"/>
      <family val="2"/>
    </font>
    <font>
      <sz val="11"/>
      <name val="Arial"/>
      <family val="2"/>
    </font>
    <font>
      <sz val="11"/>
      <name val="Verdana"/>
      <family val="2"/>
    </font>
    <font>
      <b/>
      <sz val="11"/>
      <name val="Benguiat Bk BT"/>
      <family val="1"/>
    </font>
    <font>
      <sz val="11"/>
      <name val="Benguiat Bk BT"/>
      <family val="1"/>
    </font>
    <font>
      <b/>
      <sz val="11"/>
      <color theme="0"/>
      <name val="Tahoma"/>
      <family val="2"/>
    </font>
    <font>
      <b/>
      <sz val="11"/>
      <name val="Arial"/>
      <family val="2"/>
    </font>
    <font>
      <i/>
      <sz val="11"/>
      <color theme="3" tint="0.39997558519241921"/>
      <name val="Tahoma"/>
      <family val="2"/>
    </font>
    <font>
      <sz val="11"/>
      <name val="Calibri"/>
      <family val="2"/>
      <scheme val="minor"/>
    </font>
    <font>
      <sz val="9"/>
      <name val="Calibri"/>
      <family val="2"/>
      <scheme val="minor"/>
    </font>
  </fonts>
  <fills count="9">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008000"/>
        <bgColor indexed="64"/>
      </patternFill>
    </fill>
    <fill>
      <patternFill patternType="solid">
        <fgColor rgb="FFFFFF00"/>
        <bgColor indexed="64"/>
      </patternFill>
    </fill>
    <fill>
      <patternFill patternType="solid">
        <fgColor theme="0"/>
        <bgColor indexed="64"/>
      </patternFill>
    </fill>
    <fill>
      <patternFill patternType="solid">
        <fgColor rgb="FFCEF3FE"/>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s>
  <cellStyleXfs count="12">
    <xf numFmtId="0" fontId="0" fillId="0" borderId="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15" fillId="0" borderId="0"/>
    <xf numFmtId="165" fontId="15" fillId="0" borderId="0" applyFill="0" applyBorder="0" applyAlignment="0" applyProtection="0"/>
    <xf numFmtId="0" fontId="3" fillId="0" borderId="0"/>
    <xf numFmtId="0" fontId="22" fillId="0" borderId="0" applyNumberFormat="0" applyFill="0" applyBorder="0" applyAlignment="0" applyProtection="0"/>
    <xf numFmtId="0" fontId="1" fillId="0" borderId="0"/>
    <xf numFmtId="0" fontId="15" fillId="0" borderId="0"/>
    <xf numFmtId="0" fontId="3" fillId="0" borderId="0"/>
  </cellStyleXfs>
  <cellXfs count="1438">
    <xf numFmtId="0" fontId="0" fillId="0" borderId="0" xfId="0"/>
    <xf numFmtId="0" fontId="3" fillId="0" borderId="0" xfId="2"/>
    <xf numFmtId="0" fontId="3" fillId="0" borderId="0" xfId="1"/>
    <xf numFmtId="0" fontId="3" fillId="0" borderId="0" xfId="1" applyFont="1"/>
    <xf numFmtId="0" fontId="5" fillId="0" borderId="1" xfId="1" applyFont="1" applyBorder="1" applyAlignment="1">
      <alignment vertical="top"/>
    </xf>
    <xf numFmtId="9" fontId="4" fillId="0" borderId="1" xfId="1" applyNumberFormat="1" applyFont="1" applyFill="1" applyBorder="1" applyAlignment="1">
      <alignment horizontal="center" vertical="center" wrapText="1"/>
    </xf>
    <xf numFmtId="0" fontId="3" fillId="0" borderId="0" xfId="1" applyFont="1" applyAlignment="1">
      <alignment wrapText="1"/>
    </xf>
    <xf numFmtId="0" fontId="3" fillId="0" borderId="0" xfId="1" applyAlignment="1">
      <alignment wrapText="1"/>
    </xf>
    <xf numFmtId="0" fontId="13" fillId="0" borderId="0" xfId="1" applyFont="1" applyAlignment="1">
      <alignment vertical="center"/>
    </xf>
    <xf numFmtId="0" fontId="9" fillId="0" borderId="1" xfId="0" applyFont="1" applyBorder="1" applyAlignment="1">
      <alignment horizontal="center" vertical="center" wrapText="1"/>
    </xf>
    <xf numFmtId="0" fontId="3" fillId="0" borderId="0" xfId="0" applyFont="1"/>
    <xf numFmtId="0" fontId="3" fillId="0" borderId="0" xfId="0" applyFont="1" applyAlignment="1">
      <alignment wrapText="1"/>
    </xf>
    <xf numFmtId="0" fontId="0" fillId="0" borderId="0" xfId="0" applyAlignment="1">
      <alignment wrapText="1"/>
    </xf>
    <xf numFmtId="0" fontId="5" fillId="0" borderId="1"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14" fontId="5" fillId="3" borderId="1" xfId="0" applyNumberFormat="1" applyFont="1" applyFill="1" applyBorder="1" applyAlignment="1">
      <alignment horizontal="center" vertical="center" wrapText="1"/>
    </xf>
    <xf numFmtId="0" fontId="5" fillId="0" borderId="4" xfId="0" applyFont="1" applyBorder="1" applyAlignment="1">
      <alignment horizontal="left" vertical="center" wrapText="1"/>
    </xf>
    <xf numFmtId="0" fontId="5" fillId="0" borderId="3" xfId="0" applyFont="1" applyBorder="1" applyAlignment="1">
      <alignment horizontal="center" vertical="center" wrapText="1"/>
    </xf>
    <xf numFmtId="0" fontId="16" fillId="0" borderId="6" xfId="0" applyFont="1" applyBorder="1" applyAlignment="1">
      <alignment horizontal="center" vertical="center" wrapText="1"/>
    </xf>
    <xf numFmtId="14" fontId="14" fillId="0" borderId="1" xfId="0" applyNumberFormat="1" applyFont="1" applyBorder="1" applyAlignment="1">
      <alignment horizontal="center" vertical="center" textRotation="90" wrapText="1"/>
    </xf>
    <xf numFmtId="14" fontId="14" fillId="0" borderId="1" xfId="0" applyNumberFormat="1" applyFont="1" applyBorder="1" applyAlignment="1">
      <alignment horizontal="center" vertical="center" wrapText="1"/>
    </xf>
    <xf numFmtId="14" fontId="14" fillId="0" borderId="6"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4" fillId="2"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6" xfId="0" applyFont="1" applyFill="1" applyBorder="1" applyAlignment="1">
      <alignment horizontal="center" vertical="center" wrapText="1"/>
    </xf>
    <xf numFmtId="14" fontId="7" fillId="0" borderId="1" xfId="0" applyNumberFormat="1" applyFont="1" applyBorder="1" applyAlignment="1">
      <alignment horizontal="center" vertical="center" wrapText="1"/>
    </xf>
    <xf numFmtId="0" fontId="6" fillId="0" borderId="1" xfId="0" applyFont="1" applyBorder="1" applyAlignment="1">
      <alignment vertical="center" wrapText="1"/>
    </xf>
    <xf numFmtId="0" fontId="5" fillId="0" borderId="1" xfId="0" applyFont="1" applyBorder="1" applyAlignment="1">
      <alignment horizontal="center" vertical="center" wrapText="1"/>
    </xf>
    <xf numFmtId="9" fontId="4" fillId="0" borderId="1" xfId="0" applyNumberFormat="1" applyFont="1" applyFill="1" applyBorder="1" applyAlignment="1">
      <alignment horizontal="center" vertical="center" wrapText="1"/>
    </xf>
    <xf numFmtId="0" fontId="4" fillId="0" borderId="1" xfId="0" applyFont="1" applyFill="1" applyBorder="1" applyAlignment="1">
      <alignment horizontal="justify" vertical="center" wrapText="1"/>
    </xf>
    <xf numFmtId="0" fontId="5" fillId="0" borderId="6" xfId="0" applyFont="1" applyBorder="1" applyAlignment="1">
      <alignment horizontal="left" vertical="center" wrapText="1"/>
    </xf>
    <xf numFmtId="14" fontId="14" fillId="0" borderId="3" xfId="0" applyNumberFormat="1" applyFont="1" applyBorder="1" applyAlignment="1">
      <alignment horizontal="center" vertical="center" wrapText="1"/>
    </xf>
    <xf numFmtId="0" fontId="5" fillId="0" borderId="1" xfId="0" applyFont="1" applyBorder="1" applyAlignment="1">
      <alignment vertical="top"/>
    </xf>
    <xf numFmtId="0" fontId="13" fillId="0" borderId="0" xfId="0" applyFont="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20" fillId="0" borderId="0" xfId="0" applyFont="1" applyAlignment="1">
      <alignment vertical="center"/>
    </xf>
    <xf numFmtId="0" fontId="20" fillId="0" borderId="0" xfId="0" applyFont="1" applyAlignment="1">
      <alignment vertical="center" wrapText="1"/>
    </xf>
    <xf numFmtId="0" fontId="21" fillId="0" borderId="0" xfId="0" applyFont="1" applyAlignment="1"/>
    <xf numFmtId="0" fontId="21" fillId="0" borderId="0" xfId="0" applyFont="1" applyAlignment="1">
      <alignment horizontal="center" vertical="center" wrapText="1"/>
    </xf>
    <xf numFmtId="0" fontId="21" fillId="0" borderId="0" xfId="0" applyFont="1" applyAlignment="1">
      <alignment vertical="center"/>
    </xf>
    <xf numFmtId="0" fontId="22" fillId="0" borderId="1" xfId="8" applyBorder="1" applyAlignment="1">
      <alignment horizontal="center" vertical="center" wrapText="1"/>
    </xf>
    <xf numFmtId="0" fontId="5" fillId="0" borderId="1" xfId="1" applyFont="1" applyFill="1" applyBorder="1" applyAlignment="1">
      <alignment horizontal="center" vertical="center" wrapText="1"/>
    </xf>
    <xf numFmtId="0" fontId="5" fillId="3" borderId="1" xfId="1" applyFont="1" applyFill="1" applyBorder="1" applyAlignment="1">
      <alignment horizontal="center" vertical="center" wrapText="1"/>
    </xf>
    <xf numFmtId="0" fontId="5" fillId="0" borderId="1" xfId="1" applyFont="1" applyBorder="1" applyAlignment="1">
      <alignment horizontal="center" vertical="center" wrapText="1"/>
    </xf>
    <xf numFmtId="14" fontId="5" fillId="3" borderId="1" xfId="1" applyNumberFormat="1" applyFont="1" applyFill="1" applyBorder="1" applyAlignment="1">
      <alignment horizontal="center" vertical="center" wrapText="1"/>
    </xf>
    <xf numFmtId="0" fontId="5" fillId="0" borderId="11" xfId="1" applyFont="1" applyBorder="1" applyAlignment="1">
      <alignment horizontal="center" vertical="center" wrapText="1"/>
    </xf>
    <xf numFmtId="0" fontId="5" fillId="0" borderId="4" xfId="1" applyFont="1" applyBorder="1" applyAlignment="1">
      <alignment horizontal="center" vertical="center" wrapText="1"/>
    </xf>
    <xf numFmtId="14" fontId="14" fillId="0" borderId="1" xfId="1" applyNumberFormat="1" applyFont="1" applyBorder="1" applyAlignment="1">
      <alignment horizontal="center" vertical="center" textRotation="90" wrapText="1"/>
    </xf>
    <xf numFmtId="0" fontId="5" fillId="0" borderId="3" xfId="1" applyFont="1" applyBorder="1" applyAlignment="1">
      <alignment horizontal="center" vertical="center" wrapText="1"/>
    </xf>
    <xf numFmtId="0" fontId="5" fillId="0" borderId="1" xfId="1" applyFont="1" applyBorder="1" applyAlignment="1">
      <alignment horizontal="center" vertical="center" wrapText="1"/>
    </xf>
    <xf numFmtId="14" fontId="5" fillId="3" borderId="1" xfId="1" applyNumberFormat="1" applyFont="1" applyFill="1" applyBorder="1" applyAlignment="1">
      <alignment horizontal="center" vertical="center" wrapText="1"/>
    </xf>
    <xf numFmtId="14" fontId="5" fillId="3" borderId="6" xfId="1" applyNumberFormat="1" applyFont="1" applyFill="1" applyBorder="1" applyAlignment="1">
      <alignment horizontal="center" vertical="center" wrapText="1"/>
    </xf>
    <xf numFmtId="0" fontId="5" fillId="3" borderId="1" xfId="1" applyFont="1" applyFill="1" applyBorder="1" applyAlignment="1">
      <alignment horizontal="center" vertical="center" wrapText="1"/>
    </xf>
    <xf numFmtId="0" fontId="5" fillId="3" borderId="6" xfId="1" applyFont="1" applyFill="1" applyBorder="1" applyAlignment="1">
      <alignment horizontal="center" vertical="center" wrapText="1"/>
    </xf>
    <xf numFmtId="0" fontId="11" fillId="5" borderId="14" xfId="1" applyFont="1" applyFill="1" applyBorder="1" applyAlignment="1">
      <alignment horizontal="center" vertical="center" wrapText="1"/>
    </xf>
    <xf numFmtId="0" fontId="12" fillId="5" borderId="5" xfId="1" applyFont="1" applyFill="1" applyBorder="1" applyAlignment="1">
      <alignment horizontal="center" vertical="center" wrapText="1"/>
    </xf>
    <xf numFmtId="0" fontId="14" fillId="0" borderId="1" xfId="1" applyFont="1" applyFill="1" applyBorder="1" applyAlignment="1">
      <alignment horizontal="center" vertical="center" wrapText="1"/>
    </xf>
    <xf numFmtId="14" fontId="14" fillId="0" borderId="1" xfId="1" applyNumberFormat="1" applyFont="1" applyBorder="1" applyAlignment="1">
      <alignment horizontal="center" vertical="center" wrapText="1"/>
    </xf>
    <xf numFmtId="0" fontId="16" fillId="0" borderId="1" xfId="1" applyFont="1" applyBorder="1" applyAlignment="1">
      <alignment horizontal="center" vertical="center" wrapText="1"/>
    </xf>
    <xf numFmtId="0" fontId="14" fillId="2" borderId="1" xfId="1" applyFont="1" applyFill="1" applyBorder="1" applyAlignment="1">
      <alignment horizontal="center" vertical="center" wrapText="1"/>
    </xf>
    <xf numFmtId="0" fontId="24" fillId="0" borderId="3" xfId="1" applyFont="1" applyBorder="1" applyAlignment="1">
      <alignment horizontal="center" vertical="center" wrapText="1"/>
    </xf>
    <xf numFmtId="14" fontId="3" fillId="0" borderId="3" xfId="1" applyNumberFormat="1" applyBorder="1" applyAlignment="1">
      <alignment horizontal="center" vertical="center" wrapText="1"/>
    </xf>
    <xf numFmtId="0" fontId="6" fillId="0" borderId="1" xfId="1" applyFont="1" applyBorder="1" applyAlignment="1">
      <alignment vertical="center" wrapText="1"/>
    </xf>
    <xf numFmtId="0" fontId="4" fillId="0" borderId="1" xfId="1" applyFont="1" applyFill="1" applyBorder="1" applyAlignment="1">
      <alignment horizontal="justify" vertical="center" wrapText="1"/>
    </xf>
    <xf numFmtId="0" fontId="9" fillId="0" borderId="1" xfId="1" applyFont="1" applyBorder="1" applyAlignment="1">
      <alignment horizontal="center" vertical="center" wrapText="1"/>
    </xf>
    <xf numFmtId="14" fontId="3" fillId="0" borderId="1" xfId="1" applyNumberFormat="1" applyBorder="1" applyAlignment="1">
      <alignment horizontal="center" vertical="center" wrapText="1"/>
    </xf>
    <xf numFmtId="0" fontId="5" fillId="0" borderId="3" xfId="1" applyFont="1" applyBorder="1" applyAlignment="1">
      <alignment horizontal="left" vertical="center" wrapText="1"/>
    </xf>
    <xf numFmtId="0" fontId="16" fillId="0" borderId="3" xfId="1" applyFont="1" applyBorder="1" applyAlignment="1">
      <alignment horizontal="center" vertical="center" wrapText="1"/>
    </xf>
    <xf numFmtId="14" fontId="14" fillId="0" borderId="3" xfId="1" applyNumberFormat="1" applyFont="1" applyBorder="1" applyAlignment="1">
      <alignment horizontal="center" vertical="center" wrapText="1"/>
    </xf>
    <xf numFmtId="0" fontId="14" fillId="0" borderId="3" xfId="1" applyFont="1" applyFill="1" applyBorder="1" applyAlignment="1">
      <alignment horizontal="center" vertical="center" wrapText="1"/>
    </xf>
    <xf numFmtId="0" fontId="19" fillId="0" borderId="0" xfId="1" applyFont="1" applyAlignment="1">
      <alignment vertical="center"/>
    </xf>
    <xf numFmtId="0" fontId="20" fillId="0" borderId="0" xfId="1" applyFont="1" applyAlignment="1">
      <alignment horizontal="center" vertical="center"/>
    </xf>
    <xf numFmtId="0" fontId="20" fillId="0" borderId="0" xfId="1" applyFont="1" applyAlignment="1">
      <alignment vertical="center"/>
    </xf>
    <xf numFmtId="0" fontId="20" fillId="0" borderId="0" xfId="1" applyFont="1" applyAlignment="1">
      <alignment vertical="center" wrapText="1"/>
    </xf>
    <xf numFmtId="0" fontId="21" fillId="0" borderId="0" xfId="1" applyFont="1" applyAlignment="1"/>
    <xf numFmtId="0" fontId="21" fillId="0" borderId="0" xfId="1" applyFont="1" applyAlignment="1">
      <alignment horizontal="center" vertical="center" wrapText="1"/>
    </xf>
    <xf numFmtId="0" fontId="21" fillId="0" borderId="0" xfId="1" applyFont="1" applyAlignment="1">
      <alignment vertical="center"/>
    </xf>
    <xf numFmtId="0" fontId="9" fillId="0" borderId="1" xfId="1" applyFont="1" applyBorder="1" applyAlignment="1">
      <alignment horizontal="center" vertical="center" wrapText="1"/>
    </xf>
    <xf numFmtId="14" fontId="14" fillId="0" borderId="1" xfId="1" applyNumberFormat="1" applyFont="1" applyBorder="1" applyAlignment="1">
      <alignment horizontal="center" vertical="center" wrapText="1"/>
    </xf>
    <xf numFmtId="14" fontId="14" fillId="0" borderId="3" xfId="1" applyNumberFormat="1" applyFont="1" applyBorder="1" applyAlignment="1">
      <alignment horizontal="center" vertical="center" wrapText="1"/>
    </xf>
    <xf numFmtId="0" fontId="16" fillId="0" borderId="1" xfId="1" applyFont="1" applyBorder="1" applyAlignment="1">
      <alignment horizontal="center" vertical="center" wrapText="1"/>
    </xf>
    <xf numFmtId="0" fontId="14" fillId="2" borderId="1" xfId="1" applyFont="1" applyFill="1" applyBorder="1" applyAlignment="1">
      <alignment horizontal="center" vertical="center" wrapText="1"/>
    </xf>
    <xf numFmtId="0" fontId="5" fillId="3" borderId="1" xfId="1" applyFont="1" applyFill="1" applyBorder="1" applyAlignment="1">
      <alignment horizontal="center" vertical="center" wrapText="1"/>
    </xf>
    <xf numFmtId="0" fontId="5" fillId="0" borderId="3" xfId="1" applyFont="1" applyBorder="1" applyAlignment="1">
      <alignment horizontal="center" vertical="center" wrapText="1"/>
    </xf>
    <xf numFmtId="0" fontId="5" fillId="3" borderId="6" xfId="1" applyFont="1" applyFill="1" applyBorder="1" applyAlignment="1">
      <alignment horizontal="center" vertical="center" wrapText="1"/>
    </xf>
    <xf numFmtId="14" fontId="5" fillId="3" borderId="1" xfId="1" applyNumberFormat="1" applyFont="1" applyFill="1" applyBorder="1" applyAlignment="1">
      <alignment horizontal="center" vertical="center" wrapText="1"/>
    </xf>
    <xf numFmtId="14" fontId="5" fillId="3" borderId="6" xfId="1" applyNumberFormat="1" applyFont="1" applyFill="1" applyBorder="1" applyAlignment="1">
      <alignment horizontal="center" vertical="center" wrapText="1"/>
    </xf>
    <xf numFmtId="0" fontId="5" fillId="0" borderId="1" xfId="1" applyFont="1" applyBorder="1" applyAlignment="1">
      <alignment horizontal="center" vertical="center" wrapText="1"/>
    </xf>
    <xf numFmtId="0" fontId="3" fillId="0" borderId="0" xfId="1" applyBorder="1"/>
    <xf numFmtId="0" fontId="3" fillId="0" borderId="0" xfId="1" applyFont="1" applyBorder="1"/>
    <xf numFmtId="0" fontId="3" fillId="0" borderId="0" xfId="1" applyFont="1" applyBorder="1" applyAlignment="1">
      <alignment wrapText="1"/>
    </xf>
    <xf numFmtId="0" fontId="3" fillId="0" borderId="0" xfId="1" applyBorder="1" applyAlignment="1">
      <alignment wrapText="1"/>
    </xf>
    <xf numFmtId="0" fontId="5" fillId="0" borderId="8" xfId="1" applyFont="1" applyFill="1" applyBorder="1" applyAlignment="1">
      <alignment horizontal="center" vertical="center" wrapText="1"/>
    </xf>
    <xf numFmtId="0" fontId="11" fillId="5" borderId="15" xfId="1" applyFont="1" applyFill="1" applyBorder="1" applyAlignment="1">
      <alignment horizontal="center" vertical="center" wrapText="1"/>
    </xf>
    <xf numFmtId="0" fontId="12" fillId="5" borderId="6" xfId="1" applyFont="1" applyFill="1" applyBorder="1" applyAlignment="1">
      <alignment horizontal="center" vertical="center" wrapText="1"/>
    </xf>
    <xf numFmtId="0" fontId="4" fillId="2" borderId="2" xfId="1" applyFont="1" applyFill="1" applyBorder="1" applyAlignment="1">
      <alignment horizontal="center" vertical="center" wrapText="1"/>
    </xf>
    <xf numFmtId="0" fontId="6" fillId="0" borderId="2" xfId="1" applyFont="1" applyBorder="1" applyAlignment="1">
      <alignment horizontal="center" vertical="center" wrapText="1"/>
    </xf>
    <xf numFmtId="14" fontId="6" fillId="0" borderId="2" xfId="1" applyNumberFormat="1" applyFont="1" applyBorder="1" applyAlignment="1">
      <alignment horizontal="center" vertical="center" wrapText="1"/>
    </xf>
    <xf numFmtId="9" fontId="4" fillId="0" borderId="2" xfId="1" applyNumberFormat="1" applyFont="1" applyFill="1" applyBorder="1" applyAlignment="1">
      <alignment horizontal="center" vertical="center" wrapText="1"/>
    </xf>
    <xf numFmtId="0" fontId="5" fillId="0" borderId="2" xfId="1" applyFont="1" applyBorder="1" applyAlignment="1">
      <alignment horizontal="center" vertical="center" wrapText="1"/>
    </xf>
    <xf numFmtId="0" fontId="9" fillId="0" borderId="21" xfId="1" applyFont="1" applyBorder="1" applyAlignment="1">
      <alignment horizontal="center" vertical="center" wrapText="1"/>
    </xf>
    <xf numFmtId="0" fontId="6" fillId="0" borderId="0" xfId="1" applyFont="1" applyBorder="1" applyAlignment="1">
      <alignment vertical="center" wrapText="1"/>
    </xf>
    <xf numFmtId="0" fontId="4" fillId="2" borderId="1" xfId="1" applyFont="1" applyFill="1" applyBorder="1" applyAlignment="1">
      <alignment horizontal="center" vertical="center" wrapText="1"/>
    </xf>
    <xf numFmtId="0" fontId="6" fillId="0" borderId="1" xfId="1" applyFont="1" applyBorder="1" applyAlignment="1">
      <alignment horizontal="center" vertical="center" wrapText="1"/>
    </xf>
    <xf numFmtId="14" fontId="6" fillId="0" borderId="1" xfId="1" applyNumberFormat="1" applyFont="1" applyBorder="1" applyAlignment="1">
      <alignment horizontal="center" vertical="center" wrapText="1"/>
    </xf>
    <xf numFmtId="0" fontId="9" fillId="0" borderId="25" xfId="1" applyFont="1" applyBorder="1" applyAlignment="1">
      <alignment horizontal="center" vertical="center" wrapText="1"/>
    </xf>
    <xf numFmtId="0" fontId="4" fillId="2" borderId="27" xfId="1" applyFont="1" applyFill="1" applyBorder="1" applyAlignment="1">
      <alignment horizontal="center" vertical="center" wrapText="1"/>
    </xf>
    <xf numFmtId="9" fontId="6" fillId="0" borderId="5" xfId="1" applyNumberFormat="1" applyFont="1" applyBorder="1" applyAlignment="1">
      <alignment horizontal="center" vertical="center" wrapText="1"/>
    </xf>
    <xf numFmtId="0" fontId="6" fillId="0" borderId="5" xfId="1" applyFont="1" applyBorder="1" applyAlignment="1">
      <alignment horizontal="center" vertical="center" wrapText="1"/>
    </xf>
    <xf numFmtId="14" fontId="6" fillId="0" borderId="5" xfId="1" applyNumberFormat="1" applyFont="1" applyBorder="1" applyAlignment="1">
      <alignment horizontal="center" vertical="center" wrapText="1"/>
    </xf>
    <xf numFmtId="9" fontId="4" fillId="0" borderId="5" xfId="1" applyNumberFormat="1" applyFont="1" applyFill="1" applyBorder="1" applyAlignment="1">
      <alignment horizontal="center" vertical="center" wrapText="1"/>
    </xf>
    <xf numFmtId="0" fontId="5" fillId="0" borderId="5" xfId="1" applyFont="1" applyBorder="1" applyAlignment="1">
      <alignment horizontal="center" vertical="center" wrapText="1"/>
    </xf>
    <xf numFmtId="0" fontId="9" fillId="0" borderId="31" xfId="1" applyFont="1" applyBorder="1" applyAlignment="1">
      <alignment horizontal="center" vertical="center" wrapText="1"/>
    </xf>
    <xf numFmtId="0" fontId="3" fillId="0" borderId="32" xfId="1" applyBorder="1"/>
    <xf numFmtId="9" fontId="6" fillId="0" borderId="2" xfId="1" applyNumberFormat="1" applyFont="1" applyBorder="1" applyAlignment="1">
      <alignment horizontal="center" vertical="center" wrapText="1"/>
    </xf>
    <xf numFmtId="0" fontId="3" fillId="0" borderId="9" xfId="1" applyBorder="1"/>
    <xf numFmtId="0" fontId="4" fillId="2" borderId="5" xfId="1" applyFont="1" applyFill="1" applyBorder="1" applyAlignment="1">
      <alignment horizontal="center" vertical="center" wrapText="1"/>
    </xf>
    <xf numFmtId="0" fontId="6" fillId="0" borderId="5" xfId="1" applyNumberFormat="1" applyFont="1" applyBorder="1" applyAlignment="1">
      <alignment horizontal="center" vertical="center" wrapText="1"/>
    </xf>
    <xf numFmtId="0" fontId="4" fillId="2" borderId="11" xfId="1" applyFont="1" applyFill="1" applyBorder="1" applyAlignment="1">
      <alignment horizontal="center" vertical="center" wrapText="1"/>
    </xf>
    <xf numFmtId="14" fontId="6" fillId="0" borderId="27" xfId="1" applyNumberFormat="1" applyFont="1" applyBorder="1" applyAlignment="1">
      <alignment horizontal="center" vertical="center" wrapText="1"/>
    </xf>
    <xf numFmtId="9" fontId="4" fillId="0" borderId="27" xfId="1" applyNumberFormat="1" applyFont="1" applyFill="1" applyBorder="1" applyAlignment="1">
      <alignment horizontal="center" vertical="center" wrapText="1"/>
    </xf>
    <xf numFmtId="0" fontId="5" fillId="0" borderId="27" xfId="1" applyFont="1" applyBorder="1" applyAlignment="1">
      <alignment horizontal="center" vertical="center" wrapText="1"/>
    </xf>
    <xf numFmtId="0" fontId="9" fillId="0" borderId="33" xfId="1" applyFont="1" applyBorder="1" applyAlignment="1">
      <alignment horizontal="center" vertical="center" wrapText="1"/>
    </xf>
    <xf numFmtId="0" fontId="13" fillId="0" borderId="0" xfId="1" applyFont="1" applyBorder="1" applyAlignment="1">
      <alignment vertical="center"/>
    </xf>
    <xf numFmtId="0" fontId="7" fillId="0" borderId="3" xfId="1" applyFont="1" applyBorder="1" applyAlignment="1">
      <alignment horizontal="center" vertical="center" wrapText="1"/>
    </xf>
    <xf numFmtId="0" fontId="7" fillId="0" borderId="1" xfId="1" applyFont="1" applyBorder="1" applyAlignment="1">
      <alignment horizontal="center" vertical="center" wrapText="1"/>
    </xf>
    <xf numFmtId="14" fontId="7" fillId="0" borderId="1" xfId="1" applyNumberFormat="1" applyFont="1" applyBorder="1" applyAlignment="1">
      <alignment horizontal="center" vertical="center" wrapText="1"/>
    </xf>
    <xf numFmtId="0" fontId="7" fillId="0" borderId="4" xfId="1" applyFont="1" applyBorder="1" applyAlignment="1">
      <alignment horizontal="center" vertical="center" wrapText="1"/>
    </xf>
    <xf numFmtId="14" fontId="7" fillId="0" borderId="3" xfId="1" applyNumberFormat="1" applyFont="1" applyBorder="1" applyAlignment="1">
      <alignment horizontal="center" vertical="center" wrapText="1"/>
    </xf>
    <xf numFmtId="0" fontId="5" fillId="0" borderId="6" xfId="1" applyFont="1" applyBorder="1" applyAlignment="1">
      <alignment horizontal="center" vertical="center" wrapText="1"/>
    </xf>
    <xf numFmtId="0" fontId="5" fillId="0" borderId="25" xfId="1" applyFont="1" applyFill="1" applyBorder="1" applyAlignment="1">
      <alignment horizontal="center" vertical="center" wrapText="1"/>
    </xf>
    <xf numFmtId="9" fontId="23" fillId="0" borderId="2" xfId="1" applyNumberFormat="1" applyFont="1" applyBorder="1" applyAlignment="1">
      <alignment horizontal="center" vertical="center" wrapText="1"/>
    </xf>
    <xf numFmtId="0" fontId="23" fillId="0" borderId="2" xfId="1" applyFont="1" applyBorder="1" applyAlignment="1">
      <alignment horizontal="center" vertical="center" wrapText="1"/>
    </xf>
    <xf numFmtId="14" fontId="23" fillId="0" borderId="2" xfId="1" applyNumberFormat="1" applyFont="1" applyBorder="1" applyAlignment="1">
      <alignment horizontal="center" vertical="center" wrapText="1"/>
    </xf>
    <xf numFmtId="0" fontId="9" fillId="0" borderId="21" xfId="1" applyFont="1" applyBorder="1" applyAlignment="1">
      <alignment vertical="center" wrapText="1"/>
    </xf>
    <xf numFmtId="9" fontId="23" fillId="0" borderId="1" xfId="1" applyNumberFormat="1" applyFont="1" applyBorder="1" applyAlignment="1">
      <alignment horizontal="center" vertical="center" wrapText="1"/>
    </xf>
    <xf numFmtId="0" fontId="23" fillId="0" borderId="1" xfId="1" applyFont="1" applyBorder="1" applyAlignment="1">
      <alignment horizontal="center" vertical="center" wrapText="1"/>
    </xf>
    <xf numFmtId="14" fontId="23" fillId="0" borderId="1" xfId="1" applyNumberFormat="1" applyFont="1" applyBorder="1" applyAlignment="1">
      <alignment horizontal="center" vertical="center" wrapText="1"/>
    </xf>
    <xf numFmtId="0" fontId="9" fillId="0" borderId="25" xfId="1" applyFont="1" applyFill="1" applyBorder="1" applyAlignment="1">
      <alignment vertical="center" wrapText="1"/>
    </xf>
    <xf numFmtId="0" fontId="14" fillId="0" borderId="1" xfId="1" applyFont="1" applyBorder="1" applyAlignment="1">
      <alignment horizontal="center" vertical="center" wrapText="1"/>
    </xf>
    <xf numFmtId="9" fontId="23" fillId="0" borderId="5" xfId="1" applyNumberFormat="1" applyFont="1" applyBorder="1" applyAlignment="1">
      <alignment horizontal="center" vertical="center" wrapText="1"/>
    </xf>
    <xf numFmtId="0" fontId="14" fillId="0" borderId="5" xfId="1" applyFont="1" applyBorder="1" applyAlignment="1">
      <alignment horizontal="center" vertical="center" wrapText="1"/>
    </xf>
    <xf numFmtId="14" fontId="23" fillId="0" borderId="5" xfId="1" applyNumberFormat="1" applyFont="1" applyBorder="1" applyAlignment="1">
      <alignment horizontal="center" vertical="center" wrapText="1"/>
    </xf>
    <xf numFmtId="0" fontId="5" fillId="0" borderId="43" xfId="1" applyFont="1" applyBorder="1" applyAlignment="1">
      <alignment horizontal="left" vertical="center" wrapText="1"/>
    </xf>
    <xf numFmtId="0" fontId="5" fillId="0" borderId="44" xfId="1" applyFont="1" applyBorder="1" applyAlignment="1">
      <alignment horizontal="center" vertical="center" wrapText="1"/>
    </xf>
    <xf numFmtId="14" fontId="4" fillId="0" borderId="44" xfId="1" applyNumberFormat="1" applyFont="1" applyBorder="1" applyAlignment="1">
      <alignment horizontal="center" vertical="center" textRotation="90" wrapText="1"/>
    </xf>
    <xf numFmtId="14" fontId="4" fillId="0" borderId="44" xfId="1" applyNumberFormat="1" applyFont="1" applyBorder="1" applyAlignment="1">
      <alignment horizontal="center" vertical="center" wrapText="1"/>
    </xf>
    <xf numFmtId="9" fontId="23" fillId="0" borderId="44" xfId="1" applyNumberFormat="1" applyFont="1" applyBorder="1" applyAlignment="1">
      <alignment horizontal="center" vertical="center" wrapText="1"/>
    </xf>
    <xf numFmtId="0" fontId="4" fillId="0" borderId="44" xfId="1" applyFont="1" applyBorder="1" applyAlignment="1">
      <alignment horizontal="center" vertical="center" wrapText="1"/>
    </xf>
    <xf numFmtId="14" fontId="23" fillId="0" borderId="44" xfId="1" applyNumberFormat="1" applyFont="1" applyBorder="1" applyAlignment="1">
      <alignment horizontal="center" vertical="center" wrapText="1"/>
    </xf>
    <xf numFmtId="9" fontId="4" fillId="0" borderId="44" xfId="4" applyFont="1" applyFill="1" applyBorder="1" applyAlignment="1">
      <alignment horizontal="center" vertical="center" wrapText="1"/>
    </xf>
    <xf numFmtId="0" fontId="9" fillId="0" borderId="48" xfId="1" applyFont="1" applyBorder="1" applyAlignment="1">
      <alignment vertical="center" wrapText="1"/>
    </xf>
    <xf numFmtId="0" fontId="5" fillId="0" borderId="24" xfId="1" applyFont="1" applyBorder="1" applyAlignment="1">
      <alignment horizontal="left" vertical="center" wrapText="1"/>
    </xf>
    <xf numFmtId="14" fontId="4" fillId="0" borderId="4" xfId="1" applyNumberFormat="1" applyFont="1" applyBorder="1" applyAlignment="1">
      <alignment horizontal="center" vertical="center" textRotation="90" wrapText="1"/>
    </xf>
    <xf numFmtId="14" fontId="4" fillId="0" borderId="4" xfId="1" applyNumberFormat="1" applyFont="1" applyBorder="1" applyAlignment="1">
      <alignment horizontal="center" vertical="center" wrapText="1"/>
    </xf>
    <xf numFmtId="0" fontId="23" fillId="0" borderId="4" xfId="1" applyFont="1" applyFill="1" applyBorder="1" applyAlignment="1">
      <alignment horizontal="center" vertical="center" wrapText="1"/>
    </xf>
    <xf numFmtId="0" fontId="4" fillId="0" borderId="4" xfId="1" applyFont="1" applyFill="1" applyBorder="1" applyAlignment="1">
      <alignment horizontal="center" vertical="center" wrapText="1"/>
    </xf>
    <xf numFmtId="14" fontId="23" fillId="0" borderId="4" xfId="1" applyNumberFormat="1" applyFont="1" applyFill="1" applyBorder="1" applyAlignment="1">
      <alignment horizontal="center" vertical="center" wrapText="1"/>
    </xf>
    <xf numFmtId="9" fontId="4" fillId="0" borderId="4" xfId="1" applyNumberFormat="1" applyFont="1" applyFill="1" applyBorder="1" applyAlignment="1">
      <alignment horizontal="center" vertical="center" wrapText="1"/>
    </xf>
    <xf numFmtId="0" fontId="9" fillId="0" borderId="23" xfId="1" applyFont="1" applyBorder="1" applyAlignment="1">
      <alignment vertical="center" wrapText="1"/>
    </xf>
    <xf numFmtId="0" fontId="9" fillId="0" borderId="49" xfId="1" applyFont="1" applyFill="1" applyBorder="1" applyAlignment="1">
      <alignment vertical="center" wrapText="1"/>
    </xf>
    <xf numFmtId="0" fontId="9" fillId="0" borderId="25" xfId="1" applyFont="1" applyBorder="1" applyAlignment="1">
      <alignment vertical="center" wrapText="1"/>
    </xf>
    <xf numFmtId="0" fontId="29" fillId="0" borderId="25" xfId="1" applyFont="1" applyBorder="1" applyAlignment="1">
      <alignment vertical="center" wrapText="1"/>
    </xf>
    <xf numFmtId="0" fontId="9" fillId="0" borderId="21" xfId="1" applyFont="1" applyFill="1" applyBorder="1" applyAlignment="1">
      <alignment vertical="center" wrapText="1"/>
    </xf>
    <xf numFmtId="9" fontId="4" fillId="0" borderId="11" xfId="1" applyNumberFormat="1" applyFont="1" applyFill="1" applyBorder="1" applyAlignment="1">
      <alignment horizontal="center" vertical="center" wrapText="1"/>
    </xf>
    <xf numFmtId="0" fontId="5" fillId="0" borderId="5" xfId="1" applyFont="1" applyBorder="1" applyAlignment="1">
      <alignment horizontal="center" vertical="center" wrapText="1"/>
    </xf>
    <xf numFmtId="0" fontId="4" fillId="2" borderId="5" xfId="1" applyFont="1" applyFill="1" applyBorder="1" applyAlignment="1">
      <alignment horizontal="center" vertical="center" wrapText="1"/>
    </xf>
    <xf numFmtId="0" fontId="9" fillId="0" borderId="31" xfId="1" applyFont="1" applyFill="1" applyBorder="1" applyAlignment="1">
      <alignment vertical="center" wrapText="1"/>
    </xf>
    <xf numFmtId="0" fontId="4" fillId="2" borderId="3" xfId="1" applyFont="1" applyFill="1" applyBorder="1" applyAlignment="1">
      <alignment horizontal="center" vertical="center" wrapText="1"/>
    </xf>
    <xf numFmtId="0" fontId="4" fillId="2" borderId="6" xfId="1" applyFont="1" applyFill="1" applyBorder="1" applyAlignment="1">
      <alignment horizontal="center" vertical="center" wrapText="1"/>
    </xf>
    <xf numFmtId="9" fontId="4" fillId="0" borderId="6" xfId="1" applyNumberFormat="1" applyFont="1" applyFill="1" applyBorder="1" applyAlignment="1">
      <alignment horizontal="center" vertical="center" wrapText="1"/>
    </xf>
    <xf numFmtId="14" fontId="4" fillId="0" borderId="3" xfId="1" applyNumberFormat="1" applyFont="1" applyBorder="1" applyAlignment="1">
      <alignment horizontal="center" vertical="center" wrapText="1"/>
    </xf>
    <xf numFmtId="0" fontId="4" fillId="0" borderId="11" xfId="1" applyFont="1" applyFill="1" applyBorder="1" applyAlignment="1">
      <alignment horizontal="center" vertical="center" wrapText="1"/>
    </xf>
    <xf numFmtId="0" fontId="4" fillId="0" borderId="27" xfId="1" applyFont="1" applyFill="1" applyBorder="1" applyAlignment="1">
      <alignment horizontal="center" vertical="center" wrapText="1"/>
    </xf>
    <xf numFmtId="0" fontId="4" fillId="0" borderId="44" xfId="1" applyFont="1" applyFill="1" applyBorder="1" applyAlignment="1">
      <alignment horizontal="center" vertical="center" wrapText="1"/>
    </xf>
    <xf numFmtId="0" fontId="3" fillId="0" borderId="3" xfId="1" applyBorder="1" applyAlignment="1">
      <alignment horizontal="center" vertical="center" wrapText="1"/>
    </xf>
    <xf numFmtId="0" fontId="3" fillId="0" borderId="1" xfId="1" applyBorder="1" applyAlignment="1">
      <alignment horizontal="center" vertical="center" wrapText="1"/>
    </xf>
    <xf numFmtId="0" fontId="6" fillId="0" borderId="3" xfId="1" applyFont="1" applyBorder="1" applyAlignment="1">
      <alignment vertical="center" wrapText="1"/>
    </xf>
    <xf numFmtId="0" fontId="14" fillId="0" borderId="3" xfId="1" applyFont="1" applyBorder="1" applyAlignment="1">
      <alignment horizontal="center" vertical="center" wrapText="1"/>
    </xf>
    <xf numFmtId="9" fontId="23" fillId="0" borderId="2" xfId="1" applyNumberFormat="1" applyFont="1" applyFill="1" applyBorder="1" applyAlignment="1">
      <alignment horizontal="center" vertical="center" wrapText="1"/>
    </xf>
    <xf numFmtId="0" fontId="23" fillId="0" borderId="2" xfId="1" applyFont="1" applyFill="1" applyBorder="1" applyAlignment="1">
      <alignment horizontal="center" vertical="center" wrapText="1"/>
    </xf>
    <xf numFmtId="14" fontId="23" fillId="0" borderId="2" xfId="1" applyNumberFormat="1" applyFont="1" applyFill="1" applyBorder="1" applyAlignment="1">
      <alignment horizontal="center" vertical="center" wrapText="1"/>
    </xf>
    <xf numFmtId="9" fontId="23" fillId="0" borderId="3" xfId="1" applyNumberFormat="1" applyFont="1" applyFill="1" applyBorder="1" applyAlignment="1">
      <alignment horizontal="center" vertical="center" wrapText="1"/>
    </xf>
    <xf numFmtId="0" fontId="23" fillId="0" borderId="3" xfId="1" applyFont="1" applyFill="1" applyBorder="1" applyAlignment="1">
      <alignment horizontal="center" vertical="center" wrapText="1"/>
    </xf>
    <xf numFmtId="14" fontId="23" fillId="0" borderId="1" xfId="1" applyNumberFormat="1" applyFont="1" applyFill="1" applyBorder="1" applyAlignment="1">
      <alignment horizontal="center" vertical="center" wrapText="1"/>
    </xf>
    <xf numFmtId="0" fontId="23" fillId="0" borderId="1" xfId="1" applyFont="1" applyFill="1" applyBorder="1" applyAlignment="1">
      <alignment horizontal="center" vertical="center" wrapText="1"/>
    </xf>
    <xf numFmtId="9" fontId="23" fillId="0" borderId="1" xfId="1" applyNumberFormat="1" applyFont="1" applyFill="1" applyBorder="1" applyAlignment="1">
      <alignment horizontal="center" vertical="center" wrapText="1"/>
    </xf>
    <xf numFmtId="0" fontId="4" fillId="2" borderId="44" xfId="1" applyFont="1" applyFill="1" applyBorder="1" applyAlignment="1">
      <alignment horizontal="center" vertical="center" wrapText="1"/>
    </xf>
    <xf numFmtId="9" fontId="23" fillId="0" borderId="5" xfId="1" applyNumberFormat="1" applyFont="1" applyFill="1" applyBorder="1" applyAlignment="1">
      <alignment horizontal="center" vertical="center" wrapText="1"/>
    </xf>
    <xf numFmtId="0" fontId="23" fillId="0" borderId="5" xfId="1" applyFont="1" applyFill="1" applyBorder="1" applyAlignment="1">
      <alignment horizontal="center" vertical="center" wrapText="1"/>
    </xf>
    <xf numFmtId="14" fontId="23" fillId="0" borderId="5" xfId="1" applyNumberFormat="1" applyFont="1" applyFill="1" applyBorder="1" applyAlignment="1">
      <alignment horizontal="center" vertical="center" wrapText="1"/>
    </xf>
    <xf numFmtId="0" fontId="9" fillId="0" borderId="33" xfId="1" applyFont="1" applyBorder="1" applyAlignment="1">
      <alignment vertical="center" wrapText="1"/>
    </xf>
    <xf numFmtId="0" fontId="9" fillId="0" borderId="31" xfId="1" applyFont="1" applyBorder="1" applyAlignment="1">
      <alignment vertical="center" wrapText="1"/>
    </xf>
    <xf numFmtId="14" fontId="4" fillId="0" borderId="44" xfId="1" applyNumberFormat="1" applyFont="1" applyBorder="1" applyAlignment="1">
      <alignment vertical="center" textRotation="90" wrapText="1"/>
    </xf>
    <xf numFmtId="9" fontId="23" fillId="0" borderId="44" xfId="1" applyNumberFormat="1" applyFont="1" applyBorder="1" applyAlignment="1">
      <alignment horizontal="left" vertical="center" wrapText="1"/>
    </xf>
    <xf numFmtId="0" fontId="33" fillId="0" borderId="44" xfId="1" applyFont="1" applyBorder="1" applyAlignment="1">
      <alignment horizontal="center" vertical="center" wrapText="1"/>
    </xf>
    <xf numFmtId="14" fontId="6" fillId="0" borderId="44" xfId="1" applyNumberFormat="1" applyFont="1" applyBorder="1" applyAlignment="1">
      <alignment horizontal="center" vertical="center" wrapText="1"/>
    </xf>
    <xf numFmtId="9" fontId="6" fillId="0" borderId="44" xfId="1" applyNumberFormat="1" applyFont="1" applyBorder="1" applyAlignment="1">
      <alignment horizontal="center" vertical="center" wrapText="1"/>
    </xf>
    <xf numFmtId="0" fontId="6" fillId="0" borderId="3" xfId="1" applyFont="1" applyBorder="1" applyAlignment="1">
      <alignment horizontal="left" vertical="center" wrapText="1"/>
    </xf>
    <xf numFmtId="0" fontId="6" fillId="0" borderId="3" xfId="1" applyFont="1" applyBorder="1" applyAlignment="1">
      <alignment horizontal="center" vertical="center" wrapText="1"/>
    </xf>
    <xf numFmtId="14" fontId="6" fillId="0" borderId="3" xfId="1" applyNumberFormat="1" applyFont="1" applyBorder="1" applyAlignment="1">
      <alignment horizontal="center" vertical="center" wrapText="1"/>
    </xf>
    <xf numFmtId="0" fontId="9" fillId="0" borderId="50" xfId="1" applyFont="1" applyBorder="1" applyAlignment="1">
      <alignment vertical="center" wrapText="1"/>
    </xf>
    <xf numFmtId="0" fontId="4" fillId="2" borderId="1" xfId="1" applyFont="1" applyFill="1" applyBorder="1" applyAlignment="1">
      <alignment horizontal="center" vertical="center" wrapText="1"/>
    </xf>
    <xf numFmtId="0" fontId="6" fillId="0" borderId="1" xfId="1" applyFont="1" applyBorder="1" applyAlignment="1">
      <alignment horizontal="left" vertical="center" wrapText="1"/>
    </xf>
    <xf numFmtId="9" fontId="6" fillId="0" borderId="1" xfId="1" applyNumberFormat="1" applyFont="1" applyBorder="1" applyAlignment="1">
      <alignment horizontal="left" vertical="center" wrapText="1"/>
    </xf>
    <xf numFmtId="0" fontId="9" fillId="0" borderId="5" xfId="1" applyFont="1" applyBorder="1" applyAlignment="1">
      <alignment horizontal="center" vertical="center" wrapText="1"/>
    </xf>
    <xf numFmtId="0" fontId="6" fillId="0" borderId="5" xfId="1" applyFont="1" applyBorder="1" applyAlignment="1">
      <alignment horizontal="left" vertical="center" wrapText="1"/>
    </xf>
    <xf numFmtId="0" fontId="5" fillId="0" borderId="43" xfId="1" applyFont="1" applyBorder="1" applyAlignment="1">
      <alignment vertical="center" wrapText="1"/>
    </xf>
    <xf numFmtId="0" fontId="5" fillId="0" borderId="44" xfId="1" applyFont="1" applyBorder="1" applyAlignment="1">
      <alignment vertical="center" wrapText="1"/>
    </xf>
    <xf numFmtId="14" fontId="4" fillId="0" borderId="44" xfId="1" applyNumberFormat="1" applyFont="1" applyBorder="1" applyAlignment="1">
      <alignment vertical="center" wrapText="1"/>
    </xf>
    <xf numFmtId="0" fontId="6" fillId="0" borderId="44" xfId="1" applyFont="1" applyBorder="1" applyAlignment="1">
      <alignment horizontal="left" vertical="center" wrapText="1"/>
    </xf>
    <xf numFmtId="0" fontId="6" fillId="0" borderId="44" xfId="1" applyFont="1" applyFill="1" applyBorder="1" applyAlignment="1">
      <alignment horizontal="center" vertical="center" wrapText="1"/>
    </xf>
    <xf numFmtId="9" fontId="4" fillId="0" borderId="44" xfId="1" applyNumberFormat="1" applyFont="1" applyFill="1" applyBorder="1" applyAlignment="1">
      <alignment horizontal="center" vertical="center" wrapText="1"/>
    </xf>
    <xf numFmtId="0" fontId="9" fillId="0" borderId="48" xfId="1" applyFont="1" applyFill="1" applyBorder="1" applyAlignment="1">
      <alignment vertical="center" wrapText="1"/>
    </xf>
    <xf numFmtId="0" fontId="33" fillId="0" borderId="3" xfId="1" applyFont="1" applyBorder="1" applyAlignment="1">
      <alignment horizontal="center" vertical="center" wrapText="1"/>
    </xf>
    <xf numFmtId="14" fontId="33" fillId="0" borderId="3" xfId="1" applyNumberFormat="1" applyFont="1" applyBorder="1" applyAlignment="1">
      <alignment horizontal="center" vertical="center" wrapText="1"/>
    </xf>
    <xf numFmtId="9" fontId="4" fillId="0" borderId="3" xfId="1" applyNumberFormat="1" applyFont="1" applyFill="1" applyBorder="1" applyAlignment="1">
      <alignment horizontal="center" vertical="center" wrapText="1"/>
    </xf>
    <xf numFmtId="0" fontId="14" fillId="0" borderId="3" xfId="1" applyFont="1" applyFill="1" applyBorder="1" applyAlignment="1">
      <alignment horizontal="justify" vertical="center" wrapText="1"/>
    </xf>
    <xf numFmtId="0" fontId="33" fillId="0" borderId="1" xfId="1" applyFont="1" applyBorder="1" applyAlignment="1">
      <alignment horizontal="center" vertical="center" wrapText="1"/>
    </xf>
    <xf numFmtId="9" fontId="33" fillId="0" borderId="1" xfId="1" applyNumberFormat="1" applyFont="1" applyBorder="1" applyAlignment="1">
      <alignment horizontal="center" vertical="center" wrapText="1"/>
    </xf>
    <xf numFmtId="0" fontId="9" fillId="0" borderId="3" xfId="1" applyFont="1" applyBorder="1" applyAlignment="1">
      <alignment horizontal="center" vertical="center" wrapText="1"/>
    </xf>
    <xf numFmtId="0" fontId="33" fillId="0" borderId="6" xfId="1" applyFont="1" applyBorder="1" applyAlignment="1">
      <alignment horizontal="center" vertical="center" wrapText="1"/>
    </xf>
    <xf numFmtId="0" fontId="9" fillId="0" borderId="4" xfId="1" applyFont="1" applyBorder="1" applyAlignment="1">
      <alignment horizontal="center" vertical="center" wrapText="1"/>
    </xf>
    <xf numFmtId="14" fontId="33" fillId="0" borderId="4" xfId="1" applyNumberFormat="1" applyFont="1" applyBorder="1" applyAlignment="1">
      <alignment horizontal="center" vertical="center" wrapText="1"/>
    </xf>
    <xf numFmtId="0" fontId="4" fillId="0" borderId="6" xfId="1" applyFont="1" applyFill="1" applyBorder="1" applyAlignment="1">
      <alignment horizontal="justify" vertical="center" wrapText="1"/>
    </xf>
    <xf numFmtId="0" fontId="23" fillId="0" borderId="44" xfId="1" applyFont="1" applyFill="1" applyBorder="1" applyAlignment="1">
      <alignment vertical="center" wrapText="1"/>
    </xf>
    <xf numFmtId="0" fontId="6" fillId="0" borderId="44" xfId="1" applyFont="1" applyBorder="1" applyAlignment="1">
      <alignment horizontal="center" vertical="center" wrapText="1"/>
    </xf>
    <xf numFmtId="0" fontId="9" fillId="0" borderId="6" xfId="1" applyFont="1" applyBorder="1" applyAlignment="1">
      <alignment horizontal="center" vertical="center" wrapText="1"/>
    </xf>
    <xf numFmtId="0" fontId="6" fillId="0" borderId="6" xfId="1" applyFont="1" applyBorder="1" applyAlignment="1">
      <alignment horizontal="center" vertical="center" wrapText="1"/>
    </xf>
    <xf numFmtId="9" fontId="4" fillId="0" borderId="3" xfId="1" applyNumberFormat="1" applyFont="1" applyFill="1" applyBorder="1" applyAlignment="1">
      <alignment horizontal="center" vertical="center" wrapText="1"/>
    </xf>
    <xf numFmtId="0" fontId="9" fillId="0" borderId="35" xfId="1" applyFont="1" applyBorder="1" applyAlignment="1">
      <alignment horizontal="center" vertical="center" wrapText="1"/>
    </xf>
    <xf numFmtId="14" fontId="9" fillId="0" borderId="3" xfId="1" applyNumberFormat="1" applyFont="1" applyBorder="1" applyAlignment="1">
      <alignment horizontal="center" vertical="center" wrapText="1"/>
    </xf>
    <xf numFmtId="0" fontId="6" fillId="0" borderId="6" xfId="1" applyFont="1" applyBorder="1" applyAlignment="1">
      <alignment vertical="center" wrapText="1"/>
    </xf>
    <xf numFmtId="0" fontId="4" fillId="0" borderId="1" xfId="1" applyFont="1" applyBorder="1" applyAlignment="1">
      <alignment horizontal="center" vertical="top" wrapText="1"/>
    </xf>
    <xf numFmtId="0" fontId="14" fillId="2" borderId="8" xfId="1" applyFont="1" applyFill="1" applyBorder="1" applyAlignment="1">
      <alignment horizontal="center" vertical="center" wrapText="1"/>
    </xf>
    <xf numFmtId="0" fontId="14" fillId="2" borderId="9" xfId="1" applyFont="1" applyFill="1" applyBorder="1" applyAlignment="1">
      <alignment horizontal="center" vertical="center" wrapText="1"/>
    </xf>
    <xf numFmtId="0" fontId="14" fillId="2" borderId="10" xfId="1" applyFont="1" applyFill="1" applyBorder="1" applyAlignment="1">
      <alignment horizontal="center" vertical="center" wrapText="1"/>
    </xf>
    <xf numFmtId="0" fontId="14" fillId="0" borderId="1" xfId="1" applyFont="1" applyBorder="1" applyAlignment="1">
      <alignment horizontal="center" vertical="center" wrapText="1"/>
    </xf>
    <xf numFmtId="0" fontId="16" fillId="0" borderId="1" xfId="1" applyFont="1" applyFill="1" applyBorder="1" applyAlignment="1">
      <alignment horizontal="center" vertical="center" wrapText="1"/>
    </xf>
    <xf numFmtId="0" fontId="5" fillId="3" borderId="5" xfId="1" applyFont="1" applyFill="1" applyBorder="1" applyAlignment="1">
      <alignment horizontal="center" vertical="center" wrapText="1"/>
    </xf>
    <xf numFmtId="14" fontId="5" fillId="3" borderId="5" xfId="1" applyNumberFormat="1" applyFont="1" applyFill="1" applyBorder="1" applyAlignment="1">
      <alignment horizontal="center" vertical="center" wrapText="1"/>
    </xf>
    <xf numFmtId="14" fontId="23" fillId="0" borderId="3" xfId="1" applyNumberFormat="1" applyFont="1" applyFill="1" applyBorder="1" applyAlignment="1">
      <alignment horizontal="center" vertical="center" wrapText="1"/>
    </xf>
    <xf numFmtId="17" fontId="23" fillId="0" borderId="3" xfId="1" applyNumberFormat="1" applyFont="1" applyFill="1" applyBorder="1" applyAlignment="1">
      <alignment horizontal="center" vertical="center" wrapText="1"/>
    </xf>
    <xf numFmtId="0" fontId="35" fillId="0" borderId="2" xfId="1" applyFont="1" applyBorder="1" applyAlignment="1">
      <alignment horizontal="center" vertical="center" wrapText="1"/>
    </xf>
    <xf numFmtId="0" fontId="6" fillId="0" borderId="21" xfId="1" applyFont="1" applyBorder="1" applyAlignment="1">
      <alignment horizontal="center" vertical="center" wrapText="1"/>
    </xf>
    <xf numFmtId="0" fontId="36" fillId="0" borderId="0" xfId="1" applyFont="1" applyBorder="1" applyAlignment="1">
      <alignment vertical="center" wrapText="1"/>
    </xf>
    <xf numFmtId="0" fontId="35" fillId="0" borderId="1" xfId="1" applyFont="1" applyBorder="1" applyAlignment="1">
      <alignment horizontal="center" vertical="center" wrapText="1"/>
    </xf>
    <xf numFmtId="0" fontId="23" fillId="0" borderId="6" xfId="1" applyFont="1" applyFill="1" applyBorder="1" applyAlignment="1">
      <alignment horizontal="center" vertical="center" wrapText="1"/>
    </xf>
    <xf numFmtId="14" fontId="23" fillId="0" borderId="6" xfId="1" applyNumberFormat="1" applyFont="1" applyFill="1" applyBorder="1" applyAlignment="1">
      <alignment horizontal="center" vertical="center" wrapText="1"/>
    </xf>
    <xf numFmtId="0" fontId="35" fillId="0" borderId="6" xfId="1" applyFont="1" applyBorder="1" applyAlignment="1">
      <alignment horizontal="center" vertical="center" wrapText="1"/>
    </xf>
    <xf numFmtId="0" fontId="6" fillId="0" borderId="11" xfId="1" applyFont="1" applyBorder="1" applyAlignment="1">
      <alignment horizontal="center" vertical="center" wrapText="1"/>
    </xf>
    <xf numFmtId="0" fontId="32" fillId="0" borderId="50" xfId="1" applyFont="1" applyFill="1" applyBorder="1" applyAlignment="1">
      <alignment horizontal="justify" vertical="center" wrapText="1"/>
    </xf>
    <xf numFmtId="0" fontId="35" fillId="0" borderId="27" xfId="1" applyFont="1" applyBorder="1" applyAlignment="1">
      <alignment horizontal="center" vertical="center" wrapText="1"/>
    </xf>
    <xf numFmtId="0" fontId="32" fillId="0" borderId="33" xfId="1" applyFont="1" applyFill="1" applyBorder="1" applyAlignment="1">
      <alignment horizontal="center" vertical="center" wrapText="1"/>
    </xf>
    <xf numFmtId="0" fontId="37" fillId="0" borderId="0" xfId="1" applyFont="1"/>
    <xf numFmtId="0" fontId="5" fillId="0" borderId="1" xfId="1" applyFont="1" applyBorder="1" applyAlignment="1">
      <alignment horizontal="center" vertical="center" wrapText="1"/>
    </xf>
    <xf numFmtId="0" fontId="5" fillId="3" borderId="6" xfId="1" applyFont="1" applyFill="1" applyBorder="1" applyAlignment="1">
      <alignment horizontal="center" vertical="center" wrapText="1"/>
    </xf>
    <xf numFmtId="14" fontId="5" fillId="3" borderId="6" xfId="1" applyNumberFormat="1" applyFont="1" applyFill="1" applyBorder="1" applyAlignment="1">
      <alignment horizontal="center" vertical="center" wrapText="1"/>
    </xf>
    <xf numFmtId="0" fontId="5" fillId="0" borderId="11" xfId="1" applyFont="1" applyBorder="1" applyAlignment="1">
      <alignment horizontal="center" vertical="center" wrapText="1"/>
    </xf>
    <xf numFmtId="0" fontId="5" fillId="0" borderId="3" xfId="1" applyFont="1" applyBorder="1" applyAlignment="1">
      <alignment horizontal="center" vertical="center" wrapText="1"/>
    </xf>
    <xf numFmtId="0" fontId="9" fillId="0" borderId="8" xfId="1" applyFont="1" applyBorder="1" applyAlignment="1">
      <alignment horizontal="center" vertical="center" wrapText="1"/>
    </xf>
    <xf numFmtId="0" fontId="4" fillId="0" borderId="44" xfId="1" applyFont="1" applyFill="1" applyBorder="1" applyAlignment="1">
      <alignment horizontal="center" vertical="center" wrapText="1"/>
    </xf>
    <xf numFmtId="0" fontId="4" fillId="2" borderId="44" xfId="1" applyFont="1" applyFill="1" applyBorder="1" applyAlignment="1">
      <alignment horizontal="center" vertical="center" wrapText="1"/>
    </xf>
    <xf numFmtId="0" fontId="5" fillId="0" borderId="6" xfId="1" applyFont="1" applyBorder="1" applyAlignment="1">
      <alignment horizontal="center" vertical="center" wrapText="1"/>
    </xf>
    <xf numFmtId="9" fontId="4" fillId="0" borderId="6" xfId="1" applyNumberFormat="1" applyFont="1" applyFill="1" applyBorder="1" applyAlignment="1">
      <alignment horizontal="center" vertical="center" wrapText="1"/>
    </xf>
    <xf numFmtId="14" fontId="5" fillId="3" borderId="5" xfId="1" applyNumberFormat="1" applyFont="1" applyFill="1" applyBorder="1" applyAlignment="1">
      <alignment horizontal="center" vertical="center" wrapText="1"/>
    </xf>
    <xf numFmtId="0" fontId="5" fillId="3" borderId="5" xfId="1" applyFont="1" applyFill="1" applyBorder="1" applyAlignment="1">
      <alignment horizontal="center" vertical="center" wrapText="1"/>
    </xf>
    <xf numFmtId="0" fontId="6" fillId="0" borderId="1" xfId="1" applyFont="1" applyBorder="1" applyAlignment="1">
      <alignment horizontal="center" vertical="center" wrapText="1"/>
    </xf>
    <xf numFmtId="0" fontId="9" fillId="0" borderId="16" xfId="1" applyFont="1" applyBorder="1" applyAlignment="1">
      <alignment horizontal="center" vertical="center" wrapText="1"/>
    </xf>
    <xf numFmtId="0" fontId="4" fillId="2" borderId="3" xfId="1" applyFont="1" applyFill="1" applyBorder="1" applyAlignment="1">
      <alignment horizontal="center" vertical="center" wrapText="1"/>
    </xf>
    <xf numFmtId="0" fontId="4" fillId="2" borderId="1" xfId="1" applyFont="1" applyFill="1" applyBorder="1" applyAlignment="1">
      <alignment horizontal="center" vertical="center" wrapText="1"/>
    </xf>
    <xf numFmtId="0" fontId="5" fillId="0" borderId="5" xfId="1" applyFont="1" applyBorder="1" applyAlignment="1">
      <alignment horizontal="center" vertical="center" wrapText="1"/>
    </xf>
    <xf numFmtId="0" fontId="9" fillId="0" borderId="5" xfId="1" applyFont="1" applyBorder="1" applyAlignment="1">
      <alignment horizontal="center" vertical="center" wrapText="1"/>
    </xf>
    <xf numFmtId="0" fontId="6" fillId="0" borderId="6" xfId="1" applyFont="1" applyBorder="1" applyAlignment="1">
      <alignment horizontal="center" vertical="center" wrapText="1"/>
    </xf>
    <xf numFmtId="0" fontId="6" fillId="0" borderId="3" xfId="1" applyFont="1" applyBorder="1" applyAlignment="1">
      <alignment horizontal="center" vertical="center" wrapText="1"/>
    </xf>
    <xf numFmtId="9" fontId="4" fillId="0" borderId="3" xfId="1" applyNumberFormat="1" applyFont="1" applyFill="1" applyBorder="1" applyAlignment="1">
      <alignment horizontal="center" vertical="center" wrapText="1"/>
    </xf>
    <xf numFmtId="9" fontId="3" fillId="0" borderId="0" xfId="1" applyNumberFormat="1"/>
    <xf numFmtId="0" fontId="14" fillId="7" borderId="1" xfId="1" applyFont="1" applyFill="1" applyBorder="1" applyAlignment="1">
      <alignment horizontal="center" vertical="center" wrapText="1"/>
    </xf>
    <xf numFmtId="0" fontId="35" fillId="0" borderId="1" xfId="1" applyFont="1" applyBorder="1" applyAlignment="1">
      <alignment vertical="center"/>
    </xf>
    <xf numFmtId="0" fontId="11" fillId="5" borderId="1" xfId="1" applyFont="1" applyFill="1" applyBorder="1" applyAlignment="1">
      <alignment horizontal="center" vertical="center" wrapText="1"/>
    </xf>
    <xf numFmtId="0" fontId="12" fillId="5" borderId="1" xfId="1" applyFont="1" applyFill="1" applyBorder="1" applyAlignment="1">
      <alignment horizontal="center" vertical="center" wrapText="1"/>
    </xf>
    <xf numFmtId="14" fontId="9" fillId="0" borderId="1" xfId="1" applyNumberFormat="1" applyFont="1" applyBorder="1" applyAlignment="1">
      <alignment vertical="center" wrapText="1"/>
    </xf>
    <xf numFmtId="14" fontId="9" fillId="0" borderId="1" xfId="1" applyNumberFormat="1" applyFont="1" applyBorder="1" applyAlignment="1">
      <alignment horizontal="center" vertical="center" wrapText="1"/>
    </xf>
    <xf numFmtId="9" fontId="14" fillId="0" borderId="1" xfId="1" applyNumberFormat="1" applyFont="1" applyFill="1" applyBorder="1" applyAlignment="1">
      <alignment horizontal="center" vertical="center" wrapText="1"/>
    </xf>
    <xf numFmtId="0" fontId="9" fillId="0" borderId="1" xfId="1" applyFont="1" applyFill="1" applyBorder="1" applyAlignment="1">
      <alignment vertical="center" wrapText="1"/>
    </xf>
    <xf numFmtId="0" fontId="7" fillId="0" borderId="1" xfId="1" applyFont="1" applyBorder="1" applyAlignment="1">
      <alignment horizontal="center" vertical="center"/>
    </xf>
    <xf numFmtId="0" fontId="7" fillId="0" borderId="1" xfId="1" applyFont="1" applyBorder="1" applyAlignment="1">
      <alignment vertical="center"/>
    </xf>
    <xf numFmtId="0" fontId="9" fillId="7" borderId="1" xfId="1" applyFont="1" applyFill="1" applyBorder="1" applyAlignment="1">
      <alignment vertical="center" wrapText="1"/>
    </xf>
    <xf numFmtId="0" fontId="14" fillId="2" borderId="5" xfId="1" applyFont="1" applyFill="1" applyBorder="1" applyAlignment="1">
      <alignment horizontal="center" vertical="center" wrapText="1"/>
    </xf>
    <xf numFmtId="0" fontId="7" fillId="0" borderId="5" xfId="1" applyFont="1" applyBorder="1" applyAlignment="1">
      <alignment horizontal="center" vertical="center"/>
    </xf>
    <xf numFmtId="0" fontId="7" fillId="0" borderId="5" xfId="1" applyFont="1" applyBorder="1" applyAlignment="1">
      <alignment horizontal="center" vertical="center" wrapText="1"/>
    </xf>
    <xf numFmtId="14" fontId="9" fillId="0" borderId="5" xfId="1" applyNumberFormat="1" applyFont="1" applyBorder="1" applyAlignment="1">
      <alignment vertical="center" wrapText="1"/>
    </xf>
    <xf numFmtId="14" fontId="9" fillId="0" borderId="5" xfId="1" applyNumberFormat="1" applyFont="1" applyBorder="1" applyAlignment="1">
      <alignment horizontal="center" vertical="center" wrapText="1"/>
    </xf>
    <xf numFmtId="9" fontId="14" fillId="0" borderId="5" xfId="1" applyNumberFormat="1" applyFont="1" applyFill="1" applyBorder="1" applyAlignment="1">
      <alignment horizontal="center" vertical="center" wrapText="1"/>
    </xf>
    <xf numFmtId="0" fontId="16" fillId="0" borderId="5" xfId="1" applyFont="1" applyBorder="1" applyAlignment="1">
      <alignment horizontal="center" vertical="center" wrapText="1"/>
    </xf>
    <xf numFmtId="0" fontId="9" fillId="0" borderId="5" xfId="1" applyFont="1" applyBorder="1" applyAlignment="1">
      <alignment vertical="center" wrapText="1"/>
    </xf>
    <xf numFmtId="0" fontId="14" fillId="2" borderId="2" xfId="1" applyFont="1" applyFill="1" applyBorder="1" applyAlignment="1">
      <alignment horizontal="center" vertical="center" wrapText="1"/>
    </xf>
    <xf numFmtId="0" fontId="9" fillId="0" borderId="2" xfId="1" applyFont="1" applyBorder="1" applyAlignment="1">
      <alignment horizontal="center" vertical="center" wrapText="1"/>
    </xf>
    <xf numFmtId="14" fontId="9" fillId="0" borderId="2" xfId="1" applyNumberFormat="1" applyFont="1" applyBorder="1" applyAlignment="1">
      <alignment horizontal="center" vertical="center" wrapText="1"/>
    </xf>
    <xf numFmtId="0" fontId="14" fillId="7" borderId="21" xfId="1" applyFont="1" applyFill="1" applyBorder="1" applyAlignment="1">
      <alignment horizontal="justify" vertical="center" wrapText="1"/>
    </xf>
    <xf numFmtId="0" fontId="14" fillId="7" borderId="25" xfId="1" applyFont="1" applyFill="1" applyBorder="1" applyAlignment="1">
      <alignment horizontal="justify" vertical="center" wrapText="1"/>
    </xf>
    <xf numFmtId="0" fontId="4" fillId="0" borderId="2" xfId="1" applyFont="1" applyBorder="1" applyAlignment="1">
      <alignment horizontal="center" vertical="center" wrapText="1"/>
    </xf>
    <xf numFmtId="0" fontId="14" fillId="0" borderId="21" xfId="1" applyFont="1" applyFill="1" applyBorder="1" applyAlignment="1">
      <alignment horizontal="justify" vertical="center" wrapText="1"/>
    </xf>
    <xf numFmtId="14" fontId="23" fillId="0" borderId="3" xfId="1" applyNumberFormat="1" applyFont="1" applyBorder="1" applyAlignment="1">
      <alignment horizontal="center" vertical="center" wrapText="1"/>
    </xf>
    <xf numFmtId="0" fontId="14" fillId="0" borderId="25" xfId="1" applyFont="1" applyFill="1" applyBorder="1" applyAlignment="1">
      <alignment horizontal="justify" vertical="center" wrapText="1"/>
    </xf>
    <xf numFmtId="0" fontId="14" fillId="0" borderId="50" xfId="1" applyFont="1" applyFill="1" applyBorder="1" applyAlignment="1">
      <alignment horizontal="justify" vertical="center" wrapText="1"/>
    </xf>
    <xf numFmtId="0" fontId="23" fillId="0" borderId="5" xfId="1" applyFont="1" applyBorder="1" applyAlignment="1">
      <alignment horizontal="center" vertical="center" wrapText="1"/>
    </xf>
    <xf numFmtId="0" fontId="14" fillId="0" borderId="31" xfId="1" applyFont="1" applyFill="1" applyBorder="1" applyAlignment="1">
      <alignment horizontal="justify" vertical="center" wrapText="1"/>
    </xf>
    <xf numFmtId="14" fontId="6" fillId="0" borderId="6" xfId="1" applyNumberFormat="1" applyFont="1" applyBorder="1" applyAlignment="1">
      <alignment horizontal="center" vertical="center" wrapText="1"/>
    </xf>
    <xf numFmtId="9" fontId="6" fillId="0" borderId="1" xfId="1" applyNumberFormat="1" applyFont="1" applyBorder="1" applyAlignment="1">
      <alignment horizontal="center" vertical="center" wrapText="1"/>
    </xf>
    <xf numFmtId="0" fontId="11" fillId="5" borderId="6" xfId="1" applyFont="1" applyFill="1" applyBorder="1" applyAlignment="1">
      <alignment horizontal="center" vertical="center" wrapText="1"/>
    </xf>
    <xf numFmtId="0" fontId="9" fillId="0" borderId="11" xfId="1" applyFont="1" applyBorder="1" applyAlignment="1">
      <alignment horizontal="center" vertical="center" wrapText="1"/>
    </xf>
    <xf numFmtId="14" fontId="6" fillId="0" borderId="11" xfId="1" applyNumberFormat="1" applyFont="1" applyBorder="1" applyAlignment="1">
      <alignment horizontal="center" vertical="center" wrapText="1"/>
    </xf>
    <xf numFmtId="0" fontId="9" fillId="0" borderId="2" xfId="1" applyFont="1" applyBorder="1" applyAlignment="1">
      <alignment horizontal="justify" vertical="center" wrapText="1"/>
    </xf>
    <xf numFmtId="0" fontId="9" fillId="7" borderId="27" xfId="1" applyFont="1" applyFill="1" applyBorder="1" applyAlignment="1">
      <alignment horizontal="justify" vertical="center" wrapText="1"/>
    </xf>
    <xf numFmtId="0" fontId="9" fillId="0" borderId="1" xfId="1" applyFont="1" applyBorder="1" applyAlignment="1">
      <alignment vertical="center" wrapText="1"/>
    </xf>
    <xf numFmtId="0" fontId="6" fillId="0" borderId="36" xfId="1" applyFont="1" applyBorder="1" applyAlignment="1">
      <alignment horizontal="center" vertical="center" wrapText="1"/>
    </xf>
    <xf numFmtId="0" fontId="9" fillId="0" borderId="3" xfId="1" applyFont="1" applyBorder="1" applyAlignment="1">
      <alignment vertical="center" wrapText="1"/>
    </xf>
    <xf numFmtId="0" fontId="6" fillId="0" borderId="8" xfId="1" applyFont="1" applyBorder="1" applyAlignment="1">
      <alignment horizontal="center" vertical="center" wrapText="1"/>
    </xf>
    <xf numFmtId="0" fontId="9" fillId="0" borderId="6" xfId="1" applyFont="1" applyBorder="1" applyAlignment="1">
      <alignment vertical="center" wrapText="1"/>
    </xf>
    <xf numFmtId="0" fontId="9" fillId="0" borderId="52" xfId="1" applyFont="1" applyBorder="1" applyAlignment="1">
      <alignment horizontal="justify" vertical="center" wrapText="1"/>
    </xf>
    <xf numFmtId="0" fontId="9" fillId="7" borderId="48" xfId="1" applyFont="1" applyFill="1" applyBorder="1" applyAlignment="1">
      <alignment vertical="center" wrapText="1"/>
    </xf>
    <xf numFmtId="0" fontId="5" fillId="0" borderId="1" xfId="1" applyFont="1" applyBorder="1" applyAlignment="1">
      <alignment horizontal="center" vertical="center" wrapText="1"/>
    </xf>
    <xf numFmtId="0" fontId="5" fillId="3" borderId="1" xfId="1" applyFont="1" applyFill="1" applyBorder="1" applyAlignment="1">
      <alignment horizontal="center" vertical="center" wrapText="1"/>
    </xf>
    <xf numFmtId="0" fontId="5" fillId="3" borderId="6" xfId="1" applyFont="1" applyFill="1" applyBorder="1" applyAlignment="1">
      <alignment horizontal="center" vertical="center" wrapText="1"/>
    </xf>
    <xf numFmtId="14" fontId="5" fillId="3" borderId="1" xfId="1" applyNumberFormat="1" applyFont="1" applyFill="1" applyBorder="1" applyAlignment="1">
      <alignment horizontal="center" vertical="center" wrapText="1"/>
    </xf>
    <xf numFmtId="14" fontId="5" fillId="3" borderId="6" xfId="1" applyNumberFormat="1" applyFont="1" applyFill="1" applyBorder="1" applyAlignment="1">
      <alignment horizontal="center" vertical="center" wrapText="1"/>
    </xf>
    <xf numFmtId="0" fontId="13" fillId="0" borderId="0" xfId="1" applyFont="1" applyAlignment="1">
      <alignment horizontal="center" vertical="center"/>
    </xf>
    <xf numFmtId="0" fontId="6" fillId="0" borderId="1" xfId="1" applyFont="1" applyBorder="1" applyAlignment="1">
      <alignment horizontal="center" vertical="center" wrapText="1"/>
    </xf>
    <xf numFmtId="0" fontId="4"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14" fontId="5" fillId="3" borderId="1"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1" xfId="1" applyFont="1" applyBorder="1" applyAlignment="1">
      <alignment horizontal="center" vertical="center" wrapText="1"/>
    </xf>
    <xf numFmtId="0" fontId="5" fillId="0" borderId="2" xfId="1" applyFont="1" applyBorder="1" applyAlignment="1">
      <alignment horizontal="center" vertical="center" wrapText="1"/>
    </xf>
    <xf numFmtId="0" fontId="5" fillId="0" borderId="3" xfId="1" applyFont="1" applyBorder="1" applyAlignment="1">
      <alignment horizontal="center" vertical="center" wrapText="1"/>
    </xf>
    <xf numFmtId="0" fontId="5" fillId="0" borderId="5" xfId="1" applyFont="1" applyBorder="1" applyAlignment="1">
      <alignment horizontal="center" vertical="center" wrapText="1"/>
    </xf>
    <xf numFmtId="0" fontId="4" fillId="2" borderId="2" xfId="1" applyFont="1" applyFill="1" applyBorder="1" applyAlignment="1">
      <alignment horizontal="center" vertical="center" wrapText="1"/>
    </xf>
    <xf numFmtId="0" fontId="4" fillId="2" borderId="3" xfId="1" applyFont="1" applyFill="1" applyBorder="1" applyAlignment="1">
      <alignment horizontal="center" vertical="center" wrapText="1"/>
    </xf>
    <xf numFmtId="0" fontId="4" fillId="2" borderId="5" xfId="1" applyFont="1" applyFill="1" applyBorder="1" applyAlignment="1">
      <alignment horizontal="center" vertical="center" wrapText="1"/>
    </xf>
    <xf numFmtId="0" fontId="5" fillId="0" borderId="1" xfId="1" applyFont="1" applyBorder="1" applyAlignment="1">
      <alignment horizontal="center" vertical="center" wrapText="1"/>
    </xf>
    <xf numFmtId="0" fontId="4" fillId="0" borderId="44" xfId="1" applyFont="1" applyFill="1" applyBorder="1" applyAlignment="1">
      <alignment horizontal="center" vertical="center" wrapText="1"/>
    </xf>
    <xf numFmtId="0" fontId="4" fillId="2" borderId="44" xfId="1" applyFont="1" applyFill="1" applyBorder="1" applyAlignment="1">
      <alignment horizontal="center" vertical="center" wrapText="1"/>
    </xf>
    <xf numFmtId="0" fontId="5" fillId="0" borderId="6" xfId="1" applyFont="1" applyBorder="1" applyAlignment="1">
      <alignment horizontal="center" vertical="center" wrapText="1"/>
    </xf>
    <xf numFmtId="9" fontId="4" fillId="0" borderId="6" xfId="1" applyNumberFormat="1" applyFont="1" applyFill="1" applyBorder="1" applyAlignment="1">
      <alignment horizontal="center" vertical="center" wrapText="1"/>
    </xf>
    <xf numFmtId="0" fontId="6" fillId="0" borderId="2" xfId="1" applyFont="1" applyBorder="1" applyAlignment="1">
      <alignment horizontal="center" vertical="center" wrapText="1"/>
    </xf>
    <xf numFmtId="0" fontId="6" fillId="0" borderId="1" xfId="1" applyFont="1" applyBorder="1" applyAlignment="1">
      <alignment horizontal="center" vertical="center" wrapText="1"/>
    </xf>
    <xf numFmtId="0" fontId="6" fillId="0" borderId="5" xfId="1" applyFont="1" applyBorder="1" applyAlignment="1">
      <alignment horizontal="center" vertical="center" wrapText="1"/>
    </xf>
    <xf numFmtId="0" fontId="4" fillId="2" borderId="1" xfId="1" applyFont="1" applyFill="1" applyBorder="1" applyAlignment="1">
      <alignment horizontal="center" vertical="center" wrapText="1"/>
    </xf>
    <xf numFmtId="9" fontId="4" fillId="0" borderId="3" xfId="1" applyNumberFormat="1" applyFont="1" applyFill="1" applyBorder="1" applyAlignment="1">
      <alignment horizontal="center" vertical="center" wrapText="1"/>
    </xf>
    <xf numFmtId="0" fontId="4" fillId="2" borderId="6" xfId="1" applyFont="1" applyFill="1" applyBorder="1" applyAlignment="1">
      <alignment horizontal="center" vertical="center" wrapText="1"/>
    </xf>
    <xf numFmtId="0" fontId="11" fillId="5" borderId="14"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4" fillId="0" borderId="2" xfId="0" applyFont="1" applyBorder="1" applyAlignment="1">
      <alignment horizontal="center" vertical="center" wrapText="1"/>
    </xf>
    <xf numFmtId="14" fontId="9" fillId="7" borderId="2"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14" fillId="0" borderId="1" xfId="0" applyFont="1" applyBorder="1" applyAlignment="1">
      <alignment horizontal="center" vertical="center" wrapText="1"/>
    </xf>
    <xf numFmtId="14" fontId="9" fillId="7" borderId="1" xfId="0" applyNumberFormat="1" applyFont="1" applyFill="1" applyBorder="1" applyAlignment="1">
      <alignment horizontal="center" vertical="center" wrapText="1"/>
    </xf>
    <xf numFmtId="0" fontId="14" fillId="0" borderId="1" xfId="0" applyFont="1" applyBorder="1" applyAlignment="1">
      <alignment horizontal="center" vertical="center"/>
    </xf>
    <xf numFmtId="0" fontId="39" fillId="0" borderId="1" xfId="1" applyFont="1" applyFill="1" applyBorder="1" applyAlignment="1">
      <alignment horizontal="justify" vertical="center" wrapText="1"/>
    </xf>
    <xf numFmtId="0" fontId="5" fillId="0" borderId="1" xfId="1" applyFont="1" applyBorder="1" applyAlignment="1">
      <alignment vertical="top" wrapText="1"/>
    </xf>
    <xf numFmtId="0" fontId="3" fillId="0" borderId="0" xfId="1" applyNumberFormat="1"/>
    <xf numFmtId="0" fontId="40" fillId="0" borderId="1" xfId="1" applyFont="1" applyFill="1" applyBorder="1" applyAlignment="1">
      <alignment horizontal="center" vertical="center" wrapText="1"/>
    </xf>
    <xf numFmtId="0" fontId="23" fillId="0" borderId="2" xfId="0" applyFont="1" applyBorder="1" applyAlignment="1">
      <alignment horizontal="center" vertical="center" wrapText="1"/>
    </xf>
    <xf numFmtId="14" fontId="23" fillId="0" borderId="2" xfId="0" applyNumberFormat="1" applyFont="1" applyBorder="1" applyAlignment="1">
      <alignment horizontal="center" vertical="center" wrapText="1"/>
    </xf>
    <xf numFmtId="0" fontId="23" fillId="0" borderId="21" xfId="0" applyFont="1" applyFill="1" applyBorder="1" applyAlignment="1">
      <alignment horizontal="center" vertical="center" wrapText="1"/>
    </xf>
    <xf numFmtId="0" fontId="23" fillId="0" borderId="1" xfId="0" applyFont="1" applyBorder="1" applyAlignment="1">
      <alignment horizontal="center" vertical="center" wrapText="1"/>
    </xf>
    <xf numFmtId="14" fontId="23" fillId="0" borderId="1" xfId="0" applyNumberFormat="1" applyFont="1" applyBorder="1" applyAlignment="1">
      <alignment horizontal="center" vertical="center" wrapText="1"/>
    </xf>
    <xf numFmtId="14" fontId="23" fillId="0" borderId="5" xfId="0" applyNumberFormat="1" applyFont="1" applyBorder="1" applyAlignment="1">
      <alignment horizontal="center" vertical="center" wrapText="1"/>
    </xf>
    <xf numFmtId="0" fontId="4" fillId="2" borderId="2" xfId="0" applyFont="1" applyFill="1" applyBorder="1" applyAlignment="1">
      <alignment horizontal="center" vertical="center" wrapText="1"/>
    </xf>
    <xf numFmtId="9" fontId="4" fillId="0" borderId="2" xfId="0" applyNumberFormat="1" applyFont="1" applyFill="1" applyBorder="1" applyAlignment="1">
      <alignment horizontal="center" vertical="center" wrapText="1"/>
    </xf>
    <xf numFmtId="0" fontId="5" fillId="0" borderId="2" xfId="0" applyFont="1" applyBorder="1" applyAlignment="1">
      <alignment horizontal="center" vertical="center" wrapText="1"/>
    </xf>
    <xf numFmtId="9" fontId="4" fillId="0" borderId="3" xfId="0" applyNumberFormat="1" applyFont="1" applyFill="1" applyBorder="1" applyAlignment="1">
      <alignment horizontal="center" vertical="center" wrapText="1"/>
    </xf>
    <xf numFmtId="0" fontId="23" fillId="0" borderId="25" xfId="0" applyFont="1" applyFill="1" applyBorder="1" applyAlignment="1">
      <alignment horizontal="center" vertical="center" wrapText="1"/>
    </xf>
    <xf numFmtId="0" fontId="23" fillId="7"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23" fillId="0" borderId="5" xfId="0" applyFont="1" applyBorder="1" applyAlignment="1">
      <alignment vertical="center" wrapText="1"/>
    </xf>
    <xf numFmtId="9" fontId="4" fillId="0" borderId="5" xfId="0" applyNumberFormat="1" applyFont="1" applyFill="1" applyBorder="1" applyAlignment="1">
      <alignment horizontal="center" vertical="center" wrapText="1"/>
    </xf>
    <xf numFmtId="0" fontId="5" fillId="0" borderId="5" xfId="0" applyFont="1" applyBorder="1" applyAlignment="1">
      <alignment horizontal="center" vertical="center" wrapText="1"/>
    </xf>
    <xf numFmtId="0" fontId="14" fillId="0" borderId="3" xfId="0" applyFont="1" applyBorder="1" applyAlignment="1">
      <alignment horizontal="center" vertical="center" wrapText="1"/>
    </xf>
    <xf numFmtId="14" fontId="14" fillId="0" borderId="3" xfId="1" applyNumberFormat="1" applyFont="1" applyBorder="1" applyAlignment="1">
      <alignment horizontal="center" vertical="center" wrapText="1"/>
    </xf>
    <xf numFmtId="0" fontId="23" fillId="0" borderId="21" xfId="1" applyFont="1" applyFill="1" applyBorder="1" applyAlignment="1">
      <alignment horizontal="center" vertical="center" wrapText="1"/>
    </xf>
    <xf numFmtId="0" fontId="3" fillId="0" borderId="24" xfId="1" applyBorder="1"/>
    <xf numFmtId="0" fontId="23" fillId="0" borderId="25" xfId="1" applyFont="1" applyFill="1" applyBorder="1" applyAlignment="1">
      <alignment horizontal="center" vertical="center" wrapText="1"/>
    </xf>
    <xf numFmtId="14" fontId="6" fillId="0" borderId="1" xfId="1" applyNumberFormat="1" applyFont="1" applyBorder="1" applyAlignment="1">
      <alignment vertical="center" wrapText="1"/>
    </xf>
    <xf numFmtId="0" fontId="6" fillId="0" borderId="5" xfId="1" applyFont="1" applyBorder="1" applyAlignment="1">
      <alignment vertical="center" wrapText="1"/>
    </xf>
    <xf numFmtId="14" fontId="6" fillId="0" borderId="5" xfId="1" applyNumberFormat="1" applyFont="1" applyBorder="1" applyAlignment="1">
      <alignment vertical="center" wrapText="1"/>
    </xf>
    <xf numFmtId="0" fontId="23" fillId="7" borderId="31" xfId="1" applyFont="1" applyFill="1" applyBorder="1" applyAlignment="1">
      <alignment horizontal="center" vertical="center" wrapText="1"/>
    </xf>
    <xf numFmtId="14" fontId="4" fillId="0" borderId="44" xfId="1" applyNumberFormat="1" applyFont="1" applyBorder="1" applyAlignment="1">
      <alignment horizontal="centerContinuous" vertical="center" wrapText="1"/>
    </xf>
    <xf numFmtId="0" fontId="23" fillId="7" borderId="48" xfId="1" applyFont="1" applyFill="1" applyBorder="1" applyAlignment="1">
      <alignment horizontal="center" vertical="center" wrapText="1"/>
    </xf>
    <xf numFmtId="0" fontId="23" fillId="7" borderId="21" xfId="1" applyFont="1" applyFill="1" applyBorder="1" applyAlignment="1">
      <alignment horizontal="center" vertical="center" wrapText="1"/>
    </xf>
    <xf numFmtId="0" fontId="23" fillId="7" borderId="25" xfId="1" applyFont="1" applyFill="1" applyBorder="1" applyAlignment="1">
      <alignment horizontal="center" vertical="center" wrapText="1"/>
    </xf>
    <xf numFmtId="0" fontId="6" fillId="0" borderId="2" xfId="0" applyFont="1" applyBorder="1" applyAlignment="1">
      <alignment horizontal="center" vertical="center" wrapText="1"/>
    </xf>
    <xf numFmtId="14" fontId="6" fillId="0" borderId="11" xfId="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14" fontId="6" fillId="0" borderId="6" xfId="0" applyNumberFormat="1" applyFont="1" applyBorder="1" applyAlignment="1">
      <alignment horizontal="center" vertical="center" wrapText="1"/>
    </xf>
    <xf numFmtId="0" fontId="23" fillId="7" borderId="50" xfId="1" applyFont="1" applyFill="1" applyBorder="1" applyAlignment="1">
      <alignment horizontal="center" vertical="center" wrapText="1"/>
    </xf>
    <xf numFmtId="0" fontId="6" fillId="0" borderId="5" xfId="0" applyFont="1" applyBorder="1" applyAlignment="1">
      <alignment horizontal="center" vertical="center" wrapText="1"/>
    </xf>
    <xf numFmtId="14" fontId="6" fillId="0" borderId="27" xfId="0" applyNumberFormat="1" applyFont="1" applyBorder="1" applyAlignment="1">
      <alignment horizontal="center" vertical="center" wrapText="1"/>
    </xf>
    <xf numFmtId="14" fontId="6" fillId="0" borderId="5" xfId="0" applyNumberFormat="1" applyFont="1" applyBorder="1" applyAlignment="1">
      <alignment horizontal="center" vertical="center" wrapText="1"/>
    </xf>
    <xf numFmtId="9" fontId="4" fillId="7" borderId="5" xfId="1" applyNumberFormat="1" applyFont="1" applyFill="1" applyBorder="1" applyAlignment="1">
      <alignment horizontal="center" vertical="center" wrapText="1"/>
    </xf>
    <xf numFmtId="0" fontId="5" fillId="7" borderId="5" xfId="1" applyFont="1" applyFill="1" applyBorder="1" applyAlignment="1">
      <alignment horizontal="center" vertical="center" wrapText="1"/>
    </xf>
    <xf numFmtId="9" fontId="6" fillId="0" borderId="2" xfId="1" applyNumberFormat="1" applyFont="1" applyFill="1" applyBorder="1" applyAlignment="1">
      <alignment horizontal="left" vertical="top" wrapText="1"/>
    </xf>
    <xf numFmtId="0" fontId="6" fillId="0" borderId="2" xfId="1" applyFont="1" applyFill="1" applyBorder="1" applyAlignment="1">
      <alignment horizontal="left" vertical="top" wrapText="1"/>
    </xf>
    <xf numFmtId="14" fontId="6" fillId="0" borderId="2" xfId="1" applyNumberFormat="1" applyFont="1" applyFill="1" applyBorder="1" applyAlignment="1">
      <alignment horizontal="left" vertical="top" wrapText="1"/>
    </xf>
    <xf numFmtId="9" fontId="6" fillId="0" borderId="1" xfId="1" applyNumberFormat="1" applyFont="1" applyFill="1" applyBorder="1" applyAlignment="1">
      <alignment horizontal="left" vertical="top" wrapText="1"/>
    </xf>
    <xf numFmtId="0" fontId="6" fillId="0" borderId="1" xfId="1" applyFont="1" applyFill="1" applyBorder="1" applyAlignment="1">
      <alignment horizontal="left" vertical="top" wrapText="1"/>
    </xf>
    <xf numFmtId="14" fontId="6" fillId="0" borderId="1" xfId="1" applyNumberFormat="1" applyFont="1" applyFill="1" applyBorder="1" applyAlignment="1">
      <alignment horizontal="left" vertical="top" wrapText="1"/>
    </xf>
    <xf numFmtId="9" fontId="6" fillId="0" borderId="5" xfId="1" applyNumberFormat="1" applyFont="1" applyFill="1" applyBorder="1" applyAlignment="1">
      <alignment horizontal="left" vertical="top" wrapText="1"/>
    </xf>
    <xf numFmtId="0" fontId="6" fillId="0" borderId="5" xfId="1" applyFont="1" applyFill="1" applyBorder="1" applyAlignment="1">
      <alignment horizontal="left" vertical="top" wrapText="1"/>
    </xf>
    <xf numFmtId="14" fontId="6" fillId="0" borderId="5" xfId="1" applyNumberFormat="1" applyFont="1" applyFill="1" applyBorder="1" applyAlignment="1">
      <alignment horizontal="left" vertical="top" wrapText="1"/>
    </xf>
    <xf numFmtId="0" fontId="23" fillId="0" borderId="50" xfId="0" applyFont="1" applyBorder="1" applyAlignment="1">
      <alignment horizontal="center" vertical="center" wrapText="1"/>
    </xf>
    <xf numFmtId="0" fontId="23" fillId="0" borderId="25" xfId="0" applyFont="1" applyBorder="1" applyAlignment="1">
      <alignment horizontal="center" vertical="center" wrapText="1"/>
    </xf>
    <xf numFmtId="9" fontId="6" fillId="0" borderId="1" xfId="1" applyNumberFormat="1" applyFont="1" applyFill="1" applyBorder="1" applyAlignment="1">
      <alignment horizontal="center" vertical="top" wrapText="1"/>
    </xf>
    <xf numFmtId="0" fontId="6" fillId="0" borderId="6" xfId="1" applyFont="1" applyFill="1" applyBorder="1" applyAlignment="1">
      <alignment horizontal="left" vertical="top" wrapText="1"/>
    </xf>
    <xf numFmtId="14" fontId="6" fillId="0" borderId="6" xfId="1" applyNumberFormat="1" applyFont="1" applyFill="1" applyBorder="1" applyAlignment="1">
      <alignment horizontal="left" vertical="top" wrapText="1"/>
    </xf>
    <xf numFmtId="0" fontId="6" fillId="0" borderId="32" xfId="1" applyFont="1" applyBorder="1" applyAlignment="1">
      <alignment vertical="center" wrapText="1"/>
    </xf>
    <xf numFmtId="0" fontId="6" fillId="0" borderId="35" xfId="1" applyFont="1" applyBorder="1" applyAlignment="1">
      <alignment vertical="center" wrapText="1"/>
    </xf>
    <xf numFmtId="0" fontId="4" fillId="2" borderId="4" xfId="1" applyFont="1" applyFill="1" applyBorder="1" applyAlignment="1">
      <alignment horizontal="center" vertical="center" wrapText="1"/>
    </xf>
    <xf numFmtId="0" fontId="6" fillId="0" borderId="25" xfId="1" applyFont="1" applyBorder="1" applyAlignment="1">
      <alignment horizontal="center" vertical="center" wrapText="1"/>
    </xf>
    <xf numFmtId="0" fontId="6" fillId="0" borderId="9" xfId="1" applyFont="1" applyBorder="1" applyAlignment="1">
      <alignment vertical="center" wrapText="1"/>
    </xf>
    <xf numFmtId="0" fontId="6" fillId="0" borderId="10" xfId="1" applyFont="1" applyBorder="1" applyAlignment="1">
      <alignment vertical="center" wrapText="1"/>
    </xf>
    <xf numFmtId="0" fontId="6" fillId="7" borderId="31" xfId="1" applyFont="1" applyFill="1" applyBorder="1" applyAlignment="1">
      <alignment horizontal="center" vertical="center" wrapText="1"/>
    </xf>
    <xf numFmtId="0" fontId="43" fillId="7" borderId="1" xfId="1" applyFont="1" applyFill="1" applyBorder="1" applyAlignment="1">
      <alignment horizontal="center" vertical="center" wrapText="1"/>
    </xf>
    <xf numFmtId="0" fontId="39" fillId="7" borderId="1" xfId="1" applyFont="1" applyFill="1" applyBorder="1" applyAlignment="1">
      <alignment horizontal="center" vertical="center" wrapText="1"/>
    </xf>
    <xf numFmtId="14" fontId="39" fillId="7" borderId="1" xfId="1" applyNumberFormat="1" applyFont="1" applyFill="1" applyBorder="1" applyAlignment="1">
      <alignment horizontal="center" vertical="center" wrapText="1"/>
    </xf>
    <xf numFmtId="9" fontId="43" fillId="0" borderId="1" xfId="1" applyNumberFormat="1" applyFont="1" applyFill="1" applyBorder="1" applyAlignment="1">
      <alignment horizontal="center" vertical="center" wrapText="1"/>
    </xf>
    <xf numFmtId="0" fontId="40" fillId="0" borderId="1" xfId="1" applyFont="1" applyBorder="1" applyAlignment="1">
      <alignment horizontal="center" vertical="center" wrapText="1"/>
    </xf>
    <xf numFmtId="0" fontId="43" fillId="0" borderId="1" xfId="1" applyFont="1" applyFill="1" applyBorder="1" applyAlignment="1">
      <alignment horizontal="left" vertical="center" wrapText="1"/>
    </xf>
    <xf numFmtId="0" fontId="44" fillId="0" borderId="0" xfId="1" applyFont="1"/>
    <xf numFmtId="0" fontId="43" fillId="0" borderId="1" xfId="1" applyFont="1" applyFill="1" applyBorder="1" applyAlignment="1">
      <alignment horizontal="justify" vertical="center" wrapText="1"/>
    </xf>
    <xf numFmtId="0" fontId="42" fillId="7" borderId="1" xfId="1" applyFont="1" applyFill="1" applyBorder="1" applyAlignment="1">
      <alignment horizontal="center" vertical="center" wrapText="1"/>
    </xf>
    <xf numFmtId="14" fontId="42" fillId="7" borderId="6" xfId="1" applyNumberFormat="1" applyFont="1" applyFill="1" applyBorder="1" applyAlignment="1">
      <alignment horizontal="center" vertical="center" wrapText="1"/>
    </xf>
    <xf numFmtId="14" fontId="42" fillId="7" borderId="1" xfId="1" applyNumberFormat="1" applyFont="1" applyFill="1" applyBorder="1" applyAlignment="1">
      <alignment horizontal="center" vertical="center" wrapText="1"/>
    </xf>
    <xf numFmtId="0" fontId="40" fillId="0" borderId="3" xfId="1" applyFont="1" applyBorder="1" applyAlignment="1">
      <alignment horizontal="center" vertical="center" wrapText="1"/>
    </xf>
    <xf numFmtId="0" fontId="40" fillId="7" borderId="3" xfId="1" applyFont="1" applyFill="1" applyBorder="1" applyAlignment="1">
      <alignment horizontal="center" vertical="center" wrapText="1"/>
    </xf>
    <xf numFmtId="0" fontId="48" fillId="5" borderId="14" xfId="1" applyFont="1" applyFill="1" applyBorder="1" applyAlignment="1">
      <alignment horizontal="center" vertical="center" wrapText="1"/>
    </xf>
    <xf numFmtId="0" fontId="48" fillId="5" borderId="5" xfId="1" applyFont="1" applyFill="1" applyBorder="1" applyAlignment="1">
      <alignment horizontal="center" vertical="center" wrapText="1"/>
    </xf>
    <xf numFmtId="0" fontId="40" fillId="3" borderId="1" xfId="1" applyFont="1" applyFill="1" applyBorder="1" applyAlignment="1">
      <alignment horizontal="center" vertical="center" wrapText="1"/>
    </xf>
    <xf numFmtId="14" fontId="40" fillId="3" borderId="1" xfId="1" applyNumberFormat="1" applyFont="1" applyFill="1" applyBorder="1" applyAlignment="1">
      <alignment horizontal="center" vertical="center" wrapText="1"/>
    </xf>
    <xf numFmtId="0" fontId="40" fillId="0" borderId="3" xfId="1" applyFont="1" applyBorder="1" applyAlignment="1">
      <alignment horizontal="left" vertical="center" wrapText="1"/>
    </xf>
    <xf numFmtId="14" fontId="43" fillId="7" borderId="1" xfId="1" applyNumberFormat="1" applyFont="1" applyFill="1" applyBorder="1" applyAlignment="1">
      <alignment horizontal="center" vertical="center" textRotation="90" wrapText="1"/>
    </xf>
    <xf numFmtId="14" fontId="43" fillId="7" borderId="1" xfId="1" applyNumberFormat="1" applyFont="1" applyFill="1" applyBorder="1" applyAlignment="1">
      <alignment horizontal="center" vertical="center" wrapText="1"/>
    </xf>
    <xf numFmtId="0" fontId="40" fillId="7" borderId="1" xfId="1" applyFont="1" applyFill="1" applyBorder="1" applyAlignment="1">
      <alignment horizontal="center" vertical="center" wrapText="1"/>
    </xf>
    <xf numFmtId="14" fontId="42" fillId="7" borderId="1" xfId="1" applyNumberFormat="1" applyFont="1" applyFill="1" applyBorder="1" applyAlignment="1">
      <alignment vertical="center" wrapText="1"/>
    </xf>
    <xf numFmtId="0" fontId="40" fillId="0" borderId="1" xfId="1" applyFont="1" applyBorder="1" applyAlignment="1">
      <alignment vertical="top"/>
    </xf>
    <xf numFmtId="0" fontId="35" fillId="2" borderId="1" xfId="0" applyFont="1" applyFill="1" applyBorder="1" applyAlignment="1">
      <alignment horizontal="center" vertical="center" wrapText="1"/>
    </xf>
    <xf numFmtId="0" fontId="0" fillId="0" borderId="3" xfId="0" applyBorder="1" applyAlignment="1">
      <alignment horizontal="center" vertical="center" wrapText="1"/>
    </xf>
    <xf numFmtId="14" fontId="0" fillId="0" borderId="3" xfId="0" applyNumberFormat="1" applyBorder="1" applyAlignment="1">
      <alignment horizontal="center" vertical="center" wrapText="1"/>
    </xf>
    <xf numFmtId="9" fontId="4" fillId="0" borderId="1" xfId="0" applyNumberFormat="1" applyFont="1" applyBorder="1" applyAlignment="1">
      <alignment horizontal="center" vertical="center" wrapText="1"/>
    </xf>
    <xf numFmtId="0" fontId="4" fillId="0" borderId="1" xfId="0" applyFont="1" applyBorder="1" applyAlignment="1">
      <alignment horizontal="justify"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5" fillId="0" borderId="43" xfId="1" applyFont="1" applyBorder="1" applyAlignment="1">
      <alignment horizontal="center" vertical="center" wrapText="1"/>
    </xf>
    <xf numFmtId="0" fontId="35" fillId="0" borderId="44" xfId="1" applyFont="1" applyBorder="1" applyAlignment="1">
      <alignment horizontal="center" vertical="center" wrapText="1"/>
    </xf>
    <xf numFmtId="0" fontId="32" fillId="0" borderId="48" xfId="1" applyFont="1" applyFill="1" applyBorder="1" applyAlignment="1">
      <alignment horizontal="justify" vertical="center" wrapText="1"/>
    </xf>
    <xf numFmtId="0" fontId="4" fillId="0" borderId="4" xfId="1" applyFont="1" applyFill="1" applyBorder="1" applyAlignment="1">
      <alignment vertical="center" wrapText="1"/>
    </xf>
    <xf numFmtId="0" fontId="14" fillId="0" borderId="6" xfId="1" applyFont="1" applyFill="1" applyBorder="1" applyAlignment="1">
      <alignment vertical="center" wrapText="1"/>
    </xf>
    <xf numFmtId="0" fontId="4" fillId="0" borderId="1" xfId="1" applyFont="1" applyFill="1" applyBorder="1" applyAlignment="1">
      <alignment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14" fontId="5" fillId="3"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5" xfId="0" applyFont="1" applyBorder="1" applyAlignment="1">
      <alignment horizontal="center" vertical="center" wrapText="1"/>
    </xf>
    <xf numFmtId="0" fontId="5" fillId="0" borderId="6" xfId="0" applyFont="1" applyBorder="1" applyAlignment="1">
      <alignment horizontal="center" vertical="center" wrapText="1"/>
    </xf>
    <xf numFmtId="0" fontId="0" fillId="0" borderId="2" xfId="0" applyBorder="1" applyAlignment="1">
      <alignment horizontal="center" vertical="center" wrapText="1"/>
    </xf>
    <xf numFmtId="14" fontId="0" fillId="0" borderId="2" xfId="0" applyNumberFormat="1" applyBorder="1" applyAlignment="1">
      <alignment horizontal="center" vertical="center" wrapText="1"/>
    </xf>
    <xf numFmtId="0" fontId="0" fillId="0" borderId="4" xfId="0" applyBorder="1" applyAlignment="1">
      <alignment horizontal="center" vertical="center" wrapText="1"/>
    </xf>
    <xf numFmtId="14" fontId="0" fillId="0" borderId="6" xfId="0" applyNumberFormat="1" applyBorder="1" applyAlignment="1">
      <alignment horizontal="center" vertical="center" wrapText="1"/>
    </xf>
    <xf numFmtId="14" fontId="0" fillId="0" borderId="4" xfId="0" applyNumberFormat="1" applyBorder="1" applyAlignment="1">
      <alignment horizontal="center" vertical="center" wrapText="1"/>
    </xf>
    <xf numFmtId="14" fontId="0" fillId="0" borderId="1" xfId="0" applyNumberFormat="1" applyBorder="1" applyAlignment="1">
      <alignment vertical="center" wrapText="1"/>
    </xf>
    <xf numFmtId="14" fontId="0" fillId="0" borderId="3" xfId="0" applyNumberFormat="1" applyBorder="1" applyAlignment="1">
      <alignment vertical="center" wrapText="1"/>
    </xf>
    <xf numFmtId="0" fontId="0" fillId="0" borderId="1" xfId="0" applyBorder="1" applyAlignment="1">
      <alignment vertical="center" wrapText="1"/>
    </xf>
    <xf numFmtId="0" fontId="4" fillId="2" borderId="6" xfId="0" applyFont="1" applyFill="1" applyBorder="1" applyAlignment="1">
      <alignment horizontal="center" vertical="center" wrapText="1"/>
    </xf>
    <xf numFmtId="0" fontId="14" fillId="0" borderId="4" xfId="0" applyFont="1" applyBorder="1" applyAlignment="1">
      <alignment horizontal="center" vertical="center" wrapText="1"/>
    </xf>
    <xf numFmtId="14" fontId="14" fillId="0" borderId="4" xfId="0" applyNumberFormat="1" applyFont="1" applyBorder="1" applyAlignment="1">
      <alignment horizontal="center" vertical="center" wrapText="1"/>
    </xf>
    <xf numFmtId="0" fontId="6" fillId="0" borderId="6" xfId="0" applyFont="1" applyBorder="1" applyAlignment="1">
      <alignment vertical="center" wrapText="1"/>
    </xf>
    <xf numFmtId="9" fontId="4" fillId="0" borderId="6" xfId="0" applyNumberFormat="1" applyFont="1" applyFill="1" applyBorder="1" applyAlignment="1">
      <alignment horizontal="center" vertical="center" wrapText="1"/>
    </xf>
    <xf numFmtId="0" fontId="4" fillId="0" borderId="6" xfId="0" applyFont="1" applyFill="1" applyBorder="1" applyAlignment="1">
      <alignment horizontal="justify" vertical="center" wrapText="1"/>
    </xf>
    <xf numFmtId="0" fontId="35" fillId="2" borderId="3" xfId="0" applyFont="1" applyFill="1" applyBorder="1" applyAlignment="1">
      <alignment horizontal="center" vertical="center" wrapText="1"/>
    </xf>
    <xf numFmtId="0" fontId="6" fillId="0" borderId="3" xfId="0" applyFont="1" applyBorder="1" applyAlignment="1">
      <alignment horizontal="center" vertical="center" wrapText="1"/>
    </xf>
    <xf numFmtId="9" fontId="4" fillId="0" borderId="3" xfId="0" applyNumberFormat="1" applyFont="1" applyBorder="1" applyAlignment="1">
      <alignment horizontal="center" vertical="center" wrapText="1"/>
    </xf>
    <xf numFmtId="0" fontId="4" fillId="0" borderId="3" xfId="0" applyFont="1" applyBorder="1" applyAlignment="1">
      <alignment horizontal="justify" vertical="center" wrapText="1"/>
    </xf>
    <xf numFmtId="0" fontId="35" fillId="2" borderId="2" xfId="0" applyFont="1" applyFill="1" applyBorder="1" applyAlignment="1">
      <alignment horizontal="center" vertical="center" wrapText="1"/>
    </xf>
    <xf numFmtId="0" fontId="6" fillId="0" borderId="2" xfId="0" applyFont="1" applyBorder="1" applyAlignment="1">
      <alignment horizontal="center" vertical="center" wrapText="1"/>
    </xf>
    <xf numFmtId="9" fontId="4" fillId="0" borderId="2" xfId="0" applyNumberFormat="1" applyFont="1" applyBorder="1" applyAlignment="1">
      <alignment horizontal="center" vertical="center" wrapText="1"/>
    </xf>
    <xf numFmtId="0" fontId="4" fillId="0" borderId="21" xfId="0" applyFont="1" applyBorder="1" applyAlignment="1">
      <alignment horizontal="justify" vertical="center" wrapText="1"/>
    </xf>
    <xf numFmtId="0" fontId="4" fillId="0" borderId="25" xfId="0" applyFont="1" applyBorder="1" applyAlignment="1">
      <alignment horizontal="justify" vertical="center" wrapText="1"/>
    </xf>
    <xf numFmtId="0" fontId="35" fillId="2" borderId="5" xfId="0" applyFont="1" applyFill="1" applyBorder="1" applyAlignment="1">
      <alignment horizontal="center" vertical="center" wrapText="1"/>
    </xf>
    <xf numFmtId="0" fontId="0" fillId="0" borderId="5" xfId="0" applyBorder="1" applyAlignment="1">
      <alignment horizontal="center" vertical="center" wrapText="1"/>
    </xf>
    <xf numFmtId="14" fontId="0" fillId="0" borderId="5" xfId="0" applyNumberFormat="1" applyBorder="1" applyAlignment="1">
      <alignment horizontal="center" vertical="center" wrapText="1"/>
    </xf>
    <xf numFmtId="9" fontId="4" fillId="0" borderId="5" xfId="0" applyNumberFormat="1" applyFont="1" applyBorder="1" applyAlignment="1">
      <alignment horizontal="center" vertical="center" wrapText="1"/>
    </xf>
    <xf numFmtId="0" fontId="4" fillId="0" borderId="31" xfId="0" applyFont="1" applyBorder="1" applyAlignment="1">
      <alignment horizontal="justify" vertical="center" wrapText="1"/>
    </xf>
    <xf numFmtId="0" fontId="5" fillId="0" borderId="2" xfId="1" applyFont="1" applyBorder="1" applyAlignment="1">
      <alignment horizontal="center" vertical="center" wrapText="1"/>
    </xf>
    <xf numFmtId="0" fontId="5" fillId="0" borderId="5" xfId="1" applyFont="1" applyBorder="1" applyAlignment="1">
      <alignment horizontal="center" vertical="center" wrapText="1"/>
    </xf>
    <xf numFmtId="0" fontId="14" fillId="2" borderId="1" xfId="1" applyFont="1" applyFill="1" applyBorder="1" applyAlignment="1">
      <alignment horizontal="center" vertical="center" wrapText="1"/>
    </xf>
    <xf numFmtId="0" fontId="14" fillId="2" borderId="5" xfId="1" applyFont="1" applyFill="1" applyBorder="1" applyAlignment="1">
      <alignment horizontal="center" vertical="center" wrapText="1"/>
    </xf>
    <xf numFmtId="9" fontId="4" fillId="0" borderId="6" xfId="1" applyNumberFormat="1" applyFont="1" applyFill="1" applyBorder="1" applyAlignment="1">
      <alignment horizontal="center" vertical="center" wrapText="1"/>
    </xf>
    <xf numFmtId="0" fontId="5" fillId="0" borderId="6" xfId="1" applyFont="1" applyBorder="1" applyAlignment="1">
      <alignment horizontal="center" vertical="center" wrapText="1"/>
    </xf>
    <xf numFmtId="0" fontId="14" fillId="2" borderId="2" xfId="1" applyFont="1" applyFill="1" applyBorder="1" applyAlignment="1">
      <alignment horizontal="center" vertical="center" wrapText="1"/>
    </xf>
    <xf numFmtId="0" fontId="14" fillId="0" borderId="6" xfId="0" applyFont="1" applyBorder="1" applyAlignment="1">
      <alignment horizontal="center" vertical="center" wrapText="1"/>
    </xf>
    <xf numFmtId="14" fontId="9" fillId="7" borderId="6" xfId="0" applyNumberFormat="1" applyFont="1" applyFill="1" applyBorder="1" applyAlignment="1">
      <alignment horizontal="center" vertical="center" wrapText="1"/>
    </xf>
    <xf numFmtId="0" fontId="0" fillId="0" borderId="2" xfId="0" applyBorder="1" applyAlignment="1">
      <alignment vertical="center" wrapText="1"/>
    </xf>
    <xf numFmtId="14" fontId="0" fillId="0" borderId="2" xfId="0" applyNumberFormat="1" applyBorder="1" applyAlignment="1">
      <alignment vertical="center" wrapText="1"/>
    </xf>
    <xf numFmtId="0" fontId="0" fillId="0" borderId="3" xfId="0" applyBorder="1" applyAlignment="1">
      <alignment vertical="center" wrapText="1"/>
    </xf>
    <xf numFmtId="14" fontId="0" fillId="0" borderId="4" xfId="0" applyNumberFormat="1" applyBorder="1" applyAlignment="1">
      <alignment vertical="center" wrapText="1"/>
    </xf>
    <xf numFmtId="0" fontId="6" fillId="0" borderId="6" xfId="0" applyFont="1" applyBorder="1" applyAlignment="1">
      <alignment horizontal="center" vertical="center" wrapText="1"/>
    </xf>
    <xf numFmtId="0" fontId="4" fillId="0" borderId="21" xfId="0" applyFont="1" applyFill="1" applyBorder="1" applyAlignment="1">
      <alignment horizontal="justify" vertical="center" wrapText="1"/>
    </xf>
    <xf numFmtId="0" fontId="4" fillId="0" borderId="25" xfId="0" applyFont="1" applyFill="1" applyBorder="1" applyAlignment="1">
      <alignment horizontal="justify" vertical="center" wrapText="1"/>
    </xf>
    <xf numFmtId="0" fontId="0" fillId="0" borderId="5" xfId="0" applyBorder="1" applyAlignment="1">
      <alignment vertical="center" wrapText="1"/>
    </xf>
    <xf numFmtId="14" fontId="0" fillId="0" borderId="27" xfId="0" applyNumberFormat="1" applyBorder="1" applyAlignment="1">
      <alignment vertical="center" wrapText="1"/>
    </xf>
    <xf numFmtId="14" fontId="0" fillId="0" borderId="5" xfId="0" applyNumberFormat="1" applyBorder="1" applyAlignment="1">
      <alignment vertical="center" wrapText="1"/>
    </xf>
    <xf numFmtId="0" fontId="4" fillId="0" borderId="31" xfId="0" applyFont="1" applyFill="1" applyBorder="1" applyAlignment="1">
      <alignment horizontal="justify" vertical="center" wrapText="1"/>
    </xf>
    <xf numFmtId="14" fontId="0" fillId="0" borderId="11" xfId="0" applyNumberFormat="1" applyBorder="1" applyAlignment="1">
      <alignment horizontal="center" vertical="center" wrapText="1"/>
    </xf>
    <xf numFmtId="0" fontId="0" fillId="0" borderId="1" xfId="0" applyFill="1" applyBorder="1" applyAlignment="1">
      <alignment horizontal="center" vertical="center" wrapText="1"/>
    </xf>
    <xf numFmtId="0" fontId="7" fillId="0" borderId="11" xfId="0" applyFont="1" applyBorder="1" applyAlignment="1">
      <alignment vertical="center" wrapText="1"/>
    </xf>
    <xf numFmtId="14" fontId="7" fillId="0" borderId="11" xfId="0" applyNumberFormat="1" applyFont="1" applyBorder="1" applyAlignment="1">
      <alignment vertical="center" wrapText="1"/>
    </xf>
    <xf numFmtId="0" fontId="9" fillId="0" borderId="1" xfId="0" applyFont="1" applyBorder="1" applyAlignment="1">
      <alignment vertical="center" wrapText="1"/>
    </xf>
    <xf numFmtId="0" fontId="7" fillId="0" borderId="1" xfId="0" applyFont="1" applyBorder="1" applyAlignment="1">
      <alignment vertical="center" wrapText="1"/>
    </xf>
    <xf numFmtId="14" fontId="7" fillId="0" borderId="1" xfId="0" applyNumberFormat="1" applyFont="1" applyBorder="1" applyAlignment="1">
      <alignment vertical="center" wrapText="1"/>
    </xf>
    <xf numFmtId="0" fontId="7" fillId="0" borderId="10" xfId="0" applyFont="1" applyBorder="1" applyAlignment="1">
      <alignment horizontal="center" vertical="center" wrapText="1"/>
    </xf>
    <xf numFmtId="0" fontId="52" fillId="0" borderId="10" xfId="0" applyFont="1" applyBorder="1" applyAlignment="1">
      <alignment horizontal="center" vertical="center" wrapText="1"/>
    </xf>
    <xf numFmtId="0" fontId="52" fillId="0" borderId="3" xfId="0" applyFont="1" applyBorder="1" applyAlignment="1">
      <alignment vertical="center" wrapText="1"/>
    </xf>
    <xf numFmtId="14" fontId="52" fillId="0" borderId="3" xfId="0" applyNumberFormat="1" applyFont="1" applyBorder="1" applyAlignment="1">
      <alignment vertical="center" wrapText="1"/>
    </xf>
    <xf numFmtId="14" fontId="7" fillId="0" borderId="3" xfId="0" applyNumberFormat="1" applyFont="1" applyBorder="1" applyAlignment="1">
      <alignment vertical="center" wrapText="1"/>
    </xf>
    <xf numFmtId="0" fontId="14" fillId="2" borderId="6" xfId="0" applyFont="1" applyFill="1" applyBorder="1" applyAlignment="1">
      <alignment horizontal="center" vertical="center" wrapText="1"/>
    </xf>
    <xf numFmtId="0" fontId="9" fillId="0" borderId="6" xfId="0" applyFont="1" applyBorder="1" applyAlignment="1">
      <alignment vertical="center" wrapText="1"/>
    </xf>
    <xf numFmtId="0" fontId="5" fillId="0" borderId="27" xfId="1" applyFont="1" applyBorder="1" applyAlignment="1">
      <alignment horizontal="center" vertical="center" wrapText="1"/>
    </xf>
    <xf numFmtId="0" fontId="5" fillId="3" borderId="6" xfId="1" applyFont="1" applyFill="1" applyBorder="1" applyAlignment="1">
      <alignment horizontal="center" vertical="center" wrapText="1"/>
    </xf>
    <xf numFmtId="14" fontId="5" fillId="3" borderId="1" xfId="1" applyNumberFormat="1" applyFont="1" applyFill="1" applyBorder="1" applyAlignment="1">
      <alignment horizontal="center" vertical="center" wrapText="1"/>
    </xf>
    <xf numFmtId="14" fontId="5" fillId="3" borderId="6" xfId="1" applyNumberFormat="1" applyFont="1" applyFill="1" applyBorder="1" applyAlignment="1">
      <alignment horizontal="center" vertical="center" wrapText="1"/>
    </xf>
    <xf numFmtId="0" fontId="5" fillId="0" borderId="2" xfId="1" applyFont="1" applyBorder="1" applyAlignment="1">
      <alignment horizontal="center" vertical="center" wrapText="1"/>
    </xf>
    <xf numFmtId="0" fontId="5" fillId="0" borderId="5" xfId="1" applyFont="1" applyBorder="1" applyAlignment="1">
      <alignment horizontal="center" vertical="center" wrapText="1"/>
    </xf>
    <xf numFmtId="0" fontId="14" fillId="0" borderId="3" xfId="1" applyFont="1" applyFill="1" applyBorder="1" applyAlignment="1">
      <alignment horizontal="center" vertical="center" wrapText="1"/>
    </xf>
    <xf numFmtId="0" fontId="5" fillId="3" borderId="1" xfId="1" applyFont="1" applyFill="1" applyBorder="1" applyAlignment="1">
      <alignment horizontal="center" vertical="center" wrapText="1"/>
    </xf>
    <xf numFmtId="14" fontId="14" fillId="0" borderId="1" xfId="1" applyNumberFormat="1" applyFont="1" applyBorder="1" applyAlignment="1">
      <alignment horizontal="center" vertical="center" wrapText="1"/>
    </xf>
    <xf numFmtId="14" fontId="14" fillId="0" borderId="6" xfId="1" applyNumberFormat="1" applyFont="1" applyBorder="1" applyAlignment="1">
      <alignment horizontal="center" vertical="center" wrapText="1"/>
    </xf>
    <xf numFmtId="14" fontId="14" fillId="0" borderId="4" xfId="1" applyNumberFormat="1" applyFont="1" applyBorder="1" applyAlignment="1">
      <alignment horizontal="center" vertical="center" wrapText="1"/>
    </xf>
    <xf numFmtId="14" fontId="14" fillId="0" borderId="3" xfId="1" applyNumberFormat="1" applyFont="1" applyBorder="1" applyAlignment="1">
      <alignment horizontal="center" vertical="center" wrapText="1"/>
    </xf>
    <xf numFmtId="0" fontId="16" fillId="0" borderId="1" xfId="1" applyFont="1" applyBorder="1" applyAlignment="1">
      <alignment horizontal="center" vertical="center" wrapText="1"/>
    </xf>
    <xf numFmtId="0" fontId="14" fillId="2" borderId="1" xfId="1" applyFont="1" applyFill="1" applyBorder="1" applyAlignment="1">
      <alignment horizontal="center" vertical="center" wrapText="1"/>
    </xf>
    <xf numFmtId="0" fontId="16" fillId="0" borderId="3" xfId="1" applyFont="1" applyBorder="1" applyAlignment="1">
      <alignment horizontal="center" vertical="center" wrapText="1"/>
    </xf>
    <xf numFmtId="0" fontId="9" fillId="0" borderId="1" xfId="1" applyFont="1" applyBorder="1" applyAlignment="1">
      <alignment horizontal="center" vertical="center" wrapText="1"/>
    </xf>
    <xf numFmtId="14" fontId="14" fillId="0" borderId="5" xfId="1" applyNumberFormat="1" applyFont="1" applyBorder="1" applyAlignment="1">
      <alignment horizontal="center" vertical="center" wrapText="1"/>
    </xf>
    <xf numFmtId="0" fontId="14" fillId="2" borderId="5" xfId="1" applyFont="1" applyFill="1" applyBorder="1" applyAlignment="1">
      <alignment horizontal="center" vertical="center" wrapText="1"/>
    </xf>
    <xf numFmtId="0" fontId="5" fillId="0" borderId="6" xfId="1" applyFont="1" applyBorder="1" applyAlignment="1">
      <alignment horizontal="center" vertical="center" wrapText="1"/>
    </xf>
    <xf numFmtId="9" fontId="4" fillId="0" borderId="6" xfId="1" applyNumberFormat="1" applyFont="1" applyFill="1" applyBorder="1" applyAlignment="1">
      <alignment horizontal="center" vertical="center" wrapText="1"/>
    </xf>
    <xf numFmtId="0" fontId="14" fillId="2" borderId="2" xfId="1" applyFont="1" applyFill="1" applyBorder="1" applyAlignment="1">
      <alignment horizontal="center" vertical="center" wrapText="1"/>
    </xf>
    <xf numFmtId="0" fontId="6" fillId="0" borderId="1" xfId="1" applyFont="1" applyBorder="1" applyAlignment="1">
      <alignment horizontal="center" vertical="center" wrapText="1"/>
    </xf>
    <xf numFmtId="0" fontId="5" fillId="0" borderId="1" xfId="0" applyFont="1" applyBorder="1" applyAlignment="1">
      <alignment horizontal="center" vertical="center" wrapText="1"/>
    </xf>
    <xf numFmtId="0" fontId="14" fillId="2"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5" xfId="0" applyFont="1" applyBorder="1" applyAlignment="1">
      <alignment horizontal="center" vertical="center" wrapText="1"/>
    </xf>
    <xf numFmtId="0" fontId="5" fillId="0" borderId="4" xfId="0" applyFont="1" applyBorder="1" applyAlignment="1">
      <alignment horizontal="center" vertical="center" wrapText="1"/>
    </xf>
    <xf numFmtId="14" fontId="4" fillId="0" borderId="4" xfId="0" applyNumberFormat="1" applyFont="1" applyBorder="1" applyAlignment="1">
      <alignment horizontal="center" vertical="center" textRotation="90" wrapText="1"/>
    </xf>
    <xf numFmtId="14" fontId="4" fillId="0" borderId="4" xfId="0" applyNumberFormat="1" applyFont="1" applyBorder="1" applyAlignment="1">
      <alignment horizontal="center" vertical="center" wrapText="1"/>
    </xf>
    <xf numFmtId="0" fontId="4" fillId="0" borderId="4" xfId="0" applyFont="1" applyFill="1" applyBorder="1" applyAlignment="1">
      <alignment horizontal="center" vertical="center" wrapText="1"/>
    </xf>
    <xf numFmtId="14" fontId="4" fillId="0" borderId="6" xfId="0" applyNumberFormat="1" applyFont="1" applyBorder="1" applyAlignment="1">
      <alignment horizontal="center" vertical="center" wrapText="1"/>
    </xf>
    <xf numFmtId="0" fontId="5" fillId="0" borderId="6" xfId="0" applyFont="1" applyBorder="1" applyAlignment="1">
      <alignment horizontal="center" vertical="center" wrapText="1"/>
    </xf>
    <xf numFmtId="0" fontId="6" fillId="0" borderId="2" xfId="0" applyFont="1" applyBorder="1" applyAlignment="1">
      <alignment horizontal="center" vertical="center" wrapText="1"/>
    </xf>
    <xf numFmtId="0" fontId="5" fillId="0" borderId="3" xfId="0" applyFont="1" applyBorder="1" applyAlignment="1">
      <alignment horizontal="center" vertical="center" wrapText="1"/>
    </xf>
    <xf numFmtId="0" fontId="35" fillId="0" borderId="3" xfId="0" applyFont="1" applyBorder="1" applyAlignment="1">
      <alignment horizontal="center" vertical="center" wrapText="1"/>
    </xf>
    <xf numFmtId="0" fontId="23" fillId="0" borderId="3" xfId="0" applyFont="1" applyBorder="1" applyAlignment="1">
      <alignment horizontal="center" vertical="center" wrapText="1"/>
    </xf>
    <xf numFmtId="0" fontId="0" fillId="0" borderId="1" xfId="0" applyBorder="1" applyAlignment="1">
      <alignment horizontal="center" vertical="center" wrapText="1"/>
    </xf>
    <xf numFmtId="0" fontId="14" fillId="0" borderId="1" xfId="0" applyFont="1" applyBorder="1" applyAlignment="1">
      <alignment horizontal="center" vertical="center" wrapText="1"/>
    </xf>
    <xf numFmtId="0" fontId="9" fillId="0" borderId="3" xfId="1" applyFont="1" applyBorder="1" applyAlignment="1">
      <alignment horizontal="center" vertical="center" wrapText="1"/>
    </xf>
    <xf numFmtId="0" fontId="14" fillId="0" borderId="1" xfId="1" applyFont="1" applyBorder="1" applyAlignment="1">
      <alignment horizontal="center" vertical="center" wrapText="1"/>
    </xf>
    <xf numFmtId="14" fontId="14" fillId="0" borderId="6" xfId="0" applyNumberFormat="1" applyFont="1" applyBorder="1" applyAlignment="1">
      <alignment horizontal="center" vertical="center" wrapText="1"/>
    </xf>
    <xf numFmtId="14" fontId="14" fillId="0" borderId="4" xfId="0" applyNumberFormat="1" applyFont="1" applyBorder="1" applyAlignment="1">
      <alignment horizontal="center" vertical="center" wrapText="1"/>
    </xf>
    <xf numFmtId="0" fontId="16" fillId="0" borderId="6" xfId="0" applyFont="1" applyBorder="1" applyAlignment="1">
      <alignment horizontal="center" vertical="center" wrapText="1"/>
    </xf>
    <xf numFmtId="0" fontId="1" fillId="0" borderId="11" xfId="9" applyBorder="1" applyAlignment="1">
      <alignment vertical="center" wrapText="1"/>
    </xf>
    <xf numFmtId="0" fontId="1" fillId="0" borderId="27" xfId="9" applyBorder="1" applyAlignment="1">
      <alignment vertical="center" wrapText="1"/>
    </xf>
    <xf numFmtId="14" fontId="1" fillId="0" borderId="27" xfId="9" applyNumberFormat="1" applyBorder="1" applyAlignment="1">
      <alignment vertical="center" wrapText="1"/>
    </xf>
    <xf numFmtId="0" fontId="1" fillId="0" borderId="1" xfId="9" applyBorder="1" applyAlignment="1">
      <alignment vertical="center" wrapText="1"/>
    </xf>
    <xf numFmtId="14" fontId="1" fillId="0" borderId="1" xfId="9" applyNumberFormat="1" applyBorder="1" applyAlignment="1">
      <alignment vertical="center" wrapText="1"/>
    </xf>
    <xf numFmtId="0" fontId="5" fillId="0" borderId="1" xfId="1" applyFont="1" applyBorder="1" applyAlignment="1">
      <alignment horizontal="center" vertical="center" wrapText="1"/>
    </xf>
    <xf numFmtId="14" fontId="1" fillId="0" borderId="11" xfId="9" applyNumberFormat="1" applyBorder="1" applyAlignment="1">
      <alignment vertical="center" wrapText="1"/>
    </xf>
    <xf numFmtId="0" fontId="14" fillId="2" borderId="6" xfId="1" applyFont="1" applyFill="1" applyBorder="1" applyAlignment="1">
      <alignment horizontal="center" vertical="center" wrapText="1"/>
    </xf>
    <xf numFmtId="0" fontId="24" fillId="0" borderId="4" xfId="1" applyFont="1" applyBorder="1" applyAlignment="1">
      <alignment horizontal="center" vertical="center" wrapText="1"/>
    </xf>
    <xf numFmtId="14" fontId="3" fillId="0" borderId="6" xfId="1" applyNumberFormat="1" applyBorder="1" applyAlignment="1">
      <alignment horizontal="center" vertical="center" wrapText="1"/>
    </xf>
    <xf numFmtId="14" fontId="14" fillId="0" borderId="2" xfId="1" applyNumberFormat="1" applyFont="1" applyBorder="1" applyAlignment="1">
      <alignment horizontal="center" vertical="center" wrapText="1"/>
    </xf>
    <xf numFmtId="0" fontId="6" fillId="0" borderId="2" xfId="1" applyFont="1" applyBorder="1" applyAlignment="1">
      <alignment vertical="center" wrapText="1"/>
    </xf>
    <xf numFmtId="0" fontId="4" fillId="0" borderId="21" xfId="1" applyFont="1" applyFill="1" applyBorder="1" applyAlignment="1">
      <alignment horizontal="justify" vertical="center" wrapText="1"/>
    </xf>
    <xf numFmtId="0" fontId="4" fillId="0" borderId="25" xfId="1" applyFont="1" applyFill="1" applyBorder="1" applyAlignment="1">
      <alignment horizontal="justify" vertical="center" wrapText="1"/>
    </xf>
    <xf numFmtId="0" fontId="4" fillId="0" borderId="31" xfId="1" applyFont="1" applyFill="1" applyBorder="1" applyAlignment="1">
      <alignment horizontal="justify" vertical="center" wrapText="1"/>
    </xf>
    <xf numFmtId="0" fontId="5" fillId="3" borderId="1" xfId="1" applyFont="1" applyFill="1" applyBorder="1" applyAlignment="1">
      <alignment horizontal="left" vertical="center" wrapText="1"/>
    </xf>
    <xf numFmtId="0" fontId="5" fillId="0" borderId="1" xfId="1" applyFont="1" applyBorder="1" applyAlignment="1">
      <alignment horizontal="center" vertical="center" wrapText="1"/>
    </xf>
    <xf numFmtId="0" fontId="5" fillId="3" borderId="1" xfId="1" applyFont="1" applyFill="1" applyBorder="1" applyAlignment="1">
      <alignment horizontal="center" vertical="center" wrapText="1"/>
    </xf>
    <xf numFmtId="0" fontId="2" fillId="0" borderId="1" xfId="1" applyNumberFormat="1" applyFont="1" applyBorder="1" applyAlignment="1">
      <alignment horizontal="center" vertical="center" wrapText="1"/>
    </xf>
    <xf numFmtId="0" fontId="25" fillId="0" borderId="1" xfId="1" applyNumberFormat="1" applyFont="1" applyFill="1" applyBorder="1" applyAlignment="1">
      <alignment horizontal="center" vertical="center" wrapText="1"/>
    </xf>
    <xf numFmtId="0" fontId="26" fillId="0" borderId="1" xfId="1" applyNumberFormat="1" applyFont="1" applyBorder="1" applyAlignment="1">
      <alignment horizontal="center" vertical="center" wrapText="1"/>
    </xf>
    <xf numFmtId="0" fontId="28" fillId="0" borderId="1" xfId="1" applyNumberFormat="1" applyFont="1" applyBorder="1" applyAlignment="1">
      <alignment horizontal="center" vertical="center" wrapText="1"/>
    </xf>
    <xf numFmtId="0" fontId="4" fillId="0" borderId="1" xfId="1" applyFont="1" applyBorder="1" applyAlignment="1">
      <alignment horizontal="center" vertical="center" wrapText="1"/>
    </xf>
    <xf numFmtId="0" fontId="10" fillId="5" borderId="12" xfId="1" applyFont="1" applyFill="1" applyBorder="1" applyAlignment="1">
      <alignment horizontal="center" vertical="center" wrapText="1"/>
    </xf>
    <xf numFmtId="0" fontId="10" fillId="5" borderId="2" xfId="1" applyFont="1" applyFill="1" applyBorder="1" applyAlignment="1">
      <alignment horizontal="center" vertical="center" wrapText="1"/>
    </xf>
    <xf numFmtId="0" fontId="5" fillId="3" borderId="6" xfId="1" applyFont="1" applyFill="1" applyBorder="1" applyAlignment="1">
      <alignment horizontal="center" vertical="center" wrapText="1"/>
    </xf>
    <xf numFmtId="14" fontId="5" fillId="3" borderId="1" xfId="1" applyNumberFormat="1" applyFont="1" applyFill="1" applyBorder="1" applyAlignment="1">
      <alignment horizontal="center" vertical="center" textRotation="90" wrapText="1"/>
    </xf>
    <xf numFmtId="14" fontId="5" fillId="3" borderId="6" xfId="1" applyNumberFormat="1" applyFont="1" applyFill="1" applyBorder="1" applyAlignment="1">
      <alignment horizontal="center" vertical="center" textRotation="90" wrapText="1"/>
    </xf>
    <xf numFmtId="14" fontId="5" fillId="3" borderId="1" xfId="1" applyNumberFormat="1" applyFont="1" applyFill="1" applyBorder="1" applyAlignment="1">
      <alignment horizontal="center" vertical="center" wrapText="1"/>
    </xf>
    <xf numFmtId="14" fontId="5" fillId="3" borderId="6" xfId="1" applyNumberFormat="1" applyFont="1" applyFill="1" applyBorder="1" applyAlignment="1">
      <alignment horizontal="center" vertical="center" wrapText="1"/>
    </xf>
    <xf numFmtId="14" fontId="4" fillId="0" borderId="2" xfId="1" applyNumberFormat="1" applyFont="1" applyBorder="1" applyAlignment="1">
      <alignment horizontal="center" vertical="center" wrapText="1"/>
    </xf>
    <xf numFmtId="14" fontId="4" fillId="0" borderId="3" xfId="1" applyNumberFormat="1" applyFont="1" applyBorder="1" applyAlignment="1">
      <alignment horizontal="center" vertical="center" wrapText="1"/>
    </xf>
    <xf numFmtId="14" fontId="4" fillId="0" borderId="5" xfId="1" applyNumberFormat="1" applyFont="1" applyBorder="1" applyAlignment="1">
      <alignment horizontal="center" vertical="center" wrapText="1"/>
    </xf>
    <xf numFmtId="0" fontId="5" fillId="4" borderId="6" xfId="1" applyFont="1" applyFill="1" applyBorder="1" applyAlignment="1">
      <alignment horizontal="center" vertical="center" wrapText="1"/>
    </xf>
    <xf numFmtId="0" fontId="6" fillId="0" borderId="2" xfId="1" applyFont="1" applyBorder="1" applyAlignment="1">
      <alignment horizontal="justify" vertical="center" wrapText="1"/>
    </xf>
    <xf numFmtId="0" fontId="6" fillId="0" borderId="1" xfId="1" applyFont="1" applyBorder="1" applyAlignment="1">
      <alignment horizontal="justify" vertical="center" wrapText="1"/>
    </xf>
    <xf numFmtId="0" fontId="6" fillId="0" borderId="1" xfId="1" applyFont="1" applyBorder="1" applyAlignment="1">
      <alignment horizontal="left" vertical="center" wrapText="1"/>
    </xf>
    <xf numFmtId="0" fontId="6" fillId="0" borderId="5" xfId="1" applyFont="1" applyBorder="1" applyAlignment="1">
      <alignment horizontal="left" vertical="center" wrapText="1"/>
    </xf>
    <xf numFmtId="0" fontId="5" fillId="0" borderId="2" xfId="1" applyFont="1" applyBorder="1" applyAlignment="1">
      <alignment horizontal="center" vertical="center" wrapText="1"/>
    </xf>
    <xf numFmtId="0" fontId="5" fillId="0" borderId="3" xfId="1" applyFont="1" applyBorder="1" applyAlignment="1">
      <alignment horizontal="center" vertical="center" wrapText="1"/>
    </xf>
    <xf numFmtId="0" fontId="5" fillId="0" borderId="5" xfId="1" applyFont="1" applyBorder="1" applyAlignment="1">
      <alignment horizontal="center" vertical="center" wrapText="1"/>
    </xf>
    <xf numFmtId="0" fontId="4" fillId="2" borderId="2" xfId="1" applyFont="1" applyFill="1" applyBorder="1" applyAlignment="1">
      <alignment horizontal="center" vertical="center" wrapText="1"/>
    </xf>
    <xf numFmtId="0" fontId="4" fillId="2" borderId="3" xfId="1" applyFont="1" applyFill="1" applyBorder="1" applyAlignment="1">
      <alignment horizontal="center" vertical="center" wrapText="1"/>
    </xf>
    <xf numFmtId="0" fontId="4" fillId="2" borderId="5" xfId="1" applyFont="1" applyFill="1" applyBorder="1" applyAlignment="1">
      <alignment horizontal="center" vertical="center" wrapText="1"/>
    </xf>
    <xf numFmtId="0" fontId="14" fillId="0" borderId="2" xfId="1" applyFont="1" applyFill="1" applyBorder="1" applyAlignment="1">
      <alignment horizontal="center" vertical="center" wrapText="1"/>
    </xf>
    <xf numFmtId="0" fontId="14" fillId="0" borderId="3" xfId="1" applyFont="1" applyFill="1" applyBorder="1" applyAlignment="1">
      <alignment horizontal="center" vertical="center" wrapText="1"/>
    </xf>
    <xf numFmtId="0" fontId="14" fillId="0" borderId="5" xfId="1" applyFont="1" applyFill="1" applyBorder="1" applyAlignment="1">
      <alignment horizontal="center" vertical="center" wrapText="1"/>
    </xf>
    <xf numFmtId="0" fontId="5" fillId="0" borderId="17" xfId="1" applyFont="1" applyBorder="1" applyAlignment="1">
      <alignment horizontal="left" vertical="center" wrapText="1"/>
    </xf>
    <xf numFmtId="0" fontId="5" fillId="0" borderId="22" xfId="1" applyFont="1" applyBorder="1" applyAlignment="1">
      <alignment horizontal="left" vertical="center" wrapText="1"/>
    </xf>
    <xf numFmtId="0" fontId="5" fillId="0" borderId="26" xfId="1" applyFont="1" applyBorder="1" applyAlignment="1">
      <alignment horizontal="left" vertical="center" wrapText="1"/>
    </xf>
    <xf numFmtId="0" fontId="5" fillId="0" borderId="1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27" xfId="1" applyFont="1" applyBorder="1" applyAlignment="1">
      <alignment horizontal="center" vertical="center" wrapText="1"/>
    </xf>
    <xf numFmtId="0" fontId="4" fillId="0" borderId="2" xfId="1" applyFont="1" applyFill="1" applyBorder="1" applyAlignment="1">
      <alignment horizontal="center" vertical="center" wrapText="1"/>
    </xf>
    <xf numFmtId="0" fontId="4" fillId="0" borderId="3" xfId="1" applyFont="1" applyFill="1" applyBorder="1" applyAlignment="1">
      <alignment horizontal="center" vertical="center" wrapText="1"/>
    </xf>
    <xf numFmtId="0" fontId="4" fillId="0" borderId="5" xfId="1" applyFont="1" applyFill="1" applyBorder="1" applyAlignment="1">
      <alignment horizontal="center" vertical="center" wrapText="1"/>
    </xf>
    <xf numFmtId="14" fontId="4" fillId="0" borderId="2" xfId="1" applyNumberFormat="1" applyFont="1" applyBorder="1" applyAlignment="1">
      <alignment horizontal="center" vertical="center" textRotation="90" wrapText="1"/>
    </xf>
    <xf numFmtId="14" fontId="4" fillId="0" borderId="3" xfId="1" applyNumberFormat="1" applyFont="1" applyBorder="1" applyAlignment="1">
      <alignment horizontal="center" vertical="center" textRotation="90" wrapText="1"/>
    </xf>
    <xf numFmtId="14" fontId="4" fillId="0" borderId="5" xfId="1" applyNumberFormat="1" applyFont="1" applyBorder="1" applyAlignment="1">
      <alignment horizontal="center" vertical="center" textRotation="90" wrapText="1"/>
    </xf>
    <xf numFmtId="0" fontId="7" fillId="0" borderId="7" xfId="1" applyFont="1" applyBorder="1" applyAlignment="1">
      <alignment horizontal="left"/>
    </xf>
    <xf numFmtId="0" fontId="13" fillId="0" borderId="0" xfId="1" applyFont="1" applyAlignment="1">
      <alignment horizontal="center" vertical="center"/>
    </xf>
    <xf numFmtId="0" fontId="4" fillId="0" borderId="3" xfId="1" applyFont="1" applyBorder="1" applyAlignment="1">
      <alignment horizontal="center" vertical="center" wrapText="1"/>
    </xf>
    <xf numFmtId="0" fontId="5" fillId="4" borderId="1" xfId="1" applyFont="1" applyFill="1" applyBorder="1" applyAlignment="1">
      <alignment horizontal="center" vertical="center" wrapText="1"/>
    </xf>
    <xf numFmtId="14" fontId="5" fillId="4" borderId="1" xfId="1" applyNumberFormat="1" applyFont="1" applyFill="1" applyBorder="1" applyAlignment="1">
      <alignment horizontal="center" vertical="center" wrapText="1"/>
    </xf>
    <xf numFmtId="49" fontId="5" fillId="4" borderId="1" xfId="1" applyNumberFormat="1" applyFont="1" applyFill="1" applyBorder="1" applyAlignment="1" applyProtection="1">
      <alignment horizontal="center" vertical="center" wrapText="1"/>
      <protection locked="0"/>
    </xf>
    <xf numFmtId="0" fontId="35" fillId="0" borderId="1" xfId="1" applyFont="1" applyBorder="1" applyAlignment="1">
      <alignment horizontal="center" vertical="top" wrapText="1"/>
    </xf>
    <xf numFmtId="0" fontId="5" fillId="0" borderId="1" xfId="1" applyFont="1" applyBorder="1" applyAlignment="1">
      <alignment horizontal="center" vertical="top"/>
    </xf>
    <xf numFmtId="14" fontId="5" fillId="0" borderId="1" xfId="1" applyNumberFormat="1" applyFont="1" applyBorder="1" applyAlignment="1">
      <alignment horizontal="center" vertical="top" wrapText="1"/>
    </xf>
    <xf numFmtId="14" fontId="5" fillId="0" borderId="1" xfId="1" applyNumberFormat="1" applyFont="1" applyBorder="1" applyAlignment="1">
      <alignment horizontal="center" vertical="top"/>
    </xf>
    <xf numFmtId="49" fontId="5" fillId="0" borderId="1" xfId="1" applyNumberFormat="1" applyFont="1" applyBorder="1" applyAlignment="1" applyProtection="1">
      <alignment horizontal="center" vertical="top" wrapText="1"/>
      <protection locked="0"/>
    </xf>
    <xf numFmtId="0" fontId="14" fillId="2" borderId="2" xfId="1" applyFont="1" applyFill="1" applyBorder="1" applyAlignment="1">
      <alignment horizontal="center" vertical="center" wrapText="1"/>
    </xf>
    <xf numFmtId="0" fontId="14" fillId="2" borderId="1" xfId="1" applyFont="1" applyFill="1" applyBorder="1" applyAlignment="1">
      <alignment horizontal="center" vertical="center" wrapText="1"/>
    </xf>
    <xf numFmtId="0" fontId="14" fillId="2" borderId="5" xfId="1" applyFont="1" applyFill="1" applyBorder="1" applyAlignment="1">
      <alignment horizontal="center" vertical="center" wrapText="1"/>
    </xf>
    <xf numFmtId="0" fontId="14" fillId="0" borderId="1" xfId="1" applyFont="1" applyFill="1" applyBorder="1" applyAlignment="1">
      <alignment horizontal="center" vertical="center" wrapText="1"/>
    </xf>
    <xf numFmtId="0" fontId="14" fillId="0" borderId="11" xfId="1" applyFont="1" applyFill="1" applyBorder="1" applyAlignment="1">
      <alignment horizontal="center" vertical="center" wrapText="1"/>
    </xf>
    <xf numFmtId="0" fontId="14" fillId="0" borderId="4" xfId="1" applyFont="1" applyFill="1" applyBorder="1" applyAlignment="1">
      <alignment horizontal="center" vertical="center" wrapText="1"/>
    </xf>
    <xf numFmtId="0" fontId="14" fillId="0" borderId="27" xfId="1" applyFont="1" applyFill="1" applyBorder="1" applyAlignment="1">
      <alignment horizontal="center" vertical="center" wrapText="1"/>
    </xf>
    <xf numFmtId="0" fontId="1" fillId="0" borderId="20" xfId="9" applyBorder="1" applyAlignment="1">
      <alignment horizontal="center" vertical="center" wrapText="1"/>
    </xf>
    <xf numFmtId="0" fontId="1" fillId="0" borderId="19" xfId="9" applyBorder="1" applyAlignment="1">
      <alignment horizontal="center" vertical="center" wrapText="1"/>
    </xf>
    <xf numFmtId="0" fontId="1" fillId="0" borderId="1" xfId="9" applyBorder="1" applyAlignment="1">
      <alignment horizontal="center" vertical="center" wrapText="1"/>
    </xf>
    <xf numFmtId="0" fontId="1" fillId="0" borderId="30" xfId="9" applyBorder="1" applyAlignment="1">
      <alignment horizontal="center" vertical="center" wrapText="1"/>
    </xf>
    <xf numFmtId="0" fontId="1" fillId="0" borderId="29" xfId="9" applyBorder="1" applyAlignment="1">
      <alignment horizontal="center" vertical="center" wrapText="1"/>
    </xf>
    <xf numFmtId="14" fontId="14" fillId="0" borderId="2" xfId="1" applyNumberFormat="1" applyFont="1" applyBorder="1" applyAlignment="1">
      <alignment horizontal="center" vertical="center" wrapText="1"/>
    </xf>
    <xf numFmtId="14" fontId="14" fillId="0" borderId="1" xfId="1" applyNumberFormat="1" applyFont="1" applyBorder="1" applyAlignment="1">
      <alignment horizontal="center" vertical="center" wrapText="1"/>
    </xf>
    <xf numFmtId="14" fontId="14" fillId="0" borderId="5" xfId="1" applyNumberFormat="1" applyFont="1" applyBorder="1" applyAlignment="1">
      <alignment horizontal="center" vertical="center" wrapText="1"/>
    </xf>
    <xf numFmtId="14" fontId="14" fillId="0" borderId="11" xfId="1" applyNumberFormat="1" applyFont="1" applyBorder="1" applyAlignment="1">
      <alignment horizontal="center" vertical="center" wrapText="1"/>
    </xf>
    <xf numFmtId="14" fontId="14" fillId="0" borderId="4" xfId="1" applyNumberFormat="1" applyFont="1" applyBorder="1" applyAlignment="1">
      <alignment horizontal="center" vertical="center" wrapText="1"/>
    </xf>
    <xf numFmtId="14" fontId="14" fillId="0" borderId="27" xfId="1" applyNumberFormat="1" applyFont="1" applyBorder="1" applyAlignment="1">
      <alignment horizontal="center" vertical="center" wrapText="1"/>
    </xf>
    <xf numFmtId="0" fontId="16" fillId="0" borderId="2" xfId="1" applyFont="1" applyBorder="1" applyAlignment="1">
      <alignment horizontal="center" vertical="center" wrapText="1"/>
    </xf>
    <xf numFmtId="0" fontId="16" fillId="0" borderId="1" xfId="1" applyFont="1" applyBorder="1" applyAlignment="1">
      <alignment horizontal="center" vertical="center" wrapText="1"/>
    </xf>
    <xf numFmtId="0" fontId="16" fillId="0" borderId="5" xfId="1" applyFont="1" applyBorder="1" applyAlignment="1">
      <alignment horizontal="center" vertical="center" wrapText="1"/>
    </xf>
    <xf numFmtId="0" fontId="16" fillId="0" borderId="11" xfId="1" applyFont="1" applyBorder="1" applyAlignment="1">
      <alignment horizontal="center" vertical="center" wrapText="1"/>
    </xf>
    <xf numFmtId="0" fontId="16" fillId="0" borderId="4" xfId="1" applyFont="1" applyBorder="1" applyAlignment="1">
      <alignment horizontal="center" vertical="center" wrapText="1"/>
    </xf>
    <xf numFmtId="0" fontId="16" fillId="0" borderId="27" xfId="1" applyFont="1" applyBorder="1" applyAlignment="1">
      <alignment horizontal="center" vertical="center" wrapText="1"/>
    </xf>
    <xf numFmtId="14" fontId="14" fillId="0" borderId="2" xfId="1" applyNumberFormat="1" applyFont="1" applyBorder="1" applyAlignment="1">
      <alignment horizontal="center" vertical="center" textRotation="90" wrapText="1"/>
    </xf>
    <xf numFmtId="14" fontId="14" fillId="0" borderId="1" xfId="1" applyNumberFormat="1" applyFont="1" applyBorder="1" applyAlignment="1">
      <alignment horizontal="center" vertical="center" textRotation="90" wrapText="1"/>
    </xf>
    <xf numFmtId="14" fontId="14" fillId="0" borderId="5" xfId="1" applyNumberFormat="1" applyFont="1" applyBorder="1" applyAlignment="1">
      <alignment horizontal="center" vertical="center" textRotation="90" wrapText="1"/>
    </xf>
    <xf numFmtId="0" fontId="5" fillId="0" borderId="8" xfId="1" applyFont="1" applyBorder="1" applyAlignment="1">
      <alignment horizontal="center" vertical="center" wrapText="1"/>
    </xf>
    <xf numFmtId="0" fontId="5" fillId="0" borderId="9" xfId="1" applyFont="1" applyBorder="1" applyAlignment="1">
      <alignment horizontal="center" vertical="center" wrapText="1"/>
    </xf>
    <xf numFmtId="0" fontId="5" fillId="0" borderId="10" xfId="1" applyFont="1" applyBorder="1" applyAlignment="1">
      <alignment horizontal="center" vertical="center" wrapText="1"/>
    </xf>
    <xf numFmtId="0" fontId="5" fillId="3" borderId="8" xfId="1" applyFont="1" applyFill="1" applyBorder="1" applyAlignment="1">
      <alignment horizontal="center" vertical="center" wrapText="1"/>
    </xf>
    <xf numFmtId="0" fontId="5" fillId="3" borderId="10" xfId="1" applyFont="1" applyFill="1" applyBorder="1" applyAlignment="1">
      <alignment horizontal="center" vertical="center" wrapText="1"/>
    </xf>
    <xf numFmtId="0" fontId="17" fillId="0" borderId="8" xfId="1" applyNumberFormat="1" applyFont="1" applyFill="1" applyBorder="1" applyAlignment="1">
      <alignment horizontal="center" vertical="center" wrapText="1"/>
    </xf>
    <xf numFmtId="0" fontId="17" fillId="0" borderId="9" xfId="1" applyNumberFormat="1" applyFont="1" applyFill="1" applyBorder="1" applyAlignment="1">
      <alignment horizontal="center" vertical="center" wrapText="1"/>
    </xf>
    <xf numFmtId="0" fontId="17" fillId="0" borderId="10" xfId="1" applyNumberFormat="1" applyFont="1" applyFill="1" applyBorder="1" applyAlignment="1">
      <alignment horizontal="center" vertical="center" wrapText="1"/>
    </xf>
    <xf numFmtId="14" fontId="5" fillId="3" borderId="3" xfId="1" applyNumberFormat="1" applyFont="1" applyFill="1" applyBorder="1" applyAlignment="1">
      <alignment horizontal="center" vertical="center" wrapText="1"/>
    </xf>
    <xf numFmtId="0" fontId="9" fillId="0" borderId="6" xfId="1" applyFont="1" applyBorder="1" applyAlignment="1">
      <alignment horizontal="center" vertical="center" wrapText="1"/>
    </xf>
    <xf numFmtId="0" fontId="16" fillId="0" borderId="1" xfId="1" applyNumberFormat="1" applyFont="1" applyBorder="1" applyAlignment="1">
      <alignment horizontal="center" vertical="center" wrapText="1"/>
    </xf>
    <xf numFmtId="0" fontId="18" fillId="0" borderId="8" xfId="1" applyNumberFormat="1" applyFont="1" applyBorder="1" applyAlignment="1">
      <alignment horizontal="center" vertical="center" wrapText="1"/>
    </xf>
    <xf numFmtId="0" fontId="18" fillId="0" borderId="9" xfId="1" applyNumberFormat="1" applyFont="1" applyBorder="1" applyAlignment="1">
      <alignment horizontal="center" vertical="center" wrapText="1"/>
    </xf>
    <xf numFmtId="0" fontId="18" fillId="0" borderId="10" xfId="1" applyNumberFormat="1" applyFont="1" applyBorder="1" applyAlignment="1">
      <alignment horizontal="center" vertical="center" wrapText="1"/>
    </xf>
    <xf numFmtId="0" fontId="5" fillId="3" borderId="3" xfId="1" applyFont="1" applyFill="1" applyBorder="1" applyAlignment="1">
      <alignment horizontal="center" vertical="center" wrapText="1"/>
    </xf>
    <xf numFmtId="0" fontId="5" fillId="0" borderId="1" xfId="1" applyFont="1" applyBorder="1" applyAlignment="1">
      <alignment horizontal="center" vertical="center"/>
    </xf>
    <xf numFmtId="14" fontId="14" fillId="0" borderId="6" xfId="1" applyNumberFormat="1" applyFont="1" applyBorder="1" applyAlignment="1">
      <alignment horizontal="center" vertical="center" wrapText="1"/>
    </xf>
    <xf numFmtId="0" fontId="16" fillId="0" borderId="6" xfId="1" applyFont="1" applyBorder="1" applyAlignment="1">
      <alignment horizontal="center" vertical="center" wrapText="1"/>
    </xf>
    <xf numFmtId="0" fontId="14" fillId="2" borderId="6" xfId="1" applyFont="1" applyFill="1" applyBorder="1" applyAlignment="1">
      <alignment horizontal="center" vertical="center" wrapText="1"/>
    </xf>
    <xf numFmtId="0" fontId="5" fillId="0" borderId="6" xfId="1" applyFont="1" applyBorder="1" applyAlignment="1">
      <alignment horizontal="left" vertical="center" wrapText="1"/>
    </xf>
    <xf numFmtId="0" fontId="5" fillId="0" borderId="4" xfId="1" applyFont="1" applyBorder="1" applyAlignment="1">
      <alignment horizontal="left" vertical="center" wrapText="1"/>
    </xf>
    <xf numFmtId="0" fontId="14" fillId="0" borderId="6" xfId="1" applyFont="1" applyFill="1" applyBorder="1" applyAlignment="1">
      <alignment horizontal="center" vertical="center" wrapText="1"/>
    </xf>
    <xf numFmtId="14" fontId="14" fillId="0" borderId="6" xfId="1" applyNumberFormat="1" applyFont="1" applyBorder="1" applyAlignment="1">
      <alignment horizontal="center" vertical="center" textRotation="90" wrapText="1"/>
    </xf>
    <xf numFmtId="0" fontId="9" fillId="0" borderId="1" xfId="1" applyFont="1" applyBorder="1" applyAlignment="1">
      <alignment horizontal="center" vertical="center" wrapText="1"/>
    </xf>
    <xf numFmtId="0" fontId="9" fillId="0" borderId="8" xfId="1" applyFont="1" applyBorder="1" applyAlignment="1">
      <alignment horizontal="center" vertical="center" wrapText="1"/>
    </xf>
    <xf numFmtId="0" fontId="9" fillId="0" borderId="10" xfId="1" applyFont="1" applyBorder="1" applyAlignment="1">
      <alignment horizontal="center" vertical="center" wrapText="1"/>
    </xf>
    <xf numFmtId="0" fontId="10" fillId="5" borderId="1" xfId="1" applyFont="1" applyFill="1" applyBorder="1" applyAlignment="1">
      <alignment horizontal="center" vertical="center" wrapText="1"/>
    </xf>
    <xf numFmtId="0" fontId="5" fillId="0" borderId="1" xfId="1" applyFont="1" applyBorder="1" applyAlignment="1">
      <alignment horizontal="left" vertical="center" wrapText="1"/>
    </xf>
    <xf numFmtId="0" fontId="5" fillId="0" borderId="5" xfId="1" applyFont="1" applyBorder="1" applyAlignment="1">
      <alignment horizontal="left" vertical="center" wrapText="1"/>
    </xf>
    <xf numFmtId="0" fontId="9" fillId="0" borderId="5" xfId="1" applyFont="1" applyBorder="1" applyAlignment="1">
      <alignment horizontal="center" vertical="center" wrapText="1"/>
    </xf>
    <xf numFmtId="0" fontId="16" fillId="0" borderId="8" xfId="1" applyFont="1" applyBorder="1" applyAlignment="1">
      <alignment horizontal="center" vertical="center" wrapText="1"/>
    </xf>
    <xf numFmtId="0" fontId="16" fillId="0" borderId="9" xfId="1" applyFont="1" applyBorder="1" applyAlignment="1">
      <alignment horizontal="center" vertical="center"/>
    </xf>
    <xf numFmtId="0" fontId="16" fillId="0" borderId="10" xfId="1" applyFont="1" applyBorder="1" applyAlignment="1">
      <alignment horizontal="center" vertical="center"/>
    </xf>
    <xf numFmtId="0" fontId="4" fillId="0" borderId="11" xfId="1" applyFont="1" applyFill="1" applyBorder="1" applyAlignment="1">
      <alignment horizontal="center" vertical="center" wrapText="1"/>
    </xf>
    <xf numFmtId="0" fontId="4" fillId="0" borderId="4" xfId="1" applyFont="1" applyFill="1" applyBorder="1" applyAlignment="1">
      <alignment horizontal="center" vertical="center" wrapText="1"/>
    </xf>
    <xf numFmtId="0" fontId="4" fillId="0" borderId="27" xfId="1" applyFont="1" applyFill="1" applyBorder="1" applyAlignment="1">
      <alignment horizontal="center" vertical="center" wrapText="1"/>
    </xf>
    <xf numFmtId="0" fontId="5" fillId="0" borderId="1" xfId="1" applyFont="1" applyBorder="1" applyAlignment="1">
      <alignment horizontal="center" vertical="top" wrapText="1"/>
    </xf>
    <xf numFmtId="0" fontId="6" fillId="0" borderId="2" xfId="1" applyFont="1" applyFill="1" applyBorder="1" applyAlignment="1">
      <alignment horizontal="center" vertical="center" wrapText="1"/>
    </xf>
    <xf numFmtId="0" fontId="6" fillId="0" borderId="1" xfId="1" applyFont="1" applyFill="1" applyBorder="1" applyAlignment="1">
      <alignment horizontal="center" vertical="center" wrapText="1"/>
    </xf>
    <xf numFmtId="0" fontId="6" fillId="0" borderId="5" xfId="1" applyFont="1" applyFill="1" applyBorder="1" applyAlignment="1">
      <alignment horizontal="center" vertical="center" wrapText="1"/>
    </xf>
    <xf numFmtId="0" fontId="5" fillId="0" borderId="17" xfId="1" applyFont="1" applyBorder="1" applyAlignment="1">
      <alignment horizontal="center" vertical="center" wrapText="1"/>
    </xf>
    <xf numFmtId="0" fontId="5" fillId="0" borderId="22" xfId="1" applyFont="1" applyBorder="1" applyAlignment="1">
      <alignment horizontal="center" vertical="center" wrapText="1"/>
    </xf>
    <xf numFmtId="0" fontId="5" fillId="0" borderId="26" xfId="1" applyFont="1" applyBorder="1" applyAlignment="1">
      <alignment horizontal="center" vertical="center" wrapText="1"/>
    </xf>
    <xf numFmtId="0" fontId="4" fillId="0" borderId="18" xfId="1" applyFont="1" applyFill="1" applyBorder="1" applyAlignment="1">
      <alignment horizontal="center" vertical="center" wrapText="1"/>
    </xf>
    <xf numFmtId="0" fontId="4" fillId="0" borderId="19" xfId="1" applyFont="1" applyFill="1" applyBorder="1" applyAlignment="1">
      <alignment horizontal="center" vertical="center" wrapText="1"/>
    </xf>
    <xf numFmtId="0" fontId="4" fillId="0" borderId="23" xfId="1" applyFont="1" applyFill="1" applyBorder="1" applyAlignment="1">
      <alignment horizontal="center" vertical="center" wrapText="1"/>
    </xf>
    <xf numFmtId="0" fontId="4" fillId="0" borderId="24" xfId="1" applyFont="1" applyFill="1" applyBorder="1" applyAlignment="1">
      <alignment horizontal="center" vertical="center" wrapText="1"/>
    </xf>
    <xf numFmtId="0" fontId="4" fillId="0" borderId="28" xfId="1" applyFont="1" applyFill="1" applyBorder="1" applyAlignment="1">
      <alignment horizontal="center" vertical="center" wrapText="1"/>
    </xf>
    <xf numFmtId="0" fontId="4" fillId="0" borderId="29" xfId="1" applyFont="1" applyFill="1" applyBorder="1" applyAlignment="1">
      <alignment horizontal="center" vertical="center" wrapText="1"/>
    </xf>
    <xf numFmtId="14" fontId="4" fillId="0" borderId="11" xfId="1" applyNumberFormat="1" applyFont="1" applyBorder="1" applyAlignment="1">
      <alignment horizontal="center" vertical="center" textRotation="90" wrapText="1"/>
    </xf>
    <xf numFmtId="14" fontId="4" fillId="0" borderId="4" xfId="1" applyNumberFormat="1" applyFont="1" applyBorder="1" applyAlignment="1">
      <alignment horizontal="center" vertical="center" textRotation="90" wrapText="1"/>
    </xf>
    <xf numFmtId="14" fontId="4" fillId="0" borderId="27" xfId="1" applyNumberFormat="1" applyFont="1" applyBorder="1" applyAlignment="1">
      <alignment horizontal="center" vertical="center" textRotation="90" wrapText="1"/>
    </xf>
    <xf numFmtId="14" fontId="4" fillId="0" borderId="11" xfId="1" applyNumberFormat="1" applyFont="1" applyBorder="1" applyAlignment="1">
      <alignment horizontal="center" vertical="center" wrapText="1"/>
    </xf>
    <xf numFmtId="14" fontId="4" fillId="0" borderId="4" xfId="1" applyNumberFormat="1" applyFont="1" applyBorder="1" applyAlignment="1">
      <alignment horizontal="center" vertical="center" wrapText="1"/>
    </xf>
    <xf numFmtId="14" fontId="4" fillId="0" borderId="27" xfId="1" applyNumberFormat="1" applyFont="1" applyBorder="1" applyAlignment="1">
      <alignment horizontal="center" vertical="center" wrapText="1"/>
    </xf>
    <xf numFmtId="0" fontId="4" fillId="0" borderId="44" xfId="1" applyFont="1" applyFill="1" applyBorder="1" applyAlignment="1">
      <alignment horizontal="center" vertical="center" wrapText="1"/>
    </xf>
    <xf numFmtId="0" fontId="4" fillId="2" borderId="44" xfId="1" applyFont="1" applyFill="1" applyBorder="1" applyAlignment="1">
      <alignment horizontal="center" vertical="center" wrapText="1"/>
    </xf>
    <xf numFmtId="0" fontId="4" fillId="2" borderId="18" xfId="1" applyFont="1" applyFill="1" applyBorder="1" applyAlignment="1">
      <alignment horizontal="center" vertical="center" wrapText="1"/>
    </xf>
    <xf numFmtId="0" fontId="4" fillId="2" borderId="20" xfId="1" applyFont="1" applyFill="1" applyBorder="1" applyAlignment="1">
      <alignment horizontal="center" vertical="center" wrapText="1"/>
    </xf>
    <xf numFmtId="0" fontId="4" fillId="2" borderId="19" xfId="1" applyFont="1" applyFill="1" applyBorder="1" applyAlignment="1">
      <alignment horizontal="center" vertical="center" wrapText="1"/>
    </xf>
    <xf numFmtId="0" fontId="4" fillId="2" borderId="23" xfId="1" applyFont="1" applyFill="1" applyBorder="1" applyAlignment="1">
      <alignment horizontal="center" vertical="center" wrapText="1"/>
    </xf>
    <xf numFmtId="0" fontId="4" fillId="2" borderId="0" xfId="1" applyFont="1" applyFill="1" applyBorder="1" applyAlignment="1">
      <alignment horizontal="center" vertical="center" wrapText="1"/>
    </xf>
    <xf numFmtId="0" fontId="4" fillId="2" borderId="24" xfId="1" applyFont="1" applyFill="1" applyBorder="1" applyAlignment="1">
      <alignment horizontal="center" vertical="center" wrapText="1"/>
    </xf>
    <xf numFmtId="0" fontId="4" fillId="2" borderId="28" xfId="1" applyFont="1" applyFill="1" applyBorder="1" applyAlignment="1">
      <alignment horizontal="center" vertical="center" wrapText="1"/>
    </xf>
    <xf numFmtId="0" fontId="4" fillId="2" borderId="30" xfId="1" applyFont="1" applyFill="1" applyBorder="1" applyAlignment="1">
      <alignment horizontal="center" vertical="center" wrapText="1"/>
    </xf>
    <xf numFmtId="0" fontId="4" fillId="2" borderId="29" xfId="1" applyFont="1" applyFill="1" applyBorder="1" applyAlignment="1">
      <alignment horizontal="center" vertical="center" wrapText="1"/>
    </xf>
    <xf numFmtId="0" fontId="4" fillId="0" borderId="20" xfId="1" applyFont="1" applyFill="1" applyBorder="1" applyAlignment="1">
      <alignment horizontal="center" vertical="center" wrapText="1"/>
    </xf>
    <xf numFmtId="0" fontId="4" fillId="0" borderId="0" xfId="1" applyFont="1" applyFill="1" applyBorder="1" applyAlignment="1">
      <alignment horizontal="center" vertical="center" wrapText="1"/>
    </xf>
    <xf numFmtId="0" fontId="4" fillId="0" borderId="30" xfId="1" applyFont="1" applyFill="1" applyBorder="1" applyAlignment="1">
      <alignment horizontal="center" vertical="center" wrapText="1"/>
    </xf>
    <xf numFmtId="0" fontId="6" fillId="0" borderId="45" xfId="1" applyFont="1" applyFill="1" applyBorder="1" applyAlignment="1">
      <alignment horizontal="center" vertical="center" wrapText="1"/>
    </xf>
    <xf numFmtId="0" fontId="6" fillId="0" borderId="46" xfId="1" applyFont="1" applyFill="1" applyBorder="1" applyAlignment="1">
      <alignment horizontal="center" vertical="center" wrapText="1"/>
    </xf>
    <xf numFmtId="0" fontId="6" fillId="0" borderId="47" xfId="1" applyFont="1" applyFill="1" applyBorder="1" applyAlignment="1">
      <alignment horizontal="center" vertical="center" wrapText="1"/>
    </xf>
    <xf numFmtId="0" fontId="9" fillId="0" borderId="45" xfId="1" applyFont="1" applyFill="1" applyBorder="1" applyAlignment="1">
      <alignment horizontal="center" vertical="center" wrapText="1"/>
    </xf>
    <xf numFmtId="0" fontId="9" fillId="0" borderId="46" xfId="1" applyFont="1" applyFill="1" applyBorder="1" applyAlignment="1">
      <alignment horizontal="center" vertical="center" wrapText="1"/>
    </xf>
    <xf numFmtId="0" fontId="9" fillId="0" borderId="47" xfId="1" applyFont="1" applyFill="1" applyBorder="1" applyAlignment="1">
      <alignment horizontal="center" vertical="center" wrapText="1"/>
    </xf>
    <xf numFmtId="0" fontId="6" fillId="0" borderId="37" xfId="1" applyFont="1" applyFill="1" applyBorder="1" applyAlignment="1">
      <alignment horizontal="center" vertical="center" wrapText="1"/>
    </xf>
    <xf numFmtId="0" fontId="6" fillId="0" borderId="38" xfId="1" applyFont="1" applyFill="1" applyBorder="1" applyAlignment="1">
      <alignment horizontal="center" vertical="center" wrapText="1"/>
    </xf>
    <xf numFmtId="0" fontId="6" fillId="0" borderId="39" xfId="1" applyFont="1" applyFill="1" applyBorder="1" applyAlignment="1">
      <alignment horizontal="center" vertical="center" wrapText="1"/>
    </xf>
    <xf numFmtId="0" fontId="6" fillId="0" borderId="8" xfId="1" applyFont="1" applyFill="1" applyBorder="1" applyAlignment="1">
      <alignment horizontal="center" vertical="center" wrapText="1"/>
    </xf>
    <xf numFmtId="0" fontId="6" fillId="0" borderId="9" xfId="1" applyFont="1" applyFill="1" applyBorder="1" applyAlignment="1">
      <alignment horizontal="center" vertical="center" wrapText="1"/>
    </xf>
    <xf numFmtId="0" fontId="6" fillId="0" borderId="10" xfId="1" applyFont="1" applyFill="1" applyBorder="1" applyAlignment="1">
      <alignment horizontal="center" vertical="center" wrapText="1"/>
    </xf>
    <xf numFmtId="0" fontId="6" fillId="0" borderId="40" xfId="1" applyFont="1" applyFill="1" applyBorder="1" applyAlignment="1">
      <alignment horizontal="center" vertical="center" wrapText="1"/>
    </xf>
    <xf numFmtId="0" fontId="6" fillId="0" borderId="41" xfId="1" applyFont="1" applyFill="1" applyBorder="1" applyAlignment="1">
      <alignment horizontal="center" vertical="center" wrapText="1"/>
    </xf>
    <xf numFmtId="0" fontId="6" fillId="0" borderId="42" xfId="1" applyFont="1" applyFill="1" applyBorder="1" applyAlignment="1">
      <alignment horizontal="center" vertical="center" wrapText="1"/>
    </xf>
    <xf numFmtId="0" fontId="2" fillId="6" borderId="1" xfId="1" applyNumberFormat="1" applyFont="1" applyFill="1" applyBorder="1" applyAlignment="1">
      <alignment horizontal="center" vertical="center" wrapText="1"/>
    </xf>
    <xf numFmtId="0" fontId="14" fillId="0" borderId="9" xfId="1" applyFont="1" applyBorder="1" applyAlignment="1">
      <alignment horizontal="center" vertical="center" wrapText="1"/>
    </xf>
    <xf numFmtId="0" fontId="14" fillId="0" borderId="10"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32" xfId="1" applyFont="1" applyBorder="1" applyAlignment="1">
      <alignment horizontal="center" vertical="center" wrapText="1"/>
    </xf>
    <xf numFmtId="0" fontId="14" fillId="0" borderId="35" xfId="1" applyFont="1" applyBorder="1" applyAlignment="1">
      <alignment horizontal="center" vertical="center" wrapText="1"/>
    </xf>
    <xf numFmtId="0" fontId="3" fillId="0" borderId="8" xfId="1" applyBorder="1" applyAlignment="1">
      <alignment horizontal="center" vertical="center" wrapText="1"/>
    </xf>
    <xf numFmtId="0" fontId="3" fillId="0" borderId="9" xfId="1" applyBorder="1" applyAlignment="1">
      <alignment horizontal="center" vertical="center" wrapText="1"/>
    </xf>
    <xf numFmtId="0" fontId="3" fillId="0" borderId="10" xfId="1" applyBorder="1" applyAlignment="1">
      <alignment horizontal="center" vertical="center" wrapText="1"/>
    </xf>
    <xf numFmtId="9" fontId="4" fillId="0" borderId="6" xfId="1" applyNumberFormat="1" applyFont="1" applyFill="1" applyBorder="1" applyAlignment="1">
      <alignment horizontal="center" vertical="center" wrapText="1"/>
    </xf>
    <xf numFmtId="0" fontId="5" fillId="0" borderId="6" xfId="1" applyFont="1" applyBorder="1" applyAlignment="1">
      <alignment horizontal="center" vertical="center" wrapText="1"/>
    </xf>
    <xf numFmtId="0" fontId="4" fillId="0" borderId="16" xfId="1" applyFont="1" applyFill="1" applyBorder="1" applyAlignment="1">
      <alignment horizontal="center" vertical="center" wrapText="1"/>
    </xf>
    <xf numFmtId="0" fontId="4" fillId="0" borderId="34" xfId="1" applyFont="1" applyFill="1" applyBorder="1" applyAlignment="1">
      <alignment horizontal="center" vertical="center" wrapText="1"/>
    </xf>
    <xf numFmtId="0" fontId="4" fillId="0" borderId="36" xfId="1" applyFont="1" applyFill="1" applyBorder="1" applyAlignment="1">
      <alignment horizontal="center" vertical="center" wrapText="1"/>
    </xf>
    <xf numFmtId="0" fontId="4" fillId="0" borderId="35" xfId="1" applyFont="1" applyFill="1" applyBorder="1" applyAlignment="1">
      <alignment horizontal="center" vertical="center" wrapText="1"/>
    </xf>
    <xf numFmtId="14" fontId="4" fillId="0" borderId="6" xfId="1" applyNumberFormat="1" applyFont="1" applyBorder="1" applyAlignment="1">
      <alignment horizontal="center" vertical="center" textRotation="90" wrapText="1"/>
    </xf>
    <xf numFmtId="14" fontId="4" fillId="0" borderId="6" xfId="1" applyNumberFormat="1" applyFont="1" applyBorder="1" applyAlignment="1">
      <alignment horizontal="center" vertical="center" wrapText="1"/>
    </xf>
    <xf numFmtId="0" fontId="4" fillId="2" borderId="16" xfId="1" applyFont="1" applyFill="1" applyBorder="1" applyAlignment="1">
      <alignment horizontal="center" vertical="center" wrapText="1"/>
    </xf>
    <xf numFmtId="0" fontId="4" fillId="2" borderId="7" xfId="1" applyFont="1" applyFill="1" applyBorder="1" applyAlignment="1">
      <alignment horizontal="center" vertical="center" wrapText="1"/>
    </xf>
    <xf numFmtId="0" fontId="4" fillId="2" borderId="34" xfId="1" applyFont="1" applyFill="1" applyBorder="1" applyAlignment="1">
      <alignment horizontal="center" vertical="center" wrapText="1"/>
    </xf>
    <xf numFmtId="0" fontId="4" fillId="2" borderId="36" xfId="1" applyFont="1" applyFill="1" applyBorder="1" applyAlignment="1">
      <alignment horizontal="center" vertical="center" wrapText="1"/>
    </xf>
    <xf numFmtId="0" fontId="4" fillId="2" borderId="32" xfId="1" applyFont="1" applyFill="1" applyBorder="1" applyAlignment="1">
      <alignment horizontal="center" vertical="center" wrapText="1"/>
    </xf>
    <xf numFmtId="0" fontId="4" fillId="2" borderId="35" xfId="1" applyFont="1" applyFill="1" applyBorder="1" applyAlignment="1">
      <alignment horizontal="center" vertical="center" wrapText="1"/>
    </xf>
    <xf numFmtId="0" fontId="4" fillId="0" borderId="6" xfId="1" applyFont="1" applyFill="1" applyBorder="1" applyAlignment="1">
      <alignment horizontal="center" vertical="center" wrapText="1"/>
    </xf>
    <xf numFmtId="0" fontId="3" fillId="0" borderId="36" xfId="1" applyBorder="1" applyAlignment="1">
      <alignment horizontal="center" vertical="center" wrapText="1"/>
    </xf>
    <xf numFmtId="0" fontId="3" fillId="0" borderId="32" xfId="1" applyBorder="1" applyAlignment="1">
      <alignment horizontal="center" vertical="center" wrapText="1"/>
    </xf>
    <xf numFmtId="0" fontId="3" fillId="0" borderId="35" xfId="1" applyBorder="1" applyAlignment="1">
      <alignment horizontal="center" vertical="center" wrapText="1"/>
    </xf>
    <xf numFmtId="14" fontId="14" fillId="0" borderId="11" xfId="1" applyNumberFormat="1" applyFont="1" applyBorder="1" applyAlignment="1">
      <alignment horizontal="center" vertical="center" textRotation="90" wrapText="1"/>
    </xf>
    <xf numFmtId="14" fontId="14" fillId="0" borderId="4" xfId="1" applyNumberFormat="1" applyFont="1" applyBorder="1" applyAlignment="1">
      <alignment horizontal="center" vertical="center" textRotation="90" wrapText="1"/>
    </xf>
    <xf numFmtId="14" fontId="14" fillId="0" borderId="27" xfId="1" applyNumberFormat="1" applyFont="1" applyBorder="1" applyAlignment="1">
      <alignment horizontal="center" vertical="center" textRotation="90" wrapText="1"/>
    </xf>
    <xf numFmtId="0" fontId="6" fillId="0" borderId="2" xfId="1" applyFont="1" applyFill="1" applyBorder="1" applyAlignment="1">
      <alignment horizontal="justify" vertical="center" wrapText="1"/>
    </xf>
    <xf numFmtId="0" fontId="6" fillId="0" borderId="5" xfId="1" applyFont="1" applyFill="1" applyBorder="1" applyAlignment="1">
      <alignment horizontal="justify" vertical="center" wrapText="1"/>
    </xf>
    <xf numFmtId="0" fontId="32" fillId="0" borderId="11" xfId="1" applyFont="1" applyFill="1" applyBorder="1" applyAlignment="1">
      <alignment horizontal="justify" vertical="center" wrapText="1"/>
    </xf>
    <xf numFmtId="0" fontId="6" fillId="0" borderId="1" xfId="1" applyFont="1" applyFill="1" applyBorder="1" applyAlignment="1">
      <alignment horizontal="justify" vertical="center" wrapText="1"/>
    </xf>
    <xf numFmtId="0" fontId="16" fillId="0" borderId="17" xfId="1" applyFont="1" applyBorder="1" applyAlignment="1">
      <alignment horizontal="center" vertical="center" wrapText="1"/>
    </xf>
    <xf numFmtId="0" fontId="16" fillId="0" borderId="22" xfId="1" applyFont="1" applyBorder="1" applyAlignment="1">
      <alignment horizontal="center" vertical="center" wrapText="1"/>
    </xf>
    <xf numFmtId="0" fontId="16" fillId="0" borderId="26" xfId="1" applyFont="1" applyBorder="1" applyAlignment="1">
      <alignment horizontal="center" vertical="center" wrapText="1"/>
    </xf>
    <xf numFmtId="14" fontId="4" fillId="0" borderId="1" xfId="1" applyNumberFormat="1" applyFont="1" applyBorder="1" applyAlignment="1">
      <alignment horizontal="center" vertical="center" textRotation="90" wrapText="1"/>
    </xf>
    <xf numFmtId="0" fontId="6" fillId="0" borderId="2" xfId="1" applyFont="1" applyBorder="1" applyAlignment="1">
      <alignment horizontal="center" vertical="center" wrapText="1"/>
    </xf>
    <xf numFmtId="0" fontId="6" fillId="0" borderId="1" xfId="1" applyFont="1" applyBorder="1" applyAlignment="1">
      <alignment horizontal="center" vertical="center" wrapText="1"/>
    </xf>
    <xf numFmtId="0" fontId="6" fillId="0" borderId="5" xfId="1" applyFont="1" applyBorder="1" applyAlignment="1">
      <alignment horizontal="center" vertical="center" wrapText="1"/>
    </xf>
    <xf numFmtId="14" fontId="4" fillId="0" borderId="1" xfId="1" applyNumberFormat="1" applyFont="1" applyBorder="1" applyAlignment="1">
      <alignment horizontal="center" vertical="center" wrapText="1"/>
    </xf>
    <xf numFmtId="14" fontId="14" fillId="2" borderId="2" xfId="1" applyNumberFormat="1" applyFont="1" applyFill="1" applyBorder="1" applyAlignment="1">
      <alignment horizontal="center" vertical="center" wrapText="1"/>
    </xf>
    <xf numFmtId="0" fontId="23" fillId="0" borderId="37" xfId="1" applyFont="1" applyBorder="1" applyAlignment="1">
      <alignment horizontal="center" vertical="center" wrapText="1"/>
    </xf>
    <xf numFmtId="0" fontId="23" fillId="0" borderId="38" xfId="1" applyFont="1" applyBorder="1" applyAlignment="1">
      <alignment horizontal="center" vertical="center" wrapText="1"/>
    </xf>
    <xf numFmtId="0" fontId="23" fillId="0" borderId="39" xfId="1" applyFont="1" applyBorder="1" applyAlignment="1">
      <alignment horizontal="center" vertical="center" wrapText="1"/>
    </xf>
    <xf numFmtId="0" fontId="23" fillId="0" borderId="8" xfId="1" applyFont="1" applyBorder="1" applyAlignment="1">
      <alignment horizontal="center" vertical="center" wrapText="1"/>
    </xf>
    <xf numFmtId="0" fontId="23" fillId="0" borderId="9" xfId="1" applyFont="1" applyBorder="1" applyAlignment="1">
      <alignment horizontal="center" vertical="center" wrapText="1"/>
    </xf>
    <xf numFmtId="0" fontId="23" fillId="0" borderId="10" xfId="1" applyFont="1" applyBorder="1" applyAlignment="1">
      <alignment horizontal="center" vertical="center" wrapText="1"/>
    </xf>
    <xf numFmtId="0" fontId="23" fillId="0" borderId="40" xfId="1" applyFont="1" applyBorder="1" applyAlignment="1">
      <alignment horizontal="center" vertical="center" wrapText="1"/>
    </xf>
    <xf numFmtId="0" fontId="23" fillId="0" borderId="41" xfId="1" applyFont="1" applyBorder="1" applyAlignment="1">
      <alignment horizontal="center" vertical="center" wrapText="1"/>
    </xf>
    <xf numFmtId="0" fontId="23" fillId="0" borderId="42" xfId="1" applyFont="1" applyBorder="1" applyAlignment="1">
      <alignment horizontal="center" vertical="center" wrapText="1"/>
    </xf>
    <xf numFmtId="0" fontId="23" fillId="0" borderId="16" xfId="1" applyFont="1" applyBorder="1" applyAlignment="1">
      <alignment horizontal="center" vertical="center" wrapText="1"/>
    </xf>
    <xf numFmtId="0" fontId="23" fillId="0" borderId="7" xfId="1" applyFont="1" applyBorder="1" applyAlignment="1">
      <alignment horizontal="center" vertical="center" wrapText="1"/>
    </xf>
    <xf numFmtId="0" fontId="23" fillId="0" borderId="34" xfId="1" applyFont="1" applyBorder="1" applyAlignment="1">
      <alignment horizontal="center" vertical="center" wrapText="1"/>
    </xf>
    <xf numFmtId="0" fontId="6" fillId="0" borderId="37"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27" xfId="1" applyFont="1" applyBorder="1" applyAlignment="1">
      <alignment horizontal="center" vertical="center" wrapText="1"/>
    </xf>
    <xf numFmtId="0" fontId="14" fillId="0" borderId="18" xfId="1" applyFont="1" applyFill="1" applyBorder="1" applyAlignment="1">
      <alignment horizontal="center" vertical="center" wrapText="1"/>
    </xf>
    <xf numFmtId="0" fontId="14" fillId="0" borderId="19" xfId="1" applyFont="1" applyFill="1" applyBorder="1" applyAlignment="1">
      <alignment horizontal="center" vertical="center" wrapText="1"/>
    </xf>
    <xf numFmtId="0" fontId="14" fillId="0" borderId="28" xfId="1" applyFont="1" applyFill="1" applyBorder="1" applyAlignment="1">
      <alignment horizontal="center" vertical="center" wrapText="1"/>
    </xf>
    <xf numFmtId="0" fontId="14" fillId="0" borderId="29" xfId="1" applyFont="1" applyFill="1" applyBorder="1" applyAlignment="1">
      <alignment horizontal="center" vertical="center" wrapText="1"/>
    </xf>
    <xf numFmtId="0" fontId="23" fillId="0" borderId="36" xfId="1" applyFont="1" applyFill="1" applyBorder="1" applyAlignment="1">
      <alignment horizontal="center" vertical="center" wrapText="1"/>
    </xf>
    <xf numFmtId="0" fontId="23" fillId="0" borderId="32" xfId="1" applyFont="1" applyFill="1" applyBorder="1" applyAlignment="1">
      <alignment horizontal="center" vertical="center" wrapText="1"/>
    </xf>
    <xf numFmtId="0" fontId="23" fillId="0" borderId="35" xfId="1" applyFont="1" applyFill="1" applyBorder="1" applyAlignment="1">
      <alignment horizontal="center" vertical="center" wrapText="1"/>
    </xf>
    <xf numFmtId="0" fontId="23" fillId="0" borderId="8" xfId="1" applyFont="1" applyFill="1" applyBorder="1" applyAlignment="1">
      <alignment horizontal="center" vertical="center" wrapText="1"/>
    </xf>
    <xf numFmtId="0" fontId="23" fillId="0" borderId="9" xfId="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16" xfId="1" applyFont="1" applyFill="1" applyBorder="1" applyAlignment="1">
      <alignment horizontal="center" vertical="center" wrapText="1"/>
    </xf>
    <xf numFmtId="0" fontId="23" fillId="0" borderId="7" xfId="1" applyFont="1" applyFill="1" applyBorder="1" applyAlignment="1">
      <alignment horizontal="center" vertical="center" wrapText="1"/>
    </xf>
    <xf numFmtId="0" fontId="23" fillId="0" borderId="34" xfId="1" applyFont="1" applyFill="1" applyBorder="1" applyAlignment="1">
      <alignment horizontal="center" vertical="center" wrapText="1"/>
    </xf>
    <xf numFmtId="0" fontId="14" fillId="0" borderId="23" xfId="1" applyFont="1" applyFill="1" applyBorder="1" applyAlignment="1">
      <alignment horizontal="center" vertical="center" wrapText="1"/>
    </xf>
    <xf numFmtId="0" fontId="14" fillId="0" borderId="24" xfId="1" applyFont="1" applyFill="1" applyBorder="1" applyAlignment="1">
      <alignment horizontal="center" vertical="center" wrapText="1"/>
    </xf>
    <xf numFmtId="0" fontId="5" fillId="3" borderId="5" xfId="1" applyFont="1" applyFill="1" applyBorder="1" applyAlignment="1">
      <alignment horizontal="center" vertical="center" wrapText="1"/>
    </xf>
    <xf numFmtId="14" fontId="5" fillId="3" borderId="5" xfId="1" applyNumberFormat="1" applyFont="1" applyFill="1" applyBorder="1" applyAlignment="1">
      <alignment horizontal="center" vertical="center" wrapText="1"/>
    </xf>
    <xf numFmtId="0" fontId="6" fillId="0" borderId="45" xfId="1" applyFont="1" applyBorder="1" applyAlignment="1">
      <alignment horizontal="center" vertical="center" wrapText="1"/>
    </xf>
    <xf numFmtId="0" fontId="6" fillId="0" borderId="47" xfId="1" applyFont="1" applyBorder="1" applyAlignment="1">
      <alignment horizontal="center" vertical="center" wrapText="1"/>
    </xf>
    <xf numFmtId="0" fontId="4" fillId="2" borderId="45" xfId="1" applyFont="1" applyFill="1" applyBorder="1" applyAlignment="1">
      <alignment horizontal="center" vertical="center" wrapText="1"/>
    </xf>
    <xf numFmtId="0" fontId="4" fillId="2" borderId="46" xfId="1" applyFont="1" applyFill="1" applyBorder="1" applyAlignment="1">
      <alignment horizontal="center" vertical="center" wrapText="1"/>
    </xf>
    <xf numFmtId="0" fontId="4" fillId="2" borderId="47" xfId="1" applyFont="1" applyFill="1" applyBorder="1" applyAlignment="1">
      <alignment horizontal="center" vertical="center" wrapText="1"/>
    </xf>
    <xf numFmtId="0" fontId="14" fillId="0" borderId="45" xfId="1" applyFont="1" applyFill="1" applyBorder="1" applyAlignment="1">
      <alignment horizontal="center" vertical="center" wrapText="1"/>
    </xf>
    <xf numFmtId="0" fontId="14" fillId="0" borderId="47" xfId="1" applyFont="1" applyFill="1" applyBorder="1" applyAlignment="1">
      <alignment horizontal="center" vertical="center" wrapText="1"/>
    </xf>
    <xf numFmtId="0" fontId="5" fillId="0" borderId="3" xfId="1" applyFont="1" applyBorder="1" applyAlignment="1">
      <alignment horizontal="left" vertical="center" wrapText="1"/>
    </xf>
    <xf numFmtId="0" fontId="4" fillId="0" borderId="1" xfId="1" applyFont="1" applyFill="1" applyBorder="1" applyAlignment="1">
      <alignment horizontal="center" vertical="center" wrapText="1"/>
    </xf>
    <xf numFmtId="0" fontId="9" fillId="0" borderId="9" xfId="1" applyFont="1" applyBorder="1" applyAlignment="1">
      <alignment horizontal="center" vertical="center" wrapText="1"/>
    </xf>
    <xf numFmtId="0" fontId="4" fillId="2" borderId="1" xfId="1" applyFont="1" applyFill="1" applyBorder="1" applyAlignment="1">
      <alignment horizontal="center" vertical="center" wrapText="1"/>
    </xf>
    <xf numFmtId="0" fontId="9" fillId="0" borderId="16" xfId="1" applyFont="1" applyBorder="1" applyAlignment="1">
      <alignment horizontal="center" vertical="center" wrapText="1"/>
    </xf>
    <xf numFmtId="0" fontId="9" fillId="0" borderId="7" xfId="1" applyFont="1" applyBorder="1" applyAlignment="1">
      <alignment horizontal="center" vertical="center" wrapText="1"/>
    </xf>
    <xf numFmtId="0" fontId="9" fillId="0" borderId="34" xfId="1" applyFont="1" applyBorder="1" applyAlignment="1">
      <alignment horizontal="center" vertical="center" wrapText="1"/>
    </xf>
    <xf numFmtId="14" fontId="35" fillId="0" borderId="1" xfId="1" applyNumberFormat="1" applyFont="1" applyBorder="1" applyAlignment="1">
      <alignment horizontal="center" vertical="center"/>
    </xf>
    <xf numFmtId="49" fontId="35" fillId="0" borderId="1" xfId="1" applyNumberFormat="1" applyFont="1" applyBorder="1" applyAlignment="1" applyProtection="1">
      <alignment horizontal="center" vertical="center" wrapText="1"/>
      <protection locked="0"/>
    </xf>
    <xf numFmtId="0" fontId="35" fillId="0" borderId="1" xfId="1" applyFont="1" applyBorder="1" applyAlignment="1">
      <alignment horizontal="center" vertical="center" wrapText="1"/>
    </xf>
    <xf numFmtId="0" fontId="35" fillId="0" borderId="1" xfId="1" applyFont="1" applyBorder="1" applyAlignment="1">
      <alignment horizontal="center" vertical="center"/>
    </xf>
    <xf numFmtId="0" fontId="7" fillId="0" borderId="7" xfId="0" applyFont="1" applyBorder="1" applyAlignment="1">
      <alignment horizontal="left"/>
    </xf>
    <xf numFmtId="0" fontId="13" fillId="0" borderId="0" xfId="0" applyFont="1" applyAlignment="1">
      <alignment horizontal="center" vertical="center"/>
    </xf>
    <xf numFmtId="0" fontId="5" fillId="4" borderId="1" xfId="0" applyFont="1" applyFill="1" applyBorder="1" applyAlignment="1">
      <alignment horizontal="center" vertical="center" wrapText="1"/>
    </xf>
    <xf numFmtId="14" fontId="5" fillId="4" borderId="1" xfId="0" applyNumberFormat="1" applyFont="1" applyFill="1" applyBorder="1" applyAlignment="1">
      <alignment horizontal="center" vertical="center" wrapText="1"/>
    </xf>
    <xf numFmtId="49" fontId="5" fillId="4" borderId="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top" wrapText="1"/>
    </xf>
    <xf numFmtId="0" fontId="5" fillId="0" borderId="1" xfId="0" applyFont="1" applyBorder="1" applyAlignment="1">
      <alignment horizontal="center" vertical="top"/>
    </xf>
    <xf numFmtId="14" fontId="5" fillId="0" borderId="1" xfId="0" applyNumberFormat="1" applyFont="1" applyBorder="1" applyAlignment="1">
      <alignment horizontal="center" vertical="top" wrapText="1"/>
    </xf>
    <xf numFmtId="14" fontId="5" fillId="0" borderId="1" xfId="0" applyNumberFormat="1" applyFont="1" applyBorder="1" applyAlignment="1">
      <alignment horizontal="center" vertical="top"/>
    </xf>
    <xf numFmtId="49" fontId="5" fillId="0" borderId="1" xfId="0" applyNumberFormat="1" applyFont="1" applyBorder="1" applyAlignment="1" applyProtection="1">
      <alignment horizontal="center" vertical="top" wrapText="1"/>
      <protection locked="0"/>
    </xf>
    <xf numFmtId="0" fontId="4" fillId="0" borderId="1" xfId="0" applyFont="1" applyBorder="1" applyAlignment="1">
      <alignment horizontal="center" vertical="center" wrapText="1"/>
    </xf>
    <xf numFmtId="0" fontId="14" fillId="0" borderId="8"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9" xfId="0" applyFont="1" applyFill="1" applyBorder="1" applyAlignment="1">
      <alignment horizontal="center" vertical="center" wrapText="1"/>
    </xf>
    <xf numFmtId="0" fontId="14" fillId="2" borderId="10"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10" xfId="0" applyFont="1" applyBorder="1" applyAlignment="1">
      <alignment horizontal="center" vertical="center" wrapText="1"/>
    </xf>
    <xf numFmtId="0" fontId="5" fillId="3" borderId="1" xfId="0" applyFont="1" applyFill="1" applyBorder="1" applyAlignment="1">
      <alignment horizontal="center" vertical="center" wrapText="1"/>
    </xf>
    <xf numFmtId="14" fontId="5" fillId="3" borderId="1" xfId="0" applyNumberFormat="1" applyFont="1" applyFill="1" applyBorder="1" applyAlignment="1">
      <alignment horizontal="center" vertical="center" wrapText="1"/>
    </xf>
    <xf numFmtId="14" fontId="5" fillId="3" borderId="6" xfId="0" applyNumberFormat="1" applyFont="1" applyFill="1" applyBorder="1" applyAlignment="1">
      <alignment horizontal="center" vertical="center" wrapText="1"/>
    </xf>
    <xf numFmtId="14" fontId="5" fillId="3" borderId="3" xfId="0" applyNumberFormat="1" applyFont="1" applyFill="1" applyBorder="1" applyAlignment="1">
      <alignment horizontal="center" vertical="center" wrapText="1"/>
    </xf>
    <xf numFmtId="0" fontId="23" fillId="0"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10" fillId="5" borderId="12" xfId="0" applyFont="1" applyFill="1" applyBorder="1" applyAlignment="1">
      <alignment horizontal="center" vertical="center" wrapText="1"/>
    </xf>
    <xf numFmtId="0" fontId="10" fillId="5" borderId="2" xfId="0" applyFont="1" applyFill="1" applyBorder="1" applyAlignment="1">
      <alignment horizontal="center" vertical="center" wrapText="1"/>
    </xf>
    <xf numFmtId="14" fontId="5" fillId="3" borderId="1" xfId="0" applyNumberFormat="1" applyFont="1" applyFill="1" applyBorder="1" applyAlignment="1">
      <alignment horizontal="center" vertical="center" textRotation="90" wrapText="1"/>
    </xf>
    <xf numFmtId="0" fontId="5" fillId="3" borderId="6"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2" fillId="0" borderId="1" xfId="0" applyNumberFormat="1" applyFont="1" applyBorder="1" applyAlignment="1">
      <alignment horizontal="center" vertical="center" wrapText="1"/>
    </xf>
    <xf numFmtId="0" fontId="17" fillId="0" borderId="8" xfId="0" applyNumberFormat="1" applyFont="1" applyFill="1" applyBorder="1" applyAlignment="1">
      <alignment horizontal="center" vertical="center" wrapText="1"/>
    </xf>
    <xf numFmtId="0" fontId="17" fillId="0" borderId="9" xfId="0" applyNumberFormat="1" applyFont="1" applyFill="1" applyBorder="1" applyAlignment="1">
      <alignment horizontal="center" vertical="center" wrapText="1"/>
    </xf>
    <xf numFmtId="0" fontId="17" fillId="0" borderId="10" xfId="0" applyNumberFormat="1" applyFont="1" applyFill="1" applyBorder="1" applyAlignment="1">
      <alignment horizontal="center" vertical="center" wrapText="1"/>
    </xf>
    <xf numFmtId="0" fontId="16" fillId="0" borderId="1" xfId="0" applyNumberFormat="1" applyFont="1" applyBorder="1" applyAlignment="1">
      <alignment horizontal="center" vertical="center" wrapText="1"/>
    </xf>
    <xf numFmtId="0" fontId="18" fillId="0" borderId="8" xfId="0" applyNumberFormat="1" applyFont="1" applyBorder="1" applyAlignment="1">
      <alignment horizontal="center" vertical="center" wrapText="1"/>
    </xf>
    <xf numFmtId="0" fontId="18" fillId="0" borderId="9" xfId="0" applyNumberFormat="1" applyFont="1" applyBorder="1" applyAlignment="1">
      <alignment horizontal="center" vertical="center" wrapText="1"/>
    </xf>
    <xf numFmtId="0" fontId="18" fillId="0" borderId="10" xfId="0" applyNumberFormat="1" applyFont="1" applyBorder="1" applyAlignment="1">
      <alignment horizontal="center" vertical="center" wrapText="1"/>
    </xf>
    <xf numFmtId="0" fontId="5" fillId="3" borderId="1" xfId="0" applyFont="1" applyFill="1" applyBorder="1" applyAlignment="1">
      <alignment horizontal="left" vertical="center" wrapText="1"/>
    </xf>
    <xf numFmtId="0" fontId="5" fillId="0" borderId="1"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5" fillId="3" borderId="8"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4" fillId="0" borderId="36" xfId="1" applyFont="1" applyBorder="1" applyAlignment="1">
      <alignment horizontal="center" vertical="center" wrapText="1"/>
    </xf>
    <xf numFmtId="9" fontId="3" fillId="0" borderId="6" xfId="1" applyNumberFormat="1" applyBorder="1" applyAlignment="1">
      <alignment horizontal="center" vertical="center"/>
    </xf>
    <xf numFmtId="0" fontId="3" fillId="0" borderId="4" xfId="1" applyBorder="1" applyAlignment="1">
      <alignment horizontal="center" vertical="center"/>
    </xf>
    <xf numFmtId="0" fontId="3" fillId="0" borderId="3" xfId="1" applyBorder="1" applyAlignment="1">
      <alignment horizontal="center" vertical="center"/>
    </xf>
    <xf numFmtId="0" fontId="5" fillId="0" borderId="9" xfId="1" applyFont="1" applyBorder="1" applyAlignment="1">
      <alignment horizontal="center" vertical="center"/>
    </xf>
    <xf numFmtId="0" fontId="5" fillId="0" borderId="10" xfId="1" applyFont="1" applyBorder="1" applyAlignment="1">
      <alignment horizontal="center" vertical="center"/>
    </xf>
    <xf numFmtId="0" fontId="5" fillId="3" borderId="16" xfId="1" applyFont="1" applyFill="1" applyBorder="1" applyAlignment="1">
      <alignment horizontal="center" vertical="center" wrapText="1"/>
    </xf>
    <xf numFmtId="0" fontId="26" fillId="0" borderId="8" xfId="1" applyNumberFormat="1" applyFont="1" applyBorder="1" applyAlignment="1">
      <alignment horizontal="center" vertical="center" wrapText="1"/>
    </xf>
    <xf numFmtId="0" fontId="7" fillId="0" borderId="36" xfId="1" applyFont="1" applyBorder="1" applyAlignment="1">
      <alignment horizontal="center" vertical="center" wrapText="1"/>
    </xf>
    <xf numFmtId="0" fontId="7" fillId="0" borderId="32" xfId="1" applyFont="1" applyBorder="1" applyAlignment="1">
      <alignment horizontal="center" vertical="center" wrapText="1"/>
    </xf>
    <xf numFmtId="0" fontId="7" fillId="0" borderId="35" xfId="1" applyFont="1" applyBorder="1" applyAlignment="1">
      <alignment horizontal="center" vertical="center" wrapText="1"/>
    </xf>
    <xf numFmtId="0" fontId="7" fillId="0" borderId="8" xfId="1" applyFont="1" applyBorder="1" applyAlignment="1">
      <alignment horizontal="center" vertical="center" wrapText="1"/>
    </xf>
    <xf numFmtId="0" fontId="7" fillId="0" borderId="9" xfId="1" applyFont="1" applyBorder="1" applyAlignment="1">
      <alignment horizontal="center" vertical="center" wrapText="1"/>
    </xf>
    <xf numFmtId="0" fontId="7" fillId="0" borderId="10" xfId="1" applyFont="1" applyBorder="1" applyAlignment="1">
      <alignment horizontal="center" vertical="center" wrapText="1"/>
    </xf>
    <xf numFmtId="0" fontId="14" fillId="2" borderId="16" xfId="1" applyFont="1" applyFill="1" applyBorder="1" applyAlignment="1">
      <alignment horizontal="center" vertical="center" wrapText="1"/>
    </xf>
    <xf numFmtId="0" fontId="14" fillId="2" borderId="34" xfId="1" applyFont="1" applyFill="1" applyBorder="1" applyAlignment="1">
      <alignment horizontal="center" vertical="center" wrapText="1"/>
    </xf>
    <xf numFmtId="0" fontId="14" fillId="2" borderId="23" xfId="1" applyFont="1" applyFill="1" applyBorder="1" applyAlignment="1">
      <alignment horizontal="center" vertical="center" wrapText="1"/>
    </xf>
    <xf numFmtId="0" fontId="14" fillId="2" borderId="24" xfId="1" applyFont="1" applyFill="1" applyBorder="1" applyAlignment="1">
      <alignment horizontal="center" vertical="center" wrapText="1"/>
    </xf>
    <xf numFmtId="0" fontId="14" fillId="2" borderId="36" xfId="1" applyFont="1" applyFill="1" applyBorder="1" applyAlignment="1">
      <alignment horizontal="center" vertical="center" wrapText="1"/>
    </xf>
    <xf numFmtId="0" fontId="14" fillId="2" borderId="35" xfId="1" applyFont="1" applyFill="1" applyBorder="1" applyAlignment="1">
      <alignment horizontal="center" vertical="center" wrapText="1"/>
    </xf>
    <xf numFmtId="0" fontId="16" fillId="0" borderId="3" xfId="1" applyFont="1" applyBorder="1" applyAlignment="1">
      <alignment horizontal="center" vertical="center" wrapText="1"/>
    </xf>
    <xf numFmtId="0" fontId="14" fillId="0" borderId="16" xfId="1" applyFont="1" applyFill="1" applyBorder="1" applyAlignment="1">
      <alignment horizontal="center" vertical="center" wrapText="1"/>
    </xf>
    <xf numFmtId="0" fontId="14" fillId="0" borderId="34" xfId="1" applyFont="1" applyFill="1" applyBorder="1" applyAlignment="1">
      <alignment horizontal="center" vertical="center" wrapText="1"/>
    </xf>
    <xf numFmtId="0" fontId="14" fillId="0" borderId="36" xfId="1" applyFont="1" applyFill="1" applyBorder="1" applyAlignment="1">
      <alignment horizontal="center" vertical="center" wrapText="1"/>
    </xf>
    <xf numFmtId="0" fontId="14" fillId="0" borderId="35" xfId="1" applyFont="1" applyFill="1" applyBorder="1" applyAlignment="1">
      <alignment horizontal="center" vertical="center" wrapText="1"/>
    </xf>
    <xf numFmtId="14" fontId="14" fillId="0" borderId="3" xfId="1" applyNumberFormat="1" applyFont="1" applyBorder="1" applyAlignment="1">
      <alignment horizontal="center" vertical="center" textRotation="90" wrapText="1"/>
    </xf>
    <xf numFmtId="14" fontId="14" fillId="0" borderId="3" xfId="1" applyNumberFormat="1" applyFont="1" applyBorder="1" applyAlignment="1">
      <alignment horizontal="center" vertical="center" wrapText="1"/>
    </xf>
    <xf numFmtId="0" fontId="14" fillId="2" borderId="7" xfId="1" applyFont="1" applyFill="1" applyBorder="1" applyAlignment="1">
      <alignment horizontal="center" vertical="center" wrapText="1"/>
    </xf>
    <xf numFmtId="0" fontId="14" fillId="2" borderId="0" xfId="1" applyFont="1" applyFill="1" applyBorder="1" applyAlignment="1">
      <alignment horizontal="center" vertical="center" wrapText="1"/>
    </xf>
    <xf numFmtId="0" fontId="14" fillId="2" borderId="32" xfId="1" applyFont="1" applyFill="1" applyBorder="1" applyAlignment="1">
      <alignment horizontal="center" vertical="center" wrapText="1"/>
    </xf>
    <xf numFmtId="0" fontId="7" fillId="0" borderId="1" xfId="1" applyFont="1" applyBorder="1" applyAlignment="1">
      <alignment horizontal="left"/>
    </xf>
    <xf numFmtId="14" fontId="4" fillId="7" borderId="1" xfId="1" applyNumberFormat="1" applyFont="1" applyFill="1" applyBorder="1" applyAlignment="1">
      <alignment horizontal="center" vertical="center" wrapText="1"/>
    </xf>
    <xf numFmtId="0" fontId="5" fillId="7" borderId="1" xfId="1" applyFont="1" applyFill="1" applyBorder="1" applyAlignment="1">
      <alignment horizontal="center" vertical="center" wrapText="1"/>
    </xf>
    <xf numFmtId="14" fontId="4" fillId="2" borderId="1" xfId="1" applyNumberFormat="1" applyFont="1" applyFill="1" applyBorder="1" applyAlignment="1">
      <alignment horizontal="center" vertical="center" wrapText="1"/>
    </xf>
    <xf numFmtId="0" fontId="23" fillId="0" borderId="2" xfId="0" applyFont="1" applyBorder="1" applyAlignment="1">
      <alignment horizontal="left" vertical="center" wrapText="1"/>
    </xf>
    <xf numFmtId="0" fontId="23" fillId="0" borderId="1" xfId="0" applyFont="1" applyBorder="1" applyAlignment="1">
      <alignment horizontal="left" vertical="center" wrapText="1"/>
    </xf>
    <xf numFmtId="0" fontId="23" fillId="0" borderId="8" xfId="0" applyFont="1" applyBorder="1" applyAlignment="1">
      <alignment horizontal="left" vertical="center" wrapText="1"/>
    </xf>
    <xf numFmtId="0" fontId="23" fillId="0" borderId="9" xfId="0" applyFont="1" applyBorder="1" applyAlignment="1">
      <alignment horizontal="left" vertical="center" wrapText="1"/>
    </xf>
    <xf numFmtId="0" fontId="23" fillId="0" borderId="10" xfId="0" applyFont="1" applyBorder="1" applyAlignment="1">
      <alignment horizontal="left" vertical="center" wrapText="1"/>
    </xf>
    <xf numFmtId="0" fontId="23" fillId="0" borderId="5" xfId="0" applyFont="1" applyBorder="1" applyAlignment="1">
      <alignment horizontal="left" vertical="center" wrapText="1"/>
    </xf>
    <xf numFmtId="14" fontId="4" fillId="0" borderId="11" xfId="0" applyNumberFormat="1" applyFont="1" applyBorder="1" applyAlignment="1">
      <alignment horizontal="center" vertical="center" wrapText="1"/>
    </xf>
    <xf numFmtId="14" fontId="4" fillId="0" borderId="4" xfId="0" applyNumberFormat="1" applyFont="1" applyBorder="1" applyAlignment="1">
      <alignment horizontal="center" vertical="center" wrapText="1"/>
    </xf>
    <xf numFmtId="14" fontId="4" fillId="0" borderId="27" xfId="0" applyNumberFormat="1" applyFont="1" applyBorder="1" applyAlignment="1">
      <alignment horizontal="center" vertical="center" wrapText="1"/>
    </xf>
    <xf numFmtId="0" fontId="5" fillId="0" borderId="11" xfId="0" applyFont="1" applyBorder="1" applyAlignment="1">
      <alignment horizontal="center" vertical="center" wrapText="1"/>
    </xf>
    <xf numFmtId="0" fontId="5" fillId="0" borderId="4" xfId="0" applyFont="1" applyBorder="1" applyAlignment="1">
      <alignment horizontal="center" vertical="center" wrapText="1"/>
    </xf>
    <xf numFmtId="0" fontId="5" fillId="0" borderId="27" xfId="0" applyFont="1" applyBorder="1" applyAlignment="1">
      <alignment horizontal="center" vertical="center" wrapText="1"/>
    </xf>
    <xf numFmtId="0" fontId="4" fillId="2" borderId="18"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27" xfId="0" applyFont="1" applyFill="1" applyBorder="1" applyAlignment="1">
      <alignment horizontal="center" vertical="center" wrapText="1"/>
    </xf>
    <xf numFmtId="0" fontId="16" fillId="0" borderId="17"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26" xfId="0" applyFont="1" applyBorder="1" applyAlignment="1">
      <alignment horizontal="center" vertical="center" wrapText="1"/>
    </xf>
    <xf numFmtId="0" fontId="5" fillId="0" borderId="12"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14" xfId="1" applyFont="1" applyBorder="1" applyAlignment="1">
      <alignment horizontal="center" vertical="center" wrapText="1"/>
    </xf>
    <xf numFmtId="0" fontId="14" fillId="0" borderId="18"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4" fillId="0" borderId="23"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4" fillId="0" borderId="28" xfId="0" applyFont="1" applyFill="1" applyBorder="1" applyAlignment="1">
      <alignment horizontal="center" vertical="center" wrapText="1"/>
    </xf>
    <xf numFmtId="0" fontId="14" fillId="0" borderId="29" xfId="0" applyFont="1" applyFill="1" applyBorder="1" applyAlignment="1">
      <alignment horizontal="center" vertical="center" wrapText="1"/>
    </xf>
    <xf numFmtId="14" fontId="4" fillId="0" borderId="11" xfId="0" applyNumberFormat="1" applyFont="1" applyBorder="1" applyAlignment="1">
      <alignment horizontal="center" vertical="center" textRotation="90" wrapText="1"/>
    </xf>
    <xf numFmtId="14" fontId="4" fillId="0" borderId="4" xfId="0" applyNumberFormat="1" applyFont="1" applyBorder="1" applyAlignment="1">
      <alignment horizontal="center" vertical="center" textRotation="90" wrapText="1"/>
    </xf>
    <xf numFmtId="14" fontId="4" fillId="0" borderId="27" xfId="0" applyNumberFormat="1" applyFont="1" applyBorder="1" applyAlignment="1">
      <alignment horizontal="center" vertical="center" textRotation="90" wrapText="1"/>
    </xf>
    <xf numFmtId="0" fontId="9" fillId="0" borderId="2" xfId="1" applyFont="1" applyBorder="1" applyAlignment="1">
      <alignment horizontal="center" vertical="center" wrapText="1"/>
    </xf>
    <xf numFmtId="0" fontId="23" fillId="0" borderId="18" xfId="1" applyFont="1" applyFill="1" applyBorder="1" applyAlignment="1">
      <alignment horizontal="center" vertical="center" wrapText="1"/>
    </xf>
    <xf numFmtId="0" fontId="23" fillId="0" borderId="19" xfId="1" applyFont="1" applyFill="1" applyBorder="1" applyAlignment="1">
      <alignment horizontal="center" vertical="center" wrapText="1"/>
    </xf>
    <xf numFmtId="0" fontId="23" fillId="0" borderId="23" xfId="1" applyFont="1" applyFill="1" applyBorder="1" applyAlignment="1">
      <alignment horizontal="center" vertical="center" wrapText="1"/>
    </xf>
    <xf numFmtId="0" fontId="23" fillId="0" borderId="24" xfId="1" applyFont="1" applyFill="1" applyBorder="1" applyAlignment="1">
      <alignment horizontal="center" vertical="center" wrapText="1"/>
    </xf>
    <xf numFmtId="0" fontId="23" fillId="0" borderId="28" xfId="1" applyFont="1" applyFill="1" applyBorder="1" applyAlignment="1">
      <alignment horizontal="center" vertical="center" wrapText="1"/>
    </xf>
    <xf numFmtId="0" fontId="23" fillId="0" borderId="29" xfId="1" applyFont="1" applyFill="1" applyBorder="1" applyAlignment="1">
      <alignment horizontal="center" vertical="center" wrapText="1"/>
    </xf>
    <xf numFmtId="0" fontId="9" fillId="0" borderId="44" xfId="1" applyFont="1" applyBorder="1" applyAlignment="1">
      <alignment horizontal="center" vertical="center" wrapText="1"/>
    </xf>
    <xf numFmtId="0" fontId="41" fillId="0" borderId="2" xfId="1" applyFont="1" applyFill="1" applyBorder="1" applyAlignment="1">
      <alignment horizontal="center" vertical="center" wrapText="1"/>
    </xf>
    <xf numFmtId="0" fontId="41" fillId="0" borderId="1" xfId="1" applyFont="1" applyFill="1" applyBorder="1" applyAlignment="1">
      <alignment horizontal="center" vertical="center" wrapText="1"/>
    </xf>
    <xf numFmtId="0" fontId="41" fillId="0" borderId="5" xfId="1" applyFont="1" applyFill="1" applyBorder="1" applyAlignment="1">
      <alignment horizontal="center" vertical="center" wrapText="1"/>
    </xf>
    <xf numFmtId="0" fontId="6" fillId="0" borderId="38" xfId="1" applyFont="1" applyBorder="1" applyAlignment="1">
      <alignment horizontal="center" vertical="center" wrapText="1"/>
    </xf>
    <xf numFmtId="0" fontId="6" fillId="0" borderId="8" xfId="1" applyFont="1" applyBorder="1" applyAlignment="1">
      <alignment horizontal="center" vertical="center" wrapText="1"/>
    </xf>
    <xf numFmtId="0" fontId="6" fillId="0" borderId="9" xfId="1" applyFont="1" applyBorder="1" applyAlignment="1">
      <alignment horizontal="center" vertical="center" wrapText="1"/>
    </xf>
    <xf numFmtId="0" fontId="6" fillId="0" borderId="10" xfId="1" applyFont="1" applyBorder="1" applyAlignment="1">
      <alignment horizontal="center" vertical="center" wrapText="1"/>
    </xf>
    <xf numFmtId="0" fontId="6" fillId="0" borderId="37"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1" xfId="0" applyFont="1" applyBorder="1" applyAlignment="1">
      <alignment horizontal="center" vertical="center" wrapText="1"/>
    </xf>
    <xf numFmtId="0" fontId="6" fillId="0" borderId="5" xfId="0" applyFont="1" applyBorder="1" applyAlignment="1">
      <alignment horizontal="center" vertical="center" wrapText="1"/>
    </xf>
    <xf numFmtId="14" fontId="4" fillId="2" borderId="18" xfId="1" applyNumberFormat="1" applyFont="1" applyFill="1" applyBorder="1" applyAlignment="1">
      <alignment horizontal="center" vertical="center" wrapText="1"/>
    </xf>
    <xf numFmtId="0" fontId="6" fillId="0" borderId="40" xfId="1" applyFont="1" applyBorder="1" applyAlignment="1">
      <alignment horizontal="center" vertical="center" wrapText="1"/>
    </xf>
    <xf numFmtId="0" fontId="6" fillId="0" borderId="41" xfId="1" applyFont="1" applyBorder="1" applyAlignment="1">
      <alignment horizontal="center" vertical="center" wrapText="1"/>
    </xf>
    <xf numFmtId="0" fontId="6" fillId="0" borderId="42" xfId="1" applyFont="1" applyBorder="1" applyAlignment="1">
      <alignment horizontal="center" vertical="center" wrapText="1"/>
    </xf>
    <xf numFmtId="0" fontId="6" fillId="0" borderId="1" xfId="1" applyFont="1" applyFill="1" applyBorder="1" applyAlignment="1">
      <alignment horizontal="center" vertical="top" wrapText="1"/>
    </xf>
    <xf numFmtId="0" fontId="6" fillId="0" borderId="6" xfId="1" applyFont="1" applyFill="1" applyBorder="1" applyAlignment="1">
      <alignment horizontal="center" vertical="top" wrapText="1"/>
    </xf>
    <xf numFmtId="0" fontId="23" fillId="0" borderId="4" xfId="0" applyFont="1" applyBorder="1" applyAlignment="1">
      <alignment horizontal="center" vertical="center" wrapText="1"/>
    </xf>
    <xf numFmtId="0" fontId="23" fillId="0" borderId="3" xfId="0" applyFont="1" applyBorder="1" applyAlignment="1">
      <alignment horizontal="center" vertical="center" wrapText="1"/>
    </xf>
    <xf numFmtId="0" fontId="0" fillId="0" borderId="32" xfId="0" applyBorder="1" applyAlignment="1">
      <alignment horizontal="center" vertical="center" wrapText="1"/>
    </xf>
    <xf numFmtId="0" fontId="0" fillId="0" borderId="35" xfId="0" applyBorder="1" applyAlignment="1">
      <alignment horizontal="center" vertical="center" wrapText="1"/>
    </xf>
    <xf numFmtId="0" fontId="0" fillId="0" borderId="16" xfId="0" applyBorder="1" applyAlignment="1">
      <alignment horizontal="center" vertical="center" wrapText="1"/>
    </xf>
    <xf numFmtId="0" fontId="0" fillId="0" borderId="7" xfId="0" applyBorder="1" applyAlignment="1">
      <alignment horizontal="center" vertical="center" wrapText="1"/>
    </xf>
    <xf numFmtId="0" fontId="0" fillId="0" borderId="34" xfId="0" applyBorder="1" applyAlignment="1">
      <alignment horizontal="center" vertical="center" wrapText="1"/>
    </xf>
    <xf numFmtId="0" fontId="0" fillId="0" borderId="1"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35" fillId="2" borderId="23" xfId="0" applyFont="1" applyFill="1" applyBorder="1" applyAlignment="1">
      <alignment horizontal="center" vertical="center" wrapText="1"/>
    </xf>
    <xf numFmtId="0" fontId="35" fillId="2" borderId="0" xfId="0" applyFont="1" applyFill="1" applyBorder="1" applyAlignment="1">
      <alignment horizontal="center" vertical="center" wrapText="1"/>
    </xf>
    <xf numFmtId="0" fontId="35" fillId="2" borderId="24"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6" xfId="0" applyFont="1" applyFill="1" applyBorder="1" applyAlignment="1">
      <alignment horizontal="center" vertical="center" wrapText="1"/>
    </xf>
    <xf numFmtId="0" fontId="35" fillId="2" borderId="32" xfId="0" applyFont="1" applyFill="1" applyBorder="1" applyAlignment="1">
      <alignment horizontal="center" vertical="center" wrapText="1"/>
    </xf>
    <xf numFmtId="0" fontId="35" fillId="2" borderId="35" xfId="0" applyFont="1" applyFill="1" applyBorder="1" applyAlignment="1">
      <alignment horizontal="center" vertical="center" wrapText="1"/>
    </xf>
    <xf numFmtId="0" fontId="5" fillId="0" borderId="17"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6"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27" xfId="0" applyFont="1" applyBorder="1" applyAlignment="1">
      <alignment horizontal="center" vertical="center" wrapText="1"/>
    </xf>
    <xf numFmtId="0" fontId="23" fillId="0" borderId="18"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23" xfId="0" applyFont="1" applyBorder="1" applyAlignment="1">
      <alignment horizontal="center" vertical="center" wrapText="1"/>
    </xf>
    <xf numFmtId="0" fontId="23" fillId="0" borderId="24" xfId="0" applyFont="1" applyBorder="1" applyAlignment="1">
      <alignment horizontal="center" vertical="center" wrapText="1"/>
    </xf>
    <xf numFmtId="0" fontId="23" fillId="0" borderId="28" xfId="0" applyFont="1" applyBorder="1" applyAlignment="1">
      <alignment horizontal="center" vertical="center" wrapText="1"/>
    </xf>
    <xf numFmtId="0" fontId="23" fillId="0" borderId="29" xfId="0" applyFont="1" applyBorder="1" applyAlignment="1">
      <alignment horizontal="center" vertical="center" wrapText="1"/>
    </xf>
    <xf numFmtId="14" fontId="23" fillId="0" borderId="11" xfId="0" applyNumberFormat="1" applyFont="1" applyBorder="1" applyAlignment="1">
      <alignment horizontal="center" vertical="center" textRotation="90" wrapText="1"/>
    </xf>
    <xf numFmtId="14" fontId="23" fillId="0" borderId="4" xfId="0" applyNumberFormat="1" applyFont="1" applyBorder="1" applyAlignment="1">
      <alignment horizontal="center" vertical="center" textRotation="90" wrapText="1"/>
    </xf>
    <xf numFmtId="14" fontId="23" fillId="0" borderId="27" xfId="0" applyNumberFormat="1" applyFont="1" applyBorder="1" applyAlignment="1">
      <alignment horizontal="center" vertical="center" textRotation="90" wrapText="1"/>
    </xf>
    <xf numFmtId="14" fontId="23" fillId="0" borderId="11" xfId="0" applyNumberFormat="1" applyFont="1" applyBorder="1" applyAlignment="1">
      <alignment horizontal="center" vertical="center" wrapText="1"/>
    </xf>
    <xf numFmtId="14" fontId="23" fillId="0" borderId="4" xfId="0" applyNumberFormat="1" applyFont="1" applyBorder="1" applyAlignment="1">
      <alignment horizontal="center" vertical="center" wrapText="1"/>
    </xf>
    <xf numFmtId="14" fontId="23" fillId="0" borderId="27" xfId="0" applyNumberFormat="1" applyFont="1" applyBorder="1" applyAlignment="1">
      <alignment horizontal="center" vertical="center" wrapText="1"/>
    </xf>
    <xf numFmtId="0" fontId="35" fillId="0" borderId="1" xfId="0" applyFont="1" applyBorder="1" applyAlignment="1">
      <alignment horizontal="center" vertical="center"/>
    </xf>
    <xf numFmtId="14" fontId="35" fillId="0" borderId="1" xfId="0" applyNumberFormat="1" applyFont="1" applyBorder="1" applyAlignment="1">
      <alignment horizontal="center" vertical="center"/>
    </xf>
    <xf numFmtId="49" fontId="35" fillId="0" borderId="1" xfId="0" applyNumberFormat="1" applyFont="1" applyBorder="1" applyAlignment="1" applyProtection="1">
      <alignment horizontal="center" vertical="center" wrapText="1"/>
      <protection locked="0"/>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5" fillId="0" borderId="6" xfId="0" applyFont="1" applyBorder="1" applyAlignment="1">
      <alignment horizontal="center" vertical="center" wrapText="1"/>
    </xf>
    <xf numFmtId="0" fontId="4" fillId="0" borderId="16" xfId="0" applyFont="1" applyFill="1" applyBorder="1" applyAlignment="1">
      <alignment horizontal="center" vertical="center" wrapText="1"/>
    </xf>
    <xf numFmtId="0" fontId="4" fillId="0" borderId="34"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24" xfId="0" applyFont="1" applyFill="1" applyBorder="1" applyAlignment="1">
      <alignment horizontal="center" vertical="center" wrapText="1"/>
    </xf>
    <xf numFmtId="14" fontId="4" fillId="0" borderId="6" xfId="0" applyNumberFormat="1" applyFont="1" applyBorder="1" applyAlignment="1">
      <alignment horizontal="center" vertical="center" textRotation="90" wrapText="1"/>
    </xf>
    <xf numFmtId="0" fontId="4" fillId="2" borderId="1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34"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14" fillId="0" borderId="32"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34" xfId="0" applyFont="1" applyBorder="1" applyAlignment="1">
      <alignment horizontal="center" vertical="center" wrapText="1"/>
    </xf>
    <xf numFmtId="14" fontId="4" fillId="0" borderId="6" xfId="0" applyNumberFormat="1" applyFont="1" applyBorder="1" applyAlignment="1">
      <alignment horizontal="center" vertical="center" wrapText="1"/>
    </xf>
    <xf numFmtId="0" fontId="23" fillId="0" borderId="11" xfId="0" applyFont="1" applyBorder="1" applyAlignment="1">
      <alignment horizontal="center" vertical="center" wrapText="1"/>
    </xf>
    <xf numFmtId="0" fontId="23" fillId="0" borderId="27" xfId="0" applyFont="1" applyBorder="1" applyAlignment="1">
      <alignment horizontal="center" vertical="center" wrapText="1"/>
    </xf>
    <xf numFmtId="0" fontId="6" fillId="0" borderId="2"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40" xfId="0" applyFont="1" applyBorder="1" applyAlignment="1">
      <alignment horizontal="center" vertical="center" wrapText="1"/>
    </xf>
    <xf numFmtId="0" fontId="6" fillId="0" borderId="42" xfId="0" applyFont="1" applyBorder="1" applyAlignment="1">
      <alignment horizontal="center" vertical="center" wrapText="1"/>
    </xf>
    <xf numFmtId="0" fontId="35" fillId="2" borderId="18" xfId="0" applyFont="1" applyFill="1" applyBorder="1" applyAlignment="1">
      <alignment horizontal="center" vertical="center" wrapText="1"/>
    </xf>
    <xf numFmtId="0" fontId="35" fillId="2" borderId="20" xfId="0" applyFont="1" applyFill="1" applyBorder="1" applyAlignment="1">
      <alignment horizontal="center" vertical="center" wrapText="1"/>
    </xf>
    <xf numFmtId="0" fontId="35" fillId="2" borderId="19" xfId="0" applyFont="1" applyFill="1" applyBorder="1" applyAlignment="1">
      <alignment horizontal="center" vertical="center" wrapText="1"/>
    </xf>
    <xf numFmtId="0" fontId="35" fillId="2" borderId="28" xfId="0" applyFont="1" applyFill="1" applyBorder="1" applyAlignment="1">
      <alignment horizontal="center" vertical="center" wrapText="1"/>
    </xf>
    <xf numFmtId="0" fontId="35" fillId="2" borderId="30" xfId="0" applyFont="1" applyFill="1" applyBorder="1" applyAlignment="1">
      <alignment horizontal="center" vertical="center" wrapText="1"/>
    </xf>
    <xf numFmtId="0" fontId="35" fillId="2" borderId="29" xfId="0" applyFont="1" applyFill="1" applyBorder="1" applyAlignment="1">
      <alignment horizontal="center" vertical="center" wrapText="1"/>
    </xf>
    <xf numFmtId="0" fontId="5" fillId="0" borderId="3" xfId="0" applyFont="1" applyBorder="1" applyAlignment="1">
      <alignment horizontal="center" vertical="center" wrapText="1"/>
    </xf>
    <xf numFmtId="0" fontId="35" fillId="0" borderId="3" xfId="0" applyFont="1" applyBorder="1" applyAlignment="1">
      <alignment horizontal="center" vertical="center" wrapText="1"/>
    </xf>
    <xf numFmtId="0" fontId="23" fillId="0" borderId="36" xfId="0" applyFont="1" applyBorder="1" applyAlignment="1">
      <alignment horizontal="center" vertical="center" wrapText="1"/>
    </xf>
    <xf numFmtId="0" fontId="23" fillId="0" borderId="35" xfId="0" applyFont="1" applyBorder="1" applyAlignment="1">
      <alignment horizontal="center" vertical="center" wrapText="1"/>
    </xf>
    <xf numFmtId="14" fontId="23" fillId="0" borderId="3" xfId="0" applyNumberFormat="1" applyFont="1" applyBorder="1" applyAlignment="1">
      <alignment horizontal="center" vertical="center" textRotation="90" wrapText="1"/>
    </xf>
    <xf numFmtId="0" fontId="0" fillId="0" borderId="38" xfId="0" applyBorder="1" applyAlignment="1">
      <alignment horizontal="center" vertical="center" wrapText="1"/>
    </xf>
    <xf numFmtId="0" fontId="0" fillId="0" borderId="39" xfId="0" applyBorder="1" applyAlignment="1">
      <alignment horizontal="center" vertical="center" wrapText="1"/>
    </xf>
    <xf numFmtId="0" fontId="0" fillId="0" borderId="9" xfId="0" applyFill="1" applyBorder="1" applyAlignment="1">
      <alignment horizontal="center" vertical="center" wrapText="1"/>
    </xf>
    <xf numFmtId="0" fontId="0" fillId="0" borderId="10" xfId="0" applyFill="1" applyBorder="1" applyAlignment="1">
      <alignment horizontal="center" vertical="center" wrapText="1"/>
    </xf>
    <xf numFmtId="0" fontId="4" fillId="0" borderId="2" xfId="1" applyFont="1" applyBorder="1" applyAlignment="1">
      <alignment horizontal="center" vertical="center" wrapText="1"/>
    </xf>
    <xf numFmtId="17" fontId="35" fillId="0" borderId="1" xfId="1" applyNumberFormat="1" applyFont="1" applyBorder="1" applyAlignment="1">
      <alignment horizontal="center" vertical="center" wrapText="1"/>
    </xf>
    <xf numFmtId="0" fontId="4" fillId="0" borderId="6" xfId="1" applyFont="1" applyBorder="1" applyAlignment="1">
      <alignment horizontal="center" vertical="center" wrapText="1"/>
    </xf>
    <xf numFmtId="0" fontId="40" fillId="3" borderId="1" xfId="1" applyFont="1" applyFill="1" applyBorder="1" applyAlignment="1">
      <alignment horizontal="left" vertical="center" wrapText="1"/>
    </xf>
    <xf numFmtId="0" fontId="40" fillId="0" borderId="1" xfId="1" applyFont="1" applyBorder="1" applyAlignment="1">
      <alignment horizontal="center" vertical="center" wrapText="1"/>
    </xf>
    <xf numFmtId="0" fontId="40" fillId="3" borderId="1" xfId="1" applyFont="1" applyFill="1" applyBorder="1" applyAlignment="1">
      <alignment horizontal="center" vertical="center" wrapText="1"/>
    </xf>
    <xf numFmtId="0" fontId="40" fillId="0" borderId="8" xfId="1" applyFont="1" applyBorder="1" applyAlignment="1">
      <alignment horizontal="center" vertical="center" wrapText="1"/>
    </xf>
    <xf numFmtId="0" fontId="40" fillId="0" borderId="9" xfId="1" applyFont="1" applyBorder="1" applyAlignment="1">
      <alignment horizontal="center" vertical="center" wrapText="1"/>
    </xf>
    <xf numFmtId="0" fontId="40" fillId="0" borderId="10" xfId="1" applyFont="1" applyBorder="1" applyAlignment="1">
      <alignment horizontal="center" vertical="center" wrapText="1"/>
    </xf>
    <xf numFmtId="0" fontId="45" fillId="0" borderId="1" xfId="1" applyNumberFormat="1" applyFont="1" applyBorder="1" applyAlignment="1">
      <alignment horizontal="center" vertical="center" wrapText="1"/>
    </xf>
    <xf numFmtId="0" fontId="46" fillId="0" borderId="1" xfId="1" applyNumberFormat="1" applyFont="1" applyFill="1" applyBorder="1" applyAlignment="1">
      <alignment horizontal="center" vertical="center" wrapText="1"/>
    </xf>
    <xf numFmtId="0" fontId="46" fillId="0" borderId="1" xfId="1" applyNumberFormat="1" applyFont="1" applyBorder="1" applyAlignment="1">
      <alignment horizontal="center" vertical="center" wrapText="1"/>
    </xf>
    <xf numFmtId="0" fontId="43" fillId="0" borderId="1" xfId="1" applyFont="1" applyBorder="1" applyAlignment="1">
      <alignment horizontal="center" vertical="center" wrapText="1"/>
    </xf>
    <xf numFmtId="0" fontId="48" fillId="5" borderId="12" xfId="1" applyFont="1" applyFill="1" applyBorder="1" applyAlignment="1">
      <alignment horizontal="center" vertical="center" wrapText="1"/>
    </xf>
    <xf numFmtId="0" fontId="48" fillId="5" borderId="2" xfId="1" applyFont="1" applyFill="1" applyBorder="1" applyAlignment="1">
      <alignment horizontal="center" vertical="center" wrapText="1"/>
    </xf>
    <xf numFmtId="14" fontId="40" fillId="3" borderId="1" xfId="1" applyNumberFormat="1" applyFont="1" applyFill="1" applyBorder="1" applyAlignment="1">
      <alignment horizontal="center" vertical="center" textRotation="90" wrapText="1"/>
    </xf>
    <xf numFmtId="14" fontId="40" fillId="3" borderId="1" xfId="1" applyNumberFormat="1" applyFont="1" applyFill="1" applyBorder="1" applyAlignment="1">
      <alignment horizontal="center" vertical="center" wrapText="1"/>
    </xf>
    <xf numFmtId="0" fontId="40" fillId="4" borderId="1" xfId="1" applyFont="1" applyFill="1" applyBorder="1" applyAlignment="1">
      <alignment horizontal="center" vertical="center" wrapText="1"/>
    </xf>
    <xf numFmtId="0" fontId="43" fillId="7" borderId="8" xfId="1" applyFont="1" applyFill="1" applyBorder="1" applyAlignment="1">
      <alignment horizontal="center" vertical="center" wrapText="1"/>
    </xf>
    <xf numFmtId="0" fontId="43" fillId="7" borderId="10" xfId="1" applyFont="1" applyFill="1" applyBorder="1" applyAlignment="1">
      <alignment horizontal="center" vertical="center" wrapText="1"/>
    </xf>
    <xf numFmtId="0" fontId="43" fillId="7" borderId="9" xfId="1" applyFont="1" applyFill="1" applyBorder="1" applyAlignment="1">
      <alignment horizontal="center" vertical="center" wrapText="1"/>
    </xf>
    <xf numFmtId="0" fontId="42" fillId="7" borderId="1" xfId="1" applyFont="1" applyFill="1" applyBorder="1" applyAlignment="1">
      <alignment horizontal="center" vertical="center" wrapText="1"/>
    </xf>
    <xf numFmtId="0" fontId="40" fillId="0" borderId="6" xfId="1" applyFont="1" applyBorder="1" applyAlignment="1">
      <alignment horizontal="center" vertical="center" wrapText="1"/>
    </xf>
    <xf numFmtId="0" fontId="40" fillId="0" borderId="4" xfId="1" applyFont="1" applyBorder="1" applyAlignment="1">
      <alignment horizontal="center" vertical="center" wrapText="1"/>
    </xf>
    <xf numFmtId="0" fontId="40" fillId="0" borderId="3" xfId="1" applyFont="1" applyBorder="1" applyAlignment="1">
      <alignment horizontal="center" vertical="center" wrapText="1"/>
    </xf>
    <xf numFmtId="0" fontId="40" fillId="7" borderId="6" xfId="1" applyFont="1" applyFill="1" applyBorder="1" applyAlignment="1">
      <alignment horizontal="center" vertical="center" wrapText="1"/>
    </xf>
    <xf numFmtId="0" fontId="40" fillId="7" borderId="4" xfId="1" applyFont="1" applyFill="1" applyBorder="1" applyAlignment="1">
      <alignment horizontal="center" vertical="center" wrapText="1"/>
    </xf>
    <xf numFmtId="0" fontId="40" fillId="7" borderId="3" xfId="1" applyFont="1" applyFill="1" applyBorder="1" applyAlignment="1">
      <alignment horizontal="center" vertical="center" wrapText="1"/>
    </xf>
    <xf numFmtId="0" fontId="42" fillId="7" borderId="16" xfId="1" applyFont="1" applyFill="1" applyBorder="1" applyAlignment="1">
      <alignment horizontal="center" vertical="center" wrapText="1"/>
    </xf>
    <xf numFmtId="0" fontId="42" fillId="7" borderId="34" xfId="1" applyFont="1" applyFill="1" applyBorder="1" applyAlignment="1">
      <alignment horizontal="center" vertical="center" wrapText="1"/>
    </xf>
    <xf numFmtId="0" fontId="42" fillId="7" borderId="36" xfId="1" applyFont="1" applyFill="1" applyBorder="1" applyAlignment="1">
      <alignment horizontal="center" vertical="center" wrapText="1"/>
    </xf>
    <xf numFmtId="0" fontId="42" fillId="7" borderId="35" xfId="1" applyFont="1" applyFill="1" applyBorder="1" applyAlignment="1">
      <alignment horizontal="center" vertical="center" wrapText="1"/>
    </xf>
    <xf numFmtId="14" fontId="43" fillId="7" borderId="6" xfId="1" applyNumberFormat="1" applyFont="1" applyFill="1" applyBorder="1" applyAlignment="1">
      <alignment horizontal="center" vertical="center" textRotation="90" wrapText="1"/>
    </xf>
    <xf numFmtId="14" fontId="43" fillId="7" borderId="4" xfId="1" applyNumberFormat="1" applyFont="1" applyFill="1" applyBorder="1" applyAlignment="1">
      <alignment horizontal="center" vertical="center" textRotation="90" wrapText="1"/>
    </xf>
    <xf numFmtId="14" fontId="43" fillId="7" borderId="3" xfId="1" applyNumberFormat="1" applyFont="1" applyFill="1" applyBorder="1" applyAlignment="1">
      <alignment horizontal="center" vertical="center" textRotation="90" wrapText="1"/>
    </xf>
    <xf numFmtId="14" fontId="43" fillId="7" borderId="6" xfId="1" applyNumberFormat="1" applyFont="1" applyFill="1" applyBorder="1" applyAlignment="1">
      <alignment horizontal="center" vertical="center" wrapText="1"/>
    </xf>
    <xf numFmtId="14" fontId="43" fillId="7" borderId="4" xfId="1" applyNumberFormat="1" applyFont="1" applyFill="1" applyBorder="1" applyAlignment="1">
      <alignment horizontal="center" vertical="center" wrapText="1"/>
    </xf>
    <xf numFmtId="14" fontId="43" fillId="7" borderId="3" xfId="1" applyNumberFormat="1" applyFont="1" applyFill="1" applyBorder="1" applyAlignment="1">
      <alignment horizontal="center" vertical="center" wrapText="1"/>
    </xf>
    <xf numFmtId="0" fontId="43" fillId="7" borderId="16" xfId="1" applyFont="1" applyFill="1" applyBorder="1" applyAlignment="1">
      <alignment horizontal="center" vertical="center" wrapText="1"/>
    </xf>
    <xf numFmtId="0" fontId="43" fillId="7" borderId="7" xfId="1" applyFont="1" applyFill="1" applyBorder="1" applyAlignment="1">
      <alignment horizontal="center" vertical="center" wrapText="1"/>
    </xf>
    <xf numFmtId="0" fontId="43" fillId="7" borderId="34" xfId="1" applyFont="1" applyFill="1" applyBorder="1" applyAlignment="1">
      <alignment horizontal="center" vertical="center" wrapText="1"/>
    </xf>
    <xf numFmtId="0" fontId="43" fillId="7" borderId="23" xfId="1" applyFont="1" applyFill="1" applyBorder="1" applyAlignment="1">
      <alignment horizontal="center" vertical="center" wrapText="1"/>
    </xf>
    <xf numFmtId="0" fontId="43" fillId="7" borderId="0" xfId="1" applyFont="1" applyFill="1" applyBorder="1" applyAlignment="1">
      <alignment horizontal="center" vertical="center" wrapText="1"/>
    </xf>
    <xf numFmtId="0" fontId="43" fillId="7" borderId="24" xfId="1" applyFont="1" applyFill="1" applyBorder="1" applyAlignment="1">
      <alignment horizontal="center" vertical="center" wrapText="1"/>
    </xf>
    <xf numFmtId="0" fontId="43" fillId="7" borderId="36" xfId="1" applyFont="1" applyFill="1" applyBorder="1" applyAlignment="1">
      <alignment horizontal="center" vertical="center" wrapText="1"/>
    </xf>
    <xf numFmtId="0" fontId="43" fillId="7" borderId="32" xfId="1" applyFont="1" applyFill="1" applyBorder="1" applyAlignment="1">
      <alignment horizontal="center" vertical="center" wrapText="1"/>
    </xf>
    <xf numFmtId="0" fontId="43" fillId="7" borderId="35" xfId="1" applyFont="1" applyFill="1" applyBorder="1" applyAlignment="1">
      <alignment horizontal="center" vertical="center" wrapText="1"/>
    </xf>
    <xf numFmtId="0" fontId="42" fillId="7" borderId="23" xfId="1" applyFont="1" applyFill="1" applyBorder="1" applyAlignment="1">
      <alignment horizontal="center" vertical="center" wrapText="1"/>
    </xf>
    <xf numFmtId="0" fontId="42" fillId="7" borderId="24" xfId="1" applyFont="1" applyFill="1" applyBorder="1" applyAlignment="1">
      <alignment horizontal="center" vertical="center" wrapText="1"/>
    </xf>
    <xf numFmtId="0" fontId="42" fillId="7" borderId="6" xfId="1" applyFont="1" applyFill="1" applyBorder="1" applyAlignment="1">
      <alignment horizontal="center" vertical="center" wrapText="1"/>
    </xf>
    <xf numFmtId="0" fontId="42" fillId="7" borderId="3" xfId="1" applyFont="1" applyFill="1" applyBorder="1" applyAlignment="1">
      <alignment horizontal="center" vertical="center" wrapText="1"/>
    </xf>
    <xf numFmtId="0" fontId="42" fillId="7" borderId="8" xfId="1" applyFont="1" applyFill="1" applyBorder="1" applyAlignment="1">
      <alignment horizontal="center" vertical="center" wrapText="1"/>
    </xf>
    <xf numFmtId="0" fontId="42" fillId="7" borderId="9" xfId="1" applyFont="1" applyFill="1" applyBorder="1" applyAlignment="1">
      <alignment horizontal="center" vertical="center" wrapText="1"/>
    </xf>
    <xf numFmtId="0" fontId="42" fillId="7" borderId="10" xfId="1" applyFont="1" applyFill="1" applyBorder="1" applyAlignment="1">
      <alignment horizontal="center" vertical="center" wrapText="1"/>
    </xf>
    <xf numFmtId="0" fontId="44" fillId="0" borderId="7" xfId="1" applyFont="1" applyBorder="1" applyAlignment="1">
      <alignment horizontal="left"/>
    </xf>
    <xf numFmtId="0" fontId="50" fillId="0" borderId="0" xfId="1" applyFont="1" applyAlignment="1">
      <alignment horizontal="center" vertical="center"/>
    </xf>
    <xf numFmtId="14" fontId="40" fillId="4" borderId="1" xfId="1" applyNumberFormat="1" applyFont="1" applyFill="1" applyBorder="1" applyAlignment="1">
      <alignment horizontal="center" vertical="center" wrapText="1"/>
    </xf>
    <xf numFmtId="49" fontId="40" fillId="4" borderId="1" xfId="1" applyNumberFormat="1" applyFont="1" applyFill="1" applyBorder="1" applyAlignment="1" applyProtection="1">
      <alignment horizontal="center" vertical="center" wrapText="1"/>
      <protection locked="0"/>
    </xf>
    <xf numFmtId="14" fontId="40" fillId="0" borderId="1" xfId="1" applyNumberFormat="1" applyFont="1" applyBorder="1" applyAlignment="1">
      <alignment horizontal="center" vertical="top"/>
    </xf>
    <xf numFmtId="0" fontId="40" fillId="0" borderId="1" xfId="1" applyFont="1" applyBorder="1" applyAlignment="1">
      <alignment horizontal="center" vertical="top"/>
    </xf>
    <xf numFmtId="49" fontId="40" fillId="0" borderId="1" xfId="1" applyNumberFormat="1" applyFont="1" applyBorder="1" applyAlignment="1" applyProtection="1">
      <alignment horizontal="center" vertical="top" wrapText="1"/>
      <protection locked="0"/>
    </xf>
    <xf numFmtId="0" fontId="39" fillId="7" borderId="6" xfId="1" applyFont="1" applyFill="1" applyBorder="1" applyAlignment="1">
      <alignment horizontal="center" vertical="center" wrapText="1"/>
    </xf>
    <xf numFmtId="0" fontId="39" fillId="7" borderId="3" xfId="1" applyFont="1" applyFill="1" applyBorder="1" applyAlignment="1">
      <alignment horizontal="center" vertical="center" wrapText="1"/>
    </xf>
    <xf numFmtId="0" fontId="39" fillId="7" borderId="1" xfId="1" applyFont="1" applyFill="1" applyBorder="1" applyAlignment="1">
      <alignment horizontal="center" vertical="center" wrapText="1"/>
    </xf>
    <xf numFmtId="0" fontId="4" fillId="0" borderId="3" xfId="0" applyFont="1" applyBorder="1" applyAlignment="1">
      <alignment horizontal="center" vertical="center" wrapText="1"/>
    </xf>
    <xf numFmtId="0" fontId="5" fillId="0" borderId="1" xfId="0" applyFont="1" applyBorder="1" applyAlignment="1">
      <alignment horizontal="center" vertical="center"/>
    </xf>
    <xf numFmtId="14" fontId="5" fillId="0" borderId="1" xfId="0" applyNumberFormat="1" applyFont="1" applyBorder="1" applyAlignment="1">
      <alignment horizontal="center" vertical="center"/>
    </xf>
    <xf numFmtId="49" fontId="5" fillId="0" borderId="1" xfId="0" applyNumberFormat="1" applyFont="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8" xfId="0" applyFont="1" applyBorder="1" applyAlignment="1">
      <alignment horizontal="center" vertical="center" wrapText="1"/>
    </xf>
    <xf numFmtId="0" fontId="4" fillId="0" borderId="18"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0" fillId="0" borderId="38" xfId="0" applyBorder="1" applyAlignment="1">
      <alignment horizontal="left" vertical="top" wrapText="1"/>
    </xf>
    <xf numFmtId="0" fontId="0" fillId="0" borderId="39" xfId="0" applyBorder="1" applyAlignment="1">
      <alignment horizontal="left" vertical="top" wrapText="1"/>
    </xf>
    <xf numFmtId="0" fontId="3" fillId="0" borderId="9" xfId="0" applyFont="1" applyBorder="1" applyAlignment="1">
      <alignment horizontal="left" vertical="top" wrapText="1"/>
    </xf>
    <xf numFmtId="0" fontId="0" fillId="0" borderId="9" xfId="0" applyBorder="1" applyAlignment="1">
      <alignment horizontal="left" vertical="top" wrapText="1"/>
    </xf>
    <xf numFmtId="0" fontId="0" fillId="0" borderId="10" xfId="0" applyBorder="1" applyAlignment="1">
      <alignment horizontal="left" vertical="top" wrapText="1"/>
    </xf>
    <xf numFmtId="0" fontId="0" fillId="0" borderId="41" xfId="0" applyBorder="1" applyAlignment="1">
      <alignment horizontal="left" vertical="top" wrapText="1"/>
    </xf>
    <xf numFmtId="0" fontId="0" fillId="0" borderId="42" xfId="0" applyBorder="1" applyAlignment="1">
      <alignment horizontal="left" vertical="top" wrapText="1"/>
    </xf>
    <xf numFmtId="0" fontId="34" fillId="0" borderId="1" xfId="1" applyFont="1" applyBorder="1" applyAlignment="1">
      <alignment horizontal="center" vertical="top" wrapText="1"/>
    </xf>
    <xf numFmtId="0" fontId="34" fillId="0" borderId="1" xfId="1" applyFont="1" applyBorder="1" applyAlignment="1">
      <alignment horizontal="center" vertical="top"/>
    </xf>
    <xf numFmtId="0" fontId="9" fillId="0" borderId="36" xfId="1" applyFont="1" applyBorder="1" applyAlignment="1">
      <alignment horizontal="center" vertical="center" wrapText="1"/>
    </xf>
    <xf numFmtId="0" fontId="9" fillId="0" borderId="32" xfId="1" applyFont="1" applyBorder="1" applyAlignment="1">
      <alignment horizontal="center" vertical="center" wrapText="1"/>
    </xf>
    <xf numFmtId="0" fontId="9" fillId="0" borderId="35" xfId="1" applyFont="1" applyBorder="1" applyAlignment="1">
      <alignment horizontal="center" vertical="center" wrapText="1"/>
    </xf>
    <xf numFmtId="0" fontId="9" fillId="0" borderId="45" xfId="1" applyFont="1" applyBorder="1" applyAlignment="1">
      <alignment horizontal="center" vertical="center" wrapText="1"/>
    </xf>
    <xf numFmtId="0" fontId="9" fillId="0" borderId="47" xfId="1" applyFont="1" applyBorder="1" applyAlignment="1">
      <alignment horizontal="center" vertical="center" wrapText="1"/>
    </xf>
    <xf numFmtId="0" fontId="6" fillId="0" borderId="46" xfId="1" applyFont="1" applyBorder="1" applyAlignment="1">
      <alignment horizontal="center" vertical="center" wrapText="1"/>
    </xf>
    <xf numFmtId="0" fontId="6" fillId="7" borderId="44" xfId="1" applyFont="1" applyFill="1" applyBorder="1" applyAlignment="1">
      <alignment horizontal="center" vertical="center" wrapText="1"/>
    </xf>
    <xf numFmtId="0" fontId="9" fillId="0" borderId="44" xfId="1" applyFont="1" applyBorder="1" applyAlignment="1">
      <alignment horizontal="left" vertical="center" wrapText="1"/>
    </xf>
    <xf numFmtId="0" fontId="5" fillId="0" borderId="51" xfId="1" applyFont="1" applyBorder="1" applyAlignment="1">
      <alignment horizontal="center" vertical="center" wrapText="1"/>
    </xf>
    <xf numFmtId="0" fontId="9" fillId="0" borderId="3" xfId="1" applyFont="1" applyBorder="1" applyAlignment="1">
      <alignment horizontal="center" vertical="center" wrapText="1"/>
    </xf>
    <xf numFmtId="0" fontId="6" fillId="0" borderId="3" xfId="1" applyFont="1" applyBorder="1" applyAlignment="1">
      <alignment horizontal="left" vertical="center" wrapText="1"/>
    </xf>
    <xf numFmtId="0" fontId="6" fillId="0" borderId="5" xfId="1" applyFont="1" applyBorder="1" applyAlignment="1">
      <alignment horizontal="justify" vertical="center" wrapText="1"/>
    </xf>
    <xf numFmtId="0" fontId="4" fillId="0" borderId="47" xfId="1" applyFont="1" applyFill="1" applyBorder="1" applyAlignment="1">
      <alignment horizontal="center" vertical="center" wrapText="1"/>
    </xf>
    <xf numFmtId="14" fontId="4" fillId="2" borderId="44" xfId="1" applyNumberFormat="1" applyFont="1" applyFill="1" applyBorder="1" applyAlignment="1">
      <alignment horizontal="center" vertical="center" wrapText="1"/>
    </xf>
    <xf numFmtId="9" fontId="14" fillId="0" borderId="6" xfId="1" applyNumberFormat="1" applyFont="1" applyFill="1" applyBorder="1" applyAlignment="1">
      <alignment horizontal="center" vertical="center" wrapText="1"/>
    </xf>
    <xf numFmtId="0" fontId="14" fillId="0" borderId="8" xfId="1" applyFont="1" applyFill="1" applyBorder="1" applyAlignment="1">
      <alignment horizontal="center" vertical="center" wrapText="1"/>
    </xf>
    <xf numFmtId="0" fontId="14" fillId="0" borderId="10" xfId="1" applyFont="1" applyFill="1" applyBorder="1" applyAlignment="1">
      <alignment horizontal="center" vertical="center" wrapText="1"/>
    </xf>
    <xf numFmtId="0" fontId="14" fillId="0" borderId="1" xfId="1" applyFont="1" applyBorder="1" applyAlignment="1">
      <alignment horizontal="center" vertical="center" wrapText="1"/>
    </xf>
    <xf numFmtId="0" fontId="6" fillId="0" borderId="6" xfId="1" applyFont="1" applyBorder="1" applyAlignment="1">
      <alignment horizontal="center" vertical="center" wrapText="1"/>
    </xf>
    <xf numFmtId="0" fontId="6" fillId="0" borderId="4" xfId="1" applyFont="1" applyBorder="1" applyAlignment="1">
      <alignment horizontal="center" vertical="center" wrapText="1"/>
    </xf>
    <xf numFmtId="0" fontId="6" fillId="0" borderId="3" xfId="1" applyFont="1" applyBorder="1" applyAlignment="1">
      <alignment horizontal="center" vertical="center" wrapText="1"/>
    </xf>
    <xf numFmtId="9" fontId="4" fillId="0" borderId="4" xfId="1" applyNumberFormat="1" applyFont="1" applyFill="1" applyBorder="1" applyAlignment="1">
      <alignment horizontal="center" vertical="center" wrapText="1"/>
    </xf>
    <xf numFmtId="9" fontId="4" fillId="0" borderId="3" xfId="1" applyNumberFormat="1" applyFont="1" applyFill="1" applyBorder="1" applyAlignment="1">
      <alignment horizontal="center" vertical="center" wrapText="1"/>
    </xf>
    <xf numFmtId="0" fontId="4" fillId="2" borderId="8" xfId="1" applyFont="1" applyFill="1" applyBorder="1" applyAlignment="1">
      <alignment horizontal="center" vertical="center" wrapText="1"/>
    </xf>
    <xf numFmtId="0" fontId="4" fillId="2" borderId="9" xfId="1" applyFont="1" applyFill="1" applyBorder="1" applyAlignment="1">
      <alignment horizontal="center" vertical="center" wrapText="1"/>
    </xf>
    <xf numFmtId="0" fontId="4" fillId="2" borderId="10" xfId="1" applyFont="1" applyFill="1" applyBorder="1" applyAlignment="1">
      <alignment horizontal="center" vertical="center" wrapText="1"/>
    </xf>
    <xf numFmtId="0" fontId="9" fillId="0" borderId="23" xfId="1" applyFont="1" applyBorder="1" applyAlignment="1">
      <alignment horizontal="center" vertical="center" wrapText="1"/>
    </xf>
    <xf numFmtId="0" fontId="9" fillId="0" borderId="0" xfId="1" applyFont="1" applyBorder="1" applyAlignment="1">
      <alignment horizontal="center" vertical="center" wrapText="1"/>
    </xf>
    <xf numFmtId="0" fontId="9" fillId="0" borderId="24" xfId="1" applyFont="1" applyBorder="1" applyAlignment="1">
      <alignment horizontal="center" vertical="center" wrapText="1"/>
    </xf>
    <xf numFmtId="0" fontId="9" fillId="0" borderId="4" xfId="1" applyFont="1" applyBorder="1" applyAlignment="1">
      <alignment horizontal="center" vertical="center" wrapText="1"/>
    </xf>
    <xf numFmtId="14" fontId="9" fillId="0" borderId="6" xfId="1" applyNumberFormat="1" applyFont="1" applyBorder="1" applyAlignment="1">
      <alignment horizontal="center" vertical="center" wrapText="1"/>
    </xf>
    <xf numFmtId="14" fontId="5" fillId="0" borderId="8" xfId="1" applyNumberFormat="1" applyFont="1" applyBorder="1" applyAlignment="1">
      <alignment horizontal="center" vertical="center" wrapText="1"/>
    </xf>
    <xf numFmtId="0" fontId="4" fillId="0" borderId="45" xfId="1" applyFont="1" applyFill="1" applyBorder="1" applyAlignment="1">
      <alignment horizontal="center" vertical="center" wrapText="1"/>
    </xf>
    <xf numFmtId="0" fontId="6" fillId="0" borderId="45" xfId="1" applyFont="1" applyBorder="1" applyAlignment="1">
      <alignment horizontal="justify" vertical="center" wrapText="1"/>
    </xf>
    <xf numFmtId="0" fontId="6" fillId="0" borderId="46" xfId="1" applyFont="1" applyBorder="1" applyAlignment="1">
      <alignment horizontal="justify" vertical="center" wrapText="1"/>
    </xf>
    <xf numFmtId="0" fontId="6" fillId="0" borderId="47" xfId="1" applyFont="1" applyBorder="1" applyAlignment="1">
      <alignment horizontal="justify" vertical="center" wrapText="1"/>
    </xf>
    <xf numFmtId="0" fontId="6" fillId="0" borderId="36" xfId="1" applyFont="1" applyBorder="1" applyAlignment="1">
      <alignment horizontal="justify" vertical="center" wrapText="1"/>
    </xf>
    <xf numFmtId="0" fontId="6" fillId="0" borderId="32" xfId="1" applyFont="1" applyBorder="1" applyAlignment="1">
      <alignment horizontal="justify" vertical="center" wrapText="1"/>
    </xf>
    <xf numFmtId="0" fontId="6" fillId="0" borderId="35" xfId="1" applyFont="1" applyBorder="1" applyAlignment="1">
      <alignment horizontal="justify" vertical="center" wrapText="1"/>
    </xf>
    <xf numFmtId="0" fontId="6" fillId="0" borderId="8" xfId="1" applyFont="1" applyBorder="1" applyAlignment="1">
      <alignment horizontal="justify" vertical="center" wrapText="1"/>
    </xf>
    <xf numFmtId="0" fontId="6" fillId="0" borderId="9" xfId="1" applyFont="1" applyBorder="1" applyAlignment="1">
      <alignment horizontal="justify" vertical="center" wrapText="1"/>
    </xf>
    <xf numFmtId="0" fontId="6" fillId="0" borderId="10" xfId="1" applyFont="1" applyBorder="1" applyAlignment="1">
      <alignment horizontal="justify" vertical="center" wrapText="1"/>
    </xf>
    <xf numFmtId="0" fontId="6" fillId="0" borderId="16" xfId="1" applyFont="1" applyBorder="1" applyAlignment="1">
      <alignment horizontal="justify" vertical="center" wrapText="1"/>
    </xf>
    <xf numFmtId="0" fontId="6" fillId="0" borderId="7" xfId="1" applyFont="1" applyBorder="1" applyAlignment="1">
      <alignment horizontal="justify" vertical="center" wrapText="1"/>
    </xf>
    <xf numFmtId="0" fontId="6" fillId="0" borderId="34" xfId="1" applyFont="1" applyBorder="1" applyAlignment="1">
      <alignment horizontal="justify" vertical="center" wrapText="1"/>
    </xf>
    <xf numFmtId="0" fontId="5" fillId="4" borderId="5" xfId="1" applyFont="1" applyFill="1" applyBorder="1" applyAlignment="1">
      <alignment horizontal="center" vertical="center" wrapText="1"/>
    </xf>
    <xf numFmtId="14" fontId="4" fillId="8" borderId="3" xfId="1" applyNumberFormat="1" applyFont="1" applyFill="1" applyBorder="1" applyAlignment="1">
      <alignment horizontal="center" vertical="center" wrapText="1"/>
    </xf>
    <xf numFmtId="14" fontId="4" fillId="8" borderId="1" xfId="1" applyNumberFormat="1" applyFont="1" applyFill="1" applyBorder="1" applyAlignment="1">
      <alignment horizontal="center" vertical="center" wrapText="1"/>
    </xf>
    <xf numFmtId="14" fontId="4" fillId="8" borderId="6" xfId="1" applyNumberFormat="1" applyFont="1" applyFill="1" applyBorder="1" applyAlignment="1">
      <alignment horizontal="center" vertical="center" wrapText="1"/>
    </xf>
    <xf numFmtId="0" fontId="4" fillId="2" borderId="6" xfId="1" applyFont="1" applyFill="1" applyBorder="1" applyAlignment="1">
      <alignment horizontal="center" vertical="center" wrapText="1"/>
    </xf>
    <xf numFmtId="14" fontId="5" fillId="3" borderId="5" xfId="1" applyNumberFormat="1" applyFont="1" applyFill="1" applyBorder="1" applyAlignment="1">
      <alignment horizontal="center" vertical="center" textRotation="90" wrapText="1"/>
    </xf>
    <xf numFmtId="0" fontId="14" fillId="0" borderId="16" xfId="0" applyFont="1" applyFill="1" applyBorder="1" applyAlignment="1">
      <alignment horizontal="center" vertical="center" wrapText="1"/>
    </xf>
    <xf numFmtId="0" fontId="14" fillId="0" borderId="34" xfId="0" applyFont="1" applyFill="1" applyBorder="1" applyAlignment="1">
      <alignment horizontal="center" vertical="center" wrapText="1"/>
    </xf>
    <xf numFmtId="14" fontId="14" fillId="0" borderId="6" xfId="0" applyNumberFormat="1" applyFont="1" applyBorder="1" applyAlignment="1">
      <alignment horizontal="center" vertical="center" textRotation="90" wrapText="1"/>
    </xf>
    <xf numFmtId="14" fontId="14" fillId="0" borderId="4" xfId="0" applyNumberFormat="1" applyFont="1" applyBorder="1" applyAlignment="1">
      <alignment horizontal="center" vertical="center" textRotation="90" wrapText="1"/>
    </xf>
    <xf numFmtId="0" fontId="14" fillId="0" borderId="6" xfId="0" applyFont="1" applyFill="1" applyBorder="1" applyAlignment="1">
      <alignment horizontal="center" vertical="center" wrapText="1"/>
    </xf>
    <xf numFmtId="0" fontId="7" fillId="0" borderId="37"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14" fontId="14" fillId="0" borderId="6" xfId="0" applyNumberFormat="1" applyFont="1" applyBorder="1" applyAlignment="1">
      <alignment horizontal="center" vertical="center" wrapText="1"/>
    </xf>
    <xf numFmtId="14" fontId="14" fillId="0" borderId="4" xfId="0" applyNumberFormat="1" applyFont="1" applyBorder="1" applyAlignment="1">
      <alignment horizontal="center" vertical="center" wrapText="1"/>
    </xf>
    <xf numFmtId="0" fontId="16" fillId="0" borderId="6" xfId="0" applyFont="1" applyBorder="1" applyAlignment="1">
      <alignment horizontal="center" vertical="center" wrapText="1"/>
    </xf>
    <xf numFmtId="0" fontId="16" fillId="0" borderId="4" xfId="0" applyFont="1" applyBorder="1" applyAlignment="1">
      <alignment horizontal="center" vertical="center" wrapText="1"/>
    </xf>
    <xf numFmtId="0" fontId="14" fillId="2" borderId="16"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34" xfId="0" applyFont="1" applyFill="1" applyBorder="1" applyAlignment="1">
      <alignment horizontal="center" vertical="center" wrapText="1"/>
    </xf>
    <xf numFmtId="0" fontId="14" fillId="2" borderId="2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24" xfId="0" applyFont="1" applyFill="1" applyBorder="1" applyAlignment="1">
      <alignment horizontal="center" vertical="center" wrapText="1"/>
    </xf>
    <xf numFmtId="0" fontId="52" fillId="0" borderId="8" xfId="0" applyFont="1" applyBorder="1" applyAlignment="1">
      <alignment horizontal="center" vertical="center" wrapText="1"/>
    </xf>
    <xf numFmtId="0" fontId="52" fillId="0" borderId="9" xfId="0" applyFont="1" applyBorder="1" applyAlignment="1">
      <alignment horizontal="center" vertical="center" wrapText="1"/>
    </xf>
    <xf numFmtId="0" fontId="3" fillId="0" borderId="38" xfId="0" applyFont="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wrapText="1"/>
    </xf>
    <xf numFmtId="0" fontId="3" fillId="0" borderId="41" xfId="0" applyFont="1" applyBorder="1" applyAlignment="1">
      <alignment horizontal="center" vertical="center" wrapText="1"/>
    </xf>
    <xf numFmtId="0" fontId="0" fillId="0" borderId="41" xfId="0" applyBorder="1" applyAlignment="1">
      <alignment horizontal="center" vertical="center" wrapText="1"/>
    </xf>
    <xf numFmtId="0" fontId="0" fillId="0" borderId="42" xfId="0" applyBorder="1" applyAlignment="1">
      <alignment horizontal="center" vertical="center" wrapText="1"/>
    </xf>
    <xf numFmtId="0" fontId="3" fillId="0" borderId="5" xfId="0" applyFont="1" applyBorder="1" applyAlignment="1">
      <alignment vertical="center" wrapText="1"/>
    </xf>
    <xf numFmtId="0" fontId="35" fillId="2" borderId="6" xfId="0" applyFont="1" applyFill="1" applyBorder="1" applyAlignment="1">
      <alignment horizontal="center" vertical="center" wrapText="1"/>
    </xf>
    <xf numFmtId="0" fontId="0" fillId="0" borderId="6" xfId="0" applyBorder="1" applyAlignment="1">
      <alignment vertical="center" wrapText="1"/>
    </xf>
    <xf numFmtId="14" fontId="0" fillId="0" borderId="6" xfId="0" applyNumberFormat="1" applyBorder="1" applyAlignment="1">
      <alignment vertical="center" wrapText="1"/>
    </xf>
    <xf numFmtId="9" fontId="4" fillId="0" borderId="6" xfId="0" applyNumberFormat="1" applyFont="1" applyBorder="1" applyAlignment="1">
      <alignment horizontal="center" vertical="center" wrapText="1"/>
    </xf>
    <xf numFmtId="0" fontId="4" fillId="0" borderId="6" xfId="0" applyFont="1" applyBorder="1" applyAlignment="1">
      <alignment horizontal="justify" vertical="center" wrapText="1"/>
    </xf>
    <xf numFmtId="0" fontId="4" fillId="0" borderId="2" xfId="0" applyFont="1" applyFill="1" applyBorder="1" applyAlignment="1">
      <alignment horizontal="center" vertical="center" wrapText="1"/>
    </xf>
    <xf numFmtId="0" fontId="6" fillId="0" borderId="2" xfId="0" applyFont="1" applyBorder="1" applyAlignment="1">
      <alignment vertical="center" wrapText="1"/>
    </xf>
    <xf numFmtId="0" fontId="4" fillId="0" borderId="5" xfId="0" applyFont="1" applyFill="1" applyBorder="1" applyAlignment="1">
      <alignment horizontal="center" vertical="center" wrapText="1"/>
    </xf>
    <xf numFmtId="14" fontId="0" fillId="0" borderId="27" xfId="0" applyNumberFormat="1" applyBorder="1" applyAlignment="1">
      <alignment horizontal="center" vertical="center" wrapText="1"/>
    </xf>
    <xf numFmtId="0" fontId="6" fillId="0" borderId="5" xfId="0" applyFont="1" applyBorder="1" applyAlignment="1">
      <alignment vertical="center" wrapText="1"/>
    </xf>
    <xf numFmtId="14" fontId="14" fillId="0" borderId="11" xfId="0" applyNumberFormat="1" applyFont="1" applyBorder="1" applyAlignment="1">
      <alignment horizontal="center" vertical="center" textRotation="90" wrapText="1"/>
    </xf>
    <xf numFmtId="14" fontId="14" fillId="0" borderId="11" xfId="0" applyNumberFormat="1" applyFont="1" applyBorder="1" applyAlignment="1">
      <alignment horizontal="center" vertical="center" wrapText="1"/>
    </xf>
    <xf numFmtId="0" fontId="16" fillId="0" borderId="11" xfId="0" applyFont="1" applyBorder="1" applyAlignment="1">
      <alignment horizontal="center" vertical="center" wrapText="1"/>
    </xf>
    <xf numFmtId="0" fontId="14" fillId="2" borderId="18"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14" fillId="2" borderId="19"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 xfId="0" applyFont="1" applyFill="1" applyBorder="1" applyAlignment="1">
      <alignment horizontal="center" vertical="center" wrapText="1"/>
    </xf>
    <xf numFmtId="14" fontId="14" fillId="0" borderId="27" xfId="0" applyNumberFormat="1" applyFont="1" applyBorder="1" applyAlignment="1">
      <alignment horizontal="center" vertical="center" textRotation="90" wrapText="1"/>
    </xf>
    <xf numFmtId="14" fontId="14" fillId="0" borderId="27" xfId="0" applyNumberFormat="1" applyFont="1" applyBorder="1" applyAlignment="1">
      <alignment horizontal="center" vertical="center" wrapText="1"/>
    </xf>
    <xf numFmtId="0" fontId="16" fillId="0" borderId="27" xfId="0" applyFont="1" applyBorder="1" applyAlignment="1">
      <alignment horizontal="center" vertical="center" wrapText="1"/>
    </xf>
    <xf numFmtId="0" fontId="14" fillId="2" borderId="28" xfId="0" applyFont="1" applyFill="1" applyBorder="1" applyAlignment="1">
      <alignment horizontal="center" vertical="center" wrapText="1"/>
    </xf>
    <xf numFmtId="0" fontId="14" fillId="2" borderId="30" xfId="0" applyFont="1" applyFill="1" applyBorder="1" applyAlignment="1">
      <alignment horizontal="center" vertical="center" wrapText="1"/>
    </xf>
    <xf numFmtId="0" fontId="14" fillId="2" borderId="29"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35" fillId="0" borderId="6"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34" xfId="0" applyFont="1" applyBorder="1" applyAlignment="1">
      <alignment horizontal="center" vertical="center" wrapText="1"/>
    </xf>
    <xf numFmtId="14" fontId="23" fillId="0" borderId="6" xfId="0" applyNumberFormat="1" applyFont="1" applyBorder="1" applyAlignment="1">
      <alignment horizontal="center" vertical="center" textRotation="90" wrapText="1"/>
    </xf>
    <xf numFmtId="0" fontId="35" fillId="2" borderId="16" xfId="0" applyFont="1" applyFill="1" applyBorder="1" applyAlignment="1">
      <alignment horizontal="center" vertical="center" wrapText="1"/>
    </xf>
    <xf numFmtId="0" fontId="35" fillId="2" borderId="7" xfId="0" applyFont="1" applyFill="1" applyBorder="1" applyAlignment="1">
      <alignment horizontal="center" vertical="center" wrapText="1"/>
    </xf>
    <xf numFmtId="0" fontId="35" fillId="2" borderId="34" xfId="0" applyFont="1" applyFill="1" applyBorder="1" applyAlignment="1">
      <alignment horizontal="center" vertical="center" wrapText="1"/>
    </xf>
    <xf numFmtId="0" fontId="23" fillId="0" borderId="6" xfId="0" applyFont="1" applyBorder="1" applyAlignment="1">
      <alignment horizontal="center" vertical="center" wrapText="1"/>
    </xf>
    <xf numFmtId="0" fontId="0" fillId="0" borderId="3" xfId="0" applyBorder="1" applyAlignment="1">
      <alignment horizontal="center" vertical="center" wrapText="1"/>
    </xf>
    <xf numFmtId="14" fontId="4" fillId="0" borderId="3"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35" fillId="2" borderId="16" xfId="0" applyFont="1" applyFill="1" applyBorder="1" applyAlignment="1">
      <alignment horizontal="center" vertical="center"/>
    </xf>
    <xf numFmtId="0" fontId="35" fillId="2" borderId="7" xfId="0" applyFont="1" applyFill="1" applyBorder="1" applyAlignment="1">
      <alignment horizontal="center" vertical="center"/>
    </xf>
    <xf numFmtId="0" fontId="35" fillId="2" borderId="34" xfId="0" applyFont="1" applyFill="1" applyBorder="1" applyAlignment="1">
      <alignment horizontal="center" vertical="center"/>
    </xf>
    <xf numFmtId="0" fontId="35" fillId="2" borderId="23" xfId="0" applyFont="1" applyFill="1" applyBorder="1" applyAlignment="1">
      <alignment horizontal="center" vertical="center"/>
    </xf>
    <xf numFmtId="0" fontId="35" fillId="2" borderId="0" xfId="0" applyFont="1" applyFill="1" applyBorder="1" applyAlignment="1">
      <alignment horizontal="center" vertical="center"/>
    </xf>
    <xf numFmtId="0" fontId="35" fillId="2" borderId="24" xfId="0" applyFont="1" applyFill="1" applyBorder="1" applyAlignment="1">
      <alignment horizontal="center" vertical="center"/>
    </xf>
    <xf numFmtId="0" fontId="35" fillId="2" borderId="36" xfId="0" applyFont="1" applyFill="1" applyBorder="1" applyAlignment="1">
      <alignment horizontal="center" vertical="center"/>
    </xf>
    <xf numFmtId="0" fontId="35" fillId="2" borderId="32" xfId="0" applyFont="1" applyFill="1" applyBorder="1" applyAlignment="1">
      <alignment horizontal="center" vertical="center"/>
    </xf>
    <xf numFmtId="0" fontId="35" fillId="2" borderId="35" xfId="0" applyFont="1" applyFill="1" applyBorder="1" applyAlignment="1">
      <alignment horizontal="center" vertical="center"/>
    </xf>
    <xf numFmtId="0" fontId="23" fillId="0" borderId="8" xfId="0" applyFont="1" applyBorder="1" applyAlignment="1">
      <alignment horizontal="center" vertical="center" wrapText="1"/>
    </xf>
    <xf numFmtId="0" fontId="23" fillId="0" borderId="10" xfId="0" applyFont="1" applyBorder="1" applyAlignment="1">
      <alignment horizontal="center" vertical="center" wrapText="1"/>
    </xf>
    <xf numFmtId="14" fontId="23" fillId="0" borderId="6" xfId="0" applyNumberFormat="1" applyFont="1" applyBorder="1" applyAlignment="1">
      <alignment horizontal="center" vertical="center" textRotation="90" wrapText="1"/>
    </xf>
    <xf numFmtId="0" fontId="35" fillId="2" borderId="8" xfId="0" applyFont="1" applyFill="1" applyBorder="1" applyAlignment="1">
      <alignment horizontal="center" vertical="center"/>
    </xf>
    <xf numFmtId="0" fontId="35" fillId="2" borderId="9" xfId="0" applyFont="1" applyFill="1" applyBorder="1" applyAlignment="1">
      <alignment horizontal="center" vertical="center"/>
    </xf>
    <xf numFmtId="0" fontId="35" fillId="2" borderId="10" xfId="0" applyFont="1" applyFill="1" applyBorder="1" applyAlignment="1">
      <alignment horizontal="center" vertical="center"/>
    </xf>
    <xf numFmtId="0" fontId="35" fillId="2" borderId="8" xfId="0" applyFont="1" applyFill="1" applyBorder="1" applyAlignment="1">
      <alignment horizontal="center" vertical="center" wrapText="1"/>
    </xf>
    <xf numFmtId="0" fontId="35" fillId="2" borderId="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0" fillId="0" borderId="36" xfId="0" applyBorder="1" applyAlignment="1">
      <alignment horizontal="center" vertical="center" wrapText="1"/>
    </xf>
    <xf numFmtId="0" fontId="35" fillId="0" borderId="1" xfId="0" applyFont="1" applyBorder="1" applyAlignment="1">
      <alignment horizontal="center" vertical="center" wrapText="1"/>
    </xf>
    <xf numFmtId="0" fontId="23" fillId="0" borderId="1" xfId="0" applyFont="1" applyBorder="1" applyAlignment="1">
      <alignment horizontal="center" vertical="center" wrapText="1"/>
    </xf>
    <xf numFmtId="14" fontId="23" fillId="0" borderId="1" xfId="0" applyNumberFormat="1" applyFont="1" applyBorder="1" applyAlignment="1">
      <alignment horizontal="center" vertical="center" textRotation="90" wrapText="1"/>
    </xf>
    <xf numFmtId="14" fontId="4" fillId="0" borderId="1" xfId="0" applyNumberFormat="1" applyFont="1" applyBorder="1" applyAlignment="1">
      <alignment horizontal="center" vertical="center" wrapText="1"/>
    </xf>
    <xf numFmtId="0" fontId="35" fillId="2" borderId="1" xfId="0" applyFont="1" applyFill="1" applyBorder="1" applyAlignment="1">
      <alignment horizontal="center" vertical="center"/>
    </xf>
    <xf numFmtId="0" fontId="35" fillId="2" borderId="1"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0" borderId="50" xfId="0" applyFont="1" applyFill="1" applyBorder="1" applyAlignment="1">
      <alignment horizontal="justify" vertical="center" wrapText="1"/>
    </xf>
    <xf numFmtId="0" fontId="0" fillId="0" borderId="2" xfId="0" applyBorder="1" applyAlignment="1">
      <alignment horizontal="left" vertical="center" wrapText="1"/>
    </xf>
    <xf numFmtId="0" fontId="0" fillId="0" borderId="2" xfId="0" applyBorder="1" applyAlignment="1">
      <alignment horizontal="left" vertical="center" wrapText="1"/>
    </xf>
    <xf numFmtId="14" fontId="0" fillId="0" borderId="2" xfId="0" applyNumberFormat="1" applyBorder="1" applyAlignment="1">
      <alignment horizontal="left" vertical="center" wrapText="1"/>
    </xf>
    <xf numFmtId="0" fontId="0" fillId="0" borderId="1" xfId="0" applyBorder="1" applyAlignment="1">
      <alignment horizontal="left" vertical="center" wrapText="1"/>
    </xf>
    <xf numFmtId="0" fontId="0" fillId="0" borderId="1" xfId="0" applyBorder="1" applyAlignment="1">
      <alignment horizontal="left" vertical="center" wrapText="1"/>
    </xf>
    <xf numFmtId="14" fontId="0" fillId="0" borderId="1" xfId="0" applyNumberFormat="1" applyBorder="1" applyAlignment="1">
      <alignment horizontal="left" vertical="center" wrapText="1"/>
    </xf>
    <xf numFmtId="0" fontId="0" fillId="0" borderId="5" xfId="0" applyBorder="1" applyAlignment="1">
      <alignment horizontal="left" vertical="center" wrapText="1"/>
    </xf>
    <xf numFmtId="0" fontId="0" fillId="0" borderId="5" xfId="0" applyBorder="1" applyAlignment="1">
      <alignment horizontal="left" vertical="center" wrapText="1"/>
    </xf>
    <xf numFmtId="14" fontId="0" fillId="0" borderId="5" xfId="0" applyNumberFormat="1" applyBorder="1" applyAlignment="1">
      <alignment horizontal="left" vertical="center" wrapText="1"/>
    </xf>
    <xf numFmtId="0" fontId="0" fillId="0" borderId="11" xfId="0" applyBorder="1" applyAlignment="1">
      <alignment horizontal="left" vertical="center" wrapText="1"/>
    </xf>
    <xf numFmtId="0" fontId="0" fillId="0" borderId="11" xfId="0" applyBorder="1" applyAlignment="1">
      <alignment horizontal="left" vertical="center" wrapText="1"/>
    </xf>
    <xf numFmtId="14" fontId="0" fillId="0" borderId="11" xfId="0" applyNumberFormat="1" applyBorder="1" applyAlignment="1">
      <alignment horizontal="left" vertical="center" wrapText="1"/>
    </xf>
    <xf numFmtId="0" fontId="0" fillId="0" borderId="6" xfId="0" applyFill="1" applyBorder="1" applyAlignment="1">
      <alignment vertical="center" wrapText="1"/>
    </xf>
    <xf numFmtId="0" fontId="3" fillId="0" borderId="28" xfId="0" applyFont="1" applyBorder="1" applyAlignment="1">
      <alignment horizontal="center" vertical="center" wrapText="1"/>
    </xf>
    <xf numFmtId="0" fontId="0" fillId="0" borderId="30" xfId="0" applyBorder="1" applyAlignment="1">
      <alignment horizontal="center" vertical="center" wrapText="1"/>
    </xf>
    <xf numFmtId="0" fontId="0" fillId="0" borderId="29" xfId="0" applyBorder="1" applyAlignment="1">
      <alignment horizontal="center" vertical="center" wrapText="1"/>
    </xf>
    <xf numFmtId="0" fontId="3" fillId="0" borderId="27" xfId="0" applyFont="1" applyFill="1" applyBorder="1" applyAlignment="1">
      <alignment vertical="center" wrapText="1"/>
    </xf>
    <xf numFmtId="0" fontId="0" fillId="0" borderId="1" xfId="0" applyBorder="1" applyAlignment="1">
      <alignment horizontal="left" vertical="top" wrapText="1"/>
    </xf>
    <xf numFmtId="0" fontId="4" fillId="0" borderId="36"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35" xfId="0" applyFont="1" applyFill="1" applyBorder="1" applyAlignment="1">
      <alignment horizontal="center" vertical="center" wrapText="1"/>
    </xf>
    <xf numFmtId="14" fontId="14" fillId="0" borderId="3" xfId="0" applyNumberFormat="1" applyFont="1" applyBorder="1" applyAlignment="1">
      <alignment horizontal="center" vertical="center" textRotation="90" wrapText="1"/>
    </xf>
    <xf numFmtId="0" fontId="14" fillId="2" borderId="3" xfId="0" applyFont="1" applyFill="1" applyBorder="1" applyAlignment="1">
      <alignment horizontal="center" vertical="center" wrapText="1"/>
    </xf>
    <xf numFmtId="0" fontId="5" fillId="0" borderId="43" xfId="0" applyFont="1" applyBorder="1" applyAlignment="1">
      <alignment vertical="center" wrapText="1"/>
    </xf>
    <xf numFmtId="0" fontId="5" fillId="0" borderId="44" xfId="0" applyFont="1" applyBorder="1" applyAlignment="1">
      <alignment vertical="center" wrapText="1"/>
    </xf>
    <xf numFmtId="0" fontId="5" fillId="0" borderId="44" xfId="0" applyFont="1" applyBorder="1" applyAlignment="1">
      <alignment horizontal="center" vertical="center" wrapText="1"/>
    </xf>
    <xf numFmtId="0" fontId="14" fillId="0" borderId="45" xfId="0" applyFont="1" applyFill="1" applyBorder="1" applyAlignment="1">
      <alignment horizontal="center" vertical="center" wrapText="1"/>
    </xf>
    <xf numFmtId="0" fontId="14" fillId="0" borderId="47" xfId="0" applyFont="1" applyFill="1" applyBorder="1" applyAlignment="1">
      <alignment horizontal="center" vertical="center" wrapText="1"/>
    </xf>
    <xf numFmtId="14" fontId="14" fillId="0" borderId="44" xfId="0" applyNumberFormat="1" applyFont="1" applyBorder="1" applyAlignment="1">
      <alignment horizontal="center" vertical="center" textRotation="90" wrapText="1"/>
    </xf>
    <xf numFmtId="14" fontId="14" fillId="0" borderId="44" xfId="0" applyNumberFormat="1" applyFont="1" applyBorder="1" applyAlignment="1">
      <alignment horizontal="center" vertical="center" wrapText="1"/>
    </xf>
    <xf numFmtId="0" fontId="16" fillId="0" borderId="44" xfId="0" applyFont="1" applyBorder="1" applyAlignment="1">
      <alignment horizontal="center" vertical="center" wrapText="1"/>
    </xf>
    <xf numFmtId="0" fontId="14" fillId="2" borderId="45"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14" fillId="2" borderId="47" xfId="0" applyFont="1" applyFill="1" applyBorder="1" applyAlignment="1">
      <alignment horizontal="center" vertical="center" wrapText="1"/>
    </xf>
    <xf numFmtId="0" fontId="14" fillId="2" borderId="44" xfId="0" applyFont="1" applyFill="1" applyBorder="1" applyAlignment="1">
      <alignment horizontal="center" vertical="center" wrapText="1"/>
    </xf>
    <xf numFmtId="0" fontId="14" fillId="0" borderId="44" xfId="0" applyFont="1" applyFill="1" applyBorder="1" applyAlignment="1">
      <alignment horizontal="center" vertical="center" wrapText="1"/>
    </xf>
    <xf numFmtId="0" fontId="7" fillId="0" borderId="45" xfId="0" applyFont="1" applyBorder="1" applyAlignment="1">
      <alignment horizontal="center" vertical="center" wrapText="1"/>
    </xf>
    <xf numFmtId="0" fontId="7" fillId="0" borderId="46"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44" xfId="0" applyFont="1" applyBorder="1" applyAlignment="1">
      <alignment horizontal="center" vertical="center" wrapText="1"/>
    </xf>
    <xf numFmtId="14" fontId="7" fillId="0" borderId="44" xfId="0" applyNumberFormat="1" applyFont="1" applyBorder="1" applyAlignment="1">
      <alignment horizontal="center" vertical="center" wrapText="1"/>
    </xf>
    <xf numFmtId="0" fontId="6" fillId="0" borderId="44" xfId="0" applyFont="1" applyBorder="1" applyAlignment="1">
      <alignment horizontal="center" vertical="center" wrapText="1"/>
    </xf>
    <xf numFmtId="9" fontId="4" fillId="0" borderId="44" xfId="0" applyNumberFormat="1" applyFont="1" applyFill="1" applyBorder="1" applyAlignment="1">
      <alignment horizontal="center" vertical="center" wrapText="1"/>
    </xf>
    <xf numFmtId="0" fontId="4" fillId="0" borderId="48" xfId="0" applyFont="1" applyFill="1" applyBorder="1" applyAlignment="1">
      <alignment horizontal="justify" vertical="center" wrapText="1"/>
    </xf>
    <xf numFmtId="0" fontId="0" fillId="0" borderId="2" xfId="0" applyBorder="1" applyAlignment="1">
      <alignment horizontal="left" vertical="top" wrapText="1"/>
    </xf>
    <xf numFmtId="0" fontId="4" fillId="2" borderId="27" xfId="0" applyFont="1" applyFill="1" applyBorder="1" applyAlignment="1">
      <alignment horizontal="center" vertical="center" wrapText="1"/>
    </xf>
    <xf numFmtId="0" fontId="0" fillId="0" borderId="5" xfId="0" applyBorder="1" applyAlignment="1">
      <alignment horizontal="center" vertical="center" wrapText="1"/>
    </xf>
    <xf numFmtId="0" fontId="23" fillId="0" borderId="1" xfId="1" applyFont="1" applyBorder="1" applyAlignment="1">
      <alignment horizontal="center" vertical="center" wrapText="1"/>
    </xf>
    <xf numFmtId="0" fontId="5" fillId="0" borderId="27" xfId="1" applyFont="1" applyBorder="1" applyAlignment="1">
      <alignment horizontal="left" vertical="center" wrapText="1"/>
    </xf>
    <xf numFmtId="0" fontId="4" fillId="0" borderId="5" xfId="1" applyFont="1" applyFill="1" applyBorder="1" applyAlignment="1">
      <alignment horizontal="justify" vertical="center" wrapText="1"/>
    </xf>
    <xf numFmtId="0" fontId="14" fillId="0" borderId="40" xfId="1" applyFont="1" applyBorder="1" applyAlignment="1">
      <alignment horizontal="center" vertical="center" wrapText="1"/>
    </xf>
    <xf numFmtId="0" fontId="14" fillId="0" borderId="41" xfId="1" applyFont="1" applyBorder="1" applyAlignment="1">
      <alignment horizontal="center" vertical="center" wrapText="1"/>
    </xf>
    <xf numFmtId="0" fontId="14" fillId="0" borderId="42" xfId="1" applyFont="1" applyBorder="1" applyAlignment="1">
      <alignment horizontal="center" vertical="center" wrapText="1"/>
    </xf>
    <xf numFmtId="0" fontId="14" fillId="2" borderId="18" xfId="1" applyFont="1" applyFill="1" applyBorder="1" applyAlignment="1">
      <alignment horizontal="center" vertical="center" wrapText="1"/>
    </xf>
    <xf numFmtId="0" fontId="14" fillId="2" borderId="20" xfId="1" applyFont="1" applyFill="1" applyBorder="1" applyAlignment="1">
      <alignment horizontal="center" vertical="center" wrapText="1"/>
    </xf>
    <xf numFmtId="0" fontId="14" fillId="2" borderId="19" xfId="1" applyFont="1" applyFill="1" applyBorder="1" applyAlignment="1">
      <alignment horizontal="center" vertical="center" wrapText="1"/>
    </xf>
    <xf numFmtId="0" fontId="14" fillId="2" borderId="11" xfId="1" applyFont="1" applyFill="1" applyBorder="1" applyAlignment="1">
      <alignment horizontal="center" vertical="center" wrapText="1"/>
    </xf>
    <xf numFmtId="0" fontId="14" fillId="0" borderId="37" xfId="1" applyFont="1" applyBorder="1" applyAlignment="1">
      <alignment horizontal="center" vertical="center" wrapText="1"/>
    </xf>
    <xf numFmtId="0" fontId="14" fillId="0" borderId="38" xfId="1" applyFont="1" applyBorder="1" applyAlignment="1">
      <alignment horizontal="center" vertical="center" wrapText="1"/>
    </xf>
    <xf numFmtId="0" fontId="14" fillId="0" borderId="39" xfId="1" applyFont="1" applyBorder="1" applyAlignment="1">
      <alignment horizontal="center" vertical="center" wrapText="1"/>
    </xf>
    <xf numFmtId="0" fontId="14" fillId="0" borderId="2" xfId="1" applyFont="1" applyBorder="1" applyAlignment="1">
      <alignment horizontal="center" vertical="center" wrapText="1"/>
    </xf>
    <xf numFmtId="0" fontId="4" fillId="0" borderId="2" xfId="1" applyFont="1" applyFill="1" applyBorder="1" applyAlignment="1">
      <alignment horizontal="justify" vertical="center" wrapText="1"/>
    </xf>
    <xf numFmtId="0" fontId="14" fillId="2" borderId="4" xfId="1" applyFont="1" applyFill="1" applyBorder="1" applyAlignment="1">
      <alignment horizontal="center" vertical="center" wrapText="1"/>
    </xf>
    <xf numFmtId="0" fontId="14" fillId="0" borderId="4" xfId="1" applyFont="1" applyBorder="1" applyAlignment="1">
      <alignment horizontal="center" vertical="center" wrapText="1"/>
    </xf>
    <xf numFmtId="0" fontId="14" fillId="2" borderId="28" xfId="1" applyFont="1" applyFill="1" applyBorder="1" applyAlignment="1">
      <alignment horizontal="center" vertical="center" wrapText="1"/>
    </xf>
    <xf numFmtId="0" fontId="14" fillId="2" borderId="30" xfId="1" applyFont="1" applyFill="1" applyBorder="1" applyAlignment="1">
      <alignment horizontal="center" vertical="center" wrapText="1"/>
    </xf>
    <xf numFmtId="0" fontId="14" fillId="2" borderId="29" xfId="1" applyFont="1" applyFill="1" applyBorder="1" applyAlignment="1">
      <alignment horizontal="center" vertical="center" wrapText="1"/>
    </xf>
    <xf numFmtId="0" fontId="14" fillId="2" borderId="27" xfId="1" applyFont="1" applyFill="1" applyBorder="1" applyAlignment="1">
      <alignment horizontal="center" vertical="center" wrapText="1"/>
    </xf>
    <xf numFmtId="0" fontId="23" fillId="0" borderId="11" xfId="1" applyFont="1" applyBorder="1" applyAlignment="1">
      <alignment horizontal="center" vertical="center" wrapText="1"/>
    </xf>
    <xf numFmtId="14" fontId="23" fillId="0" borderId="27" xfId="1" applyNumberFormat="1" applyFont="1" applyBorder="1" applyAlignment="1">
      <alignment horizontal="center" vertical="center" wrapText="1"/>
    </xf>
    <xf numFmtId="0" fontId="6" fillId="0" borderId="27" xfId="1" applyFont="1" applyBorder="1" applyAlignment="1">
      <alignment vertical="center" wrapText="1"/>
    </xf>
    <xf numFmtId="0" fontId="4" fillId="0" borderId="27" xfId="1" applyFont="1" applyFill="1" applyBorder="1" applyAlignment="1">
      <alignment horizontal="justify" vertical="center" wrapText="1"/>
    </xf>
    <xf numFmtId="0" fontId="11" fillId="5" borderId="13" xfId="1" applyFont="1" applyFill="1" applyBorder="1" applyAlignment="1">
      <alignment horizontal="center" vertical="center" wrapText="1"/>
    </xf>
    <xf numFmtId="0" fontId="52" fillId="0" borderId="1" xfId="0" applyFont="1" applyBorder="1" applyAlignment="1">
      <alignment horizontal="center" vertical="center" wrapText="1"/>
    </xf>
    <xf numFmtId="0" fontId="52" fillId="0" borderId="1" xfId="0" applyFont="1" applyBorder="1" applyAlignment="1">
      <alignment horizontal="center" vertical="center" wrapText="1"/>
    </xf>
    <xf numFmtId="9" fontId="14" fillId="0" borderId="1" xfId="0" applyNumberFormat="1" applyFont="1" applyFill="1" applyBorder="1" applyAlignment="1">
      <alignment horizontal="center" vertical="center" wrapText="1"/>
    </xf>
    <xf numFmtId="0" fontId="14" fillId="0" borderId="1" xfId="0" applyFont="1" applyFill="1" applyBorder="1" applyAlignment="1">
      <alignment horizontal="justify" vertical="center" wrapText="1"/>
    </xf>
    <xf numFmtId="0" fontId="16" fillId="0" borderId="3" xfId="0" applyFont="1" applyBorder="1" applyAlignment="1">
      <alignment horizontal="center" vertical="center" wrapText="1"/>
    </xf>
    <xf numFmtId="0" fontId="14" fillId="0" borderId="36" xfId="0" applyFont="1" applyFill="1" applyBorder="1" applyAlignment="1">
      <alignment horizontal="center" vertical="center" wrapText="1"/>
    </xf>
    <xf numFmtId="0" fontId="14" fillId="0" borderId="35" xfId="0" applyFont="1" applyFill="1" applyBorder="1" applyAlignment="1">
      <alignment horizontal="center" vertical="center" wrapText="1"/>
    </xf>
    <xf numFmtId="14" fontId="14" fillId="0" borderId="3" xfId="0" applyNumberFormat="1" applyFont="1" applyBorder="1" applyAlignment="1">
      <alignment horizontal="center" vertical="center" textRotation="90" wrapText="1"/>
    </xf>
    <xf numFmtId="14" fontId="14" fillId="0" borderId="3" xfId="0" applyNumberFormat="1" applyFont="1" applyBorder="1" applyAlignment="1">
      <alignment horizontal="center" vertical="center" wrapText="1"/>
    </xf>
    <xf numFmtId="0" fontId="14" fillId="2" borderId="36" xfId="0" applyFont="1" applyFill="1" applyBorder="1" applyAlignment="1">
      <alignment horizontal="center" vertical="center" wrapText="1"/>
    </xf>
    <xf numFmtId="0" fontId="14" fillId="2" borderId="32" xfId="0" applyFont="1" applyFill="1" applyBorder="1" applyAlignment="1">
      <alignment horizontal="center" vertical="center" wrapText="1"/>
    </xf>
    <xf numFmtId="0" fontId="14" fillId="2" borderId="35"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center" vertical="center" wrapText="1"/>
    </xf>
    <xf numFmtId="0" fontId="14" fillId="0" borderId="6" xfId="1" applyFont="1" applyBorder="1" applyAlignment="1">
      <alignment horizontal="center" vertical="center" wrapText="1"/>
    </xf>
    <xf numFmtId="0" fontId="14" fillId="0" borderId="1" xfId="1" applyFont="1" applyFill="1" applyBorder="1" applyAlignment="1">
      <alignment horizontal="justify" vertical="center" wrapText="1"/>
    </xf>
    <xf numFmtId="0" fontId="14" fillId="0" borderId="4" xfId="1" applyFont="1" applyBorder="1" applyAlignment="1">
      <alignment horizontal="center" vertical="center" wrapText="1"/>
    </xf>
    <xf numFmtId="0" fontId="14" fillId="0" borderId="3" xfId="1" applyFont="1" applyBorder="1" applyAlignment="1">
      <alignment horizontal="center" vertical="center" wrapText="1"/>
    </xf>
    <xf numFmtId="0" fontId="7" fillId="0" borderId="6" xfId="1" applyFont="1" applyBorder="1" applyAlignment="1">
      <alignment horizontal="center" vertical="center" wrapText="1"/>
    </xf>
    <xf numFmtId="0" fontId="7" fillId="0" borderId="4" xfId="1" applyFont="1" applyBorder="1" applyAlignment="1">
      <alignment horizontal="center" vertical="center" wrapText="1"/>
    </xf>
    <xf numFmtId="0" fontId="7" fillId="0" borderId="3" xfId="1" applyFont="1" applyBorder="1" applyAlignment="1">
      <alignment horizontal="center" vertical="center" wrapText="1"/>
    </xf>
    <xf numFmtId="0" fontId="3" fillId="0" borderId="1" xfId="0" applyFont="1" applyBorder="1" applyAlignment="1">
      <alignment horizontal="center" vertical="center" wrapText="1"/>
    </xf>
    <xf numFmtId="9" fontId="14" fillId="0" borderId="3" xfId="1" applyNumberFormat="1" applyFont="1" applyFill="1" applyBorder="1" applyAlignment="1">
      <alignment horizontal="center" vertical="center" wrapText="1"/>
    </xf>
    <xf numFmtId="0" fontId="14" fillId="2" borderId="3" xfId="1" applyFont="1" applyFill="1" applyBorder="1" applyAlignment="1">
      <alignment horizontal="center" vertical="center" wrapText="1"/>
    </xf>
    <xf numFmtId="9" fontId="14" fillId="0" borderId="3" xfId="1" applyNumberFormat="1" applyFont="1" applyFill="1" applyBorder="1" applyAlignment="1">
      <alignment horizontal="center" vertical="center" wrapText="1"/>
    </xf>
    <xf numFmtId="0" fontId="14" fillId="0" borderId="6" xfId="1" applyFont="1" applyBorder="1" applyAlignment="1">
      <alignment horizontal="center" vertical="center" wrapText="1"/>
    </xf>
    <xf numFmtId="14" fontId="5" fillId="0" borderId="1" xfId="1" applyNumberFormat="1" applyFont="1" applyBorder="1" applyAlignment="1">
      <alignment horizontal="center" vertical="center"/>
    </xf>
    <xf numFmtId="49" fontId="5" fillId="0" borderId="1" xfId="1" applyNumberFormat="1" applyFont="1" applyBorder="1" applyAlignment="1" applyProtection="1">
      <alignment horizontal="center" vertical="center" wrapText="1"/>
      <protection locked="0"/>
    </xf>
    <xf numFmtId="0" fontId="4" fillId="0" borderId="40" xfId="0" applyFont="1" applyFill="1" applyBorder="1" applyAlignment="1">
      <alignment horizontal="center" vertical="center" wrapText="1"/>
    </xf>
    <xf numFmtId="0" fontId="4" fillId="0" borderId="42" xfId="0" applyFont="1" applyFill="1" applyBorder="1" applyAlignment="1">
      <alignment horizontal="center" vertical="center" wrapText="1"/>
    </xf>
    <xf numFmtId="14" fontId="4" fillId="0" borderId="5" xfId="0" applyNumberFormat="1" applyFont="1" applyBorder="1" applyAlignment="1">
      <alignment horizontal="center" vertical="center" textRotation="90" wrapText="1"/>
    </xf>
    <xf numFmtId="14" fontId="4" fillId="0" borderId="5" xfId="0" applyNumberFormat="1" applyFont="1" applyBorder="1" applyAlignment="1">
      <alignment horizontal="center" vertical="center" wrapText="1"/>
    </xf>
    <xf numFmtId="0" fontId="4" fillId="2" borderId="40"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4" fillId="2" borderId="42"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14" fillId="0" borderId="27" xfId="0" applyFont="1" applyBorder="1" applyAlignment="1">
      <alignment horizontal="center" vertical="center" wrapText="1"/>
    </xf>
    <xf numFmtId="0" fontId="14" fillId="0" borderId="27" xfId="0" applyFont="1" applyBorder="1" applyAlignment="1">
      <alignment horizontal="center" vertical="center" wrapText="1"/>
    </xf>
    <xf numFmtId="14" fontId="9" fillId="7" borderId="27" xfId="0" applyNumberFormat="1" applyFont="1" applyFill="1" applyBorder="1" applyAlignment="1">
      <alignment horizontal="center" vertical="center" wrapText="1"/>
    </xf>
    <xf numFmtId="0" fontId="4" fillId="0" borderId="5" xfId="0" applyFont="1" applyFill="1" applyBorder="1" applyAlignment="1">
      <alignment horizontal="justify" vertical="center" wrapText="1"/>
    </xf>
    <xf numFmtId="0" fontId="14" fillId="0" borderId="36" xfId="0" applyFont="1" applyBorder="1" applyAlignment="1">
      <alignment horizontal="center" vertical="center" wrapText="1"/>
    </xf>
    <xf numFmtId="14" fontId="9" fillId="7" borderId="3" xfId="0" applyNumberFormat="1" applyFont="1" applyFill="1" applyBorder="1" applyAlignment="1">
      <alignment horizontal="center" vertical="center" wrapText="1"/>
    </xf>
    <xf numFmtId="0" fontId="4" fillId="0" borderId="3" xfId="0" applyFont="1" applyFill="1" applyBorder="1" applyAlignment="1">
      <alignment horizontal="justify" vertical="center" wrapText="1"/>
    </xf>
    <xf numFmtId="0" fontId="9" fillId="0" borderId="3" xfId="0" applyFont="1" applyBorder="1" applyAlignment="1">
      <alignment horizontal="center" vertical="center" wrapText="1"/>
    </xf>
    <xf numFmtId="0" fontId="16" fillId="0" borderId="3" xfId="0" applyFont="1" applyBorder="1" applyAlignment="1">
      <alignment horizontal="center" vertical="center" wrapText="1"/>
    </xf>
    <xf numFmtId="9" fontId="14" fillId="0" borderId="3" xfId="0" applyNumberFormat="1" applyFont="1" applyFill="1" applyBorder="1" applyAlignment="1">
      <alignment horizontal="center" vertical="center" wrapText="1"/>
    </xf>
    <xf numFmtId="0" fontId="14" fillId="0" borderId="3" xfId="0" applyFont="1" applyFill="1" applyBorder="1" applyAlignment="1">
      <alignment horizontal="justify" vertical="center" wrapText="1"/>
    </xf>
    <xf numFmtId="14" fontId="14" fillId="0" borderId="6" xfId="0" applyNumberFormat="1" applyFont="1" applyBorder="1" applyAlignment="1">
      <alignment vertical="center" wrapText="1"/>
    </xf>
    <xf numFmtId="0" fontId="14" fillId="0" borderId="3" xfId="0" applyFont="1" applyFill="1" applyBorder="1" applyAlignment="1">
      <alignment horizontal="center" vertical="center" wrapText="1"/>
    </xf>
  </cellXfs>
  <cellStyles count="12">
    <cellStyle name="Euro" xfId="6"/>
    <cellStyle name="Hipervínculo" xfId="8" builtinId="8"/>
    <cellStyle name="Millares 2" xfId="3"/>
    <cellStyle name="Normal" xfId="0" builtinId="0"/>
    <cellStyle name="Normal 2" xfId="1"/>
    <cellStyle name="Normal 3" xfId="2"/>
    <cellStyle name="Normal 3 2" xfId="11"/>
    <cellStyle name="Normal 3 3" xfId="10"/>
    <cellStyle name="Normal 4" xfId="7"/>
    <cellStyle name="Normal 5" xfId="5"/>
    <cellStyle name="Normal 6" xfId="9"/>
    <cellStyle name="Porcentaje 2" xfId="4"/>
  </cellStyles>
  <dxfs count="542">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dxf>
    <dxf>
      <font>
        <color rgb="FF00B050"/>
      </font>
    </dxf>
    <dxf>
      <font>
        <condense val="0"/>
        <extend val="0"/>
        <color rgb="FF9C0006"/>
      </font>
    </dxf>
    <dxf>
      <font>
        <color rgb="FF00B050"/>
      </font>
    </dxf>
    <dxf>
      <font>
        <condense val="0"/>
        <extend val="0"/>
        <color rgb="FF9C0006"/>
      </font>
    </dxf>
    <dxf>
      <font>
        <color rgb="FF00B050"/>
      </font>
    </dxf>
    <dxf>
      <font>
        <condense val="0"/>
        <extend val="0"/>
        <color rgb="FF9C0006"/>
      </font>
    </dxf>
    <dxf>
      <font>
        <color rgb="FF00B050"/>
      </font>
    </dxf>
    <dxf>
      <font>
        <condense val="0"/>
        <extend val="0"/>
        <color rgb="FF9C0006"/>
      </font>
    </dxf>
    <dxf>
      <font>
        <color rgb="FF00B050"/>
      </font>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dxf>
    <dxf>
      <font>
        <color rgb="FF00B050"/>
      </font>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dxf>
    <dxf>
      <font>
        <color rgb="FF00B050"/>
      </font>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
      <font>
        <condense val="0"/>
        <extend val="0"/>
        <color rgb="FF9C0006"/>
      </font>
      <fill>
        <patternFill>
          <bgColor rgb="FFFFC7CE"/>
        </patternFill>
      </fill>
    </dxf>
    <dxf>
      <font>
        <condense val="0"/>
        <extend val="0"/>
        <color rgb="FF006100"/>
      </font>
      <fill>
        <patternFill>
          <bgColor rgb="FFC6EFCE"/>
        </patternFill>
      </fill>
    </dxf>
    <dxf>
      <font>
        <color rgb="FFFF0000"/>
      </font>
      <fill>
        <patternFill>
          <bgColor rgb="FFFFFF00"/>
        </patternFill>
      </fill>
    </dxf>
  </dxfs>
  <tableStyles count="0" defaultTableStyle="TableStyleMedium9" defaultPivotStyle="PivotStyleLight16"/>
  <colors>
    <mruColors>
      <color rgb="FFF1C31B"/>
      <color rgb="FFFFFF00"/>
      <color rgb="FFFF00FF"/>
      <color rgb="FFCEF3FE"/>
      <color rgb="FFCCFFFF"/>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495300</xdr:colOff>
      <xdr:row>1</xdr:row>
      <xdr:rowOff>495300</xdr:rowOff>
    </xdr:to>
    <xdr:pic>
      <xdr:nvPicPr>
        <xdr:cNvPr id="2" name="Picture 32">
          <a:extLst>
            <a:ext uri="{FF2B5EF4-FFF2-40B4-BE49-F238E27FC236}">
              <a16:creationId xmlns="" xmlns:a16="http://schemas.microsoft.com/office/drawing/2014/main" id="{00000000-0008-0000-01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381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495300</xdr:colOff>
      <xdr:row>1</xdr:row>
      <xdr:rowOff>495300</xdr:rowOff>
    </xdr:to>
    <xdr:pic>
      <xdr:nvPicPr>
        <xdr:cNvPr id="2" name="Picture 3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381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152400</xdr:colOff>
      <xdr:row>1</xdr:row>
      <xdr:rowOff>495300</xdr:rowOff>
    </xdr:to>
    <xdr:pic>
      <xdr:nvPicPr>
        <xdr:cNvPr id="2" name="Picture 32">
          <a:extLst>
            <a:ext uri="{FF2B5EF4-FFF2-40B4-BE49-F238E27FC236}">
              <a16:creationId xmlns="" xmlns:a16="http://schemas.microsoft.com/office/drawing/2014/main" id="{00000000-0008-0000-01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381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0</xdr:col>
      <xdr:colOff>1024467</xdr:colOff>
      <xdr:row>1</xdr:row>
      <xdr:rowOff>495300</xdr:rowOff>
    </xdr:to>
    <xdr:pic>
      <xdr:nvPicPr>
        <xdr:cNvPr id="2" name="Picture 32">
          <a:extLst>
            <a:ext uri="{FF2B5EF4-FFF2-40B4-BE49-F238E27FC236}">
              <a16:creationId xmlns:a16="http://schemas.microsoft.com/office/drawing/2014/main" xmlns="" id="{00000000-0008-0000-01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33942"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333375</xdr:colOff>
      <xdr:row>1</xdr:row>
      <xdr:rowOff>495300</xdr:rowOff>
    </xdr:to>
    <xdr:pic>
      <xdr:nvPicPr>
        <xdr:cNvPr id="2" name="Picture 32">
          <a:extLst>
            <a:ext uri="{FF2B5EF4-FFF2-40B4-BE49-F238E27FC236}">
              <a16:creationId xmlns="" xmlns:a16="http://schemas.microsoft.com/office/drawing/2014/main" id="{00000000-0008-0000-02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286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333375</xdr:colOff>
      <xdr:row>1</xdr:row>
      <xdr:rowOff>495300</xdr:rowOff>
    </xdr:to>
    <xdr:pic>
      <xdr:nvPicPr>
        <xdr:cNvPr id="2" name="Picture 32">
          <a:extLst>
            <a:ext uri="{FF2B5EF4-FFF2-40B4-BE49-F238E27FC236}">
              <a16:creationId xmlns="" xmlns:a16="http://schemas.microsoft.com/office/drawing/2014/main" id="{B74F114C-95F1-BA44-ACC4-308C168C3A1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286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333375</xdr:colOff>
      <xdr:row>1</xdr:row>
      <xdr:rowOff>495300</xdr:rowOff>
    </xdr:to>
    <xdr:pic>
      <xdr:nvPicPr>
        <xdr:cNvPr id="2" name="Picture 3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286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333375</xdr:colOff>
      <xdr:row>1</xdr:row>
      <xdr:rowOff>495300</xdr:rowOff>
    </xdr:to>
    <xdr:pic>
      <xdr:nvPicPr>
        <xdr:cNvPr id="2" name="Picture 3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286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495300</xdr:colOff>
      <xdr:row>1</xdr:row>
      <xdr:rowOff>495300</xdr:rowOff>
    </xdr:to>
    <xdr:pic>
      <xdr:nvPicPr>
        <xdr:cNvPr id="2" name="Picture 32">
          <a:extLst>
            <a:ext uri="{FF2B5EF4-FFF2-40B4-BE49-F238E27FC236}">
              <a16:creationId xmlns:a16="http://schemas.microsoft.com/office/drawing/2014/main" xmlns="" id="{00000000-0008-0000-01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381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333375</xdr:colOff>
      <xdr:row>1</xdr:row>
      <xdr:rowOff>495300</xdr:rowOff>
    </xdr:to>
    <xdr:pic>
      <xdr:nvPicPr>
        <xdr:cNvPr id="2" name="Picture 32">
          <a:extLst>
            <a:ext uri="{FF2B5EF4-FFF2-40B4-BE49-F238E27FC236}">
              <a16:creationId xmlns:a16="http://schemas.microsoft.com/office/drawing/2014/main" xmlns="" id="{00000000-0008-0000-02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286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190500</xdr:colOff>
      <xdr:row>0</xdr:row>
      <xdr:rowOff>19050</xdr:rowOff>
    </xdr:from>
    <xdr:to>
      <xdr:col>1</xdr:col>
      <xdr:colOff>438150</xdr:colOff>
      <xdr:row>4</xdr:row>
      <xdr:rowOff>0</xdr:rowOff>
    </xdr:to>
    <xdr:pic>
      <xdr:nvPicPr>
        <xdr:cNvPr id="2" name="Picture 32">
          <a:extLst>
            <a:ext uri="{FF2B5EF4-FFF2-40B4-BE49-F238E27FC236}">
              <a16:creationId xmlns:a16="http://schemas.microsoft.com/office/drawing/2014/main" xmlns="" id="{00000000-0008-0000-01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9050"/>
          <a:ext cx="5334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333375</xdr:colOff>
      <xdr:row>1</xdr:row>
      <xdr:rowOff>495300</xdr:rowOff>
    </xdr:to>
    <xdr:pic>
      <xdr:nvPicPr>
        <xdr:cNvPr id="2" name="Picture 32">
          <a:extLst>
            <a:ext uri="{FF2B5EF4-FFF2-40B4-BE49-F238E27FC236}">
              <a16:creationId xmlns="" xmlns:a16="http://schemas.microsoft.com/office/drawing/2014/main" id="{6DBD5C5E-86FE-8C42-9166-82A2E101897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286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495300</xdr:colOff>
      <xdr:row>1</xdr:row>
      <xdr:rowOff>495300</xdr:rowOff>
    </xdr:to>
    <xdr:pic>
      <xdr:nvPicPr>
        <xdr:cNvPr id="2" name="Picture 32">
          <a:extLst>
            <a:ext uri="{FF2B5EF4-FFF2-40B4-BE49-F238E27FC236}">
              <a16:creationId xmlns:a16="http://schemas.microsoft.com/office/drawing/2014/main" xmlns="" id="{00000000-0008-0000-02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381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333375</xdr:colOff>
      <xdr:row>1</xdr:row>
      <xdr:rowOff>495300</xdr:rowOff>
    </xdr:to>
    <xdr:pic>
      <xdr:nvPicPr>
        <xdr:cNvPr id="2" name="Picture 32">
          <a:extLst>
            <a:ext uri="{FF2B5EF4-FFF2-40B4-BE49-F238E27FC236}">
              <a16:creationId xmlns:a16="http://schemas.microsoft.com/office/drawing/2014/main" xmlns="" id="{00000000-0008-0000-03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286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495300</xdr:colOff>
      <xdr:row>1</xdr:row>
      <xdr:rowOff>495300</xdr:rowOff>
    </xdr:to>
    <xdr:pic>
      <xdr:nvPicPr>
        <xdr:cNvPr id="2" name="Picture 32">
          <a:extLst>
            <a:ext uri="{FF2B5EF4-FFF2-40B4-BE49-F238E27FC236}">
              <a16:creationId xmlns:a16="http://schemas.microsoft.com/office/drawing/2014/main" xmlns="" id="{00000000-0008-0000-01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381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333375</xdr:colOff>
      <xdr:row>1</xdr:row>
      <xdr:rowOff>495300</xdr:rowOff>
    </xdr:to>
    <xdr:pic>
      <xdr:nvPicPr>
        <xdr:cNvPr id="2" name="Picture 32">
          <a:extLst>
            <a:ext uri="{FF2B5EF4-FFF2-40B4-BE49-F238E27FC236}">
              <a16:creationId xmlns="" xmlns:a16="http://schemas.microsoft.com/office/drawing/2014/main" id="{E0D81029-8069-3B48-B081-7DD96F95831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286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495300</xdr:colOff>
      <xdr:row>1</xdr:row>
      <xdr:rowOff>495300</xdr:rowOff>
    </xdr:to>
    <xdr:pic>
      <xdr:nvPicPr>
        <xdr:cNvPr id="2" name="Picture 3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381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333375</xdr:colOff>
      <xdr:row>1</xdr:row>
      <xdr:rowOff>495300</xdr:rowOff>
    </xdr:to>
    <xdr:pic>
      <xdr:nvPicPr>
        <xdr:cNvPr id="2" name="Picture 32">
          <a:extLst>
            <a:ext uri="{FF2B5EF4-FFF2-40B4-BE49-F238E27FC236}">
              <a16:creationId xmlns:a16="http://schemas.microsoft.com/office/drawing/2014/main" xmlns="" id="{00000000-0008-0000-01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286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542925</xdr:colOff>
      <xdr:row>1</xdr:row>
      <xdr:rowOff>495300</xdr:rowOff>
    </xdr:to>
    <xdr:pic>
      <xdr:nvPicPr>
        <xdr:cNvPr id="2" name="Picture 3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381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333375</xdr:colOff>
      <xdr:row>1</xdr:row>
      <xdr:rowOff>495300</xdr:rowOff>
    </xdr:to>
    <xdr:pic>
      <xdr:nvPicPr>
        <xdr:cNvPr id="2" name="Picture 3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286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333375</xdr:colOff>
      <xdr:row>1</xdr:row>
      <xdr:rowOff>495300</xdr:rowOff>
    </xdr:to>
    <xdr:pic>
      <xdr:nvPicPr>
        <xdr:cNvPr id="2" name="Picture 32">
          <a:extLst>
            <a:ext uri="{FF2B5EF4-FFF2-40B4-BE49-F238E27FC236}">
              <a16:creationId xmlns="" xmlns:a16="http://schemas.microsoft.com/office/drawing/2014/main" id="{8D639815-CCBB-114B-8F8D-B42BEC222D1E}"/>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286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495300</xdr:colOff>
      <xdr:row>1</xdr:row>
      <xdr:rowOff>495300</xdr:rowOff>
    </xdr:to>
    <xdr:pic>
      <xdr:nvPicPr>
        <xdr:cNvPr id="2" name="Picture 3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381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333375</xdr:colOff>
      <xdr:row>1</xdr:row>
      <xdr:rowOff>495300</xdr:rowOff>
    </xdr:to>
    <xdr:pic>
      <xdr:nvPicPr>
        <xdr:cNvPr id="2" name="Picture 3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286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333375</xdr:colOff>
      <xdr:row>1</xdr:row>
      <xdr:rowOff>495300</xdr:rowOff>
    </xdr:to>
    <xdr:pic>
      <xdr:nvPicPr>
        <xdr:cNvPr id="2" name="Picture 32">
          <a:extLst>
            <a:ext uri="{FF2B5EF4-FFF2-40B4-BE49-F238E27FC236}">
              <a16:creationId xmlns:a16="http://schemas.microsoft.com/office/drawing/2014/main" xmlns="" id="{00000000-0008-0000-03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286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495300</xdr:colOff>
      <xdr:row>1</xdr:row>
      <xdr:rowOff>495300</xdr:rowOff>
    </xdr:to>
    <xdr:pic>
      <xdr:nvPicPr>
        <xdr:cNvPr id="2" name="Picture 3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381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333375</xdr:colOff>
      <xdr:row>1</xdr:row>
      <xdr:rowOff>495300</xdr:rowOff>
    </xdr:to>
    <xdr:pic>
      <xdr:nvPicPr>
        <xdr:cNvPr id="2" name="Picture 32">
          <a:extLst>
            <a:ext uri="{FF2B5EF4-FFF2-40B4-BE49-F238E27FC236}">
              <a16:creationId xmlns="" xmlns:a16="http://schemas.microsoft.com/office/drawing/2014/main" id="{F2472E96-4496-D24B-AC71-05163E2A15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286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495300</xdr:colOff>
      <xdr:row>1</xdr:row>
      <xdr:rowOff>495300</xdr:rowOff>
    </xdr:to>
    <xdr:pic>
      <xdr:nvPicPr>
        <xdr:cNvPr id="2" name="Picture 3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381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333375</xdr:colOff>
      <xdr:row>1</xdr:row>
      <xdr:rowOff>495300</xdr:rowOff>
    </xdr:to>
    <xdr:pic>
      <xdr:nvPicPr>
        <xdr:cNvPr id="2" name="Picture 3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286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495300</xdr:colOff>
      <xdr:row>1</xdr:row>
      <xdr:rowOff>495300</xdr:rowOff>
    </xdr:to>
    <xdr:pic>
      <xdr:nvPicPr>
        <xdr:cNvPr id="2" name="Picture 3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381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1</xdr:col>
      <xdr:colOff>495300</xdr:colOff>
      <xdr:row>1</xdr:row>
      <xdr:rowOff>495300</xdr:rowOff>
    </xdr:to>
    <xdr:pic>
      <xdr:nvPicPr>
        <xdr:cNvPr id="2" name="Picture 3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6381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ngelicamorales\Desktop\Gestor%20C.I\Auditoria%20Interna%20de%20SST\Auditoria%20Interna%20SST%202019\Planes%20de%20Mejoramiento%20Auditor&#237;a%20SST%202019\Infraestructura\Plan%20de%20Mejoramiento%20Auditoria%20Interna%20SST%20Contrataci&#243;n%20201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unicordoba/Downloads/Consolidado%20Plan%20de%20Mejoramiento%20Oportunidad%20de%20Mejora%20Infraestructur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sers\angelicamorales\Desktop\Planes%20de%20Mejoramiento%20Indicadores%202018%20II\Investigaci&#243;n\Consolidado%20de%20Planes%20de%20Mejoramiento%20Indicadores%20Investigaci&#243;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unicordoba/Downloads/Consolidado%20Plan%20de%20Mejoramiento%20Indicador%20SGSST%20Talento%20Human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Users\angelicamorales\Downloads\FMAM021_PlandeMejoramiento%20Talento%20human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Nuevo%20Consolidado%20Planes-de-Mejoramiento%20SIGEC%202020%20%20septiembre%20lucil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nicordoba/Downloads/Consolidado%20Plan%20de%20Mejoramiento%20Auditoria%20Control%20Interno%20Admision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angelicamorales\Downloads\Mayo%202018\Planeaci&#243;n\FMAM021_PlanesdeMejoramiento%20SIGEC%20Planeaci&#243;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nicordoba/Downloads/Consolidado%20Plan%20de%20Mejoramiento%20Indicadores%20Calid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nicordoba/Downloads/Consolidado%20Plan%20de%20Mejoramiento%20Indicadores%20Desarrollo%20Tecnolo&#769;gic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unicordoba/Downloads/Consolidado%20Plan%20de%20Mejoramiento%20Docenci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unicordoba/Downloads/Consolidado%20Plan%20de%20Mejoramiento%20Document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unicordoba/Downloads/Consolidado%20Plan%20de%20Mejoramiento%20Indicadores%20Extensio&#769;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Users\unicordoba\Downloads\Consolidado%20Plan%20de%20Mejoramiento%20%20Financier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ones C, P y M"/>
      <sheetName val="A1"/>
      <sheetName val="datos Listas"/>
      <sheetName val="DV-IDENTITY-0"/>
      <sheetName val="DATOS"/>
      <sheetName val="LINEAMIENTOS"/>
      <sheetName val="Hoja1"/>
      <sheetName val="A3"/>
      <sheetName val="A4"/>
      <sheetName val="A5"/>
    </sheetNames>
    <sheetDataSet>
      <sheetData sheetId="0"/>
      <sheetData sheetId="1"/>
      <sheetData sheetId="2"/>
      <sheetData sheetId="3"/>
      <sheetData sheetId="4">
        <row r="13">
          <cell r="A13" t="str">
            <v>RECTORÍA</v>
          </cell>
        </row>
        <row r="14">
          <cell r="A14" t="str">
            <v>SECRETARÍA DE GESTIÓN INTERNA</v>
          </cell>
        </row>
        <row r="15">
          <cell r="A15" t="str">
            <v>SECRETARÍAGENERAL</v>
          </cell>
        </row>
        <row r="16">
          <cell r="A16" t="str">
            <v>UNIDAD_DE_PLANEACIÓN_Y_DESARROLLO</v>
          </cell>
        </row>
        <row r="17">
          <cell r="A17" t="str">
            <v>UNIDAD_DE_ASUNTOS_JURÍDICOS</v>
          </cell>
        </row>
        <row r="18">
          <cell r="A18" t="str">
            <v>UNIDAD_DE_CONTROL_INTERNO</v>
          </cell>
        </row>
        <row r="19">
          <cell r="A19" t="str">
            <v>UNIDAD_DE_CONTROL_DISCIPLINARIO_INTERNO</v>
          </cell>
        </row>
        <row r="20">
          <cell r="A20" t="str">
            <v>UNIDAD_DE_GESTIÓN_Y_RELACIONES_INTERNACIONALES</v>
          </cell>
        </row>
        <row r="21">
          <cell r="A21" t="str">
            <v>UNIDAD_DE_DESARROLLO_ORGANIZACIONAL_Y_GESTIÓN_DE_CALIDAD</v>
          </cell>
        </row>
        <row r="22">
          <cell r="A22" t="str">
            <v>UNIDAD_DE_COMUNICACIONES_Y_RELACIONES_PÚBLICAS</v>
          </cell>
        </row>
        <row r="23">
          <cell r="A23" t="str">
            <v>UNIDAD_DE_DESARROLLO_EMPRESARIAL_Y_TRANSFERENCIA_TECNOLOGICA</v>
          </cell>
        </row>
        <row r="24">
          <cell r="A24" t="str">
            <v>UNIDAD_DE_GESTIÓN_DE_LA_EQUIDAD_SOCIAL</v>
          </cell>
        </row>
        <row r="25">
          <cell r="A25" t="str">
            <v>UNIDAD_ADMINISTRATIVA_ESPECIAL_DE_SALUD</v>
          </cell>
        </row>
        <row r="26">
          <cell r="A26" t="str">
            <v>VICERRECTORÍA_ACADÉMICA</v>
          </cell>
        </row>
        <row r="27">
          <cell r="A27" t="str">
            <v>DIVISIÓN_DE_POSTGRADOS_Y_EDUCACIÓN_CONTINUADA</v>
          </cell>
        </row>
        <row r="28">
          <cell r="A28" t="str">
            <v>DIVISIÓN_DE_ATENCIÓN_AL_EGRESADO</v>
          </cell>
        </row>
        <row r="29">
          <cell r="A29" t="str">
            <v xml:space="preserve">DIVISIÓN_DE_EDUCACIÓN_A_DISTANCIA </v>
          </cell>
        </row>
        <row r="30">
          <cell r="A30" t="str">
            <v>DIVISIÓN_DE_INVESTIGACIÓN</v>
          </cell>
        </row>
        <row r="31">
          <cell r="A31" t="str">
            <v>INSTITUTO_DE_INVESTIGACIONES_GEOGRAFICAS_Y_AMBIENTALES_DEL_CARIBE</v>
          </cell>
        </row>
        <row r="32">
          <cell r="A32" t="str">
            <v>INSTITUTO_REGIONAL_DEL_AGUA_IRAGUAS</v>
          </cell>
        </row>
        <row r="33">
          <cell r="A33" t="str">
            <v>INSTITUTO_DE_INVESTIGACIONES_BIOLOGICAS_DEL_TROPICO_IIBT</v>
          </cell>
        </row>
        <row r="34">
          <cell r="A34" t="str">
            <v>INSTITUTO_DE_INVESTIGACIONES_PISCÍCOLAS_CONTINENTAL</v>
          </cell>
        </row>
        <row r="35">
          <cell r="A35" t="str">
            <v>DIVISIÓN_DE_EXTENSIÓN</v>
          </cell>
        </row>
        <row r="36">
          <cell r="A36" t="str">
            <v>CENTRO_DE_IDIOMAS</v>
          </cell>
        </row>
        <row r="37">
          <cell r="A37" t="str">
            <v>CENTRO_DE_EXTENSIÓN_EDUCATIVA</v>
          </cell>
        </row>
        <row r="38">
          <cell r="A38" t="str">
            <v>CENTRO_DE_CIENCIAS_DEL_DEPORTE_Y_LA_CULTURA_FÍSICA</v>
          </cell>
        </row>
        <row r="39">
          <cell r="A39" t="str">
            <v>DIVISIÓN_DE_BIBLIOTECAS_Y_RECURSOS_EDUCATIVOS</v>
          </cell>
        </row>
        <row r="40">
          <cell r="A40" t="str">
            <v>HEMEROTECA</v>
          </cell>
        </row>
        <row r="41">
          <cell r="A41" t="str">
            <v>FONDO_EDITORIAL</v>
          </cell>
        </row>
        <row r="42">
          <cell r="A42" t="str">
            <v>DIVISIÓN_DE_ADMISIONES,_REGISTRO_Y_CONTROL_ACADÉMICO</v>
          </cell>
        </row>
        <row r="43">
          <cell r="A43" t="str">
            <v>FACULTAD_DE_CIENCIAS_BASICAS</v>
          </cell>
        </row>
        <row r="44">
          <cell r="A44" t="str">
            <v>DEPARTAMENTO_DE_BIOLOGIA</v>
          </cell>
        </row>
        <row r="45">
          <cell r="A45" t="str">
            <v>Laboratorio_de_Botánica</v>
          </cell>
        </row>
        <row r="46">
          <cell r="A46" t="str">
            <v>Laboratorio_de_Ecología</v>
          </cell>
        </row>
        <row r="47">
          <cell r="A47" t="str">
            <v>Laboratorio_de_Genética</v>
          </cell>
        </row>
        <row r="48">
          <cell r="A48" t="str">
            <v>Laboratorio_de_Biología</v>
          </cell>
        </row>
        <row r="49">
          <cell r="A49" t="str">
            <v>Laboratorio_de_Zoología</v>
          </cell>
        </row>
        <row r="50">
          <cell r="A50" t="str">
            <v>Laboratorio_de_Microbiología</v>
          </cell>
        </row>
        <row r="51">
          <cell r="A51" t="str">
            <v>Laboratorio_de_Limnología</v>
          </cell>
        </row>
        <row r="52">
          <cell r="A52" t="str">
            <v>Sala_de_Colecciones_Zoológicas</v>
          </cell>
        </row>
        <row r="53">
          <cell r="A53" t="str">
            <v>Herbario</v>
          </cell>
        </row>
        <row r="54">
          <cell r="A54" t="str">
            <v>DEPARTAMENTO_DE_QUÍMICA</v>
          </cell>
        </row>
        <row r="55">
          <cell r="A55" t="str">
            <v>Laboratorio_de_Química_Orgánica</v>
          </cell>
        </row>
        <row r="56">
          <cell r="A56" t="str">
            <v>Laboratorio_de_Química_General</v>
          </cell>
        </row>
        <row r="57">
          <cell r="A57" t="str">
            <v>Laboratorio_de_Bioquímica</v>
          </cell>
        </row>
        <row r="58">
          <cell r="A58" t="str">
            <v>Laboratorio_de_Analítica</v>
          </cell>
        </row>
        <row r="59">
          <cell r="A59" t="str">
            <v>Laboratorio_de_Termodinámica</v>
          </cell>
        </row>
        <row r="60">
          <cell r="A60" t="str">
            <v>Laboratorio_de_Catálisis</v>
          </cell>
        </row>
        <row r="61">
          <cell r="A61" t="str">
            <v>Laboratorio_de_Productos_Naturales</v>
          </cell>
        </row>
        <row r="62">
          <cell r="A62" t="str">
            <v>Laboratorio_de_Química_Instrumental</v>
          </cell>
        </row>
        <row r="63">
          <cell r="A63" t="str">
            <v>Laboratorio_de_Química_Computacional</v>
          </cell>
        </row>
        <row r="64">
          <cell r="A64" t="str">
            <v>Laboratorio_de_Biotecnología</v>
          </cell>
        </row>
        <row r="65">
          <cell r="A65" t="str">
            <v>Laboratorio_de_Biocombustible</v>
          </cell>
        </row>
        <row r="66">
          <cell r="A66" t="str">
            <v>Laboratorio_de_Gestión_y_toxicología_Ambiental</v>
          </cell>
        </row>
        <row r="67">
          <cell r="A67" t="str">
            <v>DEPARTAMENTO_DE_MATEMÁTICAS_Y_ESTADÍSTICAS</v>
          </cell>
        </row>
        <row r="68">
          <cell r="A68" t="str">
            <v>Laboratorio_de_Matemáticas</v>
          </cell>
        </row>
        <row r="69">
          <cell r="A69" t="str">
            <v>Laboratorio_de_Estadística</v>
          </cell>
        </row>
        <row r="70">
          <cell r="A70" t="str">
            <v>DEPARTAMENTO_DE_FÍSICA_Y_ELECTRÓNICA</v>
          </cell>
        </row>
        <row r="71">
          <cell r="A71" t="str">
            <v>Laboratorio_de_Mecánica</v>
          </cell>
        </row>
        <row r="72">
          <cell r="A72" t="str">
            <v>Laboratorio_de_Electricidad</v>
          </cell>
        </row>
        <row r="73">
          <cell r="A73" t="str">
            <v>Laboratorio_de_Física_Moderna</v>
          </cell>
        </row>
        <row r="74">
          <cell r="A74" t="str">
            <v>Laboratorio_de_Física_Computacional</v>
          </cell>
        </row>
        <row r="75">
          <cell r="A75" t="str">
            <v>Laboratorio_de_Física_Térmica</v>
          </cell>
        </row>
        <row r="76">
          <cell r="A76" t="str">
            <v>Laboratorio_de_Física_de_Materiales</v>
          </cell>
        </row>
        <row r="77">
          <cell r="A77" t="str">
            <v>DEPARTAMENTO_DE_GEOGRAFÍA_Y_MEDIO_AMBIENTE</v>
          </cell>
        </row>
        <row r="78">
          <cell r="A78" t="str">
            <v>Laboratorio_de_Fotointerpretación</v>
          </cell>
        </row>
        <row r="79">
          <cell r="A79" t="str">
            <v>Lab._de_Sis._de_Inf_Geográfica_y _Percepción_Remota</v>
          </cell>
        </row>
        <row r="80">
          <cell r="A80" t="str">
            <v>Laboratorio_de_Geografía_Física</v>
          </cell>
        </row>
        <row r="81">
          <cell r="A81" t="str">
            <v>FACULTAD_DE_INGENIERIA</v>
          </cell>
        </row>
        <row r="82">
          <cell r="A82" t="str">
            <v>DEPARTAMENTO_DE_INGENIERÍA_INDUSTRIAL</v>
          </cell>
        </row>
        <row r="83">
          <cell r="A83" t="str">
            <v>Laboratorio_de_Ingeniería_Aplicada</v>
          </cell>
        </row>
        <row r="84">
          <cell r="A84" t="str">
            <v>Laboratorio_de_Calidad_y_Seguridad_Industrial</v>
          </cell>
        </row>
        <row r="85">
          <cell r="A85" t="str">
            <v>Laboratorio_de_Simulación</v>
          </cell>
        </row>
        <row r="86">
          <cell r="A86" t="str">
            <v>DEPARTAMENTO_DE_INGENIERÍA_DE_SISTEMAS_Y_TELECOMUNICACIONES</v>
          </cell>
        </row>
        <row r="87">
          <cell r="A87" t="str">
            <v>Laboratorio_de_Informática</v>
          </cell>
        </row>
        <row r="88">
          <cell r="A88" t="str">
            <v>Laboratorio_de_Telecomunicaciones</v>
          </cell>
        </row>
        <row r="89">
          <cell r="A89" t="str">
            <v>DEPARTAMENTO_DE_INGENIERÍA_MECÁNICA</v>
          </cell>
        </row>
        <row r="90">
          <cell r="A90" t="str">
            <v>Laboratorio_de_Procesos_de_Manufactura</v>
          </cell>
        </row>
        <row r="91">
          <cell r="A91" t="str">
            <v>Laboratorio_de_Materiales</v>
          </cell>
        </row>
        <row r="92">
          <cell r="A92" t="str">
            <v>DEPARTAMENTO_DE_INGENIERÍA_AMBIENTAL</v>
          </cell>
        </row>
        <row r="93">
          <cell r="A93" t="str">
            <v>Laboratorio_de_Procesos_Unitarios</v>
          </cell>
        </row>
        <row r="94">
          <cell r="A94" t="str">
            <v>Laboratorio_de_Residuos</v>
          </cell>
        </row>
        <row r="95">
          <cell r="A95" t="str">
            <v>Laboratorio_de_Hidráulica</v>
          </cell>
        </row>
        <row r="96">
          <cell r="A96" t="str">
            <v>Laboratorio_de_Aire</v>
          </cell>
        </row>
        <row r="97">
          <cell r="A97" t="str">
            <v>DEPARTAMENTO_DE_INGENIERÍA_DE_ALIMENTOS</v>
          </cell>
        </row>
        <row r="98">
          <cell r="A98" t="str">
            <v>Laboratorio_de_Análisis_de_Alimentos</v>
          </cell>
        </row>
        <row r="99">
          <cell r="A99" t="str">
            <v>Lab._de_Termodinámica_y_Fisicoquímica_de_Alimentos</v>
          </cell>
        </row>
        <row r="100">
          <cell r="A100" t="str">
            <v>Laboratorio_de_Microbiología_de_Alimentos</v>
          </cell>
        </row>
        <row r="101">
          <cell r="A101" t="str">
            <v>Laboratorio_de_Ingenierías_Aplicadas</v>
          </cell>
        </row>
        <row r="102">
          <cell r="A102" t="str">
            <v>FACULTAD DE CIENCIAS AGRICOLAS</v>
          </cell>
        </row>
        <row r="103">
          <cell r="A103" t="str">
            <v>DEPARTAMENTO INGENIERÍA AGRONÓMICA Y DESARROLLO RURAL</v>
          </cell>
        </row>
        <row r="104">
          <cell r="A104" t="str">
            <v>Laboratorio de Suelos y Aguas.</v>
          </cell>
        </row>
        <row r="105">
          <cell r="A105" t="str">
            <v>Laboratorio de Topografía.</v>
          </cell>
        </row>
        <row r="106">
          <cell r="A106" t="str">
            <v>Laboratorio de Biotecnología Vegetal</v>
          </cell>
        </row>
        <row r="107">
          <cell r="A107" t="str">
            <v>Laboratorio de Fitopatología.</v>
          </cell>
        </row>
        <row r="108">
          <cell r="A108" t="str">
            <v>Laboratorio de Entomología.</v>
          </cell>
        </row>
        <row r="109">
          <cell r="A109" t="str">
            <v>Laboratorio de Fisiología Vegetal.</v>
          </cell>
        </row>
        <row r="110">
          <cell r="A110" t="str">
            <v>Laboratorio de Fitomejoramiento.</v>
          </cell>
        </row>
        <row r="111">
          <cell r="A111" t="str">
            <v>Laboratorio de Granja Experimental.</v>
          </cell>
        </row>
        <row r="112">
          <cell r="A112" t="str">
            <v>Laboratorio de Biometría y Diseño Experimental.</v>
          </cell>
        </row>
        <row r="113">
          <cell r="A113" t="str">
            <v>Laboratorio de Propagación de Plantas.</v>
          </cell>
        </row>
        <row r="114">
          <cell r="A114" t="str">
            <v>Laboratorio de Maquinaria Agrícola.</v>
          </cell>
        </row>
        <row r="115">
          <cell r="A115" t="str">
            <v>FACULTAD DE MEDICINA VETERINARIA Y ZOOTENIA</v>
          </cell>
        </row>
        <row r="116">
          <cell r="A116" t="str">
            <v>DEPARTAMENTO DE CIENCIAS ACUÍCOLAS</v>
          </cell>
        </row>
        <row r="117">
          <cell r="A117" t="str">
            <v>Laboratorio de Investigación Biológica Pesquera</v>
          </cell>
        </row>
        <row r="118">
          <cell r="A118" t="str">
            <v>Laboratorio de Alimento Vivo</v>
          </cell>
        </row>
        <row r="119">
          <cell r="A119" t="str">
            <v>Laboratorio de Microbiología Genética</v>
          </cell>
        </row>
        <row r="120">
          <cell r="A120" t="str">
            <v>Laboratorio de Sanidad Acuícola</v>
          </cell>
        </row>
        <row r="121">
          <cell r="A121" t="str">
            <v>Laboratorio de Acuarística</v>
          </cell>
        </row>
        <row r="122">
          <cell r="A122" t="str">
            <v>Laboratorio de Transformación y Pos cosecha</v>
          </cell>
        </row>
        <row r="123">
          <cell r="A123" t="str">
            <v>Laboratorio de Reproducción</v>
          </cell>
        </row>
        <row r="124">
          <cell r="A124" t="str">
            <v>DEPARTAMENTO DE CIENCIAS PECUARIAS</v>
          </cell>
        </row>
        <row r="125">
          <cell r="A125" t="str">
            <v>Laboratorio de Reproducción</v>
          </cell>
        </row>
        <row r="126">
          <cell r="A126" t="str">
            <v>Laboratorio de Microbiología</v>
          </cell>
        </row>
        <row r="127">
          <cell r="A127" t="str">
            <v>Laboratorio Clínico Veterinario</v>
          </cell>
        </row>
        <row r="128">
          <cell r="A128" t="str">
            <v>Laboratorio de Nutrición</v>
          </cell>
        </row>
        <row r="129">
          <cell r="A129" t="str">
            <v>Laboratorio de Fisiología</v>
          </cell>
        </row>
        <row r="130">
          <cell r="A130" t="str">
            <v>Laboratorio de Lactología</v>
          </cell>
        </row>
        <row r="131">
          <cell r="A131" t="str">
            <v>Laboratorio de Parasitología</v>
          </cell>
        </row>
        <row r="132">
          <cell r="A132" t="str">
            <v>Lab de Biotecnología de Reproducción Animal – LABRA</v>
          </cell>
        </row>
        <row r="133">
          <cell r="A133" t="str">
            <v>Laboratorio de Histopatología</v>
          </cell>
        </row>
        <row r="134">
          <cell r="A134" t="str">
            <v>Laboratorio de Morfología Animal</v>
          </cell>
        </row>
        <row r="135">
          <cell r="A135" t="str">
            <v>FACULTAD DE EDUCACIÓN Y CIENCIAS HUMANAS</v>
          </cell>
        </row>
        <row r="136">
          <cell r="A136" t="str">
            <v>DEPARTAMENTO DE INFORMÁTICA EDUCATIVA</v>
          </cell>
        </row>
        <row r="137">
          <cell r="A137" t="str">
            <v>Laboratorio de Informática</v>
          </cell>
        </row>
        <row r="138">
          <cell r="A138" t="str">
            <v>Laboratorio de Fotografía</v>
          </cell>
        </row>
        <row r="139">
          <cell r="A139" t="str">
            <v>Laboratorio de Edición</v>
          </cell>
        </row>
        <row r="140">
          <cell r="A140" t="str">
            <v>DEPARTAMENTO DE IDIOMAS EXTRANJEROS</v>
          </cell>
        </row>
        <row r="141">
          <cell r="A141" t="str">
            <v>Laboratorio de Idiomas</v>
          </cell>
        </row>
        <row r="142">
          <cell r="A142" t="str">
            <v>DEPARTAMENTO DE CULTURA FÍSICA, RECREACIÓN Y DEPORTE</v>
          </cell>
        </row>
        <row r="143">
          <cell r="A143" t="str">
            <v>Laboratório de Biomédica</v>
          </cell>
        </row>
        <row r="144">
          <cell r="A144" t="str">
            <v>DEPARTAMENTO DE ARTES</v>
          </cell>
        </row>
        <row r="145">
          <cell r="A145" t="str">
            <v>DEPARTAMENTO DE CIENCIAS SOCIALES</v>
          </cell>
        </row>
        <row r="146">
          <cell r="A146" t="str">
            <v>DEPARTAMENTO DE PSICOPEDAGOGÍA</v>
          </cell>
        </row>
        <row r="147">
          <cell r="A147" t="str">
            <v>DEPARTAMENTO DE ESPAÑOL Y LITERATURA</v>
          </cell>
        </row>
        <row r="148">
          <cell r="A148" t="str">
            <v>DEPARTAMENTO DE CIENCIAS NATURALES</v>
          </cell>
        </row>
        <row r="149">
          <cell r="A149" t="str">
            <v xml:space="preserve">FACULTAD DE CIENCIAS DE LA SALUD </v>
          </cell>
        </row>
        <row r="150">
          <cell r="A150" t="str">
            <v>DEPARTAMENTO DE BACTERIOLOGÍA</v>
          </cell>
        </row>
        <row r="151">
          <cell r="A151" t="str">
            <v>Laboratorio de Microbiología</v>
          </cell>
        </row>
        <row r="152">
          <cell r="A152" t="str">
            <v>Laboratorio de Hematología e Inmunología</v>
          </cell>
        </row>
        <row r="153">
          <cell r="A153" t="str">
            <v>Laboratorio de Investigación Molecular y Celular</v>
          </cell>
        </row>
        <row r="154">
          <cell r="A154" t="str">
            <v xml:space="preserve">Laboratorio de Química Clínica </v>
          </cell>
        </row>
        <row r="155">
          <cell r="A155" t="str">
            <v>Laboratorio de Investigación de Microbiología</v>
          </cell>
        </row>
        <row r="156">
          <cell r="A156" t="str">
            <v xml:space="preserve">DEPARTAMENTO DE ENFERMERÍA </v>
          </cell>
        </row>
        <row r="157">
          <cell r="A157" t="str">
            <v>Laboratorio de Simulación Clínica</v>
          </cell>
        </row>
        <row r="158">
          <cell r="A158" t="str">
            <v>Laboratorio de Morfofisiología Humana</v>
          </cell>
        </row>
        <row r="159">
          <cell r="A159" t="str">
            <v>DEPARTAMENTO DE REGENCIA Y FARMACIA</v>
          </cell>
        </row>
        <row r="160">
          <cell r="A160" t="str">
            <v>Laboratorio de Farmacia</v>
          </cell>
        </row>
        <row r="161">
          <cell r="A161" t="str">
            <v>Laboratorio de Farmacología</v>
          </cell>
        </row>
        <row r="162">
          <cell r="A162" t="str">
            <v xml:space="preserve">Laboratorio de Farmacognosia </v>
          </cell>
        </row>
        <row r="163">
          <cell r="A163" t="str">
            <v>Laboratorio de Toxicología</v>
          </cell>
        </row>
        <row r="164">
          <cell r="A164" t="str">
            <v>Laboratorio de Farmacia Didáctica</v>
          </cell>
        </row>
        <row r="165">
          <cell r="A165" t="str">
            <v>DEPARTAMENTO DE SALUD PÚBLICA</v>
          </cell>
        </row>
        <row r="166">
          <cell r="A166" t="str">
            <v>Laboratorio de Salud Pública y Gestión Ambiental</v>
          </cell>
        </row>
        <row r="167">
          <cell r="A167" t="str">
            <v xml:space="preserve">FACULTAD DE CIENCIAS ECONÓMICAS, JURIDICAS Y ADMINISTRATIVAS </v>
          </cell>
        </row>
        <row r="168">
          <cell r="A168" t="str">
            <v>DEPARTAMENTO DE CIENCIAS ECONÓMICAS</v>
          </cell>
        </row>
        <row r="169">
          <cell r="A169" t="str">
            <v>DEPARTAMENTO DE CIENCIAS JURIDICAS</v>
          </cell>
        </row>
        <row r="170">
          <cell r="A170" t="str">
            <v>DEPARTAMENTO DE CIENCIAS ADMINISTRATIVAS</v>
          </cell>
        </row>
        <row r="171">
          <cell r="A171" t="str">
            <v>VICERRECTORÍA ADMINISTRATIVA Y FINANCIERA</v>
          </cell>
        </row>
        <row r="172">
          <cell r="A172" t="str">
            <v>DIVISIÓN DE ASUNTOS FINANCIEROS</v>
          </cell>
        </row>
        <row r="173">
          <cell r="A173" t="str">
            <v>DIVISIÓN DE CONTRATACIÓN</v>
          </cell>
        </row>
        <row r="174">
          <cell r="A174" t="str">
            <v>DIVISIÓN DE BIENESTAR UNIVERSITARIO</v>
          </cell>
        </row>
        <row r="175">
          <cell r="A175" t="str">
            <v>DIVISIÓN DE APOYO LOGÍSTICO</v>
          </cell>
        </row>
        <row r="176">
          <cell r="A176" t="str">
            <v>DIVISIÓN DE TALENTO HUMANO</v>
          </cell>
        </row>
        <row r="177">
          <cell r="A177" t="str">
            <v>Ingeniería Agronómica</v>
          </cell>
        </row>
        <row r="178">
          <cell r="A178" t="str">
            <v xml:space="preserve">Tecnología en Gestión y Administración Agrícola </v>
          </cell>
        </row>
        <row r="179">
          <cell r="A179" t="str">
            <v>Técnica Profesional en Sistemas de Monitoreo Agrícola</v>
          </cell>
        </row>
        <row r="180">
          <cell r="A180" t="str">
            <v>Técnica Profesional en Mecanización Agrícola</v>
          </cell>
        </row>
        <row r="181">
          <cell r="A181" t="str">
            <v>Especialización Tecnológica en Logística de Distribución y Transporte</v>
          </cell>
        </row>
        <row r="182">
          <cell r="A182" t="str">
            <v>Maestría en Ciencias Agronómicas</v>
          </cell>
        </row>
        <row r="183">
          <cell r="A183" t="str">
            <v xml:space="preserve">Licenciatura en Informática y Medios Audiovisuales </v>
          </cell>
        </row>
        <row r="184">
          <cell r="A184" t="str">
            <v xml:space="preserve">Licenciatura en Educación Física, Recreación y Deporte </v>
          </cell>
        </row>
        <row r="185">
          <cell r="A185" t="str">
            <v xml:space="preserve">Licenciatura en Educación Básica con énfasis en Humanidades – Ingles </v>
          </cell>
        </row>
        <row r="186">
          <cell r="A186" t="str">
            <v xml:space="preserve">Licenciatura en Educación Básica con énfasis en Humanidades - Lengua Castellana </v>
          </cell>
        </row>
        <row r="187">
          <cell r="A187" t="str">
            <v xml:space="preserve">Licenciatura en Educación Básica con énfasis en Educación Artística - Música </v>
          </cell>
        </row>
        <row r="188">
          <cell r="A188" t="str">
            <v xml:space="preserve">Licenciatura en Educación Básica con énfasis en Ciencias Sociales </v>
          </cell>
        </row>
        <row r="189">
          <cell r="A189" t="str">
            <v>Licenciatura en Ciencias Naturales y Educación Ambiental</v>
          </cell>
        </row>
        <row r="190">
          <cell r="A190" t="str">
            <v>Maestría en Educación</v>
          </cell>
        </row>
        <row r="191">
          <cell r="A191" t="str">
            <v>Medicina Veterinaria y Zootecnia</v>
          </cell>
        </row>
        <row r="192">
          <cell r="A192" t="str">
            <v>Acuicultura</v>
          </cell>
        </row>
        <row r="193">
          <cell r="A193" t="str">
            <v>Tecnología en Mercadeo Agroindustrial</v>
          </cell>
        </row>
        <row r="194">
          <cell r="A194" t="str">
            <v>Especialización en Producción Bovina Tropical</v>
          </cell>
        </row>
        <row r="195">
          <cell r="A195" t="str">
            <v>Maestría en Microbiología Tropical</v>
          </cell>
        </row>
        <row r="196">
          <cell r="A196" t="str">
            <v>Maestría en Ciencias Veterinarias del Trópico</v>
          </cell>
        </row>
        <row r="197">
          <cell r="A197" t="str">
            <v>Doctorado en Medicina Tropical</v>
          </cell>
        </row>
        <row r="198">
          <cell r="A198" t="str">
            <v>Enfermería</v>
          </cell>
        </row>
        <row r="199">
          <cell r="A199" t="str">
            <v>Bacteriología</v>
          </cell>
        </row>
        <row r="200">
          <cell r="A200" t="str">
            <v>Tecnología en Regencia de Farmacia</v>
          </cell>
        </row>
        <row r="201">
          <cell r="A201" t="str">
            <v>Administración en Salud</v>
          </cell>
        </row>
        <row r="202">
          <cell r="A202" t="str">
            <v>Especialización en Gerencia Administrativa de Salud</v>
          </cell>
        </row>
        <row r="203">
          <cell r="A203" t="str">
            <v>Especialización  en Auditoria de la Calidad en Salud</v>
          </cell>
        </row>
        <row r="204">
          <cell r="A204" t="str">
            <v>Maestría en Salud Pública</v>
          </cell>
        </row>
        <row r="205">
          <cell r="A205" t="str">
            <v>Ingeniería de Alimentos</v>
          </cell>
        </row>
        <row r="206">
          <cell r="A206" t="str">
            <v>Ingeniería Industrial</v>
          </cell>
        </row>
        <row r="207">
          <cell r="A207" t="str">
            <v>Ingeniería de Sistemas</v>
          </cell>
        </row>
        <row r="208">
          <cell r="A208" t="str">
            <v>Ingeniería Mecánica</v>
          </cell>
        </row>
        <row r="209">
          <cell r="A209" t="str">
            <v>Ingeniería Ambiental</v>
          </cell>
        </row>
        <row r="210">
          <cell r="A210" t="str">
            <v>Especialización Administración Total de la Calidad</v>
          </cell>
        </row>
        <row r="211">
          <cell r="A211" t="str">
            <v>Especialización Higiene y Seguridad Industrial</v>
          </cell>
        </row>
        <row r="212">
          <cell r="A212" t="str">
            <v>Especialización Gerencia Empresarial</v>
          </cell>
        </row>
        <row r="213">
          <cell r="A213" t="str">
            <v>Maestría en Ciencias Agroalimentarias</v>
          </cell>
        </row>
        <row r="214">
          <cell r="A214" t="str">
            <v>Estadística</v>
          </cell>
        </row>
        <row r="215">
          <cell r="A215" t="str">
            <v>Física</v>
          </cell>
        </row>
        <row r="216">
          <cell r="A216" t="str">
            <v>Matemáticas</v>
          </cell>
        </row>
        <row r="217">
          <cell r="A217" t="str">
            <v>Biología</v>
          </cell>
        </row>
        <row r="218">
          <cell r="A218" t="str">
            <v>Química</v>
          </cell>
        </row>
        <row r="219">
          <cell r="A219" t="str">
            <v>Geografía</v>
          </cell>
        </row>
        <row r="220">
          <cell r="A220" t="str">
            <v>Maestría en Geografía</v>
          </cell>
        </row>
        <row r="221">
          <cell r="A221" t="str">
            <v>Maestría en Ciencias Ambientales</v>
          </cell>
        </row>
        <row r="222">
          <cell r="A222" t="str">
            <v>Maestría en Ciencias Físicas</v>
          </cell>
        </row>
        <row r="223">
          <cell r="A223" t="str">
            <v>Maestría en Biotecnología</v>
          </cell>
        </row>
        <row r="224">
          <cell r="A224" t="str">
            <v>Maestría en Ciencias Químicas</v>
          </cell>
        </row>
        <row r="225">
          <cell r="A225" t="str">
            <v>Doctorado en Ciencias Físicas</v>
          </cell>
        </row>
        <row r="226">
          <cell r="A226" t="str">
            <v>Administración en Finanzas y Negocios Internacionales</v>
          </cell>
        </row>
        <row r="227">
          <cell r="A227" t="str">
            <v>Derecho</v>
          </cell>
        </row>
      </sheetData>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y Control "/>
      <sheetName val="DV-IDENTITY-0"/>
      <sheetName val="Hoja1"/>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y Control "/>
      <sheetName val="DV-IDENTITY-0"/>
      <sheetName val="Hoja1"/>
    </sheetNames>
    <sheetDataSet>
      <sheetData sheetId="0"/>
      <sheetData sheetId="1" refreshError="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y Control "/>
      <sheetName val="DV-IDENTITY-0"/>
      <sheetName val="Hoja1"/>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y Control "/>
      <sheetName val="DV-IDENTITY-0"/>
      <sheetName val="Hoja1"/>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V-IDENTITY-0"/>
      <sheetName val="Planeación"/>
      <sheetName val="Planeación 2"/>
      <sheetName val="Calidad"/>
      <sheetName val="Comunicación"/>
      <sheetName val="Internacionalización"/>
      <sheetName val="Internacionalización 2"/>
      <sheetName val="Docencia"/>
      <sheetName val="Docencia 2"/>
      <sheetName val="EDUC-AGRICOLAS-VICE-POS"/>
      <sheetName val="AGRICOLAS-SALUD"/>
      <sheetName val="POSGRADO"/>
      <sheetName val="Investigación"/>
      <sheetName val="Extensión"/>
      <sheetName val="Extensión 2"/>
      <sheetName val="Biblioteca"/>
      <sheetName val="Admisiones"/>
      <sheetName val="Financiera"/>
      <sheetName val="Bienestar"/>
      <sheetName val="Gestión Legal"/>
      <sheetName val="Dllo. Tecnologico"/>
      <sheetName val="Dllo Tecnologico 2"/>
      <sheetName val="Talento Humano"/>
      <sheetName val="Talento Humano2"/>
      <sheetName val="Talento Humano 3"/>
      <sheetName val="Contratacion"/>
      <sheetName val="Contratacion 2"/>
      <sheetName val="Infraestructura"/>
      <sheetName val="Infraestructura2"/>
      <sheetName val="Documental"/>
      <sheetName val="Documental 2"/>
      <sheetName val="Documental 3"/>
      <sheetName val="Seguimiento y Control"/>
      <sheetName val="Seguimiento y Control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y Control "/>
      <sheetName val="DV-IDENTITY-0"/>
      <sheetName val="Hoja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eación"/>
      <sheetName val="DV-IDENTITY-0"/>
      <sheetName val="Hoja1"/>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y Control "/>
      <sheetName val="DV-IDENTITY-0"/>
      <sheetName val="Hoja1"/>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y Control "/>
      <sheetName val="DV-IDENTITY-0"/>
      <sheetName val="Hoja1"/>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y Control "/>
      <sheetName val="DV-IDENTITY-0"/>
      <sheetName val="Hoja1"/>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y Control "/>
      <sheetName val="DV-IDENTITY-0"/>
      <sheetName val="Hoja1"/>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y Control "/>
      <sheetName val="DV-IDENTITY-0"/>
      <sheetName val="Hoja1"/>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y Control "/>
      <sheetName val="DV-IDENTITY-0"/>
      <sheetName val="Hoja1"/>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V67"/>
  <sheetViews>
    <sheetView workbookViewId="0">
      <selection activeCell="EH67" sqref="EH67"/>
    </sheetView>
  </sheetViews>
  <sheetFormatPr baseColWidth="10" defaultRowHeight="12.75"/>
  <sheetData>
    <row r="1" spans="1:256">
      <c r="A1" t="e">
        <f>IF(#REF!,"AAAAAE++/QA=",0)</f>
        <v>#REF!</v>
      </c>
      <c r="B1" t="e">
        <f>AND(#REF!,"AAAAAE++/QE=")</f>
        <v>#REF!</v>
      </c>
      <c r="C1" t="e">
        <f>AND(#REF!,"AAAAAE++/QI=")</f>
        <v>#REF!</v>
      </c>
      <c r="D1" t="e">
        <f>AND(#REF!,"AAAAAE++/QM=")</f>
        <v>#REF!</v>
      </c>
      <c r="E1" t="e">
        <f>AND(#REF!,"AAAAAE++/QQ=")</f>
        <v>#REF!</v>
      </c>
      <c r="F1" t="e">
        <f>AND(#REF!,"AAAAAE++/QU=")</f>
        <v>#REF!</v>
      </c>
      <c r="G1" t="e">
        <f>AND(#REF!,"AAAAAE++/QY=")</f>
        <v>#REF!</v>
      </c>
      <c r="H1" t="e">
        <f>AND(#REF!,"AAAAAE++/Qc=")</f>
        <v>#REF!</v>
      </c>
      <c r="I1" t="e">
        <f>AND(#REF!,"AAAAAE++/Qg=")</f>
        <v>#REF!</v>
      </c>
      <c r="J1" t="e">
        <f>AND(#REF!,"AAAAAE++/Qk=")</f>
        <v>#REF!</v>
      </c>
      <c r="K1" t="e">
        <f>AND(#REF!,"AAAAAE++/Qo=")</f>
        <v>#REF!</v>
      </c>
      <c r="L1" t="e">
        <f>AND(#REF!,"AAAAAE++/Qs=")</f>
        <v>#REF!</v>
      </c>
      <c r="M1" t="e">
        <f>AND(#REF!,"AAAAAE++/Qw=")</f>
        <v>#REF!</v>
      </c>
      <c r="N1" t="e">
        <f>AND(#REF!,"AAAAAE++/Q0=")</f>
        <v>#REF!</v>
      </c>
      <c r="O1" t="e">
        <f>AND(#REF!,"AAAAAE++/Q4=")</f>
        <v>#REF!</v>
      </c>
      <c r="P1" t="e">
        <f>AND(#REF!,"AAAAAE++/Q8=")</f>
        <v>#REF!</v>
      </c>
      <c r="Q1" t="e">
        <f>AND(#REF!,"AAAAAE++/RA=")</f>
        <v>#REF!</v>
      </c>
      <c r="R1" t="e">
        <f>AND(#REF!,"AAAAAE++/RE=")</f>
        <v>#REF!</v>
      </c>
      <c r="S1" t="e">
        <f>AND(#REF!,"AAAAAE++/RI=")</f>
        <v>#REF!</v>
      </c>
      <c r="T1" t="e">
        <f>AND(#REF!,"AAAAAE++/RM=")</f>
        <v>#REF!</v>
      </c>
      <c r="U1" t="e">
        <f>AND(#REF!,"AAAAAE++/RQ=")</f>
        <v>#REF!</v>
      </c>
      <c r="V1" t="e">
        <f>AND(#REF!,"AAAAAE++/RU=")</f>
        <v>#REF!</v>
      </c>
      <c r="W1" t="e">
        <f>AND(#REF!,"AAAAAE++/RY=")</f>
        <v>#REF!</v>
      </c>
      <c r="X1" t="e">
        <f>AND(#REF!,"AAAAAE++/Rc=")</f>
        <v>#REF!</v>
      </c>
      <c r="Y1" t="e">
        <f>AND(#REF!,"AAAAAE++/Rg=")</f>
        <v>#REF!</v>
      </c>
      <c r="Z1" t="e">
        <f>AND(#REF!,"AAAAAE++/Rk=")</f>
        <v>#REF!</v>
      </c>
      <c r="AA1" t="e">
        <f>AND(#REF!,"AAAAAE++/Ro=")</f>
        <v>#REF!</v>
      </c>
      <c r="AB1" t="e">
        <f>AND(#REF!,"AAAAAE++/Rs=")</f>
        <v>#REF!</v>
      </c>
      <c r="AC1" t="e">
        <f>AND(#REF!,"AAAAAE++/Rw=")</f>
        <v>#REF!</v>
      </c>
      <c r="AD1" t="e">
        <f>AND(#REF!,"AAAAAE++/R0=")</f>
        <v>#REF!</v>
      </c>
      <c r="AE1" t="e">
        <f>AND(#REF!,"AAAAAE++/R4=")</f>
        <v>#REF!</v>
      </c>
      <c r="AF1" t="e">
        <f>AND(#REF!,"AAAAAE++/R8=")</f>
        <v>#REF!</v>
      </c>
      <c r="AG1" t="e">
        <f>AND(#REF!,"AAAAAE++/SA=")</f>
        <v>#REF!</v>
      </c>
      <c r="AH1" t="e">
        <f>AND(#REF!,"AAAAAE++/SE=")</f>
        <v>#REF!</v>
      </c>
      <c r="AI1" t="e">
        <f>AND(#REF!,"AAAAAE++/SI=")</f>
        <v>#REF!</v>
      </c>
      <c r="AJ1" t="e">
        <f>AND(#REF!,"AAAAAE++/SM=")</f>
        <v>#REF!</v>
      </c>
      <c r="AK1" t="e">
        <f>IF(#REF!,"AAAAAE++/SQ=",0)</f>
        <v>#REF!</v>
      </c>
      <c r="AL1" t="e">
        <f>AND(#REF!,"AAAAAE++/SU=")</f>
        <v>#REF!</v>
      </c>
      <c r="AM1" t="e">
        <f>AND(#REF!,"AAAAAE++/SY=")</f>
        <v>#REF!</v>
      </c>
      <c r="AN1" t="e">
        <f>AND(#REF!,"AAAAAE++/Sc=")</f>
        <v>#REF!</v>
      </c>
      <c r="AO1" t="e">
        <f>AND(#REF!,"AAAAAE++/Sg=")</f>
        <v>#REF!</v>
      </c>
      <c r="AP1" t="e">
        <f>AND(#REF!,"AAAAAE++/Sk=")</f>
        <v>#REF!</v>
      </c>
      <c r="AQ1" t="e">
        <f>AND(#REF!,"AAAAAE++/So=")</f>
        <v>#REF!</v>
      </c>
      <c r="AR1" t="e">
        <f>AND(#REF!,"AAAAAE++/Ss=")</f>
        <v>#REF!</v>
      </c>
      <c r="AS1" t="e">
        <f>AND(#REF!,"AAAAAE++/Sw=")</f>
        <v>#REF!</v>
      </c>
      <c r="AT1" t="e">
        <f>AND(#REF!,"AAAAAE++/S0=")</f>
        <v>#REF!</v>
      </c>
      <c r="AU1" t="e">
        <f>AND(#REF!,"AAAAAE++/S4=")</f>
        <v>#REF!</v>
      </c>
      <c r="AV1" t="e">
        <f>AND(#REF!,"AAAAAE++/S8=")</f>
        <v>#REF!</v>
      </c>
      <c r="AW1" t="e">
        <f>AND(#REF!,"AAAAAE++/TA=")</f>
        <v>#REF!</v>
      </c>
      <c r="AX1" t="e">
        <f>AND(#REF!,"AAAAAE++/TE=")</f>
        <v>#REF!</v>
      </c>
      <c r="AY1" t="e">
        <f>AND(#REF!,"AAAAAE++/TI=")</f>
        <v>#REF!</v>
      </c>
      <c r="AZ1" t="e">
        <f>AND(#REF!,"AAAAAE++/TM=")</f>
        <v>#REF!</v>
      </c>
      <c r="BA1" t="e">
        <f>AND(#REF!,"AAAAAE++/TQ=")</f>
        <v>#REF!</v>
      </c>
      <c r="BB1" t="e">
        <f>AND(#REF!,"AAAAAE++/TU=")</f>
        <v>#REF!</v>
      </c>
      <c r="BC1" t="e">
        <f>AND(#REF!,"AAAAAE++/TY=")</f>
        <v>#REF!</v>
      </c>
      <c r="BD1" t="e">
        <f>AND(#REF!,"AAAAAE++/Tc=")</f>
        <v>#REF!</v>
      </c>
      <c r="BE1" t="e">
        <f>AND(#REF!,"AAAAAE++/Tg=")</f>
        <v>#REF!</v>
      </c>
      <c r="BF1" t="e">
        <f>AND(#REF!,"AAAAAE++/Tk=")</f>
        <v>#REF!</v>
      </c>
      <c r="BG1" t="e">
        <f>AND(#REF!,"AAAAAE++/To=")</f>
        <v>#REF!</v>
      </c>
      <c r="BH1" t="e">
        <f>AND(#REF!,"AAAAAE++/Ts=")</f>
        <v>#REF!</v>
      </c>
      <c r="BI1" t="e">
        <f>AND(#REF!,"AAAAAE++/Tw=")</f>
        <v>#REF!</v>
      </c>
      <c r="BJ1" t="e">
        <f>AND(#REF!,"AAAAAE++/T0=")</f>
        <v>#REF!</v>
      </c>
      <c r="BK1" t="e">
        <f>AND(#REF!,"AAAAAE++/T4=")</f>
        <v>#REF!</v>
      </c>
      <c r="BL1" t="e">
        <f>AND(#REF!,"AAAAAE++/T8=")</f>
        <v>#REF!</v>
      </c>
      <c r="BM1" t="e">
        <f>AND(#REF!,"AAAAAE++/UA=")</f>
        <v>#REF!</v>
      </c>
      <c r="BN1" t="e">
        <f>AND(#REF!,"AAAAAE++/UE=")</f>
        <v>#REF!</v>
      </c>
      <c r="BO1" t="e">
        <f>AND(#REF!,"AAAAAE++/UI=")</f>
        <v>#REF!</v>
      </c>
      <c r="BP1" t="e">
        <f>AND(#REF!,"AAAAAE++/UM=")</f>
        <v>#REF!</v>
      </c>
      <c r="BQ1" t="e">
        <f>AND(#REF!,"AAAAAE++/UQ=")</f>
        <v>#REF!</v>
      </c>
      <c r="BR1" t="e">
        <f>AND(#REF!,"AAAAAE++/UU=")</f>
        <v>#REF!</v>
      </c>
      <c r="BS1" t="e">
        <f>AND(#REF!,"AAAAAE++/UY=")</f>
        <v>#REF!</v>
      </c>
      <c r="BT1" t="e">
        <f>AND(#REF!,"AAAAAE++/Uc=")</f>
        <v>#REF!</v>
      </c>
      <c r="BU1" t="e">
        <f>IF(#REF!,"AAAAAE++/Ug=",0)</f>
        <v>#REF!</v>
      </c>
      <c r="BV1" t="e">
        <f>AND(#REF!,"AAAAAE++/Uk=")</f>
        <v>#REF!</v>
      </c>
      <c r="BW1" t="e">
        <f>AND(#REF!,"AAAAAE++/Uo=")</f>
        <v>#REF!</v>
      </c>
      <c r="BX1" t="e">
        <f>AND(#REF!,"AAAAAE++/Us=")</f>
        <v>#REF!</v>
      </c>
      <c r="BY1" t="e">
        <f>AND(#REF!,"AAAAAE++/Uw=")</f>
        <v>#REF!</v>
      </c>
      <c r="BZ1" t="e">
        <f>AND(#REF!,"AAAAAE++/U0=")</f>
        <v>#REF!</v>
      </c>
      <c r="CA1" t="e">
        <f>AND(#REF!,"AAAAAE++/U4=")</f>
        <v>#REF!</v>
      </c>
      <c r="CB1" t="e">
        <f>AND(#REF!,"AAAAAE++/U8=")</f>
        <v>#REF!</v>
      </c>
      <c r="CC1" t="e">
        <f>AND(#REF!,"AAAAAE++/VA=")</f>
        <v>#REF!</v>
      </c>
      <c r="CD1" t="e">
        <f>AND(#REF!,"AAAAAE++/VE=")</f>
        <v>#REF!</v>
      </c>
      <c r="CE1" t="e">
        <f>AND(#REF!,"AAAAAE++/VI=")</f>
        <v>#REF!</v>
      </c>
      <c r="CF1" t="e">
        <f>AND(#REF!,"AAAAAE++/VM=")</f>
        <v>#REF!</v>
      </c>
      <c r="CG1" t="e">
        <f>AND(#REF!,"AAAAAE++/VQ=")</f>
        <v>#REF!</v>
      </c>
      <c r="CH1" t="e">
        <f>AND(#REF!,"AAAAAE++/VU=")</f>
        <v>#REF!</v>
      </c>
      <c r="CI1" t="e">
        <f>AND(#REF!,"AAAAAE++/VY=")</f>
        <v>#REF!</v>
      </c>
      <c r="CJ1" t="e">
        <f>AND(#REF!,"AAAAAE++/Vc=")</f>
        <v>#REF!</v>
      </c>
      <c r="CK1" t="e">
        <f>AND(#REF!,"AAAAAE++/Vg=")</f>
        <v>#REF!</v>
      </c>
      <c r="CL1" t="e">
        <f>AND(#REF!,"AAAAAE++/Vk=")</f>
        <v>#REF!</v>
      </c>
      <c r="CM1" t="e">
        <f>AND(#REF!,"AAAAAE++/Vo=")</f>
        <v>#REF!</v>
      </c>
      <c r="CN1" t="e">
        <f>AND(#REF!,"AAAAAE++/Vs=")</f>
        <v>#REF!</v>
      </c>
      <c r="CO1" t="e">
        <f>AND(#REF!,"AAAAAE++/Vw=")</f>
        <v>#REF!</v>
      </c>
      <c r="CP1" t="e">
        <f>AND(#REF!,"AAAAAE++/V0=")</f>
        <v>#REF!</v>
      </c>
      <c r="CQ1" t="e">
        <f>AND(#REF!,"AAAAAE++/V4=")</f>
        <v>#REF!</v>
      </c>
      <c r="CR1" t="e">
        <f>AND(#REF!,"AAAAAE++/V8=")</f>
        <v>#REF!</v>
      </c>
      <c r="CS1" t="e">
        <f>AND(#REF!,"AAAAAE++/WA=")</f>
        <v>#REF!</v>
      </c>
      <c r="CT1" t="e">
        <f>AND(#REF!,"AAAAAE++/WE=")</f>
        <v>#REF!</v>
      </c>
      <c r="CU1" t="e">
        <f>AND(#REF!,"AAAAAE++/WI=")</f>
        <v>#REF!</v>
      </c>
      <c r="CV1" t="e">
        <f>AND(#REF!,"AAAAAE++/WM=")</f>
        <v>#REF!</v>
      </c>
      <c r="CW1" t="e">
        <f>AND(#REF!,"AAAAAE++/WQ=")</f>
        <v>#REF!</v>
      </c>
      <c r="CX1" t="e">
        <f>AND(#REF!,"AAAAAE++/WU=")</f>
        <v>#REF!</v>
      </c>
      <c r="CY1" t="e">
        <f>AND(#REF!,"AAAAAE++/WY=")</f>
        <v>#REF!</v>
      </c>
      <c r="CZ1" t="e">
        <f>AND(#REF!,"AAAAAE++/Wc=")</f>
        <v>#REF!</v>
      </c>
      <c r="DA1" t="e">
        <f>AND(#REF!,"AAAAAE++/Wg=")</f>
        <v>#REF!</v>
      </c>
      <c r="DB1" t="e">
        <f>AND(#REF!,"AAAAAE++/Wk=")</f>
        <v>#REF!</v>
      </c>
      <c r="DC1" t="e">
        <f>AND(#REF!,"AAAAAE++/Wo=")</f>
        <v>#REF!</v>
      </c>
      <c r="DD1" t="e">
        <f>AND(#REF!,"AAAAAE++/Ws=")</f>
        <v>#REF!</v>
      </c>
      <c r="DE1" t="e">
        <f>IF(#REF!,"AAAAAE++/Ww=",0)</f>
        <v>#REF!</v>
      </c>
      <c r="DF1" t="e">
        <f>AND(#REF!,"AAAAAE++/W0=")</f>
        <v>#REF!</v>
      </c>
      <c r="DG1" t="e">
        <f>AND(#REF!,"AAAAAE++/W4=")</f>
        <v>#REF!</v>
      </c>
      <c r="DH1" t="e">
        <f>AND(#REF!,"AAAAAE++/W8=")</f>
        <v>#REF!</v>
      </c>
      <c r="DI1" t="e">
        <f>AND(#REF!,"AAAAAE++/XA=")</f>
        <v>#REF!</v>
      </c>
      <c r="DJ1" t="e">
        <f>AND(#REF!,"AAAAAE++/XE=")</f>
        <v>#REF!</v>
      </c>
      <c r="DK1" t="e">
        <f>AND(#REF!,"AAAAAE++/XI=")</f>
        <v>#REF!</v>
      </c>
      <c r="DL1" t="e">
        <f>AND(#REF!,"AAAAAE++/XM=")</f>
        <v>#REF!</v>
      </c>
      <c r="DM1" t="e">
        <f>AND(#REF!,"AAAAAE++/XQ=")</f>
        <v>#REF!</v>
      </c>
      <c r="DN1" t="e">
        <f>AND(#REF!,"AAAAAE++/XU=")</f>
        <v>#REF!</v>
      </c>
      <c r="DO1" t="e">
        <f>AND(#REF!,"AAAAAE++/XY=")</f>
        <v>#REF!</v>
      </c>
      <c r="DP1" t="e">
        <f>AND(#REF!,"AAAAAE++/Xc=")</f>
        <v>#REF!</v>
      </c>
      <c r="DQ1" t="e">
        <f>AND(#REF!,"AAAAAE++/Xg=")</f>
        <v>#REF!</v>
      </c>
      <c r="DR1" t="e">
        <f>AND(#REF!,"AAAAAE++/Xk=")</f>
        <v>#REF!</v>
      </c>
      <c r="DS1" t="e">
        <f>AND(#REF!,"AAAAAE++/Xo=")</f>
        <v>#REF!</v>
      </c>
      <c r="DT1" t="e">
        <f>AND(#REF!,"AAAAAE++/Xs=")</f>
        <v>#REF!</v>
      </c>
      <c r="DU1" t="e">
        <f>AND(#REF!,"AAAAAE++/Xw=")</f>
        <v>#REF!</v>
      </c>
      <c r="DV1" t="e">
        <f>AND(#REF!,"AAAAAE++/X0=")</f>
        <v>#REF!</v>
      </c>
      <c r="DW1" t="e">
        <f>AND(#REF!,"AAAAAE++/X4=")</f>
        <v>#REF!</v>
      </c>
      <c r="DX1" t="e">
        <f>AND(#REF!,"AAAAAE++/X8=")</f>
        <v>#REF!</v>
      </c>
      <c r="DY1" t="e">
        <f>AND(#REF!,"AAAAAE++/YA=")</f>
        <v>#REF!</v>
      </c>
      <c r="DZ1" t="e">
        <f>AND(#REF!,"AAAAAE++/YE=")</f>
        <v>#REF!</v>
      </c>
      <c r="EA1" t="e">
        <f>AND(#REF!,"AAAAAE++/YI=")</f>
        <v>#REF!</v>
      </c>
      <c r="EB1" t="e">
        <f>AND(#REF!,"AAAAAE++/YM=")</f>
        <v>#REF!</v>
      </c>
      <c r="EC1" t="e">
        <f>AND(#REF!,"AAAAAE++/YQ=")</f>
        <v>#REF!</v>
      </c>
      <c r="ED1" t="e">
        <f>AND(#REF!,"AAAAAE++/YU=")</f>
        <v>#REF!</v>
      </c>
      <c r="EE1" t="e">
        <f>AND(#REF!,"AAAAAE++/YY=")</f>
        <v>#REF!</v>
      </c>
      <c r="EF1" t="e">
        <f>AND(#REF!,"AAAAAE++/Yc=")</f>
        <v>#REF!</v>
      </c>
      <c r="EG1" t="e">
        <f>AND(#REF!,"AAAAAE++/Yg=")</f>
        <v>#REF!</v>
      </c>
      <c r="EH1" t="e">
        <f>AND(#REF!,"AAAAAE++/Yk=")</f>
        <v>#REF!</v>
      </c>
      <c r="EI1" t="e">
        <f>AND(#REF!,"AAAAAE++/Yo=")</f>
        <v>#REF!</v>
      </c>
      <c r="EJ1" t="e">
        <f>AND(#REF!,"AAAAAE++/Ys=")</f>
        <v>#REF!</v>
      </c>
      <c r="EK1" t="e">
        <f>AND(#REF!,"AAAAAE++/Yw=")</f>
        <v>#REF!</v>
      </c>
      <c r="EL1" t="e">
        <f>AND(#REF!,"AAAAAE++/Y0=")</f>
        <v>#REF!</v>
      </c>
      <c r="EM1" t="e">
        <f>AND(#REF!,"AAAAAE++/Y4=")</f>
        <v>#REF!</v>
      </c>
      <c r="EN1" t="e">
        <f>AND(#REF!,"AAAAAE++/Y8=")</f>
        <v>#REF!</v>
      </c>
      <c r="EO1" t="e">
        <f>IF(#REF!,"AAAAAE++/ZA=",0)</f>
        <v>#REF!</v>
      </c>
      <c r="EP1" t="e">
        <f>AND(#REF!,"AAAAAE++/ZE=")</f>
        <v>#REF!</v>
      </c>
      <c r="EQ1" t="e">
        <f>AND(#REF!,"AAAAAE++/ZI=")</f>
        <v>#REF!</v>
      </c>
      <c r="ER1" t="e">
        <f>AND(#REF!,"AAAAAE++/ZM=")</f>
        <v>#REF!</v>
      </c>
      <c r="ES1" t="e">
        <f>AND(#REF!,"AAAAAE++/ZQ=")</f>
        <v>#REF!</v>
      </c>
      <c r="ET1" t="e">
        <f>AND(#REF!,"AAAAAE++/ZU=")</f>
        <v>#REF!</v>
      </c>
      <c r="EU1" t="e">
        <f>AND(#REF!,"AAAAAE++/ZY=")</f>
        <v>#REF!</v>
      </c>
      <c r="EV1" t="e">
        <f>AND(#REF!,"AAAAAE++/Zc=")</f>
        <v>#REF!</v>
      </c>
      <c r="EW1" t="e">
        <f>AND(#REF!,"AAAAAE++/Zg=")</f>
        <v>#REF!</v>
      </c>
      <c r="EX1" t="e">
        <f>AND(#REF!,"AAAAAE++/Zk=")</f>
        <v>#REF!</v>
      </c>
      <c r="EY1" t="e">
        <f>AND(#REF!,"AAAAAE++/Zo=")</f>
        <v>#REF!</v>
      </c>
      <c r="EZ1" t="e">
        <f>AND(#REF!,"AAAAAE++/Zs=")</f>
        <v>#REF!</v>
      </c>
      <c r="FA1" t="e">
        <f>AND(#REF!,"AAAAAE++/Zw=")</f>
        <v>#REF!</v>
      </c>
      <c r="FB1" t="e">
        <f>AND(#REF!,"AAAAAE++/Z0=")</f>
        <v>#REF!</v>
      </c>
      <c r="FC1" t="e">
        <f>AND(#REF!,"AAAAAE++/Z4=")</f>
        <v>#REF!</v>
      </c>
      <c r="FD1" t="e">
        <f>AND(#REF!,"AAAAAE++/Z8=")</f>
        <v>#REF!</v>
      </c>
      <c r="FE1" t="e">
        <f>AND(#REF!,"AAAAAE++/aA=")</f>
        <v>#REF!</v>
      </c>
      <c r="FF1" t="e">
        <f>AND(#REF!,"AAAAAE++/aE=")</f>
        <v>#REF!</v>
      </c>
      <c r="FG1" t="e">
        <f>AND(#REF!,"AAAAAE++/aI=")</f>
        <v>#REF!</v>
      </c>
      <c r="FH1" t="e">
        <f>AND(#REF!,"AAAAAE++/aM=")</f>
        <v>#REF!</v>
      </c>
      <c r="FI1" t="e">
        <f>AND(#REF!,"AAAAAE++/aQ=")</f>
        <v>#REF!</v>
      </c>
      <c r="FJ1" t="e">
        <f>AND(#REF!,"AAAAAE++/aU=")</f>
        <v>#REF!</v>
      </c>
      <c r="FK1" t="e">
        <f>AND(#REF!,"AAAAAE++/aY=")</f>
        <v>#REF!</v>
      </c>
      <c r="FL1" t="e">
        <f>AND(#REF!,"AAAAAE++/ac=")</f>
        <v>#REF!</v>
      </c>
      <c r="FM1" t="e">
        <f>AND(#REF!,"AAAAAE++/ag=")</f>
        <v>#REF!</v>
      </c>
      <c r="FN1" t="e">
        <f>AND(#REF!,"AAAAAE++/ak=")</f>
        <v>#REF!</v>
      </c>
      <c r="FO1" t="e">
        <f>AND(#REF!,"AAAAAE++/ao=")</f>
        <v>#REF!</v>
      </c>
      <c r="FP1" t="e">
        <f>AND(#REF!,"AAAAAE++/as=")</f>
        <v>#REF!</v>
      </c>
      <c r="FQ1" t="e">
        <f>AND(#REF!,"AAAAAE++/aw=")</f>
        <v>#REF!</v>
      </c>
      <c r="FR1" t="e">
        <f>AND(#REF!,"AAAAAE++/a0=")</f>
        <v>#REF!</v>
      </c>
      <c r="FS1" t="e">
        <f>AND(#REF!,"AAAAAE++/a4=")</f>
        <v>#REF!</v>
      </c>
      <c r="FT1" t="e">
        <f>AND(#REF!,"AAAAAE++/a8=")</f>
        <v>#REF!</v>
      </c>
      <c r="FU1" t="e">
        <f>AND(#REF!,"AAAAAE++/bA=")</f>
        <v>#REF!</v>
      </c>
      <c r="FV1" t="e">
        <f>AND(#REF!,"AAAAAE++/bE=")</f>
        <v>#REF!</v>
      </c>
      <c r="FW1" t="e">
        <f>AND(#REF!,"AAAAAE++/bI=")</f>
        <v>#REF!</v>
      </c>
      <c r="FX1" t="e">
        <f>AND(#REF!,"AAAAAE++/bM=")</f>
        <v>#REF!</v>
      </c>
      <c r="FY1" t="e">
        <f>IF(#REF!,"AAAAAE++/bQ=",0)</f>
        <v>#REF!</v>
      </c>
      <c r="FZ1" t="e">
        <f>AND(#REF!,"AAAAAE++/bU=")</f>
        <v>#REF!</v>
      </c>
      <c r="GA1" t="e">
        <f>AND(#REF!,"AAAAAE++/bY=")</f>
        <v>#REF!</v>
      </c>
      <c r="GB1" t="e">
        <f>AND(#REF!,"AAAAAE++/bc=")</f>
        <v>#REF!</v>
      </c>
      <c r="GC1" t="e">
        <f>AND(#REF!,"AAAAAE++/bg=")</f>
        <v>#REF!</v>
      </c>
      <c r="GD1" t="e">
        <f>AND(#REF!,"AAAAAE++/bk=")</f>
        <v>#REF!</v>
      </c>
      <c r="GE1" t="e">
        <f>AND(#REF!,"AAAAAE++/bo=")</f>
        <v>#REF!</v>
      </c>
      <c r="GF1" t="e">
        <f>AND(#REF!,"AAAAAE++/bs=")</f>
        <v>#REF!</v>
      </c>
      <c r="GG1" t="e">
        <f>AND(#REF!,"AAAAAE++/bw=")</f>
        <v>#REF!</v>
      </c>
      <c r="GH1" t="e">
        <f>AND(#REF!,"AAAAAE++/b0=")</f>
        <v>#REF!</v>
      </c>
      <c r="GI1" t="e">
        <f>AND(#REF!,"AAAAAE++/b4=")</f>
        <v>#REF!</v>
      </c>
      <c r="GJ1" t="e">
        <f>AND(#REF!,"AAAAAE++/b8=")</f>
        <v>#REF!</v>
      </c>
      <c r="GK1" t="e">
        <f>AND(#REF!,"AAAAAE++/cA=")</f>
        <v>#REF!</v>
      </c>
      <c r="GL1" t="e">
        <f>AND(#REF!,"AAAAAE++/cE=")</f>
        <v>#REF!</v>
      </c>
      <c r="GM1" t="e">
        <f>AND(#REF!,"AAAAAE++/cI=")</f>
        <v>#REF!</v>
      </c>
      <c r="GN1" t="e">
        <f>AND(#REF!,"AAAAAE++/cM=")</f>
        <v>#REF!</v>
      </c>
      <c r="GO1" t="e">
        <f>AND(#REF!,"AAAAAE++/cQ=")</f>
        <v>#REF!</v>
      </c>
      <c r="GP1" t="e">
        <f>AND(#REF!,"AAAAAE++/cU=")</f>
        <v>#REF!</v>
      </c>
      <c r="GQ1" t="e">
        <f>AND(#REF!,"AAAAAE++/cY=")</f>
        <v>#REF!</v>
      </c>
      <c r="GR1" t="e">
        <f>AND(#REF!,"AAAAAE++/cc=")</f>
        <v>#REF!</v>
      </c>
      <c r="GS1" t="e">
        <f>AND(#REF!,"AAAAAE++/cg=")</f>
        <v>#REF!</v>
      </c>
      <c r="GT1" t="e">
        <f>AND(#REF!,"AAAAAE++/ck=")</f>
        <v>#REF!</v>
      </c>
      <c r="GU1" t="e">
        <f>AND(#REF!,"AAAAAE++/co=")</f>
        <v>#REF!</v>
      </c>
      <c r="GV1" t="e">
        <f>AND(#REF!,"AAAAAE++/cs=")</f>
        <v>#REF!</v>
      </c>
      <c r="GW1" t="e">
        <f>AND(#REF!,"AAAAAE++/cw=")</f>
        <v>#REF!</v>
      </c>
      <c r="GX1" t="e">
        <f>AND(#REF!,"AAAAAE++/c0=")</f>
        <v>#REF!</v>
      </c>
      <c r="GY1" t="e">
        <f>AND(#REF!,"AAAAAE++/c4=")</f>
        <v>#REF!</v>
      </c>
      <c r="GZ1" t="e">
        <f>AND(#REF!,"AAAAAE++/c8=")</f>
        <v>#REF!</v>
      </c>
      <c r="HA1" t="e">
        <f>AND(#REF!,"AAAAAE++/dA=")</f>
        <v>#REF!</v>
      </c>
      <c r="HB1" t="e">
        <f>AND(#REF!,"AAAAAE++/dE=")</f>
        <v>#REF!</v>
      </c>
      <c r="HC1" t="e">
        <f>AND(#REF!,"AAAAAE++/dI=")</f>
        <v>#REF!</v>
      </c>
      <c r="HD1" t="e">
        <f>AND(#REF!,"AAAAAE++/dM=")</f>
        <v>#REF!</v>
      </c>
      <c r="HE1" t="e">
        <f>AND(#REF!,"AAAAAE++/dQ=")</f>
        <v>#REF!</v>
      </c>
      <c r="HF1" t="e">
        <f>AND(#REF!,"AAAAAE++/dU=")</f>
        <v>#REF!</v>
      </c>
      <c r="HG1" t="e">
        <f>AND(#REF!,"AAAAAE++/dY=")</f>
        <v>#REF!</v>
      </c>
      <c r="HH1" t="e">
        <f>AND(#REF!,"AAAAAE++/dc=")</f>
        <v>#REF!</v>
      </c>
      <c r="HI1" t="e">
        <f>IF(#REF!,"AAAAAE++/dg=",0)</f>
        <v>#REF!</v>
      </c>
      <c r="HJ1" t="e">
        <f>AND(#REF!,"AAAAAE++/dk=")</f>
        <v>#REF!</v>
      </c>
      <c r="HK1" t="e">
        <f>AND(#REF!,"AAAAAE++/do=")</f>
        <v>#REF!</v>
      </c>
      <c r="HL1" t="e">
        <f>AND(#REF!,"AAAAAE++/ds=")</f>
        <v>#REF!</v>
      </c>
      <c r="HM1" t="e">
        <f>AND(#REF!,"AAAAAE++/dw=")</f>
        <v>#REF!</v>
      </c>
      <c r="HN1" t="e">
        <f>AND(#REF!,"AAAAAE++/d0=")</f>
        <v>#REF!</v>
      </c>
      <c r="HO1" t="e">
        <f>AND(#REF!,"AAAAAE++/d4=")</f>
        <v>#REF!</v>
      </c>
      <c r="HP1" t="e">
        <f>AND(#REF!,"AAAAAE++/d8=")</f>
        <v>#REF!</v>
      </c>
      <c r="HQ1" t="e">
        <f>AND(#REF!,"AAAAAE++/eA=")</f>
        <v>#REF!</v>
      </c>
      <c r="HR1" t="e">
        <f>AND(#REF!,"AAAAAE++/eE=")</f>
        <v>#REF!</v>
      </c>
      <c r="HS1" t="e">
        <f>AND(#REF!,"AAAAAE++/eI=")</f>
        <v>#REF!</v>
      </c>
      <c r="HT1" t="e">
        <f>AND(#REF!,"AAAAAE++/eM=")</f>
        <v>#REF!</v>
      </c>
      <c r="HU1" t="e">
        <f>AND(#REF!,"AAAAAE++/eQ=")</f>
        <v>#REF!</v>
      </c>
      <c r="HV1" t="e">
        <f>AND(#REF!,"AAAAAE++/eU=")</f>
        <v>#REF!</v>
      </c>
      <c r="HW1" t="e">
        <f>AND(#REF!,"AAAAAE++/eY=")</f>
        <v>#REF!</v>
      </c>
      <c r="HX1" t="e">
        <f>AND(#REF!,"AAAAAE++/ec=")</f>
        <v>#REF!</v>
      </c>
      <c r="HY1" t="e">
        <f>AND(#REF!,"AAAAAE++/eg=")</f>
        <v>#REF!</v>
      </c>
      <c r="HZ1" t="e">
        <f>AND(#REF!,"AAAAAE++/ek=")</f>
        <v>#REF!</v>
      </c>
      <c r="IA1" t="e">
        <f>AND(#REF!,"AAAAAE++/eo=")</f>
        <v>#REF!</v>
      </c>
      <c r="IB1" t="e">
        <f>AND(#REF!,"AAAAAE++/es=")</f>
        <v>#REF!</v>
      </c>
      <c r="IC1" t="e">
        <f>AND(#REF!,"AAAAAE++/ew=")</f>
        <v>#REF!</v>
      </c>
      <c r="ID1" t="e">
        <f>AND(#REF!,"AAAAAE++/e0=")</f>
        <v>#REF!</v>
      </c>
      <c r="IE1" t="e">
        <f>AND(#REF!,"AAAAAE++/e4=")</f>
        <v>#REF!</v>
      </c>
      <c r="IF1" t="e">
        <f>AND(#REF!,"AAAAAE++/e8=")</f>
        <v>#REF!</v>
      </c>
      <c r="IG1" t="e">
        <f>AND(#REF!,"AAAAAE++/fA=")</f>
        <v>#REF!</v>
      </c>
      <c r="IH1" t="e">
        <f>AND(#REF!,"AAAAAE++/fE=")</f>
        <v>#REF!</v>
      </c>
      <c r="II1" t="e">
        <f>AND(#REF!,"AAAAAE++/fI=")</f>
        <v>#REF!</v>
      </c>
      <c r="IJ1" t="e">
        <f>AND(#REF!,"AAAAAE++/fM=")</f>
        <v>#REF!</v>
      </c>
      <c r="IK1" t="e">
        <f>AND(#REF!,"AAAAAE++/fQ=")</f>
        <v>#REF!</v>
      </c>
      <c r="IL1" t="e">
        <f>AND(#REF!,"AAAAAE++/fU=")</f>
        <v>#REF!</v>
      </c>
      <c r="IM1" t="e">
        <f>AND(#REF!,"AAAAAE++/fY=")</f>
        <v>#REF!</v>
      </c>
      <c r="IN1" t="e">
        <f>AND(#REF!,"AAAAAE++/fc=")</f>
        <v>#REF!</v>
      </c>
      <c r="IO1" t="e">
        <f>AND(#REF!,"AAAAAE++/fg=")</f>
        <v>#REF!</v>
      </c>
      <c r="IP1" t="e">
        <f>AND(#REF!,"AAAAAE++/fk=")</f>
        <v>#REF!</v>
      </c>
      <c r="IQ1" t="e">
        <f>AND(#REF!,"AAAAAE++/fo=")</f>
        <v>#REF!</v>
      </c>
      <c r="IR1" t="e">
        <f>AND(#REF!,"AAAAAE++/fs=")</f>
        <v>#REF!</v>
      </c>
      <c r="IS1" t="e">
        <f>IF(#REF!,"AAAAAE++/fw=",0)</f>
        <v>#REF!</v>
      </c>
      <c r="IT1" t="e">
        <f>AND(#REF!,"AAAAAE++/f0=")</f>
        <v>#REF!</v>
      </c>
      <c r="IU1" t="e">
        <f>AND(#REF!,"AAAAAE++/f4=")</f>
        <v>#REF!</v>
      </c>
      <c r="IV1" t="e">
        <f>AND(#REF!,"AAAAAE++/f8=")</f>
        <v>#REF!</v>
      </c>
    </row>
    <row r="2" spans="1:256">
      <c r="A2" t="e">
        <f>AND(#REF!,"AAAAAH8+/wA=")</f>
        <v>#REF!</v>
      </c>
      <c r="B2" t="e">
        <f>AND(#REF!,"AAAAAH8+/wE=")</f>
        <v>#REF!</v>
      </c>
      <c r="C2" t="e">
        <f>AND(#REF!,"AAAAAH8+/wI=")</f>
        <v>#REF!</v>
      </c>
      <c r="D2" t="e">
        <f>AND(#REF!,"AAAAAH8+/wM=")</f>
        <v>#REF!</v>
      </c>
      <c r="E2" t="e">
        <f>AND(#REF!,"AAAAAH8+/wQ=")</f>
        <v>#REF!</v>
      </c>
      <c r="F2" t="e">
        <f>AND(#REF!,"AAAAAH8+/wU=")</f>
        <v>#REF!</v>
      </c>
      <c r="G2" t="e">
        <f>AND(#REF!,"AAAAAH8+/wY=")</f>
        <v>#REF!</v>
      </c>
      <c r="H2" t="e">
        <f>AND(#REF!,"AAAAAH8+/wc=")</f>
        <v>#REF!</v>
      </c>
      <c r="I2" t="e">
        <f>AND(#REF!,"AAAAAH8+/wg=")</f>
        <v>#REF!</v>
      </c>
      <c r="J2" t="e">
        <f>AND(#REF!,"AAAAAH8+/wk=")</f>
        <v>#REF!</v>
      </c>
      <c r="K2" t="e">
        <f>AND(#REF!,"AAAAAH8+/wo=")</f>
        <v>#REF!</v>
      </c>
      <c r="L2" t="e">
        <f>AND(#REF!,"AAAAAH8+/ws=")</f>
        <v>#REF!</v>
      </c>
      <c r="M2" t="e">
        <f>AND(#REF!,"AAAAAH8+/ww=")</f>
        <v>#REF!</v>
      </c>
      <c r="N2" t="e">
        <f>AND(#REF!,"AAAAAH8+/w0=")</f>
        <v>#REF!</v>
      </c>
      <c r="O2" t="e">
        <f>AND(#REF!,"AAAAAH8+/w4=")</f>
        <v>#REF!</v>
      </c>
      <c r="P2" t="e">
        <f>AND(#REF!,"AAAAAH8+/w8=")</f>
        <v>#REF!</v>
      </c>
      <c r="Q2" t="e">
        <f>AND(#REF!,"AAAAAH8+/xA=")</f>
        <v>#REF!</v>
      </c>
      <c r="R2" t="e">
        <f>AND(#REF!,"AAAAAH8+/xE=")</f>
        <v>#REF!</v>
      </c>
      <c r="S2" t="e">
        <f>AND(#REF!,"AAAAAH8+/xI=")</f>
        <v>#REF!</v>
      </c>
      <c r="T2" t="e">
        <f>AND(#REF!,"AAAAAH8+/xM=")</f>
        <v>#REF!</v>
      </c>
      <c r="U2" t="e">
        <f>AND(#REF!,"AAAAAH8+/xQ=")</f>
        <v>#REF!</v>
      </c>
      <c r="V2" t="e">
        <f>AND(#REF!,"AAAAAH8+/xU=")</f>
        <v>#REF!</v>
      </c>
      <c r="W2" t="e">
        <f>AND(#REF!,"AAAAAH8+/xY=")</f>
        <v>#REF!</v>
      </c>
      <c r="X2" t="e">
        <f>AND(#REF!,"AAAAAH8+/xc=")</f>
        <v>#REF!</v>
      </c>
      <c r="Y2" t="e">
        <f>AND(#REF!,"AAAAAH8+/xg=")</f>
        <v>#REF!</v>
      </c>
      <c r="Z2" t="e">
        <f>AND(#REF!,"AAAAAH8+/xk=")</f>
        <v>#REF!</v>
      </c>
      <c r="AA2" t="e">
        <f>AND(#REF!,"AAAAAH8+/xo=")</f>
        <v>#REF!</v>
      </c>
      <c r="AB2" t="e">
        <f>AND(#REF!,"AAAAAH8+/xs=")</f>
        <v>#REF!</v>
      </c>
      <c r="AC2" t="e">
        <f>AND(#REF!,"AAAAAH8+/xw=")</f>
        <v>#REF!</v>
      </c>
      <c r="AD2" t="e">
        <f>AND(#REF!,"AAAAAH8+/x0=")</f>
        <v>#REF!</v>
      </c>
      <c r="AE2" t="e">
        <f>AND(#REF!,"AAAAAH8+/x4=")</f>
        <v>#REF!</v>
      </c>
      <c r="AF2" t="e">
        <f>AND(#REF!,"AAAAAH8+/x8=")</f>
        <v>#REF!</v>
      </c>
      <c r="AG2" t="e">
        <f>IF(#REF!,"AAAAAH8+/yA=",0)</f>
        <v>#REF!</v>
      </c>
      <c r="AH2" t="e">
        <f>AND(#REF!,"AAAAAH8+/yE=")</f>
        <v>#REF!</v>
      </c>
      <c r="AI2" t="e">
        <f>AND(#REF!,"AAAAAH8+/yI=")</f>
        <v>#REF!</v>
      </c>
      <c r="AJ2" t="e">
        <f>AND(#REF!,"AAAAAH8+/yM=")</f>
        <v>#REF!</v>
      </c>
      <c r="AK2" t="e">
        <f>AND(#REF!,"AAAAAH8+/yQ=")</f>
        <v>#REF!</v>
      </c>
      <c r="AL2" t="e">
        <f>AND(#REF!,"AAAAAH8+/yU=")</f>
        <v>#REF!</v>
      </c>
      <c r="AM2" t="e">
        <f>AND(#REF!,"AAAAAH8+/yY=")</f>
        <v>#REF!</v>
      </c>
      <c r="AN2" t="e">
        <f>AND(#REF!,"AAAAAH8+/yc=")</f>
        <v>#REF!</v>
      </c>
      <c r="AO2" t="e">
        <f>AND(#REF!,"AAAAAH8+/yg=")</f>
        <v>#REF!</v>
      </c>
      <c r="AP2" t="e">
        <f>AND(#REF!,"AAAAAH8+/yk=")</f>
        <v>#REF!</v>
      </c>
      <c r="AQ2" t="e">
        <f>AND(#REF!,"AAAAAH8+/yo=")</f>
        <v>#REF!</v>
      </c>
      <c r="AR2" t="e">
        <f>AND(#REF!,"AAAAAH8+/ys=")</f>
        <v>#REF!</v>
      </c>
      <c r="AS2" t="e">
        <f>AND(#REF!,"AAAAAH8+/yw=")</f>
        <v>#REF!</v>
      </c>
      <c r="AT2" t="e">
        <f>AND(#REF!,"AAAAAH8+/y0=")</f>
        <v>#REF!</v>
      </c>
      <c r="AU2" t="e">
        <f>AND(#REF!,"AAAAAH8+/y4=")</f>
        <v>#REF!</v>
      </c>
      <c r="AV2" t="e">
        <f>AND(#REF!,"AAAAAH8+/y8=")</f>
        <v>#REF!</v>
      </c>
      <c r="AW2" t="e">
        <f>AND(#REF!,"AAAAAH8+/zA=")</f>
        <v>#REF!</v>
      </c>
      <c r="AX2" t="e">
        <f>AND(#REF!,"AAAAAH8+/zE=")</f>
        <v>#REF!</v>
      </c>
      <c r="AY2" t="e">
        <f>AND(#REF!,"AAAAAH8+/zI=")</f>
        <v>#REF!</v>
      </c>
      <c r="AZ2" t="e">
        <f>AND(#REF!,"AAAAAH8+/zM=")</f>
        <v>#REF!</v>
      </c>
      <c r="BA2" t="e">
        <f>AND(#REF!,"AAAAAH8+/zQ=")</f>
        <v>#REF!</v>
      </c>
      <c r="BB2" t="e">
        <f>AND(#REF!,"AAAAAH8+/zU=")</f>
        <v>#REF!</v>
      </c>
      <c r="BC2" t="e">
        <f>AND(#REF!,"AAAAAH8+/zY=")</f>
        <v>#REF!</v>
      </c>
      <c r="BD2" t="e">
        <f>AND(#REF!,"AAAAAH8+/zc=")</f>
        <v>#REF!</v>
      </c>
      <c r="BE2" t="e">
        <f>AND(#REF!,"AAAAAH8+/zg=")</f>
        <v>#REF!</v>
      </c>
      <c r="BF2" t="e">
        <f>AND(#REF!,"AAAAAH8+/zk=")</f>
        <v>#REF!</v>
      </c>
      <c r="BG2" t="e">
        <f>AND(#REF!,"AAAAAH8+/zo=")</f>
        <v>#REF!</v>
      </c>
      <c r="BH2" t="e">
        <f>AND(#REF!,"AAAAAH8+/zs=")</f>
        <v>#REF!</v>
      </c>
      <c r="BI2" t="e">
        <f>AND(#REF!,"AAAAAH8+/zw=")</f>
        <v>#REF!</v>
      </c>
      <c r="BJ2" t="e">
        <f>AND(#REF!,"AAAAAH8+/z0=")</f>
        <v>#REF!</v>
      </c>
      <c r="BK2" t="e">
        <f>AND(#REF!,"AAAAAH8+/z4=")</f>
        <v>#REF!</v>
      </c>
      <c r="BL2" t="e">
        <f>AND(#REF!,"AAAAAH8+/z8=")</f>
        <v>#REF!</v>
      </c>
      <c r="BM2" t="e">
        <f>AND(#REF!,"AAAAAH8+/0A=")</f>
        <v>#REF!</v>
      </c>
      <c r="BN2" t="e">
        <f>AND(#REF!,"AAAAAH8+/0E=")</f>
        <v>#REF!</v>
      </c>
      <c r="BO2" t="e">
        <f>AND(#REF!,"AAAAAH8+/0I=")</f>
        <v>#REF!</v>
      </c>
      <c r="BP2" t="e">
        <f>AND(#REF!,"AAAAAH8+/0M=")</f>
        <v>#REF!</v>
      </c>
      <c r="BQ2" t="e">
        <f>IF(#REF!,"AAAAAH8+/0Q=",0)</f>
        <v>#REF!</v>
      </c>
      <c r="BR2" t="e">
        <f>AND(#REF!,"AAAAAH8+/0U=")</f>
        <v>#REF!</v>
      </c>
      <c r="BS2" t="e">
        <f>AND(#REF!,"AAAAAH8+/0Y=")</f>
        <v>#REF!</v>
      </c>
      <c r="BT2" t="e">
        <f>AND(#REF!,"AAAAAH8+/0c=")</f>
        <v>#REF!</v>
      </c>
      <c r="BU2" t="e">
        <f>AND(#REF!,"AAAAAH8+/0g=")</f>
        <v>#REF!</v>
      </c>
      <c r="BV2" t="e">
        <f>AND(#REF!,"AAAAAH8+/0k=")</f>
        <v>#REF!</v>
      </c>
      <c r="BW2" t="e">
        <f>AND(#REF!,"AAAAAH8+/0o=")</f>
        <v>#REF!</v>
      </c>
      <c r="BX2" t="e">
        <f>AND(#REF!,"AAAAAH8+/0s=")</f>
        <v>#REF!</v>
      </c>
      <c r="BY2" t="e">
        <f>AND(#REF!,"AAAAAH8+/0w=")</f>
        <v>#REF!</v>
      </c>
      <c r="BZ2" t="e">
        <f>AND(#REF!,"AAAAAH8+/00=")</f>
        <v>#REF!</v>
      </c>
      <c r="CA2" t="e">
        <f>AND(#REF!,"AAAAAH8+/04=")</f>
        <v>#REF!</v>
      </c>
      <c r="CB2" t="e">
        <f>AND(#REF!,"AAAAAH8+/08=")</f>
        <v>#REF!</v>
      </c>
      <c r="CC2" t="e">
        <f>AND(#REF!,"AAAAAH8+/1A=")</f>
        <v>#REF!</v>
      </c>
      <c r="CD2" t="e">
        <f>AND(#REF!,"AAAAAH8+/1E=")</f>
        <v>#REF!</v>
      </c>
      <c r="CE2" t="e">
        <f>AND(#REF!,"AAAAAH8+/1I=")</f>
        <v>#REF!</v>
      </c>
      <c r="CF2" t="e">
        <f>AND(#REF!,"AAAAAH8+/1M=")</f>
        <v>#REF!</v>
      </c>
      <c r="CG2" t="e">
        <f>AND(#REF!,"AAAAAH8+/1Q=")</f>
        <v>#REF!</v>
      </c>
      <c r="CH2" t="e">
        <f>AND(#REF!,"AAAAAH8+/1U=")</f>
        <v>#REF!</v>
      </c>
      <c r="CI2" t="e">
        <f>AND(#REF!,"AAAAAH8+/1Y=")</f>
        <v>#REF!</v>
      </c>
      <c r="CJ2" t="e">
        <f>AND(#REF!,"AAAAAH8+/1c=")</f>
        <v>#REF!</v>
      </c>
      <c r="CK2" t="e">
        <f>AND(#REF!,"AAAAAH8+/1g=")</f>
        <v>#REF!</v>
      </c>
      <c r="CL2" t="e">
        <f>AND(#REF!,"AAAAAH8+/1k=")</f>
        <v>#REF!</v>
      </c>
      <c r="CM2" t="e">
        <f>AND(#REF!,"AAAAAH8+/1o=")</f>
        <v>#REF!</v>
      </c>
      <c r="CN2" t="e">
        <f>AND(#REF!,"AAAAAH8+/1s=")</f>
        <v>#REF!</v>
      </c>
      <c r="CO2" t="e">
        <f>AND(#REF!,"AAAAAH8+/1w=")</f>
        <v>#REF!</v>
      </c>
      <c r="CP2" t="e">
        <f>AND(#REF!,"AAAAAH8+/10=")</f>
        <v>#REF!</v>
      </c>
      <c r="CQ2" t="e">
        <f>AND(#REF!,"AAAAAH8+/14=")</f>
        <v>#REF!</v>
      </c>
      <c r="CR2" t="e">
        <f>AND(#REF!,"AAAAAH8+/18=")</f>
        <v>#REF!</v>
      </c>
      <c r="CS2" t="e">
        <f>AND(#REF!,"AAAAAH8+/2A=")</f>
        <v>#REF!</v>
      </c>
      <c r="CT2" t="e">
        <f>AND(#REF!,"AAAAAH8+/2E=")</f>
        <v>#REF!</v>
      </c>
      <c r="CU2" t="e">
        <f>AND(#REF!,"AAAAAH8+/2I=")</f>
        <v>#REF!</v>
      </c>
      <c r="CV2" t="e">
        <f>AND(#REF!,"AAAAAH8+/2M=")</f>
        <v>#REF!</v>
      </c>
      <c r="CW2" t="e">
        <f>AND(#REF!,"AAAAAH8+/2Q=")</f>
        <v>#REF!</v>
      </c>
      <c r="CX2" t="e">
        <f>AND(#REF!,"AAAAAH8+/2U=")</f>
        <v>#REF!</v>
      </c>
      <c r="CY2" t="e">
        <f>AND(#REF!,"AAAAAH8+/2Y=")</f>
        <v>#REF!</v>
      </c>
      <c r="CZ2" t="e">
        <f>AND(#REF!,"AAAAAH8+/2c=")</f>
        <v>#REF!</v>
      </c>
      <c r="DA2" t="e">
        <f>IF(#REF!,"AAAAAH8+/2g=",0)</f>
        <v>#REF!</v>
      </c>
      <c r="DB2" t="e">
        <f>AND(#REF!,"AAAAAH8+/2k=")</f>
        <v>#REF!</v>
      </c>
      <c r="DC2" t="e">
        <f>AND(#REF!,"AAAAAH8+/2o=")</f>
        <v>#REF!</v>
      </c>
      <c r="DD2" t="e">
        <f>AND(#REF!,"AAAAAH8+/2s=")</f>
        <v>#REF!</v>
      </c>
      <c r="DE2" t="e">
        <f>AND(#REF!,"AAAAAH8+/2w=")</f>
        <v>#REF!</v>
      </c>
      <c r="DF2" t="e">
        <f>AND(#REF!,"AAAAAH8+/20=")</f>
        <v>#REF!</v>
      </c>
      <c r="DG2" t="e">
        <f>AND(#REF!,"AAAAAH8+/24=")</f>
        <v>#REF!</v>
      </c>
      <c r="DH2" t="e">
        <f>AND(#REF!,"AAAAAH8+/28=")</f>
        <v>#REF!</v>
      </c>
      <c r="DI2" t="e">
        <f>AND(#REF!,"AAAAAH8+/3A=")</f>
        <v>#REF!</v>
      </c>
      <c r="DJ2" t="e">
        <f>AND(#REF!,"AAAAAH8+/3E=")</f>
        <v>#REF!</v>
      </c>
      <c r="DK2" t="e">
        <f>AND(#REF!,"AAAAAH8+/3I=")</f>
        <v>#REF!</v>
      </c>
      <c r="DL2" t="e">
        <f>AND(#REF!,"AAAAAH8+/3M=")</f>
        <v>#REF!</v>
      </c>
      <c r="DM2" t="e">
        <f>AND(#REF!,"AAAAAH8+/3Q=")</f>
        <v>#REF!</v>
      </c>
      <c r="DN2" t="e">
        <f>AND(#REF!,"AAAAAH8+/3U=")</f>
        <v>#REF!</v>
      </c>
      <c r="DO2" t="e">
        <f>AND(#REF!,"AAAAAH8+/3Y=")</f>
        <v>#REF!</v>
      </c>
      <c r="DP2" t="e">
        <f>AND(#REF!,"AAAAAH8+/3c=")</f>
        <v>#REF!</v>
      </c>
      <c r="DQ2" t="e">
        <f>AND(#REF!,"AAAAAH8+/3g=")</f>
        <v>#REF!</v>
      </c>
      <c r="DR2" t="e">
        <f>AND(#REF!,"AAAAAH8+/3k=")</f>
        <v>#REF!</v>
      </c>
      <c r="DS2" t="e">
        <f>AND(#REF!,"AAAAAH8+/3o=")</f>
        <v>#REF!</v>
      </c>
      <c r="DT2" t="e">
        <f>AND(#REF!,"AAAAAH8+/3s=")</f>
        <v>#REF!</v>
      </c>
      <c r="DU2" t="e">
        <f>AND(#REF!,"AAAAAH8+/3w=")</f>
        <v>#REF!</v>
      </c>
      <c r="DV2" t="e">
        <f>AND(#REF!,"AAAAAH8+/30=")</f>
        <v>#REF!</v>
      </c>
      <c r="DW2" t="e">
        <f>AND(#REF!,"AAAAAH8+/34=")</f>
        <v>#REF!</v>
      </c>
      <c r="DX2" t="e">
        <f>AND(#REF!,"AAAAAH8+/38=")</f>
        <v>#REF!</v>
      </c>
      <c r="DY2" t="e">
        <f>AND(#REF!,"AAAAAH8+/4A=")</f>
        <v>#REF!</v>
      </c>
      <c r="DZ2" t="e">
        <f>AND(#REF!,"AAAAAH8+/4E=")</f>
        <v>#REF!</v>
      </c>
      <c r="EA2" t="e">
        <f>AND(#REF!,"AAAAAH8+/4I=")</f>
        <v>#REF!</v>
      </c>
      <c r="EB2" t="e">
        <f>AND(#REF!,"AAAAAH8+/4M=")</f>
        <v>#REF!</v>
      </c>
      <c r="EC2" t="e">
        <f>AND(#REF!,"AAAAAH8+/4Q=")</f>
        <v>#REF!</v>
      </c>
      <c r="ED2" t="e">
        <f>AND(#REF!,"AAAAAH8+/4U=")</f>
        <v>#REF!</v>
      </c>
      <c r="EE2" t="e">
        <f>AND(#REF!,"AAAAAH8+/4Y=")</f>
        <v>#REF!</v>
      </c>
      <c r="EF2" t="e">
        <f>AND(#REF!,"AAAAAH8+/4c=")</f>
        <v>#REF!</v>
      </c>
      <c r="EG2" t="e">
        <f>AND(#REF!,"AAAAAH8+/4g=")</f>
        <v>#REF!</v>
      </c>
      <c r="EH2" t="e">
        <f>AND(#REF!,"AAAAAH8+/4k=")</f>
        <v>#REF!</v>
      </c>
      <c r="EI2" t="e">
        <f>AND(#REF!,"AAAAAH8+/4o=")</f>
        <v>#REF!</v>
      </c>
      <c r="EJ2" t="e">
        <f>AND(#REF!,"AAAAAH8+/4s=")</f>
        <v>#REF!</v>
      </c>
      <c r="EK2" t="e">
        <f>IF(#REF!,"AAAAAH8+/4w=",0)</f>
        <v>#REF!</v>
      </c>
      <c r="EL2" t="e">
        <f>AND(#REF!,"AAAAAH8+/40=")</f>
        <v>#REF!</v>
      </c>
      <c r="EM2" t="e">
        <f>AND(#REF!,"AAAAAH8+/44=")</f>
        <v>#REF!</v>
      </c>
      <c r="EN2" t="e">
        <f>AND(#REF!,"AAAAAH8+/48=")</f>
        <v>#REF!</v>
      </c>
      <c r="EO2" t="e">
        <f>AND(#REF!,"AAAAAH8+/5A=")</f>
        <v>#REF!</v>
      </c>
      <c r="EP2" t="e">
        <f>AND(#REF!,"AAAAAH8+/5E=")</f>
        <v>#REF!</v>
      </c>
      <c r="EQ2" t="e">
        <f>AND(#REF!,"AAAAAH8+/5I=")</f>
        <v>#REF!</v>
      </c>
      <c r="ER2" t="e">
        <f>AND(#REF!,"AAAAAH8+/5M=")</f>
        <v>#REF!</v>
      </c>
      <c r="ES2" t="e">
        <f>AND(#REF!,"AAAAAH8+/5Q=")</f>
        <v>#REF!</v>
      </c>
      <c r="ET2" t="e">
        <f>AND(#REF!,"AAAAAH8+/5U=")</f>
        <v>#REF!</v>
      </c>
      <c r="EU2" t="e">
        <f>AND(#REF!,"AAAAAH8+/5Y=")</f>
        <v>#REF!</v>
      </c>
      <c r="EV2" t="e">
        <f>AND(#REF!,"AAAAAH8+/5c=")</f>
        <v>#REF!</v>
      </c>
      <c r="EW2" t="e">
        <f>AND(#REF!,"AAAAAH8+/5g=")</f>
        <v>#REF!</v>
      </c>
      <c r="EX2" t="e">
        <f>AND(#REF!,"AAAAAH8+/5k=")</f>
        <v>#REF!</v>
      </c>
      <c r="EY2" t="e">
        <f>AND(#REF!,"AAAAAH8+/5o=")</f>
        <v>#REF!</v>
      </c>
      <c r="EZ2" t="e">
        <f>AND(#REF!,"AAAAAH8+/5s=")</f>
        <v>#REF!</v>
      </c>
      <c r="FA2" t="e">
        <f>AND(#REF!,"AAAAAH8+/5w=")</f>
        <v>#REF!</v>
      </c>
      <c r="FB2" t="e">
        <f>AND(#REF!,"AAAAAH8+/50=")</f>
        <v>#REF!</v>
      </c>
      <c r="FC2" t="e">
        <f>AND(#REF!,"AAAAAH8+/54=")</f>
        <v>#REF!</v>
      </c>
      <c r="FD2" t="e">
        <f>AND(#REF!,"AAAAAH8+/58=")</f>
        <v>#REF!</v>
      </c>
      <c r="FE2" t="e">
        <f>AND(#REF!,"AAAAAH8+/6A=")</f>
        <v>#REF!</v>
      </c>
      <c r="FF2" t="e">
        <f>AND(#REF!,"AAAAAH8+/6E=")</f>
        <v>#REF!</v>
      </c>
      <c r="FG2" t="e">
        <f>AND(#REF!,"AAAAAH8+/6I=")</f>
        <v>#REF!</v>
      </c>
      <c r="FH2" t="e">
        <f>AND(#REF!,"AAAAAH8+/6M=")</f>
        <v>#REF!</v>
      </c>
      <c r="FI2" t="e">
        <f>AND(#REF!,"AAAAAH8+/6Q=")</f>
        <v>#REF!</v>
      </c>
      <c r="FJ2" t="e">
        <f>AND(#REF!,"AAAAAH8+/6U=")</f>
        <v>#REF!</v>
      </c>
      <c r="FK2" t="e">
        <f>AND(#REF!,"AAAAAH8+/6Y=")</f>
        <v>#REF!</v>
      </c>
      <c r="FL2" t="e">
        <f>AND(#REF!,"AAAAAH8+/6c=")</f>
        <v>#REF!</v>
      </c>
      <c r="FM2" t="e">
        <f>AND(#REF!,"AAAAAH8+/6g=")</f>
        <v>#REF!</v>
      </c>
      <c r="FN2" t="e">
        <f>AND(#REF!,"AAAAAH8+/6k=")</f>
        <v>#REF!</v>
      </c>
      <c r="FO2" t="e">
        <f>AND(#REF!,"AAAAAH8+/6o=")</f>
        <v>#REF!</v>
      </c>
      <c r="FP2" t="e">
        <f>AND(#REF!,"AAAAAH8+/6s=")</f>
        <v>#REF!</v>
      </c>
      <c r="FQ2" t="e">
        <f>AND(#REF!,"AAAAAH8+/6w=")</f>
        <v>#REF!</v>
      </c>
      <c r="FR2" t="e">
        <f>AND(#REF!,"AAAAAH8+/60=")</f>
        <v>#REF!</v>
      </c>
      <c r="FS2" t="e">
        <f>AND(#REF!,"AAAAAH8+/64=")</f>
        <v>#REF!</v>
      </c>
      <c r="FT2" t="e">
        <f>AND(#REF!,"AAAAAH8+/68=")</f>
        <v>#REF!</v>
      </c>
      <c r="FU2" t="e">
        <f>IF(#REF!,"AAAAAH8+/7A=",0)</f>
        <v>#REF!</v>
      </c>
      <c r="FV2" t="e">
        <f>AND(#REF!,"AAAAAH8+/7E=")</f>
        <v>#REF!</v>
      </c>
      <c r="FW2" t="e">
        <f>AND(#REF!,"AAAAAH8+/7I=")</f>
        <v>#REF!</v>
      </c>
      <c r="FX2" t="e">
        <f>AND(#REF!,"AAAAAH8+/7M=")</f>
        <v>#REF!</v>
      </c>
      <c r="FY2" t="e">
        <f>AND(#REF!,"AAAAAH8+/7Q=")</f>
        <v>#REF!</v>
      </c>
      <c r="FZ2" t="e">
        <f>AND(#REF!,"AAAAAH8+/7U=")</f>
        <v>#REF!</v>
      </c>
      <c r="GA2" t="e">
        <f>AND(#REF!,"AAAAAH8+/7Y=")</f>
        <v>#REF!</v>
      </c>
      <c r="GB2" t="e">
        <f>AND(#REF!,"AAAAAH8+/7c=")</f>
        <v>#REF!</v>
      </c>
      <c r="GC2" t="e">
        <f>AND(#REF!,"AAAAAH8+/7g=")</f>
        <v>#REF!</v>
      </c>
      <c r="GD2" t="e">
        <f>AND(#REF!,"AAAAAH8+/7k=")</f>
        <v>#REF!</v>
      </c>
      <c r="GE2" t="e">
        <f>AND(#REF!,"AAAAAH8+/7o=")</f>
        <v>#REF!</v>
      </c>
      <c r="GF2" t="e">
        <f>AND(#REF!,"AAAAAH8+/7s=")</f>
        <v>#REF!</v>
      </c>
      <c r="GG2" t="e">
        <f>AND(#REF!,"AAAAAH8+/7w=")</f>
        <v>#REF!</v>
      </c>
      <c r="GH2" t="e">
        <f>AND(#REF!,"AAAAAH8+/70=")</f>
        <v>#REF!</v>
      </c>
      <c r="GI2" t="e">
        <f>AND(#REF!,"AAAAAH8+/74=")</f>
        <v>#REF!</v>
      </c>
      <c r="GJ2" t="e">
        <f>AND(#REF!,"AAAAAH8+/78=")</f>
        <v>#REF!</v>
      </c>
      <c r="GK2" t="e">
        <f>AND(#REF!,"AAAAAH8+/8A=")</f>
        <v>#REF!</v>
      </c>
      <c r="GL2" t="e">
        <f>AND(#REF!,"AAAAAH8+/8E=")</f>
        <v>#REF!</v>
      </c>
      <c r="GM2" t="e">
        <f>AND(#REF!,"AAAAAH8+/8I=")</f>
        <v>#REF!</v>
      </c>
      <c r="GN2" t="e">
        <f>AND(#REF!,"AAAAAH8+/8M=")</f>
        <v>#REF!</v>
      </c>
      <c r="GO2" t="e">
        <f>AND(#REF!,"AAAAAH8+/8Q=")</f>
        <v>#REF!</v>
      </c>
      <c r="GP2" t="e">
        <f>AND(#REF!,"AAAAAH8+/8U=")</f>
        <v>#REF!</v>
      </c>
      <c r="GQ2" t="e">
        <f>AND(#REF!,"AAAAAH8+/8Y=")</f>
        <v>#REF!</v>
      </c>
      <c r="GR2" t="e">
        <f>AND(#REF!,"AAAAAH8+/8c=")</f>
        <v>#REF!</v>
      </c>
      <c r="GS2" t="e">
        <f>AND(#REF!,"AAAAAH8+/8g=")</f>
        <v>#REF!</v>
      </c>
      <c r="GT2" t="e">
        <f>AND(#REF!,"AAAAAH8+/8k=")</f>
        <v>#REF!</v>
      </c>
      <c r="GU2" t="e">
        <f>AND(#REF!,"AAAAAH8+/8o=")</f>
        <v>#REF!</v>
      </c>
      <c r="GV2" t="e">
        <f>AND(#REF!,"AAAAAH8+/8s=")</f>
        <v>#REF!</v>
      </c>
      <c r="GW2" t="e">
        <f>AND(#REF!,"AAAAAH8+/8w=")</f>
        <v>#REF!</v>
      </c>
      <c r="GX2" t="e">
        <f>AND(#REF!,"AAAAAH8+/80=")</f>
        <v>#REF!</v>
      </c>
      <c r="GY2" t="e">
        <f>AND(#REF!,"AAAAAH8+/84=")</f>
        <v>#REF!</v>
      </c>
      <c r="GZ2" t="e">
        <f>AND(#REF!,"AAAAAH8+/88=")</f>
        <v>#REF!</v>
      </c>
      <c r="HA2" t="e">
        <f>AND(#REF!,"AAAAAH8+/9A=")</f>
        <v>#REF!</v>
      </c>
      <c r="HB2" t="e">
        <f>AND(#REF!,"AAAAAH8+/9E=")</f>
        <v>#REF!</v>
      </c>
      <c r="HC2" t="e">
        <f>AND(#REF!,"AAAAAH8+/9I=")</f>
        <v>#REF!</v>
      </c>
      <c r="HD2" t="e">
        <f>AND(#REF!,"AAAAAH8+/9M=")</f>
        <v>#REF!</v>
      </c>
      <c r="HE2" t="e">
        <f>IF(#REF!,"AAAAAH8+/9Q=",0)</f>
        <v>#REF!</v>
      </c>
      <c r="HF2" t="e">
        <f>AND(#REF!,"AAAAAH8+/9U=")</f>
        <v>#REF!</v>
      </c>
      <c r="HG2" t="e">
        <f>AND(#REF!,"AAAAAH8+/9Y=")</f>
        <v>#REF!</v>
      </c>
      <c r="HH2" t="e">
        <f>AND(#REF!,"AAAAAH8+/9c=")</f>
        <v>#REF!</v>
      </c>
      <c r="HI2" t="e">
        <f>AND(#REF!,"AAAAAH8+/9g=")</f>
        <v>#REF!</v>
      </c>
      <c r="HJ2" t="e">
        <f>AND(#REF!,"AAAAAH8+/9k=")</f>
        <v>#REF!</v>
      </c>
      <c r="HK2" t="e">
        <f>AND(#REF!,"AAAAAH8+/9o=")</f>
        <v>#REF!</v>
      </c>
      <c r="HL2" t="e">
        <f>AND(#REF!,"AAAAAH8+/9s=")</f>
        <v>#REF!</v>
      </c>
      <c r="HM2" t="e">
        <f>AND(#REF!,"AAAAAH8+/9w=")</f>
        <v>#REF!</v>
      </c>
      <c r="HN2" t="e">
        <f>AND(#REF!,"AAAAAH8+/90=")</f>
        <v>#REF!</v>
      </c>
      <c r="HO2" t="e">
        <f>AND(#REF!,"AAAAAH8+/94=")</f>
        <v>#REF!</v>
      </c>
      <c r="HP2" t="e">
        <f>AND(#REF!,"AAAAAH8+/98=")</f>
        <v>#REF!</v>
      </c>
      <c r="HQ2" t="e">
        <f>AND(#REF!,"AAAAAH8+/+A=")</f>
        <v>#REF!</v>
      </c>
      <c r="HR2" t="e">
        <f>AND(#REF!,"AAAAAH8+/+E=")</f>
        <v>#REF!</v>
      </c>
      <c r="HS2" t="e">
        <f>AND(#REF!,"AAAAAH8+/+I=")</f>
        <v>#REF!</v>
      </c>
      <c r="HT2" t="e">
        <f>AND(#REF!,"AAAAAH8+/+M=")</f>
        <v>#REF!</v>
      </c>
      <c r="HU2" t="e">
        <f>AND(#REF!,"AAAAAH8+/+Q=")</f>
        <v>#REF!</v>
      </c>
      <c r="HV2" t="e">
        <f>AND(#REF!,"AAAAAH8+/+U=")</f>
        <v>#REF!</v>
      </c>
      <c r="HW2" t="e">
        <f>AND(#REF!,"AAAAAH8+/+Y=")</f>
        <v>#REF!</v>
      </c>
      <c r="HX2" t="e">
        <f>AND(#REF!,"AAAAAH8+/+c=")</f>
        <v>#REF!</v>
      </c>
      <c r="HY2" t="e">
        <f>AND(#REF!,"AAAAAH8+/+g=")</f>
        <v>#REF!</v>
      </c>
      <c r="HZ2" t="e">
        <f>AND(#REF!,"AAAAAH8+/+k=")</f>
        <v>#REF!</v>
      </c>
      <c r="IA2" t="e">
        <f>AND(#REF!,"AAAAAH8+/+o=")</f>
        <v>#REF!</v>
      </c>
      <c r="IB2" t="e">
        <f>AND(#REF!,"AAAAAH8+/+s=")</f>
        <v>#REF!</v>
      </c>
      <c r="IC2" t="e">
        <f>AND(#REF!,"AAAAAH8+/+w=")</f>
        <v>#REF!</v>
      </c>
      <c r="ID2" t="e">
        <f>AND(#REF!,"AAAAAH8+/+0=")</f>
        <v>#REF!</v>
      </c>
      <c r="IE2" t="e">
        <f>AND(#REF!,"AAAAAH8+/+4=")</f>
        <v>#REF!</v>
      </c>
      <c r="IF2" t="e">
        <f>AND(#REF!,"AAAAAH8+/+8=")</f>
        <v>#REF!</v>
      </c>
      <c r="IG2" t="e">
        <f>AND(#REF!,"AAAAAH8+//A=")</f>
        <v>#REF!</v>
      </c>
      <c r="IH2" t="e">
        <f>AND(#REF!,"AAAAAH8+//E=")</f>
        <v>#REF!</v>
      </c>
      <c r="II2" t="e">
        <f>AND(#REF!,"AAAAAH8+//I=")</f>
        <v>#REF!</v>
      </c>
      <c r="IJ2" t="e">
        <f>AND(#REF!,"AAAAAH8+//M=")</f>
        <v>#REF!</v>
      </c>
      <c r="IK2" t="e">
        <f>AND(#REF!,"AAAAAH8+//Q=")</f>
        <v>#REF!</v>
      </c>
      <c r="IL2" t="e">
        <f>AND(#REF!,"AAAAAH8+//U=")</f>
        <v>#REF!</v>
      </c>
      <c r="IM2" t="e">
        <f>AND(#REF!,"AAAAAH8+//Y=")</f>
        <v>#REF!</v>
      </c>
      <c r="IN2" t="e">
        <f>AND(#REF!,"AAAAAH8+//c=")</f>
        <v>#REF!</v>
      </c>
      <c r="IO2" t="e">
        <f>IF(#REF!,"AAAAAH8+//g=",0)</f>
        <v>#REF!</v>
      </c>
      <c r="IP2" t="e">
        <f>AND(#REF!,"AAAAAH8+//k=")</f>
        <v>#REF!</v>
      </c>
      <c r="IQ2" t="e">
        <f>AND(#REF!,"AAAAAH8+//o=")</f>
        <v>#REF!</v>
      </c>
      <c r="IR2" t="e">
        <f>AND(#REF!,"AAAAAH8+//s=")</f>
        <v>#REF!</v>
      </c>
      <c r="IS2" t="e">
        <f>AND(#REF!,"AAAAAH8+//w=")</f>
        <v>#REF!</v>
      </c>
      <c r="IT2" t="e">
        <f>AND(#REF!,"AAAAAH8+//0=")</f>
        <v>#REF!</v>
      </c>
      <c r="IU2" t="e">
        <f>AND(#REF!,"AAAAAH8+//4=")</f>
        <v>#REF!</v>
      </c>
      <c r="IV2" t="e">
        <f>AND(#REF!,"AAAAAH8+//8=")</f>
        <v>#REF!</v>
      </c>
    </row>
    <row r="3" spans="1:256">
      <c r="A3" t="e">
        <f>AND(#REF!,"AAAAAD//fwA=")</f>
        <v>#REF!</v>
      </c>
      <c r="B3" t="e">
        <f>AND(#REF!,"AAAAAD//fwE=")</f>
        <v>#REF!</v>
      </c>
      <c r="C3" t="e">
        <f>AND(#REF!,"AAAAAD//fwI=")</f>
        <v>#REF!</v>
      </c>
      <c r="D3" t="e">
        <f>AND(#REF!,"AAAAAD//fwM=")</f>
        <v>#REF!</v>
      </c>
      <c r="E3" t="e">
        <f>AND(#REF!,"AAAAAD//fwQ=")</f>
        <v>#REF!</v>
      </c>
      <c r="F3" t="e">
        <f>AND(#REF!,"AAAAAD//fwU=")</f>
        <v>#REF!</v>
      </c>
      <c r="G3" t="e">
        <f>AND(#REF!,"AAAAAD//fwY=")</f>
        <v>#REF!</v>
      </c>
      <c r="H3" t="e">
        <f>AND(#REF!,"AAAAAD//fwc=")</f>
        <v>#REF!</v>
      </c>
      <c r="I3" t="e">
        <f>AND(#REF!,"AAAAAD//fwg=")</f>
        <v>#REF!</v>
      </c>
      <c r="J3" t="e">
        <f>AND(#REF!,"AAAAAD//fwk=")</f>
        <v>#REF!</v>
      </c>
      <c r="K3" t="e">
        <f>AND(#REF!,"AAAAAD//fwo=")</f>
        <v>#REF!</v>
      </c>
      <c r="L3" t="e">
        <f>AND(#REF!,"AAAAAD//fws=")</f>
        <v>#REF!</v>
      </c>
      <c r="M3" t="e">
        <f>AND(#REF!,"AAAAAD//fww=")</f>
        <v>#REF!</v>
      </c>
      <c r="N3" t="e">
        <f>AND(#REF!,"AAAAAD//fw0=")</f>
        <v>#REF!</v>
      </c>
      <c r="O3" t="e">
        <f>AND(#REF!,"AAAAAD//fw4=")</f>
        <v>#REF!</v>
      </c>
      <c r="P3" t="e">
        <f>AND(#REF!,"AAAAAD//fw8=")</f>
        <v>#REF!</v>
      </c>
      <c r="Q3" t="e">
        <f>AND(#REF!,"AAAAAD//fxA=")</f>
        <v>#REF!</v>
      </c>
      <c r="R3" t="e">
        <f>AND(#REF!,"AAAAAD//fxE=")</f>
        <v>#REF!</v>
      </c>
      <c r="S3" t="e">
        <f>AND(#REF!,"AAAAAD//fxI=")</f>
        <v>#REF!</v>
      </c>
      <c r="T3" t="e">
        <f>AND(#REF!,"AAAAAD//fxM=")</f>
        <v>#REF!</v>
      </c>
      <c r="U3" t="e">
        <f>AND(#REF!,"AAAAAD//fxQ=")</f>
        <v>#REF!</v>
      </c>
      <c r="V3" t="e">
        <f>AND(#REF!,"AAAAAD//fxU=")</f>
        <v>#REF!</v>
      </c>
      <c r="W3" t="e">
        <f>AND(#REF!,"AAAAAD//fxY=")</f>
        <v>#REF!</v>
      </c>
      <c r="X3" t="e">
        <f>AND(#REF!,"AAAAAD//fxc=")</f>
        <v>#REF!</v>
      </c>
      <c r="Y3" t="e">
        <f>AND(#REF!,"AAAAAD//fxg=")</f>
        <v>#REF!</v>
      </c>
      <c r="Z3" t="e">
        <f>AND(#REF!,"AAAAAD//fxk=")</f>
        <v>#REF!</v>
      </c>
      <c r="AA3" t="e">
        <f>AND(#REF!,"AAAAAD//fxo=")</f>
        <v>#REF!</v>
      </c>
      <c r="AB3" t="e">
        <f>AND(#REF!,"AAAAAD//fxs=")</f>
        <v>#REF!</v>
      </c>
      <c r="AC3" t="e">
        <f>IF(#REF!,"AAAAAD//fxw=",0)</f>
        <v>#REF!</v>
      </c>
      <c r="AD3" t="e">
        <f>AND(#REF!,"AAAAAD//fx0=")</f>
        <v>#REF!</v>
      </c>
      <c r="AE3" t="e">
        <f>AND(#REF!,"AAAAAD//fx4=")</f>
        <v>#REF!</v>
      </c>
      <c r="AF3" t="e">
        <f>AND(#REF!,"AAAAAD//fx8=")</f>
        <v>#REF!</v>
      </c>
      <c r="AG3" t="e">
        <f>AND(#REF!,"AAAAAD//fyA=")</f>
        <v>#REF!</v>
      </c>
      <c r="AH3" t="e">
        <f>AND(#REF!,"AAAAAD//fyE=")</f>
        <v>#REF!</v>
      </c>
      <c r="AI3" t="e">
        <f>AND(#REF!,"AAAAAD//fyI=")</f>
        <v>#REF!</v>
      </c>
      <c r="AJ3" t="e">
        <f>AND(#REF!,"AAAAAD//fyM=")</f>
        <v>#REF!</v>
      </c>
      <c r="AK3" t="e">
        <f>AND(#REF!,"AAAAAD//fyQ=")</f>
        <v>#REF!</v>
      </c>
      <c r="AL3" t="e">
        <f>AND(#REF!,"AAAAAD//fyU=")</f>
        <v>#REF!</v>
      </c>
      <c r="AM3" t="e">
        <f>AND(#REF!,"AAAAAD//fyY=")</f>
        <v>#REF!</v>
      </c>
      <c r="AN3" t="e">
        <f>AND(#REF!,"AAAAAD//fyc=")</f>
        <v>#REF!</v>
      </c>
      <c r="AO3" t="e">
        <f>AND(#REF!,"AAAAAD//fyg=")</f>
        <v>#REF!</v>
      </c>
      <c r="AP3" t="e">
        <f>AND(#REF!,"AAAAAD//fyk=")</f>
        <v>#REF!</v>
      </c>
      <c r="AQ3" t="e">
        <f>AND(#REF!,"AAAAAD//fyo=")</f>
        <v>#REF!</v>
      </c>
      <c r="AR3" t="e">
        <f>AND(#REF!,"AAAAAD//fys=")</f>
        <v>#REF!</v>
      </c>
      <c r="AS3" t="e">
        <f>AND(#REF!,"AAAAAD//fyw=")</f>
        <v>#REF!</v>
      </c>
      <c r="AT3" t="e">
        <f>AND(#REF!,"AAAAAD//fy0=")</f>
        <v>#REF!</v>
      </c>
      <c r="AU3" t="e">
        <f>AND(#REF!,"AAAAAD//fy4=")</f>
        <v>#REF!</v>
      </c>
      <c r="AV3" t="e">
        <f>AND(#REF!,"AAAAAD//fy8=")</f>
        <v>#REF!</v>
      </c>
      <c r="AW3" t="e">
        <f>AND(#REF!,"AAAAAD//fzA=")</f>
        <v>#REF!</v>
      </c>
      <c r="AX3" t="e">
        <f>AND(#REF!,"AAAAAD//fzE=")</f>
        <v>#REF!</v>
      </c>
      <c r="AY3" t="e">
        <f>AND(#REF!,"AAAAAD//fzI=")</f>
        <v>#REF!</v>
      </c>
      <c r="AZ3" t="e">
        <f>AND(#REF!,"AAAAAD//fzM=")</f>
        <v>#REF!</v>
      </c>
      <c r="BA3" t="e">
        <f>AND(#REF!,"AAAAAD//fzQ=")</f>
        <v>#REF!</v>
      </c>
      <c r="BB3" t="e">
        <f>AND(#REF!,"AAAAAD//fzU=")</f>
        <v>#REF!</v>
      </c>
      <c r="BC3" t="e">
        <f>AND(#REF!,"AAAAAD//fzY=")</f>
        <v>#REF!</v>
      </c>
      <c r="BD3" t="e">
        <f>AND(#REF!,"AAAAAD//fzc=")</f>
        <v>#REF!</v>
      </c>
      <c r="BE3" t="e">
        <f>AND(#REF!,"AAAAAD//fzg=")</f>
        <v>#REF!</v>
      </c>
      <c r="BF3" t="e">
        <f>AND(#REF!,"AAAAAD//fzk=")</f>
        <v>#REF!</v>
      </c>
      <c r="BG3" t="e">
        <f>AND(#REF!,"AAAAAD//fzo=")</f>
        <v>#REF!</v>
      </c>
      <c r="BH3" t="e">
        <f>AND(#REF!,"AAAAAD//fzs=")</f>
        <v>#REF!</v>
      </c>
      <c r="BI3" t="e">
        <f>AND(#REF!,"AAAAAD//fzw=")</f>
        <v>#REF!</v>
      </c>
      <c r="BJ3" t="e">
        <f>AND(#REF!,"AAAAAD//fz0=")</f>
        <v>#REF!</v>
      </c>
      <c r="BK3" t="e">
        <f>AND(#REF!,"AAAAAD//fz4=")</f>
        <v>#REF!</v>
      </c>
      <c r="BL3" t="e">
        <f>AND(#REF!,"AAAAAD//fz8=")</f>
        <v>#REF!</v>
      </c>
      <c r="BM3" t="e">
        <f>IF(#REF!,"AAAAAD//f0A=",0)</f>
        <v>#REF!</v>
      </c>
      <c r="BN3" t="e">
        <f>AND(#REF!,"AAAAAD//f0E=")</f>
        <v>#REF!</v>
      </c>
      <c r="BO3" t="e">
        <f>AND(#REF!,"AAAAAD//f0I=")</f>
        <v>#REF!</v>
      </c>
      <c r="BP3" t="e">
        <f>AND(#REF!,"AAAAAD//f0M=")</f>
        <v>#REF!</v>
      </c>
      <c r="BQ3" t="e">
        <f>AND(#REF!,"AAAAAD//f0Q=")</f>
        <v>#REF!</v>
      </c>
      <c r="BR3" t="e">
        <f>AND(#REF!,"AAAAAD//f0U=")</f>
        <v>#REF!</v>
      </c>
      <c r="BS3" t="e">
        <f>AND(#REF!,"AAAAAD//f0Y=")</f>
        <v>#REF!</v>
      </c>
      <c r="BT3" t="e">
        <f>AND(#REF!,"AAAAAD//f0c=")</f>
        <v>#REF!</v>
      </c>
      <c r="BU3" t="e">
        <f>AND(#REF!,"AAAAAD//f0g=")</f>
        <v>#REF!</v>
      </c>
      <c r="BV3" t="e">
        <f>AND(#REF!,"AAAAAD//f0k=")</f>
        <v>#REF!</v>
      </c>
      <c r="BW3" t="e">
        <f>AND(#REF!,"AAAAAD//f0o=")</f>
        <v>#REF!</v>
      </c>
      <c r="BX3" t="e">
        <f>AND(#REF!,"AAAAAD//f0s=")</f>
        <v>#REF!</v>
      </c>
      <c r="BY3" t="e">
        <f>AND(#REF!,"AAAAAD//f0w=")</f>
        <v>#REF!</v>
      </c>
      <c r="BZ3" t="e">
        <f>AND(#REF!,"AAAAAD//f00=")</f>
        <v>#REF!</v>
      </c>
      <c r="CA3" t="e">
        <f>AND(#REF!,"AAAAAD//f04=")</f>
        <v>#REF!</v>
      </c>
      <c r="CB3" t="e">
        <f>AND(#REF!,"AAAAAD//f08=")</f>
        <v>#REF!</v>
      </c>
      <c r="CC3" t="e">
        <f>AND(#REF!,"AAAAAD//f1A=")</f>
        <v>#REF!</v>
      </c>
      <c r="CD3" t="e">
        <f>AND(#REF!,"AAAAAD//f1E=")</f>
        <v>#REF!</v>
      </c>
      <c r="CE3" t="e">
        <f>AND(#REF!,"AAAAAD//f1I=")</f>
        <v>#REF!</v>
      </c>
      <c r="CF3" t="e">
        <f>AND(#REF!,"AAAAAD//f1M=")</f>
        <v>#REF!</v>
      </c>
      <c r="CG3" t="e">
        <f>AND(#REF!,"AAAAAD//f1Q=")</f>
        <v>#REF!</v>
      </c>
      <c r="CH3" t="e">
        <f>AND(#REF!,"AAAAAD//f1U=")</f>
        <v>#REF!</v>
      </c>
      <c r="CI3" t="e">
        <f>AND(#REF!,"AAAAAD//f1Y=")</f>
        <v>#REF!</v>
      </c>
      <c r="CJ3" t="e">
        <f>AND(#REF!,"AAAAAD//f1c=")</f>
        <v>#REF!</v>
      </c>
      <c r="CK3" t="e">
        <f>AND(#REF!,"AAAAAD//f1g=")</f>
        <v>#REF!</v>
      </c>
      <c r="CL3" t="e">
        <f>AND(#REF!,"AAAAAD//f1k=")</f>
        <v>#REF!</v>
      </c>
      <c r="CM3" t="e">
        <f>AND(#REF!,"AAAAAD//f1o=")</f>
        <v>#REF!</v>
      </c>
      <c r="CN3" t="e">
        <f>AND(#REF!,"AAAAAD//f1s=")</f>
        <v>#REF!</v>
      </c>
      <c r="CO3" t="e">
        <f>AND(#REF!,"AAAAAD//f1w=")</f>
        <v>#REF!</v>
      </c>
      <c r="CP3" t="e">
        <f>AND(#REF!,"AAAAAD//f10=")</f>
        <v>#REF!</v>
      </c>
      <c r="CQ3" t="e">
        <f>AND(#REF!,"AAAAAD//f14=")</f>
        <v>#REF!</v>
      </c>
      <c r="CR3" t="e">
        <f>AND(#REF!,"AAAAAD//f18=")</f>
        <v>#REF!</v>
      </c>
      <c r="CS3" t="e">
        <f>AND(#REF!,"AAAAAD//f2A=")</f>
        <v>#REF!</v>
      </c>
      <c r="CT3" t="e">
        <f>AND(#REF!,"AAAAAD//f2E=")</f>
        <v>#REF!</v>
      </c>
      <c r="CU3" t="e">
        <f>AND(#REF!,"AAAAAD//f2I=")</f>
        <v>#REF!</v>
      </c>
      <c r="CV3" t="e">
        <f>AND(#REF!,"AAAAAD//f2M=")</f>
        <v>#REF!</v>
      </c>
      <c r="CW3" t="e">
        <f>IF(#REF!,"AAAAAD//f2Q=",0)</f>
        <v>#REF!</v>
      </c>
      <c r="CX3" t="e">
        <f>AND(#REF!,"AAAAAD//f2U=")</f>
        <v>#REF!</v>
      </c>
      <c r="CY3" t="e">
        <f>AND(#REF!,"AAAAAD//f2Y=")</f>
        <v>#REF!</v>
      </c>
      <c r="CZ3" t="e">
        <f>AND(#REF!,"AAAAAD//f2c=")</f>
        <v>#REF!</v>
      </c>
      <c r="DA3" t="e">
        <f>AND(#REF!,"AAAAAD//f2g=")</f>
        <v>#REF!</v>
      </c>
      <c r="DB3" t="e">
        <f>AND(#REF!,"AAAAAD//f2k=")</f>
        <v>#REF!</v>
      </c>
      <c r="DC3" t="e">
        <f>AND(#REF!,"AAAAAD//f2o=")</f>
        <v>#REF!</v>
      </c>
      <c r="DD3" t="e">
        <f>AND(#REF!,"AAAAAD//f2s=")</f>
        <v>#REF!</v>
      </c>
      <c r="DE3" t="e">
        <f>AND(#REF!,"AAAAAD//f2w=")</f>
        <v>#REF!</v>
      </c>
      <c r="DF3" t="e">
        <f>AND(#REF!,"AAAAAD//f20=")</f>
        <v>#REF!</v>
      </c>
      <c r="DG3" t="e">
        <f>AND(#REF!,"AAAAAD//f24=")</f>
        <v>#REF!</v>
      </c>
      <c r="DH3" t="e">
        <f>AND(#REF!,"AAAAAD//f28=")</f>
        <v>#REF!</v>
      </c>
      <c r="DI3" t="e">
        <f>AND(#REF!,"AAAAAD//f3A=")</f>
        <v>#REF!</v>
      </c>
      <c r="DJ3" t="e">
        <f>AND(#REF!,"AAAAAD//f3E=")</f>
        <v>#REF!</v>
      </c>
      <c r="DK3" t="e">
        <f>AND(#REF!,"AAAAAD//f3I=")</f>
        <v>#REF!</v>
      </c>
      <c r="DL3" t="e">
        <f>AND(#REF!,"AAAAAD//f3M=")</f>
        <v>#REF!</v>
      </c>
      <c r="DM3" t="e">
        <f>AND(#REF!,"AAAAAD//f3Q=")</f>
        <v>#REF!</v>
      </c>
      <c r="DN3" t="e">
        <f>AND(#REF!,"AAAAAD//f3U=")</f>
        <v>#REF!</v>
      </c>
      <c r="DO3" t="e">
        <f>AND(#REF!,"AAAAAD//f3Y=")</f>
        <v>#REF!</v>
      </c>
      <c r="DP3" t="e">
        <f>AND(#REF!,"AAAAAD//f3c=")</f>
        <v>#REF!</v>
      </c>
      <c r="DQ3" t="e">
        <f>AND(#REF!,"AAAAAD//f3g=")</f>
        <v>#REF!</v>
      </c>
      <c r="DR3" t="e">
        <f>AND(#REF!,"AAAAAD//f3k=")</f>
        <v>#REF!</v>
      </c>
      <c r="DS3" t="e">
        <f>AND(#REF!,"AAAAAD//f3o=")</f>
        <v>#REF!</v>
      </c>
      <c r="DT3" t="e">
        <f>AND(#REF!,"AAAAAD//f3s=")</f>
        <v>#REF!</v>
      </c>
      <c r="DU3" t="e">
        <f>AND(#REF!,"AAAAAD//f3w=")</f>
        <v>#REF!</v>
      </c>
      <c r="DV3" t="e">
        <f>AND(#REF!,"AAAAAD//f30=")</f>
        <v>#REF!</v>
      </c>
      <c r="DW3" t="e">
        <f>AND(#REF!,"AAAAAD//f34=")</f>
        <v>#REF!</v>
      </c>
      <c r="DX3" t="e">
        <f>AND(#REF!,"AAAAAD//f38=")</f>
        <v>#REF!</v>
      </c>
      <c r="DY3" t="e">
        <f>AND(#REF!,"AAAAAD//f4A=")</f>
        <v>#REF!</v>
      </c>
      <c r="DZ3" t="e">
        <f>AND(#REF!,"AAAAAD//f4E=")</f>
        <v>#REF!</v>
      </c>
      <c r="EA3" t="e">
        <f>AND(#REF!,"AAAAAD//f4I=")</f>
        <v>#REF!</v>
      </c>
      <c r="EB3" t="e">
        <f>AND(#REF!,"AAAAAD//f4M=")</f>
        <v>#REF!</v>
      </c>
      <c r="EC3" t="e">
        <f>AND(#REF!,"AAAAAD//f4Q=")</f>
        <v>#REF!</v>
      </c>
      <c r="ED3" t="e">
        <f>AND(#REF!,"AAAAAD//f4U=")</f>
        <v>#REF!</v>
      </c>
      <c r="EE3" t="e">
        <f>AND(#REF!,"AAAAAD//f4Y=")</f>
        <v>#REF!</v>
      </c>
      <c r="EF3" t="e">
        <f>AND(#REF!,"AAAAAD//f4c=")</f>
        <v>#REF!</v>
      </c>
      <c r="EG3" t="e">
        <f>IF(#REF!,"AAAAAD//f4g=",0)</f>
        <v>#REF!</v>
      </c>
      <c r="EH3" t="e">
        <f>AND(#REF!,"AAAAAD//f4k=")</f>
        <v>#REF!</v>
      </c>
      <c r="EI3" t="e">
        <f>AND(#REF!,"AAAAAD//f4o=")</f>
        <v>#REF!</v>
      </c>
      <c r="EJ3" t="e">
        <f>AND(#REF!,"AAAAAD//f4s=")</f>
        <v>#REF!</v>
      </c>
      <c r="EK3" t="e">
        <f>AND(#REF!,"AAAAAD//f4w=")</f>
        <v>#REF!</v>
      </c>
      <c r="EL3" t="e">
        <f>AND(#REF!,"AAAAAD//f40=")</f>
        <v>#REF!</v>
      </c>
      <c r="EM3" t="e">
        <f>AND(#REF!,"AAAAAD//f44=")</f>
        <v>#REF!</v>
      </c>
      <c r="EN3" t="e">
        <f>AND(#REF!,"AAAAAD//f48=")</f>
        <v>#REF!</v>
      </c>
      <c r="EO3" t="e">
        <f>AND(#REF!,"AAAAAD//f5A=")</f>
        <v>#REF!</v>
      </c>
      <c r="EP3" t="e">
        <f>AND(#REF!,"AAAAAD//f5E=")</f>
        <v>#REF!</v>
      </c>
      <c r="EQ3" t="e">
        <f>AND(#REF!,"AAAAAD//f5I=")</f>
        <v>#REF!</v>
      </c>
      <c r="ER3" t="e">
        <f>AND(#REF!,"AAAAAD//f5M=")</f>
        <v>#REF!</v>
      </c>
      <c r="ES3" t="e">
        <f>AND(#REF!,"AAAAAD//f5Q=")</f>
        <v>#REF!</v>
      </c>
      <c r="ET3" t="e">
        <f>AND(#REF!,"AAAAAD//f5U=")</f>
        <v>#REF!</v>
      </c>
      <c r="EU3" t="e">
        <f>AND(#REF!,"AAAAAD//f5Y=")</f>
        <v>#REF!</v>
      </c>
      <c r="EV3" t="e">
        <f>AND(#REF!,"AAAAAD//f5c=")</f>
        <v>#REF!</v>
      </c>
      <c r="EW3" t="e">
        <f>AND(#REF!,"AAAAAD//f5g=")</f>
        <v>#REF!</v>
      </c>
      <c r="EX3" t="e">
        <f>AND(#REF!,"AAAAAD//f5k=")</f>
        <v>#REF!</v>
      </c>
      <c r="EY3" t="e">
        <f>AND(#REF!,"AAAAAD//f5o=")</f>
        <v>#REF!</v>
      </c>
      <c r="EZ3" t="e">
        <f>AND(#REF!,"AAAAAD//f5s=")</f>
        <v>#REF!</v>
      </c>
      <c r="FA3" t="e">
        <f>AND(#REF!,"AAAAAD//f5w=")</f>
        <v>#REF!</v>
      </c>
      <c r="FB3" t="e">
        <f>AND(#REF!,"AAAAAD//f50=")</f>
        <v>#REF!</v>
      </c>
      <c r="FC3" t="e">
        <f>AND(#REF!,"AAAAAD//f54=")</f>
        <v>#REF!</v>
      </c>
      <c r="FD3" t="e">
        <f>AND(#REF!,"AAAAAD//f58=")</f>
        <v>#REF!</v>
      </c>
      <c r="FE3" t="e">
        <f>AND(#REF!,"AAAAAD//f6A=")</f>
        <v>#REF!</v>
      </c>
      <c r="FF3" t="e">
        <f>AND(#REF!,"AAAAAD//f6E=")</f>
        <v>#REF!</v>
      </c>
      <c r="FG3" t="e">
        <f>AND(#REF!,"AAAAAD//f6I=")</f>
        <v>#REF!</v>
      </c>
      <c r="FH3" t="e">
        <f>AND(#REF!,"AAAAAD//f6M=")</f>
        <v>#REF!</v>
      </c>
      <c r="FI3" t="e">
        <f>AND(#REF!,"AAAAAD//f6Q=")</f>
        <v>#REF!</v>
      </c>
      <c r="FJ3" t="e">
        <f>AND(#REF!,"AAAAAD//f6U=")</f>
        <v>#REF!</v>
      </c>
      <c r="FK3" t="e">
        <f>AND(#REF!,"AAAAAD//f6Y=")</f>
        <v>#REF!</v>
      </c>
      <c r="FL3" t="e">
        <f>AND(#REF!,"AAAAAD//f6c=")</f>
        <v>#REF!</v>
      </c>
      <c r="FM3" t="e">
        <f>AND(#REF!,"AAAAAD//f6g=")</f>
        <v>#REF!</v>
      </c>
      <c r="FN3" t="e">
        <f>AND(#REF!,"AAAAAD//f6k=")</f>
        <v>#REF!</v>
      </c>
      <c r="FO3" t="e">
        <f>AND(#REF!,"AAAAAD//f6o=")</f>
        <v>#REF!</v>
      </c>
      <c r="FP3" t="e">
        <f>AND(#REF!,"AAAAAD//f6s=")</f>
        <v>#REF!</v>
      </c>
      <c r="FQ3" t="e">
        <f>IF(#REF!,"AAAAAD//f6w=",0)</f>
        <v>#REF!</v>
      </c>
      <c r="FR3" t="e">
        <f>AND(#REF!,"AAAAAD//f60=")</f>
        <v>#REF!</v>
      </c>
      <c r="FS3" t="e">
        <f>AND(#REF!,"AAAAAD//f64=")</f>
        <v>#REF!</v>
      </c>
      <c r="FT3" t="e">
        <f>AND(#REF!,"AAAAAD//f68=")</f>
        <v>#REF!</v>
      </c>
      <c r="FU3" t="e">
        <f>AND(#REF!,"AAAAAD//f7A=")</f>
        <v>#REF!</v>
      </c>
      <c r="FV3" t="e">
        <f>AND(#REF!,"AAAAAD//f7E=")</f>
        <v>#REF!</v>
      </c>
      <c r="FW3" t="e">
        <f>AND(#REF!,"AAAAAD//f7I=")</f>
        <v>#REF!</v>
      </c>
      <c r="FX3" t="e">
        <f>AND(#REF!,"AAAAAD//f7M=")</f>
        <v>#REF!</v>
      </c>
      <c r="FY3" t="e">
        <f>AND(#REF!,"AAAAAD//f7Q=")</f>
        <v>#REF!</v>
      </c>
      <c r="FZ3" t="e">
        <f>AND(#REF!,"AAAAAD//f7U=")</f>
        <v>#REF!</v>
      </c>
      <c r="GA3" t="e">
        <f>AND(#REF!,"AAAAAD//f7Y=")</f>
        <v>#REF!</v>
      </c>
      <c r="GB3" t="e">
        <f>AND(#REF!,"AAAAAD//f7c=")</f>
        <v>#REF!</v>
      </c>
      <c r="GC3" t="e">
        <f>AND(#REF!,"AAAAAD//f7g=")</f>
        <v>#REF!</v>
      </c>
      <c r="GD3" t="e">
        <f>AND(#REF!,"AAAAAD//f7k=")</f>
        <v>#REF!</v>
      </c>
      <c r="GE3" t="e">
        <f>AND(#REF!,"AAAAAD//f7o=")</f>
        <v>#REF!</v>
      </c>
      <c r="GF3" t="e">
        <f>AND(#REF!,"AAAAAD//f7s=")</f>
        <v>#REF!</v>
      </c>
      <c r="GG3" t="e">
        <f>AND(#REF!,"AAAAAD//f7w=")</f>
        <v>#REF!</v>
      </c>
      <c r="GH3" t="e">
        <f>AND(#REF!,"AAAAAD//f70=")</f>
        <v>#REF!</v>
      </c>
      <c r="GI3" t="e">
        <f>AND(#REF!,"AAAAAD//f74=")</f>
        <v>#REF!</v>
      </c>
      <c r="GJ3" t="e">
        <f>AND(#REF!,"AAAAAD//f78=")</f>
        <v>#REF!</v>
      </c>
      <c r="GK3" t="e">
        <f>AND(#REF!,"AAAAAD//f8A=")</f>
        <v>#REF!</v>
      </c>
      <c r="GL3" t="e">
        <f>AND(#REF!,"AAAAAD//f8E=")</f>
        <v>#REF!</v>
      </c>
      <c r="GM3" t="e">
        <f>AND(#REF!,"AAAAAD//f8I=")</f>
        <v>#REF!</v>
      </c>
      <c r="GN3" t="e">
        <f>AND(#REF!,"AAAAAD//f8M=")</f>
        <v>#REF!</v>
      </c>
      <c r="GO3" t="e">
        <f>AND(#REF!,"AAAAAD//f8Q=")</f>
        <v>#REF!</v>
      </c>
      <c r="GP3" t="e">
        <f>AND(#REF!,"AAAAAD//f8U=")</f>
        <v>#REF!</v>
      </c>
      <c r="GQ3" t="e">
        <f>AND(#REF!,"AAAAAD//f8Y=")</f>
        <v>#REF!</v>
      </c>
      <c r="GR3" t="e">
        <f>AND(#REF!,"AAAAAD//f8c=")</f>
        <v>#REF!</v>
      </c>
      <c r="GS3" t="e">
        <f>AND(#REF!,"AAAAAD//f8g=")</f>
        <v>#REF!</v>
      </c>
      <c r="GT3" t="e">
        <f>AND(#REF!,"AAAAAD//f8k=")</f>
        <v>#REF!</v>
      </c>
      <c r="GU3" t="e">
        <f>AND(#REF!,"AAAAAD//f8o=")</f>
        <v>#REF!</v>
      </c>
      <c r="GV3" t="e">
        <f>AND(#REF!,"AAAAAD//f8s=")</f>
        <v>#REF!</v>
      </c>
      <c r="GW3" t="e">
        <f>AND(#REF!,"AAAAAD//f8w=")</f>
        <v>#REF!</v>
      </c>
      <c r="GX3" t="e">
        <f>AND(#REF!,"AAAAAD//f80=")</f>
        <v>#REF!</v>
      </c>
      <c r="GY3" t="e">
        <f>AND(#REF!,"AAAAAD//f84=")</f>
        <v>#REF!</v>
      </c>
      <c r="GZ3" t="e">
        <f>AND(#REF!,"AAAAAD//f88=")</f>
        <v>#REF!</v>
      </c>
      <c r="HA3" t="e">
        <f>IF(#REF!,"AAAAAD//f9A=",0)</f>
        <v>#REF!</v>
      </c>
      <c r="HB3" t="e">
        <f>AND(#REF!,"AAAAAD//f9E=")</f>
        <v>#REF!</v>
      </c>
      <c r="HC3" t="e">
        <f>AND(#REF!,"AAAAAD//f9I=")</f>
        <v>#REF!</v>
      </c>
      <c r="HD3" t="e">
        <f>AND(#REF!,"AAAAAD//f9M=")</f>
        <v>#REF!</v>
      </c>
      <c r="HE3" t="e">
        <f>AND(#REF!,"AAAAAD//f9Q=")</f>
        <v>#REF!</v>
      </c>
      <c r="HF3" t="e">
        <f>AND(#REF!,"AAAAAD//f9U=")</f>
        <v>#REF!</v>
      </c>
      <c r="HG3" t="e">
        <f>AND(#REF!,"AAAAAD//f9Y=")</f>
        <v>#REF!</v>
      </c>
      <c r="HH3" t="e">
        <f>AND(#REF!,"AAAAAD//f9c=")</f>
        <v>#REF!</v>
      </c>
      <c r="HI3" t="e">
        <f>AND(#REF!,"AAAAAD//f9g=")</f>
        <v>#REF!</v>
      </c>
      <c r="HJ3" t="e">
        <f>AND(#REF!,"AAAAAD//f9k=")</f>
        <v>#REF!</v>
      </c>
      <c r="HK3" t="e">
        <f>AND(#REF!,"AAAAAD//f9o=")</f>
        <v>#REF!</v>
      </c>
      <c r="HL3" t="e">
        <f>AND(#REF!,"AAAAAD//f9s=")</f>
        <v>#REF!</v>
      </c>
      <c r="HM3" t="e">
        <f>AND(#REF!,"AAAAAD//f9w=")</f>
        <v>#REF!</v>
      </c>
      <c r="HN3" t="e">
        <f>AND(#REF!,"AAAAAD//f90=")</f>
        <v>#REF!</v>
      </c>
      <c r="HO3" t="e">
        <f>AND(#REF!,"AAAAAD//f94=")</f>
        <v>#REF!</v>
      </c>
      <c r="HP3" t="e">
        <f>AND(#REF!,"AAAAAD//f98=")</f>
        <v>#REF!</v>
      </c>
      <c r="HQ3" t="e">
        <f>AND(#REF!,"AAAAAD//f+A=")</f>
        <v>#REF!</v>
      </c>
      <c r="HR3" t="e">
        <f>AND(#REF!,"AAAAAD//f+E=")</f>
        <v>#REF!</v>
      </c>
      <c r="HS3" t="e">
        <f>AND(#REF!,"AAAAAD//f+I=")</f>
        <v>#REF!</v>
      </c>
      <c r="HT3" t="e">
        <f>AND(#REF!,"AAAAAD//f+M=")</f>
        <v>#REF!</v>
      </c>
      <c r="HU3" t="e">
        <f>AND(#REF!,"AAAAAD//f+Q=")</f>
        <v>#REF!</v>
      </c>
      <c r="HV3" t="e">
        <f>AND(#REF!,"AAAAAD//f+U=")</f>
        <v>#REF!</v>
      </c>
      <c r="HW3" t="e">
        <f>AND(#REF!,"AAAAAD//f+Y=")</f>
        <v>#REF!</v>
      </c>
      <c r="HX3" t="e">
        <f>AND(#REF!,"AAAAAD//f+c=")</f>
        <v>#REF!</v>
      </c>
      <c r="HY3" t="e">
        <f>AND(#REF!,"AAAAAD//f+g=")</f>
        <v>#REF!</v>
      </c>
      <c r="HZ3" t="e">
        <f>AND(#REF!,"AAAAAD//f+k=")</f>
        <v>#REF!</v>
      </c>
      <c r="IA3" t="e">
        <f>AND(#REF!,"AAAAAD//f+o=")</f>
        <v>#REF!</v>
      </c>
      <c r="IB3" t="e">
        <f>AND(#REF!,"AAAAAD//f+s=")</f>
        <v>#REF!</v>
      </c>
      <c r="IC3" t="e">
        <f>AND(#REF!,"AAAAAD//f+w=")</f>
        <v>#REF!</v>
      </c>
      <c r="ID3" t="e">
        <f>AND(#REF!,"AAAAAD//f+0=")</f>
        <v>#REF!</v>
      </c>
      <c r="IE3" t="e">
        <f>AND(#REF!,"AAAAAD//f+4=")</f>
        <v>#REF!</v>
      </c>
      <c r="IF3" t="e">
        <f>AND(#REF!,"AAAAAD//f+8=")</f>
        <v>#REF!</v>
      </c>
      <c r="IG3" t="e">
        <f>AND(#REF!,"AAAAAD//f/A=")</f>
        <v>#REF!</v>
      </c>
      <c r="IH3" t="e">
        <f>AND(#REF!,"AAAAAD//f/E=")</f>
        <v>#REF!</v>
      </c>
      <c r="II3" t="e">
        <f>AND(#REF!,"AAAAAD//f/I=")</f>
        <v>#REF!</v>
      </c>
      <c r="IJ3" t="e">
        <f>AND(#REF!,"AAAAAD//f/M=")</f>
        <v>#REF!</v>
      </c>
      <c r="IK3" t="e">
        <f>IF(#REF!,"AAAAAD//f/Q=",0)</f>
        <v>#REF!</v>
      </c>
      <c r="IL3" t="e">
        <f>AND(#REF!,"AAAAAD//f/U=")</f>
        <v>#REF!</v>
      </c>
      <c r="IM3" t="e">
        <f>AND(#REF!,"AAAAAD//f/Y=")</f>
        <v>#REF!</v>
      </c>
      <c r="IN3" t="e">
        <f>AND(#REF!,"AAAAAD//f/c=")</f>
        <v>#REF!</v>
      </c>
      <c r="IO3" t="e">
        <f>AND(#REF!,"AAAAAD//f/g=")</f>
        <v>#REF!</v>
      </c>
      <c r="IP3" t="e">
        <f>AND(#REF!,"AAAAAD//f/k=")</f>
        <v>#REF!</v>
      </c>
      <c r="IQ3" t="e">
        <f>AND(#REF!,"AAAAAD//f/o=")</f>
        <v>#REF!</v>
      </c>
      <c r="IR3" t="e">
        <f>AND(#REF!,"AAAAAD//f/s=")</f>
        <v>#REF!</v>
      </c>
      <c r="IS3" t="e">
        <f>AND(#REF!,"AAAAAD//f/w=")</f>
        <v>#REF!</v>
      </c>
      <c r="IT3" t="e">
        <f>AND(#REF!,"AAAAAD//f/0=")</f>
        <v>#REF!</v>
      </c>
      <c r="IU3" t="e">
        <f>AND(#REF!,"AAAAAD//f/4=")</f>
        <v>#REF!</v>
      </c>
      <c r="IV3" t="e">
        <f>AND(#REF!,"AAAAAD//f/8=")</f>
        <v>#REF!</v>
      </c>
    </row>
    <row r="4" spans="1:256">
      <c r="A4" t="e">
        <f>AND(#REF!,"AAAAAB9/6wA=")</f>
        <v>#REF!</v>
      </c>
      <c r="B4" t="e">
        <f>AND(#REF!,"AAAAAB9/6wE=")</f>
        <v>#REF!</v>
      </c>
      <c r="C4" t="e">
        <f>AND(#REF!,"AAAAAB9/6wI=")</f>
        <v>#REF!</v>
      </c>
      <c r="D4" t="e">
        <f>AND(#REF!,"AAAAAB9/6wM=")</f>
        <v>#REF!</v>
      </c>
      <c r="E4" t="e">
        <f>AND(#REF!,"AAAAAB9/6wQ=")</f>
        <v>#REF!</v>
      </c>
      <c r="F4" t="e">
        <f>AND(#REF!,"AAAAAB9/6wU=")</f>
        <v>#REF!</v>
      </c>
      <c r="G4" t="e">
        <f>AND(#REF!,"AAAAAB9/6wY=")</f>
        <v>#REF!</v>
      </c>
      <c r="H4" t="e">
        <f>AND(#REF!,"AAAAAB9/6wc=")</f>
        <v>#REF!</v>
      </c>
      <c r="I4" t="e">
        <f>AND(#REF!,"AAAAAB9/6wg=")</f>
        <v>#REF!</v>
      </c>
      <c r="J4" t="e">
        <f>AND(#REF!,"AAAAAB9/6wk=")</f>
        <v>#REF!</v>
      </c>
      <c r="K4" t="e">
        <f>AND(#REF!,"AAAAAB9/6wo=")</f>
        <v>#REF!</v>
      </c>
      <c r="L4" t="e">
        <f>AND(#REF!,"AAAAAB9/6ws=")</f>
        <v>#REF!</v>
      </c>
      <c r="M4" t="e">
        <f>AND(#REF!,"AAAAAB9/6ww=")</f>
        <v>#REF!</v>
      </c>
      <c r="N4" t="e">
        <f>AND(#REF!,"AAAAAB9/6w0=")</f>
        <v>#REF!</v>
      </c>
      <c r="O4" t="e">
        <f>AND(#REF!,"AAAAAB9/6w4=")</f>
        <v>#REF!</v>
      </c>
      <c r="P4" t="e">
        <f>AND(#REF!,"AAAAAB9/6w8=")</f>
        <v>#REF!</v>
      </c>
      <c r="Q4" t="e">
        <f>AND(#REF!,"AAAAAB9/6xA=")</f>
        <v>#REF!</v>
      </c>
      <c r="R4" t="e">
        <f>AND(#REF!,"AAAAAB9/6xE=")</f>
        <v>#REF!</v>
      </c>
      <c r="S4" t="e">
        <f>AND(#REF!,"AAAAAB9/6xI=")</f>
        <v>#REF!</v>
      </c>
      <c r="T4" t="e">
        <f>AND(#REF!,"AAAAAB9/6xM=")</f>
        <v>#REF!</v>
      </c>
      <c r="U4" t="e">
        <f>AND(#REF!,"AAAAAB9/6xQ=")</f>
        <v>#REF!</v>
      </c>
      <c r="V4" t="e">
        <f>AND(#REF!,"AAAAAB9/6xU=")</f>
        <v>#REF!</v>
      </c>
      <c r="W4" t="e">
        <f>AND(#REF!,"AAAAAB9/6xY=")</f>
        <v>#REF!</v>
      </c>
      <c r="X4" t="e">
        <f>AND(#REF!,"AAAAAB9/6xc=")</f>
        <v>#REF!</v>
      </c>
      <c r="Y4" t="e">
        <f>IF(#REF!,"AAAAAB9/6xg=",0)</f>
        <v>#REF!</v>
      </c>
      <c r="Z4" t="e">
        <f>AND(#REF!,"AAAAAB9/6xk=")</f>
        <v>#REF!</v>
      </c>
      <c r="AA4" t="e">
        <f>AND(#REF!,"AAAAAB9/6xo=")</f>
        <v>#REF!</v>
      </c>
      <c r="AB4" t="e">
        <f>AND(#REF!,"AAAAAB9/6xs=")</f>
        <v>#REF!</v>
      </c>
      <c r="AC4" t="e">
        <f>AND(#REF!,"AAAAAB9/6xw=")</f>
        <v>#REF!</v>
      </c>
      <c r="AD4" t="e">
        <f>AND(#REF!,"AAAAAB9/6x0=")</f>
        <v>#REF!</v>
      </c>
      <c r="AE4" t="e">
        <f>AND(#REF!,"AAAAAB9/6x4=")</f>
        <v>#REF!</v>
      </c>
      <c r="AF4" t="e">
        <f>AND(#REF!,"AAAAAB9/6x8=")</f>
        <v>#REF!</v>
      </c>
      <c r="AG4" t="e">
        <f>AND(#REF!,"AAAAAB9/6yA=")</f>
        <v>#REF!</v>
      </c>
      <c r="AH4" t="e">
        <f>AND(#REF!,"AAAAAB9/6yE=")</f>
        <v>#REF!</v>
      </c>
      <c r="AI4" t="e">
        <f>AND(#REF!,"AAAAAB9/6yI=")</f>
        <v>#REF!</v>
      </c>
      <c r="AJ4" t="e">
        <f>AND(#REF!,"AAAAAB9/6yM=")</f>
        <v>#REF!</v>
      </c>
      <c r="AK4" t="e">
        <f>AND(#REF!,"AAAAAB9/6yQ=")</f>
        <v>#REF!</v>
      </c>
      <c r="AL4" t="e">
        <f>AND(#REF!,"AAAAAB9/6yU=")</f>
        <v>#REF!</v>
      </c>
      <c r="AM4" t="e">
        <f>AND(#REF!,"AAAAAB9/6yY=")</f>
        <v>#REF!</v>
      </c>
      <c r="AN4" t="e">
        <f>AND(#REF!,"AAAAAB9/6yc=")</f>
        <v>#REF!</v>
      </c>
      <c r="AO4" t="e">
        <f>AND(#REF!,"AAAAAB9/6yg=")</f>
        <v>#REF!</v>
      </c>
      <c r="AP4" t="e">
        <f>AND(#REF!,"AAAAAB9/6yk=")</f>
        <v>#REF!</v>
      </c>
      <c r="AQ4" t="e">
        <f>AND(#REF!,"AAAAAB9/6yo=")</f>
        <v>#REF!</v>
      </c>
      <c r="AR4" t="e">
        <f>AND(#REF!,"AAAAAB9/6ys=")</f>
        <v>#REF!</v>
      </c>
      <c r="AS4" t="e">
        <f>AND(#REF!,"AAAAAB9/6yw=")</f>
        <v>#REF!</v>
      </c>
      <c r="AT4" t="e">
        <f>AND(#REF!,"AAAAAB9/6y0=")</f>
        <v>#REF!</v>
      </c>
      <c r="AU4" t="e">
        <f>AND(#REF!,"AAAAAB9/6y4=")</f>
        <v>#REF!</v>
      </c>
      <c r="AV4" t="e">
        <f>AND(#REF!,"AAAAAB9/6y8=")</f>
        <v>#REF!</v>
      </c>
      <c r="AW4" t="e">
        <f>AND(#REF!,"AAAAAB9/6zA=")</f>
        <v>#REF!</v>
      </c>
      <c r="AX4" t="e">
        <f>AND(#REF!,"AAAAAB9/6zE=")</f>
        <v>#REF!</v>
      </c>
      <c r="AY4" t="e">
        <f>AND(#REF!,"AAAAAB9/6zI=")</f>
        <v>#REF!</v>
      </c>
      <c r="AZ4" t="e">
        <f>AND(#REF!,"AAAAAB9/6zM=")</f>
        <v>#REF!</v>
      </c>
      <c r="BA4" t="e">
        <f>AND(#REF!,"AAAAAB9/6zQ=")</f>
        <v>#REF!</v>
      </c>
      <c r="BB4" t="e">
        <f>AND(#REF!,"AAAAAB9/6zU=")</f>
        <v>#REF!</v>
      </c>
      <c r="BC4" t="e">
        <f>AND(#REF!,"AAAAAB9/6zY=")</f>
        <v>#REF!</v>
      </c>
      <c r="BD4" t="e">
        <f>AND(#REF!,"AAAAAB9/6zc=")</f>
        <v>#REF!</v>
      </c>
      <c r="BE4" t="e">
        <f>AND(#REF!,"AAAAAB9/6zg=")</f>
        <v>#REF!</v>
      </c>
      <c r="BF4" t="e">
        <f>AND(#REF!,"AAAAAB9/6zk=")</f>
        <v>#REF!</v>
      </c>
      <c r="BG4" t="e">
        <f>AND(#REF!,"AAAAAB9/6zo=")</f>
        <v>#REF!</v>
      </c>
      <c r="BH4" t="e">
        <f>AND(#REF!,"AAAAAB9/6zs=")</f>
        <v>#REF!</v>
      </c>
      <c r="BI4" t="e">
        <f>IF(#REF!,"AAAAAB9/6zw=",0)</f>
        <v>#REF!</v>
      </c>
      <c r="BJ4" t="e">
        <f>AND(#REF!,"AAAAAB9/6z0=")</f>
        <v>#REF!</v>
      </c>
      <c r="BK4" t="e">
        <f>AND(#REF!,"AAAAAB9/6z4=")</f>
        <v>#REF!</v>
      </c>
      <c r="BL4" t="e">
        <f>AND(#REF!,"AAAAAB9/6z8=")</f>
        <v>#REF!</v>
      </c>
      <c r="BM4" t="e">
        <f>AND(#REF!,"AAAAAB9/60A=")</f>
        <v>#REF!</v>
      </c>
      <c r="BN4" t="e">
        <f>AND(#REF!,"AAAAAB9/60E=")</f>
        <v>#REF!</v>
      </c>
      <c r="BO4" t="e">
        <f>AND(#REF!,"AAAAAB9/60I=")</f>
        <v>#REF!</v>
      </c>
      <c r="BP4" t="e">
        <f>AND(#REF!,"AAAAAB9/60M=")</f>
        <v>#REF!</v>
      </c>
      <c r="BQ4" t="e">
        <f>AND(#REF!,"AAAAAB9/60Q=")</f>
        <v>#REF!</v>
      </c>
      <c r="BR4" t="e">
        <f>AND(#REF!,"AAAAAB9/60U=")</f>
        <v>#REF!</v>
      </c>
      <c r="BS4" t="e">
        <f>AND(#REF!,"AAAAAB9/60Y=")</f>
        <v>#REF!</v>
      </c>
      <c r="BT4" t="e">
        <f>AND(#REF!,"AAAAAB9/60c=")</f>
        <v>#REF!</v>
      </c>
      <c r="BU4" t="e">
        <f>AND(#REF!,"AAAAAB9/60g=")</f>
        <v>#REF!</v>
      </c>
      <c r="BV4" t="e">
        <f>AND(#REF!,"AAAAAB9/60k=")</f>
        <v>#REF!</v>
      </c>
      <c r="BW4" t="e">
        <f>AND(#REF!,"AAAAAB9/60o=")</f>
        <v>#REF!</v>
      </c>
      <c r="BX4" t="e">
        <f>AND(#REF!,"AAAAAB9/60s=")</f>
        <v>#REF!</v>
      </c>
      <c r="BY4" t="e">
        <f>AND(#REF!,"AAAAAB9/60w=")</f>
        <v>#REF!</v>
      </c>
      <c r="BZ4" t="e">
        <f>AND(#REF!,"AAAAAB9/600=")</f>
        <v>#REF!</v>
      </c>
      <c r="CA4" t="e">
        <f>AND(#REF!,"AAAAAB9/604=")</f>
        <v>#REF!</v>
      </c>
      <c r="CB4" t="e">
        <f>AND(#REF!,"AAAAAB9/608=")</f>
        <v>#REF!</v>
      </c>
      <c r="CC4" t="e">
        <f>AND(#REF!,"AAAAAB9/61A=")</f>
        <v>#REF!</v>
      </c>
      <c r="CD4" t="e">
        <f>AND(#REF!,"AAAAAB9/61E=")</f>
        <v>#REF!</v>
      </c>
      <c r="CE4" t="e">
        <f>AND(#REF!,"AAAAAB9/61I=")</f>
        <v>#REF!</v>
      </c>
      <c r="CF4" t="e">
        <f>AND(#REF!,"AAAAAB9/61M=")</f>
        <v>#REF!</v>
      </c>
      <c r="CG4" t="e">
        <f>AND(#REF!,"AAAAAB9/61Q=")</f>
        <v>#REF!</v>
      </c>
      <c r="CH4" t="e">
        <f>AND(#REF!,"AAAAAB9/61U=")</f>
        <v>#REF!</v>
      </c>
      <c r="CI4" t="e">
        <f>AND(#REF!,"AAAAAB9/61Y=")</f>
        <v>#REF!</v>
      </c>
      <c r="CJ4" t="e">
        <f>AND(#REF!,"AAAAAB9/61c=")</f>
        <v>#REF!</v>
      </c>
      <c r="CK4" t="e">
        <f>AND(#REF!,"AAAAAB9/61g=")</f>
        <v>#REF!</v>
      </c>
      <c r="CL4" t="e">
        <f>AND(#REF!,"AAAAAB9/61k=")</f>
        <v>#REF!</v>
      </c>
      <c r="CM4" t="e">
        <f>AND(#REF!,"AAAAAB9/61o=")</f>
        <v>#REF!</v>
      </c>
      <c r="CN4" t="e">
        <f>AND(#REF!,"AAAAAB9/61s=")</f>
        <v>#REF!</v>
      </c>
      <c r="CO4" t="e">
        <f>AND(#REF!,"AAAAAB9/61w=")</f>
        <v>#REF!</v>
      </c>
      <c r="CP4" t="e">
        <f>AND(#REF!,"AAAAAB9/610=")</f>
        <v>#REF!</v>
      </c>
      <c r="CQ4" t="e">
        <f>AND(#REF!,"AAAAAB9/614=")</f>
        <v>#REF!</v>
      </c>
      <c r="CR4" t="e">
        <f>AND(#REF!,"AAAAAB9/618=")</f>
        <v>#REF!</v>
      </c>
      <c r="CS4" t="e">
        <f>IF(#REF!,"AAAAAB9/62A=",0)</f>
        <v>#REF!</v>
      </c>
      <c r="CT4" t="e">
        <f>AND(#REF!,"AAAAAB9/62E=")</f>
        <v>#REF!</v>
      </c>
      <c r="CU4" t="e">
        <f>AND(#REF!,"AAAAAB9/62I=")</f>
        <v>#REF!</v>
      </c>
      <c r="CV4" t="e">
        <f>AND(#REF!,"AAAAAB9/62M=")</f>
        <v>#REF!</v>
      </c>
      <c r="CW4" t="e">
        <f>AND(#REF!,"AAAAAB9/62Q=")</f>
        <v>#REF!</v>
      </c>
      <c r="CX4" t="e">
        <f>AND(#REF!,"AAAAAB9/62U=")</f>
        <v>#REF!</v>
      </c>
      <c r="CY4" t="e">
        <f>AND(#REF!,"AAAAAB9/62Y=")</f>
        <v>#REF!</v>
      </c>
      <c r="CZ4" t="e">
        <f>AND(#REF!,"AAAAAB9/62c=")</f>
        <v>#REF!</v>
      </c>
      <c r="DA4" t="e">
        <f>AND(#REF!,"AAAAAB9/62g=")</f>
        <v>#REF!</v>
      </c>
      <c r="DB4" t="e">
        <f>AND(#REF!,"AAAAAB9/62k=")</f>
        <v>#REF!</v>
      </c>
      <c r="DC4" t="e">
        <f>AND(#REF!,"AAAAAB9/62o=")</f>
        <v>#REF!</v>
      </c>
      <c r="DD4" t="e">
        <f>AND(#REF!,"AAAAAB9/62s=")</f>
        <v>#REF!</v>
      </c>
      <c r="DE4" t="e">
        <f>AND(#REF!,"AAAAAB9/62w=")</f>
        <v>#REF!</v>
      </c>
      <c r="DF4" t="e">
        <f>AND(#REF!,"AAAAAB9/620=")</f>
        <v>#REF!</v>
      </c>
      <c r="DG4" t="e">
        <f>AND(#REF!,"AAAAAB9/624=")</f>
        <v>#REF!</v>
      </c>
      <c r="DH4" t="e">
        <f>AND(#REF!,"AAAAAB9/628=")</f>
        <v>#REF!</v>
      </c>
      <c r="DI4" t="e">
        <f>AND(#REF!,"AAAAAB9/63A=")</f>
        <v>#REF!</v>
      </c>
      <c r="DJ4" t="e">
        <f>AND(#REF!,"AAAAAB9/63E=")</f>
        <v>#REF!</v>
      </c>
      <c r="DK4" t="e">
        <f>AND(#REF!,"AAAAAB9/63I=")</f>
        <v>#REF!</v>
      </c>
      <c r="DL4" t="e">
        <f>AND(#REF!,"AAAAAB9/63M=")</f>
        <v>#REF!</v>
      </c>
      <c r="DM4" t="e">
        <f>AND(#REF!,"AAAAAB9/63Q=")</f>
        <v>#REF!</v>
      </c>
      <c r="DN4" t="e">
        <f>AND(#REF!,"AAAAAB9/63U=")</f>
        <v>#REF!</v>
      </c>
      <c r="DO4" t="e">
        <f>AND(#REF!,"AAAAAB9/63Y=")</f>
        <v>#REF!</v>
      </c>
      <c r="DP4" t="e">
        <f>AND(#REF!,"AAAAAB9/63c=")</f>
        <v>#REF!</v>
      </c>
      <c r="DQ4" t="e">
        <f>AND(#REF!,"AAAAAB9/63g=")</f>
        <v>#REF!</v>
      </c>
      <c r="DR4" t="e">
        <f>AND(#REF!,"AAAAAB9/63k=")</f>
        <v>#REF!</v>
      </c>
      <c r="DS4" t="e">
        <f>AND(#REF!,"AAAAAB9/63o=")</f>
        <v>#REF!</v>
      </c>
      <c r="DT4" t="e">
        <f>AND(#REF!,"AAAAAB9/63s=")</f>
        <v>#REF!</v>
      </c>
      <c r="DU4" t="e">
        <f>AND(#REF!,"AAAAAB9/63w=")</f>
        <v>#REF!</v>
      </c>
      <c r="DV4" t="e">
        <f>AND(#REF!,"AAAAAB9/630=")</f>
        <v>#REF!</v>
      </c>
      <c r="DW4" t="e">
        <f>AND(#REF!,"AAAAAB9/634=")</f>
        <v>#REF!</v>
      </c>
      <c r="DX4" t="e">
        <f>AND(#REF!,"AAAAAB9/638=")</f>
        <v>#REF!</v>
      </c>
      <c r="DY4" t="e">
        <f>AND(#REF!,"AAAAAB9/64A=")</f>
        <v>#REF!</v>
      </c>
      <c r="DZ4" t="e">
        <f>AND(#REF!,"AAAAAB9/64E=")</f>
        <v>#REF!</v>
      </c>
      <c r="EA4" t="e">
        <f>AND(#REF!,"AAAAAB9/64I=")</f>
        <v>#REF!</v>
      </c>
      <c r="EB4" t="e">
        <f>AND(#REF!,"AAAAAB9/64M=")</f>
        <v>#REF!</v>
      </c>
      <c r="EC4" t="e">
        <f>IF(#REF!,"AAAAAB9/64Q=",0)</f>
        <v>#REF!</v>
      </c>
      <c r="ED4" t="e">
        <f>AND(#REF!,"AAAAAB9/64U=")</f>
        <v>#REF!</v>
      </c>
      <c r="EE4" t="e">
        <f>AND(#REF!,"AAAAAB9/64Y=")</f>
        <v>#REF!</v>
      </c>
      <c r="EF4" t="e">
        <f>AND(#REF!,"AAAAAB9/64c=")</f>
        <v>#REF!</v>
      </c>
      <c r="EG4" t="e">
        <f>AND(#REF!,"AAAAAB9/64g=")</f>
        <v>#REF!</v>
      </c>
      <c r="EH4" t="e">
        <f>AND(#REF!,"AAAAAB9/64k=")</f>
        <v>#REF!</v>
      </c>
      <c r="EI4" t="e">
        <f>AND(#REF!,"AAAAAB9/64o=")</f>
        <v>#REF!</v>
      </c>
      <c r="EJ4" t="e">
        <f>AND(#REF!,"AAAAAB9/64s=")</f>
        <v>#REF!</v>
      </c>
      <c r="EK4" t="e">
        <f>AND(#REF!,"AAAAAB9/64w=")</f>
        <v>#REF!</v>
      </c>
      <c r="EL4" t="e">
        <f>AND(#REF!,"AAAAAB9/640=")</f>
        <v>#REF!</v>
      </c>
      <c r="EM4" t="e">
        <f>AND(#REF!,"AAAAAB9/644=")</f>
        <v>#REF!</v>
      </c>
      <c r="EN4" t="e">
        <f>AND(#REF!,"AAAAAB9/648=")</f>
        <v>#REF!</v>
      </c>
      <c r="EO4" t="e">
        <f>AND(#REF!,"AAAAAB9/65A=")</f>
        <v>#REF!</v>
      </c>
      <c r="EP4" t="e">
        <f>AND(#REF!,"AAAAAB9/65E=")</f>
        <v>#REF!</v>
      </c>
      <c r="EQ4" t="e">
        <f>AND(#REF!,"AAAAAB9/65I=")</f>
        <v>#REF!</v>
      </c>
      <c r="ER4" t="e">
        <f>AND(#REF!,"AAAAAB9/65M=")</f>
        <v>#REF!</v>
      </c>
      <c r="ES4" t="e">
        <f>AND(#REF!,"AAAAAB9/65Q=")</f>
        <v>#REF!</v>
      </c>
      <c r="ET4" t="e">
        <f>AND(#REF!,"AAAAAB9/65U=")</f>
        <v>#REF!</v>
      </c>
      <c r="EU4" t="e">
        <f>AND(#REF!,"AAAAAB9/65Y=")</f>
        <v>#REF!</v>
      </c>
      <c r="EV4" t="e">
        <f>AND(#REF!,"AAAAAB9/65c=")</f>
        <v>#REF!</v>
      </c>
      <c r="EW4" t="e">
        <f>AND(#REF!,"AAAAAB9/65g=")</f>
        <v>#REF!</v>
      </c>
      <c r="EX4" t="e">
        <f>AND(#REF!,"AAAAAB9/65k=")</f>
        <v>#REF!</v>
      </c>
      <c r="EY4" t="e">
        <f>AND(#REF!,"AAAAAB9/65o=")</f>
        <v>#REF!</v>
      </c>
      <c r="EZ4" t="e">
        <f>AND(#REF!,"AAAAAB9/65s=")</f>
        <v>#REF!</v>
      </c>
      <c r="FA4" t="e">
        <f>AND(#REF!,"AAAAAB9/65w=")</f>
        <v>#REF!</v>
      </c>
      <c r="FB4" t="e">
        <f>AND(#REF!,"AAAAAB9/650=")</f>
        <v>#REF!</v>
      </c>
      <c r="FC4" t="e">
        <f>AND(#REF!,"AAAAAB9/654=")</f>
        <v>#REF!</v>
      </c>
      <c r="FD4" t="e">
        <f>AND(#REF!,"AAAAAB9/658=")</f>
        <v>#REF!</v>
      </c>
      <c r="FE4" t="e">
        <f>AND(#REF!,"AAAAAB9/66A=")</f>
        <v>#REF!</v>
      </c>
      <c r="FF4" t="e">
        <f>AND(#REF!,"AAAAAB9/66E=")</f>
        <v>#REF!</v>
      </c>
      <c r="FG4" t="e">
        <f>AND(#REF!,"AAAAAB9/66I=")</f>
        <v>#REF!</v>
      </c>
      <c r="FH4" t="e">
        <f>AND(#REF!,"AAAAAB9/66M=")</f>
        <v>#REF!</v>
      </c>
      <c r="FI4" t="e">
        <f>AND(#REF!,"AAAAAB9/66Q=")</f>
        <v>#REF!</v>
      </c>
      <c r="FJ4" t="e">
        <f>AND(#REF!,"AAAAAB9/66U=")</f>
        <v>#REF!</v>
      </c>
      <c r="FK4" t="e">
        <f>AND(#REF!,"AAAAAB9/66Y=")</f>
        <v>#REF!</v>
      </c>
      <c r="FL4" t="e">
        <f>AND(#REF!,"AAAAAB9/66c=")</f>
        <v>#REF!</v>
      </c>
      <c r="FM4" t="e">
        <f>IF(#REF!,"AAAAAB9/66g=",0)</f>
        <v>#REF!</v>
      </c>
      <c r="FN4" t="e">
        <f>AND(#REF!,"AAAAAB9/66k=")</f>
        <v>#REF!</v>
      </c>
      <c r="FO4" t="e">
        <f>AND(#REF!,"AAAAAB9/66o=")</f>
        <v>#REF!</v>
      </c>
      <c r="FP4" t="e">
        <f>AND(#REF!,"AAAAAB9/66s=")</f>
        <v>#REF!</v>
      </c>
      <c r="FQ4" t="e">
        <f>AND(#REF!,"AAAAAB9/66w=")</f>
        <v>#REF!</v>
      </c>
      <c r="FR4" t="e">
        <f>AND(#REF!,"AAAAAB9/660=")</f>
        <v>#REF!</v>
      </c>
      <c r="FS4" t="e">
        <f>AND(#REF!,"AAAAAB9/664=")</f>
        <v>#REF!</v>
      </c>
      <c r="FT4" t="e">
        <f>AND(#REF!,"AAAAAB9/668=")</f>
        <v>#REF!</v>
      </c>
      <c r="FU4" t="e">
        <f>AND(#REF!,"AAAAAB9/67A=")</f>
        <v>#REF!</v>
      </c>
      <c r="FV4" t="e">
        <f>AND(#REF!,"AAAAAB9/67E=")</f>
        <v>#REF!</v>
      </c>
      <c r="FW4" t="e">
        <f>AND(#REF!,"AAAAAB9/67I=")</f>
        <v>#REF!</v>
      </c>
      <c r="FX4" t="e">
        <f>AND(#REF!,"AAAAAB9/67M=")</f>
        <v>#REF!</v>
      </c>
      <c r="FY4" t="e">
        <f>AND(#REF!,"AAAAAB9/67Q=")</f>
        <v>#REF!</v>
      </c>
      <c r="FZ4" t="e">
        <f>AND(#REF!,"AAAAAB9/67U=")</f>
        <v>#REF!</v>
      </c>
      <c r="GA4" t="e">
        <f>AND(#REF!,"AAAAAB9/67Y=")</f>
        <v>#REF!</v>
      </c>
      <c r="GB4" t="e">
        <f>AND(#REF!,"AAAAAB9/67c=")</f>
        <v>#REF!</v>
      </c>
      <c r="GC4" t="e">
        <f>AND(#REF!,"AAAAAB9/67g=")</f>
        <v>#REF!</v>
      </c>
      <c r="GD4" t="e">
        <f>AND(#REF!,"AAAAAB9/67k=")</f>
        <v>#REF!</v>
      </c>
      <c r="GE4" t="e">
        <f>AND(#REF!,"AAAAAB9/67o=")</f>
        <v>#REF!</v>
      </c>
      <c r="GF4" t="e">
        <f>AND(#REF!,"AAAAAB9/67s=")</f>
        <v>#REF!</v>
      </c>
      <c r="GG4" t="e">
        <f>AND(#REF!,"AAAAAB9/67w=")</f>
        <v>#REF!</v>
      </c>
      <c r="GH4" t="e">
        <f>AND(#REF!,"AAAAAB9/670=")</f>
        <v>#REF!</v>
      </c>
      <c r="GI4" t="e">
        <f>AND(#REF!,"AAAAAB9/674=")</f>
        <v>#REF!</v>
      </c>
      <c r="GJ4" t="e">
        <f>AND(#REF!,"AAAAAB9/678=")</f>
        <v>#REF!</v>
      </c>
      <c r="GK4" t="e">
        <f>AND(#REF!,"AAAAAB9/68A=")</f>
        <v>#REF!</v>
      </c>
      <c r="GL4" t="e">
        <f>AND(#REF!,"AAAAAB9/68E=")</f>
        <v>#REF!</v>
      </c>
      <c r="GM4" t="e">
        <f>AND(#REF!,"AAAAAB9/68I=")</f>
        <v>#REF!</v>
      </c>
      <c r="GN4" t="e">
        <f>AND(#REF!,"AAAAAB9/68M=")</f>
        <v>#REF!</v>
      </c>
      <c r="GO4" t="e">
        <f>AND(#REF!,"AAAAAB9/68Q=")</f>
        <v>#REF!</v>
      </c>
      <c r="GP4" t="e">
        <f>AND(#REF!,"AAAAAB9/68U=")</f>
        <v>#REF!</v>
      </c>
      <c r="GQ4" t="e">
        <f>AND(#REF!,"AAAAAB9/68Y=")</f>
        <v>#REF!</v>
      </c>
      <c r="GR4" t="e">
        <f>AND(#REF!,"AAAAAB9/68c=")</f>
        <v>#REF!</v>
      </c>
      <c r="GS4" t="e">
        <f>AND(#REF!,"AAAAAB9/68g=")</f>
        <v>#REF!</v>
      </c>
      <c r="GT4" t="e">
        <f>AND(#REF!,"AAAAAB9/68k=")</f>
        <v>#REF!</v>
      </c>
      <c r="GU4" t="e">
        <f>AND(#REF!,"AAAAAB9/68o=")</f>
        <v>#REF!</v>
      </c>
      <c r="GV4" t="e">
        <f>AND(#REF!,"AAAAAB9/68s=")</f>
        <v>#REF!</v>
      </c>
      <c r="GW4" t="e">
        <f>IF(#REF!,"AAAAAB9/68w=",0)</f>
        <v>#REF!</v>
      </c>
      <c r="GX4" t="e">
        <f>AND(#REF!,"AAAAAB9/680=")</f>
        <v>#REF!</v>
      </c>
      <c r="GY4" t="e">
        <f>AND(#REF!,"AAAAAB9/684=")</f>
        <v>#REF!</v>
      </c>
      <c r="GZ4" t="e">
        <f>AND(#REF!,"AAAAAB9/688=")</f>
        <v>#REF!</v>
      </c>
      <c r="HA4" t="e">
        <f>AND(#REF!,"AAAAAB9/69A=")</f>
        <v>#REF!</v>
      </c>
      <c r="HB4" t="e">
        <f>AND(#REF!,"AAAAAB9/69E=")</f>
        <v>#REF!</v>
      </c>
      <c r="HC4" t="e">
        <f>AND(#REF!,"AAAAAB9/69I=")</f>
        <v>#REF!</v>
      </c>
      <c r="HD4" t="e">
        <f>AND(#REF!,"AAAAAB9/69M=")</f>
        <v>#REF!</v>
      </c>
      <c r="HE4" t="e">
        <f>AND(#REF!,"AAAAAB9/69Q=")</f>
        <v>#REF!</v>
      </c>
      <c r="HF4" t="e">
        <f>AND(#REF!,"AAAAAB9/69U=")</f>
        <v>#REF!</v>
      </c>
      <c r="HG4" t="e">
        <f>AND(#REF!,"AAAAAB9/69Y=")</f>
        <v>#REF!</v>
      </c>
      <c r="HH4" t="e">
        <f>AND(#REF!,"AAAAAB9/69c=")</f>
        <v>#REF!</v>
      </c>
      <c r="HI4" t="e">
        <f>AND(#REF!,"AAAAAB9/69g=")</f>
        <v>#REF!</v>
      </c>
      <c r="HJ4" t="e">
        <f>AND(#REF!,"AAAAAB9/69k=")</f>
        <v>#REF!</v>
      </c>
      <c r="HK4" t="e">
        <f>AND(#REF!,"AAAAAB9/69o=")</f>
        <v>#REF!</v>
      </c>
      <c r="HL4" t="e">
        <f>AND(#REF!,"AAAAAB9/69s=")</f>
        <v>#REF!</v>
      </c>
      <c r="HM4" t="e">
        <f>AND(#REF!,"AAAAAB9/69w=")</f>
        <v>#REF!</v>
      </c>
      <c r="HN4" t="e">
        <f>AND(#REF!,"AAAAAB9/690=")</f>
        <v>#REF!</v>
      </c>
      <c r="HO4" t="e">
        <f>AND(#REF!,"AAAAAB9/694=")</f>
        <v>#REF!</v>
      </c>
      <c r="HP4" t="e">
        <f>AND(#REF!,"AAAAAB9/698=")</f>
        <v>#REF!</v>
      </c>
      <c r="HQ4" t="e">
        <f>AND(#REF!,"AAAAAB9/6+A=")</f>
        <v>#REF!</v>
      </c>
      <c r="HR4" t="e">
        <f>AND(#REF!,"AAAAAB9/6+E=")</f>
        <v>#REF!</v>
      </c>
      <c r="HS4" t="e">
        <f>AND(#REF!,"AAAAAB9/6+I=")</f>
        <v>#REF!</v>
      </c>
      <c r="HT4" t="e">
        <f>AND(#REF!,"AAAAAB9/6+M=")</f>
        <v>#REF!</v>
      </c>
      <c r="HU4" t="e">
        <f>AND(#REF!,"AAAAAB9/6+Q=")</f>
        <v>#REF!</v>
      </c>
      <c r="HV4" t="e">
        <f>AND(#REF!,"AAAAAB9/6+U=")</f>
        <v>#REF!</v>
      </c>
      <c r="HW4" t="e">
        <f>AND(#REF!,"AAAAAB9/6+Y=")</f>
        <v>#REF!</v>
      </c>
      <c r="HX4" t="e">
        <f>AND(#REF!,"AAAAAB9/6+c=")</f>
        <v>#REF!</v>
      </c>
      <c r="HY4" t="e">
        <f>AND(#REF!,"AAAAAB9/6+g=")</f>
        <v>#REF!</v>
      </c>
      <c r="HZ4" t="e">
        <f>AND(#REF!,"AAAAAB9/6+k=")</f>
        <v>#REF!</v>
      </c>
      <c r="IA4" t="e">
        <f>AND(#REF!,"AAAAAB9/6+o=")</f>
        <v>#REF!</v>
      </c>
      <c r="IB4" t="e">
        <f>AND(#REF!,"AAAAAB9/6+s=")</f>
        <v>#REF!</v>
      </c>
      <c r="IC4" t="e">
        <f>AND(#REF!,"AAAAAB9/6+w=")</f>
        <v>#REF!</v>
      </c>
      <c r="ID4" t="e">
        <f>AND(#REF!,"AAAAAB9/6+0=")</f>
        <v>#REF!</v>
      </c>
      <c r="IE4" t="e">
        <f>AND(#REF!,"AAAAAB9/6+4=")</f>
        <v>#REF!</v>
      </c>
      <c r="IF4" t="e">
        <f>AND(#REF!,"AAAAAB9/6+8=")</f>
        <v>#REF!</v>
      </c>
      <c r="IG4" t="e">
        <f>IF(#REF!,"AAAAAB9/6/A=",0)</f>
        <v>#REF!</v>
      </c>
      <c r="IH4" t="e">
        <f>AND(#REF!,"AAAAAB9/6/E=")</f>
        <v>#REF!</v>
      </c>
      <c r="II4" t="e">
        <f>AND(#REF!,"AAAAAB9/6/I=")</f>
        <v>#REF!</v>
      </c>
      <c r="IJ4" t="e">
        <f>AND(#REF!,"AAAAAB9/6/M=")</f>
        <v>#REF!</v>
      </c>
      <c r="IK4" t="e">
        <f>AND(#REF!,"AAAAAB9/6/Q=")</f>
        <v>#REF!</v>
      </c>
      <c r="IL4" t="e">
        <f>AND(#REF!,"AAAAAB9/6/U=")</f>
        <v>#REF!</v>
      </c>
      <c r="IM4" t="e">
        <f>AND(#REF!,"AAAAAB9/6/Y=")</f>
        <v>#REF!</v>
      </c>
      <c r="IN4" t="e">
        <f>AND(#REF!,"AAAAAB9/6/c=")</f>
        <v>#REF!</v>
      </c>
      <c r="IO4" t="e">
        <f>AND(#REF!,"AAAAAB9/6/g=")</f>
        <v>#REF!</v>
      </c>
      <c r="IP4" t="e">
        <f>AND(#REF!,"AAAAAB9/6/k=")</f>
        <v>#REF!</v>
      </c>
      <c r="IQ4" t="e">
        <f>AND(#REF!,"AAAAAB9/6/o=")</f>
        <v>#REF!</v>
      </c>
      <c r="IR4" t="e">
        <f>AND(#REF!,"AAAAAB9/6/s=")</f>
        <v>#REF!</v>
      </c>
      <c r="IS4" t="e">
        <f>AND(#REF!,"AAAAAB9/6/w=")</f>
        <v>#REF!</v>
      </c>
      <c r="IT4" t="e">
        <f>AND(#REF!,"AAAAAB9/6/0=")</f>
        <v>#REF!</v>
      </c>
      <c r="IU4" t="e">
        <f>AND(#REF!,"AAAAAB9/6/4=")</f>
        <v>#REF!</v>
      </c>
      <c r="IV4" t="e">
        <f>AND(#REF!,"AAAAAB9/6/8=")</f>
        <v>#REF!</v>
      </c>
    </row>
    <row r="5" spans="1:256">
      <c r="A5" t="e">
        <f>AND(#REF!,"AAAAAH3P3wA=")</f>
        <v>#REF!</v>
      </c>
      <c r="B5" t="e">
        <f>AND(#REF!,"AAAAAH3P3wE=")</f>
        <v>#REF!</v>
      </c>
      <c r="C5" t="e">
        <f>AND(#REF!,"AAAAAH3P3wI=")</f>
        <v>#REF!</v>
      </c>
      <c r="D5" t="e">
        <f>AND(#REF!,"AAAAAH3P3wM=")</f>
        <v>#REF!</v>
      </c>
      <c r="E5" t="e">
        <f>AND(#REF!,"AAAAAH3P3wQ=")</f>
        <v>#REF!</v>
      </c>
      <c r="F5" t="e">
        <f>AND(#REF!,"AAAAAH3P3wU=")</f>
        <v>#REF!</v>
      </c>
      <c r="G5" t="e">
        <f>AND(#REF!,"AAAAAH3P3wY=")</f>
        <v>#REF!</v>
      </c>
      <c r="H5" t="e">
        <f>AND(#REF!,"AAAAAH3P3wc=")</f>
        <v>#REF!</v>
      </c>
      <c r="I5" t="e">
        <f>AND(#REF!,"AAAAAH3P3wg=")</f>
        <v>#REF!</v>
      </c>
      <c r="J5" t="e">
        <f>AND(#REF!,"AAAAAH3P3wk=")</f>
        <v>#REF!</v>
      </c>
      <c r="K5" t="e">
        <f>AND(#REF!,"AAAAAH3P3wo=")</f>
        <v>#REF!</v>
      </c>
      <c r="L5" t="e">
        <f>AND(#REF!,"AAAAAH3P3ws=")</f>
        <v>#REF!</v>
      </c>
      <c r="M5" t="e">
        <f>AND(#REF!,"AAAAAH3P3ww=")</f>
        <v>#REF!</v>
      </c>
      <c r="N5" t="e">
        <f>AND(#REF!,"AAAAAH3P3w0=")</f>
        <v>#REF!</v>
      </c>
      <c r="O5" t="e">
        <f>AND(#REF!,"AAAAAH3P3w4=")</f>
        <v>#REF!</v>
      </c>
      <c r="P5" t="e">
        <f>AND(#REF!,"AAAAAH3P3w8=")</f>
        <v>#REF!</v>
      </c>
      <c r="Q5" t="e">
        <f>AND(#REF!,"AAAAAH3P3xA=")</f>
        <v>#REF!</v>
      </c>
      <c r="R5" t="e">
        <f>AND(#REF!,"AAAAAH3P3xE=")</f>
        <v>#REF!</v>
      </c>
      <c r="S5" t="e">
        <f>AND(#REF!,"AAAAAH3P3xI=")</f>
        <v>#REF!</v>
      </c>
      <c r="T5" t="e">
        <f>AND(#REF!,"AAAAAH3P3xM=")</f>
        <v>#REF!</v>
      </c>
      <c r="U5" t="e">
        <f>IF(#REF!,"AAAAAH3P3xQ=",0)</f>
        <v>#REF!</v>
      </c>
      <c r="V5" t="e">
        <f>AND(#REF!,"AAAAAH3P3xU=")</f>
        <v>#REF!</v>
      </c>
      <c r="W5" t="e">
        <f>AND(#REF!,"AAAAAH3P3xY=")</f>
        <v>#REF!</v>
      </c>
      <c r="X5" t="e">
        <f>AND(#REF!,"AAAAAH3P3xc=")</f>
        <v>#REF!</v>
      </c>
      <c r="Y5" t="e">
        <f>AND(#REF!,"AAAAAH3P3xg=")</f>
        <v>#REF!</v>
      </c>
      <c r="Z5" t="e">
        <f>AND(#REF!,"AAAAAH3P3xk=")</f>
        <v>#REF!</v>
      </c>
      <c r="AA5" t="e">
        <f>AND(#REF!,"AAAAAH3P3xo=")</f>
        <v>#REF!</v>
      </c>
      <c r="AB5" t="e">
        <f>AND(#REF!,"AAAAAH3P3xs=")</f>
        <v>#REF!</v>
      </c>
      <c r="AC5" t="e">
        <f>AND(#REF!,"AAAAAH3P3xw=")</f>
        <v>#REF!</v>
      </c>
      <c r="AD5" t="e">
        <f>AND(#REF!,"AAAAAH3P3x0=")</f>
        <v>#REF!</v>
      </c>
      <c r="AE5" t="e">
        <f>AND(#REF!,"AAAAAH3P3x4=")</f>
        <v>#REF!</v>
      </c>
      <c r="AF5" t="e">
        <f>AND(#REF!,"AAAAAH3P3x8=")</f>
        <v>#REF!</v>
      </c>
      <c r="AG5" t="e">
        <f>AND(#REF!,"AAAAAH3P3yA=")</f>
        <v>#REF!</v>
      </c>
      <c r="AH5" t="e">
        <f>AND(#REF!,"AAAAAH3P3yE=")</f>
        <v>#REF!</v>
      </c>
      <c r="AI5" t="e">
        <f>AND(#REF!,"AAAAAH3P3yI=")</f>
        <v>#REF!</v>
      </c>
      <c r="AJ5" t="e">
        <f>AND(#REF!,"AAAAAH3P3yM=")</f>
        <v>#REF!</v>
      </c>
      <c r="AK5" t="e">
        <f>AND(#REF!,"AAAAAH3P3yQ=")</f>
        <v>#REF!</v>
      </c>
      <c r="AL5" t="e">
        <f>AND(#REF!,"AAAAAH3P3yU=")</f>
        <v>#REF!</v>
      </c>
      <c r="AM5" t="e">
        <f>AND(#REF!,"AAAAAH3P3yY=")</f>
        <v>#REF!</v>
      </c>
      <c r="AN5" t="e">
        <f>AND(#REF!,"AAAAAH3P3yc=")</f>
        <v>#REF!</v>
      </c>
      <c r="AO5" t="e">
        <f>AND(#REF!,"AAAAAH3P3yg=")</f>
        <v>#REF!</v>
      </c>
      <c r="AP5" t="e">
        <f>AND(#REF!,"AAAAAH3P3yk=")</f>
        <v>#REF!</v>
      </c>
      <c r="AQ5" t="e">
        <f>AND(#REF!,"AAAAAH3P3yo=")</f>
        <v>#REF!</v>
      </c>
      <c r="AR5" t="e">
        <f>AND(#REF!,"AAAAAH3P3ys=")</f>
        <v>#REF!</v>
      </c>
      <c r="AS5" t="e">
        <f>AND(#REF!,"AAAAAH3P3yw=")</f>
        <v>#REF!</v>
      </c>
      <c r="AT5" t="e">
        <f>AND(#REF!,"AAAAAH3P3y0=")</f>
        <v>#REF!</v>
      </c>
      <c r="AU5" t="e">
        <f>AND(#REF!,"AAAAAH3P3y4=")</f>
        <v>#REF!</v>
      </c>
      <c r="AV5" t="e">
        <f>AND(#REF!,"AAAAAH3P3y8=")</f>
        <v>#REF!</v>
      </c>
      <c r="AW5" t="e">
        <f>AND(#REF!,"AAAAAH3P3zA=")</f>
        <v>#REF!</v>
      </c>
      <c r="AX5" t="e">
        <f>AND(#REF!,"AAAAAH3P3zE=")</f>
        <v>#REF!</v>
      </c>
      <c r="AY5" t="e">
        <f>AND(#REF!,"AAAAAH3P3zI=")</f>
        <v>#REF!</v>
      </c>
      <c r="AZ5" t="e">
        <f>AND(#REF!,"AAAAAH3P3zM=")</f>
        <v>#REF!</v>
      </c>
      <c r="BA5" t="e">
        <f>AND(#REF!,"AAAAAH3P3zQ=")</f>
        <v>#REF!</v>
      </c>
      <c r="BB5" t="e">
        <f>AND(#REF!,"AAAAAH3P3zU=")</f>
        <v>#REF!</v>
      </c>
      <c r="BC5" t="e">
        <f>AND(#REF!,"AAAAAH3P3zY=")</f>
        <v>#REF!</v>
      </c>
      <c r="BD5" t="e">
        <f>AND(#REF!,"AAAAAH3P3zc=")</f>
        <v>#REF!</v>
      </c>
      <c r="BE5" t="e">
        <f>IF(#REF!,"AAAAAH3P3zg=",0)</f>
        <v>#REF!</v>
      </c>
      <c r="BF5" t="e">
        <f>AND(#REF!,"AAAAAH3P3zk=")</f>
        <v>#REF!</v>
      </c>
      <c r="BG5" t="e">
        <f>AND(#REF!,"AAAAAH3P3zo=")</f>
        <v>#REF!</v>
      </c>
      <c r="BH5" t="e">
        <f>AND(#REF!,"AAAAAH3P3zs=")</f>
        <v>#REF!</v>
      </c>
      <c r="BI5" t="e">
        <f>AND(#REF!,"AAAAAH3P3zw=")</f>
        <v>#REF!</v>
      </c>
      <c r="BJ5" t="e">
        <f>AND(#REF!,"AAAAAH3P3z0=")</f>
        <v>#REF!</v>
      </c>
      <c r="BK5" t="e">
        <f>AND(#REF!,"AAAAAH3P3z4=")</f>
        <v>#REF!</v>
      </c>
      <c r="BL5" t="e">
        <f>AND(#REF!,"AAAAAH3P3z8=")</f>
        <v>#REF!</v>
      </c>
      <c r="BM5" t="e">
        <f>AND(#REF!,"AAAAAH3P30A=")</f>
        <v>#REF!</v>
      </c>
      <c r="BN5" t="e">
        <f>AND(#REF!,"AAAAAH3P30E=")</f>
        <v>#REF!</v>
      </c>
      <c r="BO5" t="e">
        <f>AND(#REF!,"AAAAAH3P30I=")</f>
        <v>#REF!</v>
      </c>
      <c r="BP5" t="e">
        <f>AND(#REF!,"AAAAAH3P30M=")</f>
        <v>#REF!</v>
      </c>
      <c r="BQ5" t="e">
        <f>AND(#REF!,"AAAAAH3P30Q=")</f>
        <v>#REF!</v>
      </c>
      <c r="BR5" t="e">
        <f>AND(#REF!,"AAAAAH3P30U=")</f>
        <v>#REF!</v>
      </c>
      <c r="BS5" t="e">
        <f>AND(#REF!,"AAAAAH3P30Y=")</f>
        <v>#REF!</v>
      </c>
      <c r="BT5" t="e">
        <f>AND(#REF!,"AAAAAH3P30c=")</f>
        <v>#REF!</v>
      </c>
      <c r="BU5" t="e">
        <f>AND(#REF!,"AAAAAH3P30g=")</f>
        <v>#REF!</v>
      </c>
      <c r="BV5" t="e">
        <f>AND(#REF!,"AAAAAH3P30k=")</f>
        <v>#REF!</v>
      </c>
      <c r="BW5" t="e">
        <f>AND(#REF!,"AAAAAH3P30o=")</f>
        <v>#REF!</v>
      </c>
      <c r="BX5" t="e">
        <f>AND(#REF!,"AAAAAH3P30s=")</f>
        <v>#REF!</v>
      </c>
      <c r="BY5" t="e">
        <f>AND(#REF!,"AAAAAH3P30w=")</f>
        <v>#REF!</v>
      </c>
      <c r="BZ5" t="e">
        <f>AND(#REF!,"AAAAAH3P300=")</f>
        <v>#REF!</v>
      </c>
      <c r="CA5" t="e">
        <f>AND(#REF!,"AAAAAH3P304=")</f>
        <v>#REF!</v>
      </c>
      <c r="CB5" t="e">
        <f>AND(#REF!,"AAAAAH3P308=")</f>
        <v>#REF!</v>
      </c>
      <c r="CC5" t="e">
        <f>AND(#REF!,"AAAAAH3P31A=")</f>
        <v>#REF!</v>
      </c>
      <c r="CD5" t="e">
        <f>AND(#REF!,"AAAAAH3P31E=")</f>
        <v>#REF!</v>
      </c>
      <c r="CE5" t="e">
        <f>AND(#REF!,"AAAAAH3P31I=")</f>
        <v>#REF!</v>
      </c>
      <c r="CF5" t="e">
        <f>AND(#REF!,"AAAAAH3P31M=")</f>
        <v>#REF!</v>
      </c>
      <c r="CG5" t="e">
        <f>AND(#REF!,"AAAAAH3P31Q=")</f>
        <v>#REF!</v>
      </c>
      <c r="CH5" t="e">
        <f>AND(#REF!,"AAAAAH3P31U=")</f>
        <v>#REF!</v>
      </c>
      <c r="CI5" t="e">
        <f>AND(#REF!,"AAAAAH3P31Y=")</f>
        <v>#REF!</v>
      </c>
      <c r="CJ5" t="e">
        <f>AND(#REF!,"AAAAAH3P31c=")</f>
        <v>#REF!</v>
      </c>
      <c r="CK5" t="e">
        <f>AND(#REF!,"AAAAAH3P31g=")</f>
        <v>#REF!</v>
      </c>
      <c r="CL5" t="e">
        <f>AND(#REF!,"AAAAAH3P31k=")</f>
        <v>#REF!</v>
      </c>
      <c r="CM5" t="e">
        <f>AND(#REF!,"AAAAAH3P31o=")</f>
        <v>#REF!</v>
      </c>
      <c r="CN5" t="e">
        <f>AND(#REF!,"AAAAAH3P31s=")</f>
        <v>#REF!</v>
      </c>
      <c r="CO5" t="e">
        <f>IF(#REF!,"AAAAAH3P31w=",0)</f>
        <v>#REF!</v>
      </c>
      <c r="CP5" t="e">
        <f>AND(#REF!,"AAAAAH3P310=")</f>
        <v>#REF!</v>
      </c>
      <c r="CQ5" t="e">
        <f>AND(#REF!,"AAAAAH3P314=")</f>
        <v>#REF!</v>
      </c>
      <c r="CR5" t="e">
        <f>AND(#REF!,"AAAAAH3P318=")</f>
        <v>#REF!</v>
      </c>
      <c r="CS5" t="e">
        <f>AND(#REF!,"AAAAAH3P32A=")</f>
        <v>#REF!</v>
      </c>
      <c r="CT5" t="e">
        <f>AND(#REF!,"AAAAAH3P32E=")</f>
        <v>#REF!</v>
      </c>
      <c r="CU5" t="e">
        <f>AND(#REF!,"AAAAAH3P32I=")</f>
        <v>#REF!</v>
      </c>
      <c r="CV5" t="e">
        <f>AND(#REF!,"AAAAAH3P32M=")</f>
        <v>#REF!</v>
      </c>
      <c r="CW5" t="e">
        <f>AND(#REF!,"AAAAAH3P32Q=")</f>
        <v>#REF!</v>
      </c>
      <c r="CX5" t="e">
        <f>AND(#REF!,"AAAAAH3P32U=")</f>
        <v>#REF!</v>
      </c>
      <c r="CY5" t="e">
        <f>AND(#REF!,"AAAAAH3P32Y=")</f>
        <v>#REF!</v>
      </c>
      <c r="CZ5" t="e">
        <f>AND(#REF!,"AAAAAH3P32c=")</f>
        <v>#REF!</v>
      </c>
      <c r="DA5" t="e">
        <f>AND(#REF!,"AAAAAH3P32g=")</f>
        <v>#REF!</v>
      </c>
      <c r="DB5" t="e">
        <f>AND(#REF!,"AAAAAH3P32k=")</f>
        <v>#REF!</v>
      </c>
      <c r="DC5" t="e">
        <f>AND(#REF!,"AAAAAH3P32o=")</f>
        <v>#REF!</v>
      </c>
      <c r="DD5" t="e">
        <f>AND(#REF!,"AAAAAH3P32s=")</f>
        <v>#REF!</v>
      </c>
      <c r="DE5" t="e">
        <f>AND(#REF!,"AAAAAH3P32w=")</f>
        <v>#REF!</v>
      </c>
      <c r="DF5" t="e">
        <f>AND(#REF!,"AAAAAH3P320=")</f>
        <v>#REF!</v>
      </c>
      <c r="DG5" t="e">
        <f>AND(#REF!,"AAAAAH3P324=")</f>
        <v>#REF!</v>
      </c>
      <c r="DH5" t="e">
        <f>AND(#REF!,"AAAAAH3P328=")</f>
        <v>#REF!</v>
      </c>
      <c r="DI5" t="e">
        <f>AND(#REF!,"AAAAAH3P33A=")</f>
        <v>#REF!</v>
      </c>
      <c r="DJ5" t="e">
        <f>AND(#REF!,"AAAAAH3P33E=")</f>
        <v>#REF!</v>
      </c>
      <c r="DK5" t="e">
        <f>AND(#REF!,"AAAAAH3P33I=")</f>
        <v>#REF!</v>
      </c>
      <c r="DL5" t="e">
        <f>AND(#REF!,"AAAAAH3P33M=")</f>
        <v>#REF!</v>
      </c>
      <c r="DM5" t="e">
        <f>AND(#REF!,"AAAAAH3P33Q=")</f>
        <v>#REF!</v>
      </c>
      <c r="DN5" t="e">
        <f>AND(#REF!,"AAAAAH3P33U=")</f>
        <v>#REF!</v>
      </c>
      <c r="DO5" t="e">
        <f>AND(#REF!,"AAAAAH3P33Y=")</f>
        <v>#REF!</v>
      </c>
      <c r="DP5" t="e">
        <f>AND(#REF!,"AAAAAH3P33c=")</f>
        <v>#REF!</v>
      </c>
      <c r="DQ5" t="e">
        <f>AND(#REF!,"AAAAAH3P33g=")</f>
        <v>#REF!</v>
      </c>
      <c r="DR5" t="e">
        <f>AND(#REF!,"AAAAAH3P33k=")</f>
        <v>#REF!</v>
      </c>
      <c r="DS5" t="e">
        <f>AND(#REF!,"AAAAAH3P33o=")</f>
        <v>#REF!</v>
      </c>
      <c r="DT5" t="e">
        <f>AND(#REF!,"AAAAAH3P33s=")</f>
        <v>#REF!</v>
      </c>
      <c r="DU5" t="e">
        <f>AND(#REF!,"AAAAAH3P33w=")</f>
        <v>#REF!</v>
      </c>
      <c r="DV5" t="e">
        <f>AND(#REF!,"AAAAAH3P330=")</f>
        <v>#REF!</v>
      </c>
      <c r="DW5" t="e">
        <f>AND(#REF!,"AAAAAH3P334=")</f>
        <v>#REF!</v>
      </c>
      <c r="DX5" t="e">
        <f>AND(#REF!,"AAAAAH3P338=")</f>
        <v>#REF!</v>
      </c>
      <c r="DY5" t="e">
        <f>IF(#REF!,"AAAAAH3P34A=",0)</f>
        <v>#REF!</v>
      </c>
      <c r="DZ5" t="e">
        <f>AND(#REF!,"AAAAAH3P34E=")</f>
        <v>#REF!</v>
      </c>
      <c r="EA5" t="e">
        <f>AND(#REF!,"AAAAAH3P34I=")</f>
        <v>#REF!</v>
      </c>
      <c r="EB5" t="e">
        <f>AND(#REF!,"AAAAAH3P34M=")</f>
        <v>#REF!</v>
      </c>
      <c r="EC5" t="e">
        <f>AND(#REF!,"AAAAAH3P34Q=")</f>
        <v>#REF!</v>
      </c>
      <c r="ED5" t="e">
        <f>AND(#REF!,"AAAAAH3P34U=")</f>
        <v>#REF!</v>
      </c>
      <c r="EE5" t="e">
        <f>AND(#REF!,"AAAAAH3P34Y=")</f>
        <v>#REF!</v>
      </c>
      <c r="EF5" t="e">
        <f>AND(#REF!,"AAAAAH3P34c=")</f>
        <v>#REF!</v>
      </c>
      <c r="EG5" t="e">
        <f>AND(#REF!,"AAAAAH3P34g=")</f>
        <v>#REF!</v>
      </c>
      <c r="EH5" t="e">
        <f>AND(#REF!,"AAAAAH3P34k=")</f>
        <v>#REF!</v>
      </c>
      <c r="EI5" t="e">
        <f>AND(#REF!,"AAAAAH3P34o=")</f>
        <v>#REF!</v>
      </c>
      <c r="EJ5" t="e">
        <f>AND(#REF!,"AAAAAH3P34s=")</f>
        <v>#REF!</v>
      </c>
      <c r="EK5" t="e">
        <f>AND(#REF!,"AAAAAH3P34w=")</f>
        <v>#REF!</v>
      </c>
      <c r="EL5" t="e">
        <f>AND(#REF!,"AAAAAH3P340=")</f>
        <v>#REF!</v>
      </c>
      <c r="EM5" t="e">
        <f>AND(#REF!,"AAAAAH3P344=")</f>
        <v>#REF!</v>
      </c>
      <c r="EN5" t="e">
        <f>AND(#REF!,"AAAAAH3P348=")</f>
        <v>#REF!</v>
      </c>
      <c r="EO5" t="e">
        <f>AND(#REF!,"AAAAAH3P35A=")</f>
        <v>#REF!</v>
      </c>
      <c r="EP5" t="e">
        <f>AND(#REF!,"AAAAAH3P35E=")</f>
        <v>#REF!</v>
      </c>
      <c r="EQ5" t="e">
        <f>AND(#REF!,"AAAAAH3P35I=")</f>
        <v>#REF!</v>
      </c>
      <c r="ER5" t="e">
        <f>AND(#REF!,"AAAAAH3P35M=")</f>
        <v>#REF!</v>
      </c>
      <c r="ES5" t="e">
        <f>AND(#REF!,"AAAAAH3P35Q=")</f>
        <v>#REF!</v>
      </c>
      <c r="ET5" t="e">
        <f>AND(#REF!,"AAAAAH3P35U=")</f>
        <v>#REF!</v>
      </c>
      <c r="EU5" t="e">
        <f>AND(#REF!,"AAAAAH3P35Y=")</f>
        <v>#REF!</v>
      </c>
      <c r="EV5" t="e">
        <f>AND(#REF!,"AAAAAH3P35c=")</f>
        <v>#REF!</v>
      </c>
      <c r="EW5" t="e">
        <f>AND(#REF!,"AAAAAH3P35g=")</f>
        <v>#REF!</v>
      </c>
      <c r="EX5" t="e">
        <f>AND(#REF!,"AAAAAH3P35k=")</f>
        <v>#REF!</v>
      </c>
      <c r="EY5" t="e">
        <f>AND(#REF!,"AAAAAH3P35o=")</f>
        <v>#REF!</v>
      </c>
      <c r="EZ5" t="e">
        <f>AND(#REF!,"AAAAAH3P35s=")</f>
        <v>#REF!</v>
      </c>
      <c r="FA5" t="e">
        <f>AND(#REF!,"AAAAAH3P35w=")</f>
        <v>#REF!</v>
      </c>
      <c r="FB5" t="e">
        <f>AND(#REF!,"AAAAAH3P350=")</f>
        <v>#REF!</v>
      </c>
      <c r="FC5" t="e">
        <f>AND(#REF!,"AAAAAH3P354=")</f>
        <v>#REF!</v>
      </c>
      <c r="FD5" t="e">
        <f>AND(#REF!,"AAAAAH3P358=")</f>
        <v>#REF!</v>
      </c>
      <c r="FE5" t="e">
        <f>AND(#REF!,"AAAAAH3P36A=")</f>
        <v>#REF!</v>
      </c>
      <c r="FF5" t="e">
        <f>AND(#REF!,"AAAAAH3P36E=")</f>
        <v>#REF!</v>
      </c>
      <c r="FG5" t="e">
        <f>AND(#REF!,"AAAAAH3P36I=")</f>
        <v>#REF!</v>
      </c>
      <c r="FH5" t="e">
        <f>AND(#REF!,"AAAAAH3P36M=")</f>
        <v>#REF!</v>
      </c>
      <c r="FI5" t="e">
        <f>IF(#REF!,"AAAAAH3P36Q=",0)</f>
        <v>#REF!</v>
      </c>
      <c r="FJ5" t="e">
        <f>AND(#REF!,"AAAAAH3P36U=")</f>
        <v>#REF!</v>
      </c>
      <c r="FK5" t="e">
        <f>AND(#REF!,"AAAAAH3P36Y=")</f>
        <v>#REF!</v>
      </c>
      <c r="FL5" t="e">
        <f>AND(#REF!,"AAAAAH3P36c=")</f>
        <v>#REF!</v>
      </c>
      <c r="FM5" t="e">
        <f>AND(#REF!,"AAAAAH3P36g=")</f>
        <v>#REF!</v>
      </c>
      <c r="FN5" t="e">
        <f>AND(#REF!,"AAAAAH3P36k=")</f>
        <v>#REF!</v>
      </c>
      <c r="FO5" t="e">
        <f>AND(#REF!,"AAAAAH3P36o=")</f>
        <v>#REF!</v>
      </c>
      <c r="FP5" t="e">
        <f>AND(#REF!,"AAAAAH3P36s=")</f>
        <v>#REF!</v>
      </c>
      <c r="FQ5" t="e">
        <f>AND(#REF!,"AAAAAH3P36w=")</f>
        <v>#REF!</v>
      </c>
      <c r="FR5" t="e">
        <f>AND(#REF!,"AAAAAH3P360=")</f>
        <v>#REF!</v>
      </c>
      <c r="FS5" t="e">
        <f>AND(#REF!,"AAAAAH3P364=")</f>
        <v>#REF!</v>
      </c>
      <c r="FT5" t="e">
        <f>AND(#REF!,"AAAAAH3P368=")</f>
        <v>#REF!</v>
      </c>
      <c r="FU5" t="e">
        <f>AND(#REF!,"AAAAAH3P37A=")</f>
        <v>#REF!</v>
      </c>
      <c r="FV5" t="e">
        <f>AND(#REF!,"AAAAAH3P37E=")</f>
        <v>#REF!</v>
      </c>
      <c r="FW5" t="e">
        <f>AND(#REF!,"AAAAAH3P37I=")</f>
        <v>#REF!</v>
      </c>
      <c r="FX5" t="e">
        <f>AND(#REF!,"AAAAAH3P37M=")</f>
        <v>#REF!</v>
      </c>
      <c r="FY5" t="e">
        <f>AND(#REF!,"AAAAAH3P37Q=")</f>
        <v>#REF!</v>
      </c>
      <c r="FZ5" t="e">
        <f>AND(#REF!,"AAAAAH3P37U=")</f>
        <v>#REF!</v>
      </c>
      <c r="GA5" t="e">
        <f>AND(#REF!,"AAAAAH3P37Y=")</f>
        <v>#REF!</v>
      </c>
      <c r="GB5" t="e">
        <f>AND(#REF!,"AAAAAH3P37c=")</f>
        <v>#REF!</v>
      </c>
      <c r="GC5" t="e">
        <f>AND(#REF!,"AAAAAH3P37g=")</f>
        <v>#REF!</v>
      </c>
      <c r="GD5" t="e">
        <f>AND(#REF!,"AAAAAH3P37k=")</f>
        <v>#REF!</v>
      </c>
      <c r="GE5" t="e">
        <f>AND(#REF!,"AAAAAH3P37o=")</f>
        <v>#REF!</v>
      </c>
      <c r="GF5" t="e">
        <f>AND(#REF!,"AAAAAH3P37s=")</f>
        <v>#REF!</v>
      </c>
      <c r="GG5" t="e">
        <f>AND(#REF!,"AAAAAH3P37w=")</f>
        <v>#REF!</v>
      </c>
      <c r="GH5" t="e">
        <f>AND(#REF!,"AAAAAH3P370=")</f>
        <v>#REF!</v>
      </c>
      <c r="GI5" t="e">
        <f>AND(#REF!,"AAAAAH3P374=")</f>
        <v>#REF!</v>
      </c>
      <c r="GJ5" t="e">
        <f>AND(#REF!,"AAAAAH3P378=")</f>
        <v>#REF!</v>
      </c>
      <c r="GK5" t="e">
        <f>AND(#REF!,"AAAAAH3P38A=")</f>
        <v>#REF!</v>
      </c>
      <c r="GL5" t="e">
        <f>AND(#REF!,"AAAAAH3P38E=")</f>
        <v>#REF!</v>
      </c>
      <c r="GM5" t="e">
        <f>AND(#REF!,"AAAAAH3P38I=")</f>
        <v>#REF!</v>
      </c>
      <c r="GN5" t="e">
        <f>AND(#REF!,"AAAAAH3P38M=")</f>
        <v>#REF!</v>
      </c>
      <c r="GO5" t="e">
        <f>AND(#REF!,"AAAAAH3P38Q=")</f>
        <v>#REF!</v>
      </c>
      <c r="GP5" t="e">
        <f>AND(#REF!,"AAAAAH3P38U=")</f>
        <v>#REF!</v>
      </c>
      <c r="GQ5" t="e">
        <f>AND(#REF!,"AAAAAH3P38Y=")</f>
        <v>#REF!</v>
      </c>
      <c r="GR5" t="e">
        <f>AND(#REF!,"AAAAAH3P38c=")</f>
        <v>#REF!</v>
      </c>
      <c r="GS5" t="e">
        <f>IF(#REF!,"AAAAAH3P38g=",0)</f>
        <v>#REF!</v>
      </c>
      <c r="GT5" t="e">
        <f>AND(#REF!,"AAAAAH3P38k=")</f>
        <v>#REF!</v>
      </c>
      <c r="GU5" t="e">
        <f>AND(#REF!,"AAAAAH3P38o=")</f>
        <v>#REF!</v>
      </c>
      <c r="GV5" t="e">
        <f>AND(#REF!,"AAAAAH3P38s=")</f>
        <v>#REF!</v>
      </c>
      <c r="GW5" t="e">
        <f>AND(#REF!,"AAAAAH3P38w=")</f>
        <v>#REF!</v>
      </c>
      <c r="GX5" t="e">
        <f>AND(#REF!,"AAAAAH3P380=")</f>
        <v>#REF!</v>
      </c>
      <c r="GY5" t="e">
        <f>AND(#REF!,"AAAAAH3P384=")</f>
        <v>#REF!</v>
      </c>
      <c r="GZ5" t="e">
        <f>AND(#REF!,"AAAAAH3P388=")</f>
        <v>#REF!</v>
      </c>
      <c r="HA5" t="e">
        <f>AND(#REF!,"AAAAAH3P39A=")</f>
        <v>#REF!</v>
      </c>
      <c r="HB5" t="e">
        <f>AND(#REF!,"AAAAAH3P39E=")</f>
        <v>#REF!</v>
      </c>
      <c r="HC5" t="e">
        <f>AND(#REF!,"AAAAAH3P39I=")</f>
        <v>#REF!</v>
      </c>
      <c r="HD5" t="e">
        <f>AND(#REF!,"AAAAAH3P39M=")</f>
        <v>#REF!</v>
      </c>
      <c r="HE5" t="e">
        <f>AND(#REF!,"AAAAAH3P39Q=")</f>
        <v>#REF!</v>
      </c>
      <c r="HF5" t="e">
        <f>AND(#REF!,"AAAAAH3P39U=")</f>
        <v>#REF!</v>
      </c>
      <c r="HG5" t="e">
        <f>AND(#REF!,"AAAAAH3P39Y=")</f>
        <v>#REF!</v>
      </c>
      <c r="HH5" t="e">
        <f>AND(#REF!,"AAAAAH3P39c=")</f>
        <v>#REF!</v>
      </c>
      <c r="HI5" t="e">
        <f>AND(#REF!,"AAAAAH3P39g=")</f>
        <v>#REF!</v>
      </c>
      <c r="HJ5" t="e">
        <f>AND(#REF!,"AAAAAH3P39k=")</f>
        <v>#REF!</v>
      </c>
      <c r="HK5" t="e">
        <f>AND(#REF!,"AAAAAH3P39o=")</f>
        <v>#REF!</v>
      </c>
      <c r="HL5" t="e">
        <f>AND(#REF!,"AAAAAH3P39s=")</f>
        <v>#REF!</v>
      </c>
      <c r="HM5" t="e">
        <f>AND(#REF!,"AAAAAH3P39w=")</f>
        <v>#REF!</v>
      </c>
      <c r="HN5" t="e">
        <f>AND(#REF!,"AAAAAH3P390=")</f>
        <v>#REF!</v>
      </c>
      <c r="HO5" t="e">
        <f>AND(#REF!,"AAAAAH3P394=")</f>
        <v>#REF!</v>
      </c>
      <c r="HP5" t="e">
        <f>AND(#REF!,"AAAAAH3P398=")</f>
        <v>#REF!</v>
      </c>
      <c r="HQ5" t="e">
        <f>AND(#REF!,"AAAAAH3P3+A=")</f>
        <v>#REF!</v>
      </c>
      <c r="HR5" t="e">
        <f>AND(#REF!,"AAAAAH3P3+E=")</f>
        <v>#REF!</v>
      </c>
      <c r="HS5" t="e">
        <f>AND(#REF!,"AAAAAH3P3+I=")</f>
        <v>#REF!</v>
      </c>
      <c r="HT5" t="e">
        <f>AND(#REF!,"AAAAAH3P3+M=")</f>
        <v>#REF!</v>
      </c>
      <c r="HU5" t="e">
        <f>AND(#REF!,"AAAAAH3P3+Q=")</f>
        <v>#REF!</v>
      </c>
      <c r="HV5" t="e">
        <f>AND(#REF!,"AAAAAH3P3+U=")</f>
        <v>#REF!</v>
      </c>
      <c r="HW5" t="e">
        <f>AND(#REF!,"AAAAAH3P3+Y=")</f>
        <v>#REF!</v>
      </c>
      <c r="HX5" t="e">
        <f>AND(#REF!,"AAAAAH3P3+c=")</f>
        <v>#REF!</v>
      </c>
      <c r="HY5" t="e">
        <f>AND(#REF!,"AAAAAH3P3+g=")</f>
        <v>#REF!</v>
      </c>
      <c r="HZ5" t="e">
        <f>AND(#REF!,"AAAAAH3P3+k=")</f>
        <v>#REF!</v>
      </c>
      <c r="IA5" t="e">
        <f>AND(#REF!,"AAAAAH3P3+o=")</f>
        <v>#REF!</v>
      </c>
      <c r="IB5" t="e">
        <f>AND(#REF!,"AAAAAH3P3+s=")</f>
        <v>#REF!</v>
      </c>
      <c r="IC5" t="e">
        <f>IF(#REF!,"AAAAAH3P3+w=",0)</f>
        <v>#REF!</v>
      </c>
      <c r="ID5" t="e">
        <f>AND(#REF!,"AAAAAH3P3+0=")</f>
        <v>#REF!</v>
      </c>
      <c r="IE5" t="e">
        <f>AND(#REF!,"AAAAAH3P3+4=")</f>
        <v>#REF!</v>
      </c>
      <c r="IF5" t="e">
        <f>AND(#REF!,"AAAAAH3P3+8=")</f>
        <v>#REF!</v>
      </c>
      <c r="IG5" t="e">
        <f>AND(#REF!,"AAAAAH3P3/A=")</f>
        <v>#REF!</v>
      </c>
      <c r="IH5" t="e">
        <f>AND(#REF!,"AAAAAH3P3/E=")</f>
        <v>#REF!</v>
      </c>
      <c r="II5" t="e">
        <f>AND(#REF!,"AAAAAH3P3/I=")</f>
        <v>#REF!</v>
      </c>
      <c r="IJ5" t="e">
        <f>AND(#REF!,"AAAAAH3P3/M=")</f>
        <v>#REF!</v>
      </c>
      <c r="IK5" t="e">
        <f>AND(#REF!,"AAAAAH3P3/Q=")</f>
        <v>#REF!</v>
      </c>
      <c r="IL5" t="e">
        <f>AND(#REF!,"AAAAAH3P3/U=")</f>
        <v>#REF!</v>
      </c>
      <c r="IM5" t="e">
        <f>AND(#REF!,"AAAAAH3P3/Y=")</f>
        <v>#REF!</v>
      </c>
      <c r="IN5" t="e">
        <f>AND(#REF!,"AAAAAH3P3/c=")</f>
        <v>#REF!</v>
      </c>
      <c r="IO5" t="e">
        <f>AND(#REF!,"AAAAAH3P3/g=")</f>
        <v>#REF!</v>
      </c>
      <c r="IP5" t="e">
        <f>AND(#REF!,"AAAAAH3P3/k=")</f>
        <v>#REF!</v>
      </c>
      <c r="IQ5" t="e">
        <f>AND(#REF!,"AAAAAH3P3/o=")</f>
        <v>#REF!</v>
      </c>
      <c r="IR5" t="e">
        <f>AND(#REF!,"AAAAAH3P3/s=")</f>
        <v>#REF!</v>
      </c>
      <c r="IS5" t="e">
        <f>AND(#REF!,"AAAAAH3P3/w=")</f>
        <v>#REF!</v>
      </c>
      <c r="IT5" t="e">
        <f>AND(#REF!,"AAAAAH3P3/0=")</f>
        <v>#REF!</v>
      </c>
      <c r="IU5" t="e">
        <f>AND(#REF!,"AAAAAH3P3/4=")</f>
        <v>#REF!</v>
      </c>
      <c r="IV5" t="e">
        <f>AND(#REF!,"AAAAAH3P3/8=")</f>
        <v>#REF!</v>
      </c>
    </row>
    <row r="6" spans="1:256">
      <c r="A6" t="e">
        <f>AND(#REF!,"AAAAAH9n+QA=")</f>
        <v>#REF!</v>
      </c>
      <c r="B6" t="e">
        <f>AND(#REF!,"AAAAAH9n+QE=")</f>
        <v>#REF!</v>
      </c>
      <c r="C6" t="e">
        <f>AND(#REF!,"AAAAAH9n+QI=")</f>
        <v>#REF!</v>
      </c>
      <c r="D6" t="e">
        <f>AND(#REF!,"AAAAAH9n+QM=")</f>
        <v>#REF!</v>
      </c>
      <c r="E6" t="e">
        <f>AND(#REF!,"AAAAAH9n+QQ=")</f>
        <v>#REF!</v>
      </c>
      <c r="F6" t="e">
        <f>AND(#REF!,"AAAAAH9n+QU=")</f>
        <v>#REF!</v>
      </c>
      <c r="G6" t="e">
        <f>AND(#REF!,"AAAAAH9n+QY=")</f>
        <v>#REF!</v>
      </c>
      <c r="H6" t="e">
        <f>AND(#REF!,"AAAAAH9n+Qc=")</f>
        <v>#REF!</v>
      </c>
      <c r="I6" t="e">
        <f>AND(#REF!,"AAAAAH9n+Qg=")</f>
        <v>#REF!</v>
      </c>
      <c r="J6" t="e">
        <f>AND(#REF!,"AAAAAH9n+Qk=")</f>
        <v>#REF!</v>
      </c>
      <c r="K6" t="e">
        <f>AND(#REF!,"AAAAAH9n+Qo=")</f>
        <v>#REF!</v>
      </c>
      <c r="L6" t="e">
        <f>AND(#REF!,"AAAAAH9n+Qs=")</f>
        <v>#REF!</v>
      </c>
      <c r="M6" t="e">
        <f>AND(#REF!,"AAAAAH9n+Qw=")</f>
        <v>#REF!</v>
      </c>
      <c r="N6" t="e">
        <f>AND(#REF!,"AAAAAH9n+Q0=")</f>
        <v>#REF!</v>
      </c>
      <c r="O6" t="e">
        <f>AND(#REF!,"AAAAAH9n+Q4=")</f>
        <v>#REF!</v>
      </c>
      <c r="P6" t="e">
        <f>AND(#REF!,"AAAAAH9n+Q8=")</f>
        <v>#REF!</v>
      </c>
      <c r="Q6" t="e">
        <f>IF(#REF!,"AAAAAH9n+RA=",0)</f>
        <v>#REF!</v>
      </c>
      <c r="R6" t="e">
        <f>AND(#REF!,"AAAAAH9n+RE=")</f>
        <v>#REF!</v>
      </c>
      <c r="S6" t="e">
        <f>AND(#REF!,"AAAAAH9n+RI=")</f>
        <v>#REF!</v>
      </c>
      <c r="T6" t="e">
        <f>AND(#REF!,"AAAAAH9n+RM=")</f>
        <v>#REF!</v>
      </c>
      <c r="U6" t="e">
        <f>AND(#REF!,"AAAAAH9n+RQ=")</f>
        <v>#REF!</v>
      </c>
      <c r="V6" t="e">
        <f>AND(#REF!,"AAAAAH9n+RU=")</f>
        <v>#REF!</v>
      </c>
      <c r="W6" t="e">
        <f>AND(#REF!,"AAAAAH9n+RY=")</f>
        <v>#REF!</v>
      </c>
      <c r="X6" t="e">
        <f>AND(#REF!,"AAAAAH9n+Rc=")</f>
        <v>#REF!</v>
      </c>
      <c r="Y6" t="e">
        <f>AND(#REF!,"AAAAAH9n+Rg=")</f>
        <v>#REF!</v>
      </c>
      <c r="Z6" t="e">
        <f>AND(#REF!,"AAAAAH9n+Rk=")</f>
        <v>#REF!</v>
      </c>
      <c r="AA6" t="e">
        <f>AND(#REF!,"AAAAAH9n+Ro=")</f>
        <v>#REF!</v>
      </c>
      <c r="AB6" t="e">
        <f>AND(#REF!,"AAAAAH9n+Rs=")</f>
        <v>#REF!</v>
      </c>
      <c r="AC6" t="e">
        <f>AND(#REF!,"AAAAAH9n+Rw=")</f>
        <v>#REF!</v>
      </c>
      <c r="AD6" t="e">
        <f>AND(#REF!,"AAAAAH9n+R0=")</f>
        <v>#REF!</v>
      </c>
      <c r="AE6" t="e">
        <f>AND(#REF!,"AAAAAH9n+R4=")</f>
        <v>#REF!</v>
      </c>
      <c r="AF6" t="e">
        <f>AND(#REF!,"AAAAAH9n+R8=")</f>
        <v>#REF!</v>
      </c>
      <c r="AG6" t="e">
        <f>AND(#REF!,"AAAAAH9n+SA=")</f>
        <v>#REF!</v>
      </c>
      <c r="AH6" t="e">
        <f>AND(#REF!,"AAAAAH9n+SE=")</f>
        <v>#REF!</v>
      </c>
      <c r="AI6" t="e">
        <f>AND(#REF!,"AAAAAH9n+SI=")</f>
        <v>#REF!</v>
      </c>
      <c r="AJ6" t="e">
        <f>AND(#REF!,"AAAAAH9n+SM=")</f>
        <v>#REF!</v>
      </c>
      <c r="AK6" t="e">
        <f>AND(#REF!,"AAAAAH9n+SQ=")</f>
        <v>#REF!</v>
      </c>
      <c r="AL6" t="e">
        <f>AND(#REF!,"AAAAAH9n+SU=")</f>
        <v>#REF!</v>
      </c>
      <c r="AM6" t="e">
        <f>AND(#REF!,"AAAAAH9n+SY=")</f>
        <v>#REF!</v>
      </c>
      <c r="AN6" t="e">
        <f>AND(#REF!,"AAAAAH9n+Sc=")</f>
        <v>#REF!</v>
      </c>
      <c r="AO6" t="e">
        <f>AND(#REF!,"AAAAAH9n+Sg=")</f>
        <v>#REF!</v>
      </c>
      <c r="AP6" t="e">
        <f>AND(#REF!,"AAAAAH9n+Sk=")</f>
        <v>#REF!</v>
      </c>
      <c r="AQ6" t="e">
        <f>AND(#REF!,"AAAAAH9n+So=")</f>
        <v>#REF!</v>
      </c>
      <c r="AR6" t="e">
        <f>AND(#REF!,"AAAAAH9n+Ss=")</f>
        <v>#REF!</v>
      </c>
      <c r="AS6" t="e">
        <f>AND(#REF!,"AAAAAH9n+Sw=")</f>
        <v>#REF!</v>
      </c>
      <c r="AT6" t="e">
        <f>AND(#REF!,"AAAAAH9n+S0=")</f>
        <v>#REF!</v>
      </c>
      <c r="AU6" t="e">
        <f>AND(#REF!,"AAAAAH9n+S4=")</f>
        <v>#REF!</v>
      </c>
      <c r="AV6" t="e">
        <f>AND(#REF!,"AAAAAH9n+S8=")</f>
        <v>#REF!</v>
      </c>
      <c r="AW6" t="e">
        <f>AND(#REF!,"AAAAAH9n+TA=")</f>
        <v>#REF!</v>
      </c>
      <c r="AX6" t="e">
        <f>AND(#REF!,"AAAAAH9n+TE=")</f>
        <v>#REF!</v>
      </c>
      <c r="AY6" t="e">
        <f>AND(#REF!,"AAAAAH9n+TI=")</f>
        <v>#REF!</v>
      </c>
      <c r="AZ6" t="e">
        <f>AND(#REF!,"AAAAAH9n+TM=")</f>
        <v>#REF!</v>
      </c>
      <c r="BA6" t="e">
        <f>IF(#REF!,"AAAAAH9n+TQ=",0)</f>
        <v>#REF!</v>
      </c>
      <c r="BB6" t="e">
        <f>AND(#REF!,"AAAAAH9n+TU=")</f>
        <v>#REF!</v>
      </c>
      <c r="BC6" t="e">
        <f>AND(#REF!,"AAAAAH9n+TY=")</f>
        <v>#REF!</v>
      </c>
      <c r="BD6" t="e">
        <f>AND(#REF!,"AAAAAH9n+Tc=")</f>
        <v>#REF!</v>
      </c>
      <c r="BE6" t="e">
        <f>AND(#REF!,"AAAAAH9n+Tg=")</f>
        <v>#REF!</v>
      </c>
      <c r="BF6" t="e">
        <f>AND(#REF!,"AAAAAH9n+Tk=")</f>
        <v>#REF!</v>
      </c>
      <c r="BG6" t="e">
        <f>AND(#REF!,"AAAAAH9n+To=")</f>
        <v>#REF!</v>
      </c>
      <c r="BH6" t="e">
        <f>AND(#REF!,"AAAAAH9n+Ts=")</f>
        <v>#REF!</v>
      </c>
      <c r="BI6" t="e">
        <f>AND(#REF!,"AAAAAH9n+Tw=")</f>
        <v>#REF!</v>
      </c>
      <c r="BJ6" t="e">
        <f>AND(#REF!,"AAAAAH9n+T0=")</f>
        <v>#REF!</v>
      </c>
      <c r="BK6" t="e">
        <f>AND(#REF!,"AAAAAH9n+T4=")</f>
        <v>#REF!</v>
      </c>
      <c r="BL6" t="e">
        <f>AND(#REF!,"AAAAAH9n+T8=")</f>
        <v>#REF!</v>
      </c>
      <c r="BM6" t="e">
        <f>AND(#REF!,"AAAAAH9n+UA=")</f>
        <v>#REF!</v>
      </c>
      <c r="BN6" t="e">
        <f>AND(#REF!,"AAAAAH9n+UE=")</f>
        <v>#REF!</v>
      </c>
      <c r="BO6" t="e">
        <f>AND(#REF!,"AAAAAH9n+UI=")</f>
        <v>#REF!</v>
      </c>
      <c r="BP6" t="e">
        <f>AND(#REF!,"AAAAAH9n+UM=")</f>
        <v>#REF!</v>
      </c>
      <c r="BQ6" t="e">
        <f>AND(#REF!,"AAAAAH9n+UQ=")</f>
        <v>#REF!</v>
      </c>
      <c r="BR6" t="e">
        <f>AND(#REF!,"AAAAAH9n+UU=")</f>
        <v>#REF!</v>
      </c>
      <c r="BS6" t="e">
        <f>AND(#REF!,"AAAAAH9n+UY=")</f>
        <v>#REF!</v>
      </c>
      <c r="BT6" t="e">
        <f>AND(#REF!,"AAAAAH9n+Uc=")</f>
        <v>#REF!</v>
      </c>
      <c r="BU6" t="e">
        <f>AND(#REF!,"AAAAAH9n+Ug=")</f>
        <v>#REF!</v>
      </c>
      <c r="BV6" t="e">
        <f>AND(#REF!,"AAAAAH9n+Uk=")</f>
        <v>#REF!</v>
      </c>
      <c r="BW6" t="e">
        <f>AND(#REF!,"AAAAAH9n+Uo=")</f>
        <v>#REF!</v>
      </c>
      <c r="BX6" t="e">
        <f>AND(#REF!,"AAAAAH9n+Us=")</f>
        <v>#REF!</v>
      </c>
      <c r="BY6" t="e">
        <f>AND(#REF!,"AAAAAH9n+Uw=")</f>
        <v>#REF!</v>
      </c>
      <c r="BZ6" t="e">
        <f>AND(#REF!,"AAAAAH9n+U0=")</f>
        <v>#REF!</v>
      </c>
      <c r="CA6" t="e">
        <f>AND(#REF!,"AAAAAH9n+U4=")</f>
        <v>#REF!</v>
      </c>
      <c r="CB6" t="e">
        <f>AND(#REF!,"AAAAAH9n+U8=")</f>
        <v>#REF!</v>
      </c>
      <c r="CC6" t="e">
        <f>AND(#REF!,"AAAAAH9n+VA=")</f>
        <v>#REF!</v>
      </c>
      <c r="CD6" t="e">
        <f>AND(#REF!,"AAAAAH9n+VE=")</f>
        <v>#REF!</v>
      </c>
      <c r="CE6" t="e">
        <f>AND(#REF!,"AAAAAH9n+VI=")</f>
        <v>#REF!</v>
      </c>
      <c r="CF6" t="e">
        <f>AND(#REF!,"AAAAAH9n+VM=")</f>
        <v>#REF!</v>
      </c>
      <c r="CG6" t="e">
        <f>AND(#REF!,"AAAAAH9n+VQ=")</f>
        <v>#REF!</v>
      </c>
      <c r="CH6" t="e">
        <f>AND(#REF!,"AAAAAH9n+VU=")</f>
        <v>#REF!</v>
      </c>
      <c r="CI6" t="e">
        <f>AND(#REF!,"AAAAAH9n+VY=")</f>
        <v>#REF!</v>
      </c>
      <c r="CJ6" t="e">
        <f>AND(#REF!,"AAAAAH9n+Vc=")</f>
        <v>#REF!</v>
      </c>
      <c r="CK6" t="e">
        <f>IF(#REF!,"AAAAAH9n+Vg=",0)</f>
        <v>#REF!</v>
      </c>
      <c r="CL6" t="e">
        <f>AND(#REF!,"AAAAAH9n+Vk=")</f>
        <v>#REF!</v>
      </c>
      <c r="CM6" t="e">
        <f>AND(#REF!,"AAAAAH9n+Vo=")</f>
        <v>#REF!</v>
      </c>
      <c r="CN6" t="e">
        <f>AND(#REF!,"AAAAAH9n+Vs=")</f>
        <v>#REF!</v>
      </c>
      <c r="CO6" t="e">
        <f>AND(#REF!,"AAAAAH9n+Vw=")</f>
        <v>#REF!</v>
      </c>
      <c r="CP6" t="e">
        <f>AND(#REF!,"AAAAAH9n+V0=")</f>
        <v>#REF!</v>
      </c>
      <c r="CQ6" t="e">
        <f>AND(#REF!,"AAAAAH9n+V4=")</f>
        <v>#REF!</v>
      </c>
      <c r="CR6" t="e">
        <f>AND(#REF!,"AAAAAH9n+V8=")</f>
        <v>#REF!</v>
      </c>
      <c r="CS6" t="e">
        <f>AND(#REF!,"AAAAAH9n+WA=")</f>
        <v>#REF!</v>
      </c>
      <c r="CT6" t="e">
        <f>AND(#REF!,"AAAAAH9n+WE=")</f>
        <v>#REF!</v>
      </c>
      <c r="CU6" t="e">
        <f>AND(#REF!,"AAAAAH9n+WI=")</f>
        <v>#REF!</v>
      </c>
      <c r="CV6" t="e">
        <f>AND(#REF!,"AAAAAH9n+WM=")</f>
        <v>#REF!</v>
      </c>
      <c r="CW6" t="e">
        <f>AND(#REF!,"AAAAAH9n+WQ=")</f>
        <v>#REF!</v>
      </c>
      <c r="CX6" t="e">
        <f>AND(#REF!,"AAAAAH9n+WU=")</f>
        <v>#REF!</v>
      </c>
      <c r="CY6" t="e">
        <f>AND(#REF!,"AAAAAH9n+WY=")</f>
        <v>#REF!</v>
      </c>
      <c r="CZ6" t="e">
        <f>AND(#REF!,"AAAAAH9n+Wc=")</f>
        <v>#REF!</v>
      </c>
      <c r="DA6" t="e">
        <f>AND(#REF!,"AAAAAH9n+Wg=")</f>
        <v>#REF!</v>
      </c>
      <c r="DB6" t="e">
        <f>AND(#REF!,"AAAAAH9n+Wk=")</f>
        <v>#REF!</v>
      </c>
      <c r="DC6" t="e">
        <f>AND(#REF!,"AAAAAH9n+Wo=")</f>
        <v>#REF!</v>
      </c>
      <c r="DD6" t="e">
        <f>AND(#REF!,"AAAAAH9n+Ws=")</f>
        <v>#REF!</v>
      </c>
      <c r="DE6" t="e">
        <f>AND(#REF!,"AAAAAH9n+Ww=")</f>
        <v>#REF!</v>
      </c>
      <c r="DF6" t="e">
        <f>AND(#REF!,"AAAAAH9n+W0=")</f>
        <v>#REF!</v>
      </c>
      <c r="DG6" t="e">
        <f>AND(#REF!,"AAAAAH9n+W4=")</f>
        <v>#REF!</v>
      </c>
      <c r="DH6" t="e">
        <f>AND(#REF!,"AAAAAH9n+W8=")</f>
        <v>#REF!</v>
      </c>
      <c r="DI6" t="e">
        <f>AND(#REF!,"AAAAAH9n+XA=")</f>
        <v>#REF!</v>
      </c>
      <c r="DJ6" t="e">
        <f>AND(#REF!,"AAAAAH9n+XE=")</f>
        <v>#REF!</v>
      </c>
      <c r="DK6" t="e">
        <f>AND(#REF!,"AAAAAH9n+XI=")</f>
        <v>#REF!</v>
      </c>
      <c r="DL6" t="e">
        <f>AND(#REF!,"AAAAAH9n+XM=")</f>
        <v>#REF!</v>
      </c>
      <c r="DM6" t="e">
        <f>AND(#REF!,"AAAAAH9n+XQ=")</f>
        <v>#REF!</v>
      </c>
      <c r="DN6" t="e">
        <f>AND(#REF!,"AAAAAH9n+XU=")</f>
        <v>#REF!</v>
      </c>
      <c r="DO6" t="e">
        <f>AND(#REF!,"AAAAAH9n+XY=")</f>
        <v>#REF!</v>
      </c>
      <c r="DP6" t="e">
        <f>AND(#REF!,"AAAAAH9n+Xc=")</f>
        <v>#REF!</v>
      </c>
      <c r="DQ6" t="e">
        <f>AND(#REF!,"AAAAAH9n+Xg=")</f>
        <v>#REF!</v>
      </c>
      <c r="DR6" t="e">
        <f>AND(#REF!,"AAAAAH9n+Xk=")</f>
        <v>#REF!</v>
      </c>
      <c r="DS6" t="e">
        <f>AND(#REF!,"AAAAAH9n+Xo=")</f>
        <v>#REF!</v>
      </c>
      <c r="DT6" t="e">
        <f>AND(#REF!,"AAAAAH9n+Xs=")</f>
        <v>#REF!</v>
      </c>
      <c r="DU6" t="e">
        <f>IF(#REF!,"AAAAAH9n+Xw=",0)</f>
        <v>#REF!</v>
      </c>
      <c r="DV6" t="e">
        <f>IF(#REF!,"AAAAAH9n+X0=",0)</f>
        <v>#REF!</v>
      </c>
      <c r="DW6" t="e">
        <f>IF(#REF!,"AAAAAH9n+X4=",0)</f>
        <v>#REF!</v>
      </c>
      <c r="DX6" t="e">
        <f>IF(#REF!,"AAAAAH9n+X8=",0)</f>
        <v>#REF!</v>
      </c>
      <c r="DY6" t="e">
        <f>IF(#REF!,"AAAAAH9n+YA=",0)</f>
        <v>#REF!</v>
      </c>
      <c r="DZ6" t="e">
        <f>IF(#REF!,"AAAAAH9n+YE=",0)</f>
        <v>#REF!</v>
      </c>
      <c r="EA6" t="e">
        <f>IF(#REF!,"AAAAAH9n+YI=",0)</f>
        <v>#REF!</v>
      </c>
      <c r="EB6" t="e">
        <f>IF(#REF!,"AAAAAH9n+YM=",0)</f>
        <v>#REF!</v>
      </c>
      <c r="EC6" t="e">
        <f>IF(#REF!,"AAAAAH9n+YQ=",0)</f>
        <v>#REF!</v>
      </c>
      <c r="ED6" t="e">
        <f>IF(#REF!,"AAAAAH9n+YU=",0)</f>
        <v>#REF!</v>
      </c>
      <c r="EE6" t="e">
        <f>IF(#REF!,"AAAAAH9n+YY=",0)</f>
        <v>#REF!</v>
      </c>
      <c r="EF6" t="e">
        <f>IF(#REF!,"AAAAAH9n+Yc=",0)</f>
        <v>#REF!</v>
      </c>
      <c r="EG6" t="e">
        <f>IF(#REF!,"AAAAAH9n+Yg=",0)</f>
        <v>#REF!</v>
      </c>
      <c r="EH6" t="e">
        <f>IF(#REF!,"AAAAAH9n+Yk=",0)</f>
        <v>#REF!</v>
      </c>
      <c r="EI6" t="e">
        <f>IF(#REF!,"AAAAAH9n+Yo=",0)</f>
        <v>#REF!</v>
      </c>
      <c r="EJ6" t="e">
        <f>IF(#REF!,"AAAAAH9n+Ys=",0)</f>
        <v>#REF!</v>
      </c>
      <c r="EK6" t="e">
        <f>IF(#REF!,"AAAAAH9n+Yw=",0)</f>
        <v>#REF!</v>
      </c>
      <c r="EL6" t="e">
        <f>IF(#REF!,"AAAAAH9n+Y0=",0)</f>
        <v>#REF!</v>
      </c>
      <c r="EM6" t="e">
        <f>IF(#REF!,"AAAAAH9n+Y4=",0)</f>
        <v>#REF!</v>
      </c>
      <c r="EN6" t="e">
        <f>IF(#REF!,"AAAAAH9n+Y8=",0)</f>
        <v>#REF!</v>
      </c>
      <c r="EO6" t="e">
        <f>IF(#REF!,"AAAAAH9n+ZA=",0)</f>
        <v>#REF!</v>
      </c>
      <c r="EP6" t="e">
        <f>IF(#REF!,"AAAAAH9n+ZE=",0)</f>
        <v>#REF!</v>
      </c>
      <c r="EQ6" t="e">
        <f>IF(#REF!,"AAAAAH9n+ZI=",0)</f>
        <v>#REF!</v>
      </c>
      <c r="ER6" t="e">
        <f>IF(#REF!,"AAAAAH9n+ZM=",0)</f>
        <v>#REF!</v>
      </c>
      <c r="ES6" t="e">
        <f>IF(#REF!,"AAAAAH9n+ZQ=",0)</f>
        <v>#REF!</v>
      </c>
      <c r="ET6" t="e">
        <f>IF(#REF!,"AAAAAH9n+ZU=",0)</f>
        <v>#REF!</v>
      </c>
      <c r="EU6" t="e">
        <f>IF(#REF!,"AAAAAH9n+ZY=",0)</f>
        <v>#REF!</v>
      </c>
      <c r="EV6" t="e">
        <f>IF(#REF!,"AAAAAH9n+Zc=",0)</f>
        <v>#REF!</v>
      </c>
      <c r="EW6" t="e">
        <f>IF(#REF!,"AAAAAH9n+Zg=",0)</f>
        <v>#REF!</v>
      </c>
      <c r="EX6" t="e">
        <f>IF(#REF!,"AAAAAH9n+Zk=",0)</f>
        <v>#REF!</v>
      </c>
      <c r="EY6" t="e">
        <f>IF(#REF!,"AAAAAH9n+Zo=",0)</f>
        <v>#REF!</v>
      </c>
      <c r="EZ6" t="e">
        <f>IF(#REF!,"AAAAAH9n+Zs=",0)</f>
        <v>#REF!</v>
      </c>
      <c r="FA6" t="e">
        <f>IF(#REF!,"AAAAAH9n+Zw=",0)</f>
        <v>#REF!</v>
      </c>
      <c r="FB6" t="e">
        <f>IF(#REF!,"AAAAAH9n+Z0=",0)</f>
        <v>#REF!</v>
      </c>
      <c r="FC6" t="e">
        <f>IF(#REF!,"AAAAAH9n+Z4=",0)</f>
        <v>#REF!</v>
      </c>
      <c r="FD6" t="e">
        <f>IF(#REF!,"AAAAAH9n+Z8=",0)</f>
        <v>#REF!</v>
      </c>
      <c r="FE6" t="e">
        <f>IF(#REF!,"AAAAAH9n+aA=",0)</f>
        <v>#REF!</v>
      </c>
      <c r="FF6" t="e">
        <f>IF(#REF!,"AAAAAH9n+aE=",0)</f>
        <v>#REF!</v>
      </c>
      <c r="FG6" t="e">
        <f>IF(#REF!,"AAAAAH9n+aI=",0)</f>
        <v>#REF!</v>
      </c>
      <c r="FH6" t="e">
        <f>IF(#REF!,"AAAAAH9n+aM=",0)</f>
        <v>#REF!</v>
      </c>
      <c r="FI6" t="e">
        <f>IF(#REF!,"AAAAAH9n+aQ=",0)</f>
        <v>#REF!</v>
      </c>
      <c r="FJ6" t="e">
        <f>IF(#REF!,"AAAAAH9n+aU=",0)</f>
        <v>#REF!</v>
      </c>
      <c r="FK6" t="e">
        <f>IF(#REF!,"AAAAAH9n+aY=",0)</f>
        <v>#REF!</v>
      </c>
      <c r="FL6" t="e">
        <f>IF(#REF!,"AAAAAH9n+ac=",0)</f>
        <v>#REF!</v>
      </c>
      <c r="FM6" t="e">
        <f>IF(#REF!,"AAAAAH9n+ag=",0)</f>
        <v>#REF!</v>
      </c>
      <c r="FN6" t="e">
        <f>IF(#REF!,"AAAAAH9n+ak=",0)</f>
        <v>#REF!</v>
      </c>
      <c r="FO6" t="e">
        <f>IF(#REF!,"AAAAAH9n+ao=",0)</f>
        <v>#REF!</v>
      </c>
      <c r="FP6" t="e">
        <f>IF(#REF!,"AAAAAH9n+as=",0)</f>
        <v>#REF!</v>
      </c>
      <c r="FQ6" t="e">
        <f>IF(#REF!,"AAAAAH9n+aw=",0)</f>
        <v>#REF!</v>
      </c>
      <c r="FR6" t="e">
        <f>IF(#REF!,"AAAAAH9n+a0=",0)</f>
        <v>#REF!</v>
      </c>
      <c r="FS6" t="e">
        <f>IF(#REF!,"AAAAAH9n+a4=",0)</f>
        <v>#REF!</v>
      </c>
      <c r="FT6" t="e">
        <f>IF(#REF!,"AAAAAH9n+a8=",0)</f>
        <v>#REF!</v>
      </c>
      <c r="FU6" t="e">
        <f>IF(#REF!,"AAAAAH9n+bA=",0)</f>
        <v>#REF!</v>
      </c>
      <c r="FV6" t="e">
        <f>IF(#REF!,"AAAAAH9n+bE=",0)</f>
        <v>#REF!</v>
      </c>
      <c r="FW6" t="e">
        <f>IF(#REF!,"AAAAAH9n+bI=",0)</f>
        <v>#REF!</v>
      </c>
      <c r="FX6" t="e">
        <f>IF(#REF!,"AAAAAH9n+bM=",0)</f>
        <v>#REF!</v>
      </c>
      <c r="FY6" t="e">
        <f>IF(#REF!,"AAAAAH9n+bQ=",0)</f>
        <v>#REF!</v>
      </c>
      <c r="FZ6" t="e">
        <f>AND(#REF!,"AAAAAH9n+bU=")</f>
        <v>#REF!</v>
      </c>
      <c r="GA6" t="e">
        <f>AND(#REF!,"AAAAAH9n+bY=")</f>
        <v>#REF!</v>
      </c>
      <c r="GB6" t="e">
        <f>AND(#REF!,"AAAAAH9n+bc=")</f>
        <v>#REF!</v>
      </c>
      <c r="GC6" t="e">
        <f>AND(#REF!,"AAAAAH9n+bg=")</f>
        <v>#REF!</v>
      </c>
      <c r="GD6" t="e">
        <f>AND(#REF!,"AAAAAH9n+bk=")</f>
        <v>#REF!</v>
      </c>
      <c r="GE6" t="e">
        <f>AND(#REF!,"AAAAAH9n+bo=")</f>
        <v>#REF!</v>
      </c>
      <c r="GF6" t="e">
        <f>AND(#REF!,"AAAAAH9n+bs=")</f>
        <v>#REF!</v>
      </c>
      <c r="GG6" t="e">
        <f>AND(#REF!,"AAAAAH9n+bw=")</f>
        <v>#REF!</v>
      </c>
      <c r="GH6" t="e">
        <f>AND(#REF!,"AAAAAH9n+b0=")</f>
        <v>#REF!</v>
      </c>
      <c r="GI6" t="e">
        <f>AND(#REF!,"AAAAAH9n+b4=")</f>
        <v>#REF!</v>
      </c>
      <c r="GJ6" t="e">
        <f>AND(#REF!,"AAAAAH9n+b8=")</f>
        <v>#REF!</v>
      </c>
      <c r="GK6" t="e">
        <f>AND(#REF!,"AAAAAH9n+cA=")</f>
        <v>#REF!</v>
      </c>
      <c r="GL6" t="e">
        <f>AND(#REF!,"AAAAAH9n+cE=")</f>
        <v>#REF!</v>
      </c>
      <c r="GM6" t="e">
        <f>AND(#REF!,"AAAAAH9n+cI=")</f>
        <v>#REF!</v>
      </c>
      <c r="GN6" t="e">
        <f>AND(#REF!,"AAAAAH9n+cM=")</f>
        <v>#REF!</v>
      </c>
      <c r="GO6" t="e">
        <f>AND(#REF!,"AAAAAH9n+cQ=")</f>
        <v>#REF!</v>
      </c>
      <c r="GP6" t="e">
        <f>AND(#REF!,"AAAAAH9n+cU=")</f>
        <v>#REF!</v>
      </c>
      <c r="GQ6" t="e">
        <f>AND(#REF!,"AAAAAH9n+cY=")</f>
        <v>#REF!</v>
      </c>
      <c r="GR6" t="e">
        <f>AND(#REF!,"AAAAAH9n+cc=")</f>
        <v>#REF!</v>
      </c>
      <c r="GS6" t="e">
        <f>AND(#REF!,"AAAAAH9n+cg=")</f>
        <v>#REF!</v>
      </c>
      <c r="GT6" t="e">
        <f>AND(#REF!,"AAAAAH9n+ck=")</f>
        <v>#REF!</v>
      </c>
      <c r="GU6" t="e">
        <f>AND(#REF!,"AAAAAH9n+co=")</f>
        <v>#REF!</v>
      </c>
      <c r="GV6" t="e">
        <f>AND(#REF!,"AAAAAH9n+cs=")</f>
        <v>#REF!</v>
      </c>
      <c r="GW6" t="e">
        <f>AND(#REF!,"AAAAAH9n+cw=")</f>
        <v>#REF!</v>
      </c>
      <c r="GX6" t="e">
        <f>AND(#REF!,"AAAAAH9n+c0=")</f>
        <v>#REF!</v>
      </c>
      <c r="GY6" t="e">
        <f>AND(#REF!,"AAAAAH9n+c4=")</f>
        <v>#REF!</v>
      </c>
      <c r="GZ6" t="e">
        <f>AND(#REF!,"AAAAAH9n+c8=")</f>
        <v>#REF!</v>
      </c>
      <c r="HA6" t="e">
        <f>AND(#REF!,"AAAAAH9n+dA=")</f>
        <v>#REF!</v>
      </c>
      <c r="HB6" t="e">
        <f>AND(#REF!,"AAAAAH9n+dE=")</f>
        <v>#REF!</v>
      </c>
      <c r="HC6" t="e">
        <f>AND(#REF!,"AAAAAH9n+dI=")</f>
        <v>#REF!</v>
      </c>
      <c r="HD6" t="e">
        <f>AND(#REF!,"AAAAAH9n+dM=")</f>
        <v>#REF!</v>
      </c>
      <c r="HE6" t="e">
        <f>AND(#REF!,"AAAAAH9n+dQ=")</f>
        <v>#REF!</v>
      </c>
      <c r="HF6" t="e">
        <f>AND(#REF!,"AAAAAH9n+dU=")</f>
        <v>#REF!</v>
      </c>
      <c r="HG6" t="e">
        <f>AND(#REF!,"AAAAAH9n+dY=")</f>
        <v>#REF!</v>
      </c>
      <c r="HH6" t="e">
        <f>AND(#REF!,"AAAAAH9n+dc=")</f>
        <v>#REF!</v>
      </c>
      <c r="HI6" t="e">
        <f>IF(#REF!,"AAAAAH9n+dg=",0)</f>
        <v>#REF!</v>
      </c>
      <c r="HJ6" t="e">
        <f>AND(#REF!,"AAAAAH9n+dk=")</f>
        <v>#REF!</v>
      </c>
      <c r="HK6" t="e">
        <f>AND(#REF!,"AAAAAH9n+do=")</f>
        <v>#REF!</v>
      </c>
      <c r="HL6" t="e">
        <f>AND(#REF!,"AAAAAH9n+ds=")</f>
        <v>#REF!</v>
      </c>
      <c r="HM6" t="e">
        <f>AND(#REF!,"AAAAAH9n+dw=")</f>
        <v>#REF!</v>
      </c>
      <c r="HN6" t="e">
        <f>AND(#REF!,"AAAAAH9n+d0=")</f>
        <v>#REF!</v>
      </c>
      <c r="HO6" t="e">
        <f>AND(#REF!,"AAAAAH9n+d4=")</f>
        <v>#REF!</v>
      </c>
      <c r="HP6" t="e">
        <f>AND(#REF!,"AAAAAH9n+d8=")</f>
        <v>#REF!</v>
      </c>
      <c r="HQ6" t="e">
        <f>AND(#REF!,"AAAAAH9n+eA=")</f>
        <v>#REF!</v>
      </c>
      <c r="HR6" t="e">
        <f>AND(#REF!,"AAAAAH9n+eE=")</f>
        <v>#REF!</v>
      </c>
      <c r="HS6" t="e">
        <f>AND(#REF!,"AAAAAH9n+eI=")</f>
        <v>#REF!</v>
      </c>
      <c r="HT6" t="e">
        <f>AND(#REF!,"AAAAAH9n+eM=")</f>
        <v>#REF!</v>
      </c>
      <c r="HU6" t="e">
        <f>AND(#REF!,"AAAAAH9n+eQ=")</f>
        <v>#REF!</v>
      </c>
      <c r="HV6" t="e">
        <f>AND(#REF!,"AAAAAH9n+eU=")</f>
        <v>#REF!</v>
      </c>
      <c r="HW6" t="e">
        <f>AND(#REF!,"AAAAAH9n+eY=")</f>
        <v>#REF!</v>
      </c>
      <c r="HX6" t="e">
        <f>AND(#REF!,"AAAAAH9n+ec=")</f>
        <v>#REF!</v>
      </c>
      <c r="HY6" t="e">
        <f>AND(#REF!,"AAAAAH9n+eg=")</f>
        <v>#REF!</v>
      </c>
      <c r="HZ6" t="e">
        <f>AND(#REF!,"AAAAAH9n+ek=")</f>
        <v>#REF!</v>
      </c>
      <c r="IA6" t="e">
        <f>AND(#REF!,"AAAAAH9n+eo=")</f>
        <v>#REF!</v>
      </c>
      <c r="IB6" t="e">
        <f>AND(#REF!,"AAAAAH9n+es=")</f>
        <v>#REF!</v>
      </c>
      <c r="IC6" t="e">
        <f>AND(#REF!,"AAAAAH9n+ew=")</f>
        <v>#REF!</v>
      </c>
      <c r="ID6" t="e">
        <f>AND(#REF!,"AAAAAH9n+e0=")</f>
        <v>#REF!</v>
      </c>
      <c r="IE6" t="e">
        <f>AND(#REF!,"AAAAAH9n+e4=")</f>
        <v>#REF!</v>
      </c>
      <c r="IF6" t="e">
        <f>AND(#REF!,"AAAAAH9n+e8=")</f>
        <v>#REF!</v>
      </c>
      <c r="IG6" t="e">
        <f>AND(#REF!,"AAAAAH9n+fA=")</f>
        <v>#REF!</v>
      </c>
      <c r="IH6" t="e">
        <f>AND(#REF!,"AAAAAH9n+fE=")</f>
        <v>#REF!</v>
      </c>
      <c r="II6" t="e">
        <f>AND(#REF!,"AAAAAH9n+fI=")</f>
        <v>#REF!</v>
      </c>
      <c r="IJ6" t="e">
        <f>AND(#REF!,"AAAAAH9n+fM=")</f>
        <v>#REF!</v>
      </c>
      <c r="IK6" t="e">
        <f>AND(#REF!,"AAAAAH9n+fQ=")</f>
        <v>#REF!</v>
      </c>
      <c r="IL6" t="e">
        <f>AND(#REF!,"AAAAAH9n+fU=")</f>
        <v>#REF!</v>
      </c>
      <c r="IM6" t="e">
        <f>AND(#REF!,"AAAAAH9n+fY=")</f>
        <v>#REF!</v>
      </c>
      <c r="IN6" t="e">
        <f>AND(#REF!,"AAAAAH9n+fc=")</f>
        <v>#REF!</v>
      </c>
      <c r="IO6" t="e">
        <f>AND(#REF!,"AAAAAH9n+fg=")</f>
        <v>#REF!</v>
      </c>
      <c r="IP6" t="e">
        <f>AND(#REF!,"AAAAAH9n+fk=")</f>
        <v>#REF!</v>
      </c>
      <c r="IQ6" t="e">
        <f>AND(#REF!,"AAAAAH9n+fo=")</f>
        <v>#REF!</v>
      </c>
      <c r="IR6" t="e">
        <f>AND(#REF!,"AAAAAH9n+fs=")</f>
        <v>#REF!</v>
      </c>
      <c r="IS6" t="e">
        <f>IF(#REF!,"AAAAAH9n+fw=",0)</f>
        <v>#REF!</v>
      </c>
      <c r="IT6" t="e">
        <f>AND(#REF!,"AAAAAH9n+f0=")</f>
        <v>#REF!</v>
      </c>
      <c r="IU6" t="e">
        <f>AND(#REF!,"AAAAAH9n+f4=")</f>
        <v>#REF!</v>
      </c>
      <c r="IV6" t="e">
        <f>AND(#REF!,"AAAAAH9n+f8=")</f>
        <v>#REF!</v>
      </c>
    </row>
    <row r="7" spans="1:256">
      <c r="A7" t="e">
        <f>AND(#REF!,"AAAAAFj/mAA=")</f>
        <v>#REF!</v>
      </c>
      <c r="B7" t="e">
        <f>AND(#REF!,"AAAAAFj/mAE=")</f>
        <v>#REF!</v>
      </c>
      <c r="C7" t="e">
        <f>AND(#REF!,"AAAAAFj/mAI=")</f>
        <v>#REF!</v>
      </c>
      <c r="D7" t="e">
        <f>AND(#REF!,"AAAAAFj/mAM=")</f>
        <v>#REF!</v>
      </c>
      <c r="E7" t="e">
        <f>AND(#REF!,"AAAAAFj/mAQ=")</f>
        <v>#REF!</v>
      </c>
      <c r="F7" t="e">
        <f>AND(#REF!,"AAAAAFj/mAU=")</f>
        <v>#REF!</v>
      </c>
      <c r="G7" t="e">
        <f>AND(#REF!,"AAAAAFj/mAY=")</f>
        <v>#REF!</v>
      </c>
      <c r="H7" t="e">
        <f>AND(#REF!,"AAAAAFj/mAc=")</f>
        <v>#REF!</v>
      </c>
      <c r="I7" t="e">
        <f>AND(#REF!,"AAAAAFj/mAg=")</f>
        <v>#REF!</v>
      </c>
      <c r="J7" t="e">
        <f>AND(#REF!,"AAAAAFj/mAk=")</f>
        <v>#REF!</v>
      </c>
      <c r="K7" t="e">
        <f>AND(#REF!,"AAAAAFj/mAo=")</f>
        <v>#REF!</v>
      </c>
      <c r="L7" t="e">
        <f>AND(#REF!,"AAAAAFj/mAs=")</f>
        <v>#REF!</v>
      </c>
      <c r="M7" t="e">
        <f>AND(#REF!,"AAAAAFj/mAw=")</f>
        <v>#REF!</v>
      </c>
      <c r="N7" t="e">
        <f>AND(#REF!,"AAAAAFj/mA0=")</f>
        <v>#REF!</v>
      </c>
      <c r="O7" t="e">
        <f>AND(#REF!,"AAAAAFj/mA4=")</f>
        <v>#REF!</v>
      </c>
      <c r="P7" t="e">
        <f>AND(#REF!,"AAAAAFj/mA8=")</f>
        <v>#REF!</v>
      </c>
      <c r="Q7" t="e">
        <f>AND(#REF!,"AAAAAFj/mBA=")</f>
        <v>#REF!</v>
      </c>
      <c r="R7" t="e">
        <f>AND(#REF!,"AAAAAFj/mBE=")</f>
        <v>#REF!</v>
      </c>
      <c r="S7" t="e">
        <f>AND(#REF!,"AAAAAFj/mBI=")</f>
        <v>#REF!</v>
      </c>
      <c r="T7" t="e">
        <f>AND(#REF!,"AAAAAFj/mBM=")</f>
        <v>#REF!</v>
      </c>
      <c r="U7" t="e">
        <f>AND(#REF!,"AAAAAFj/mBQ=")</f>
        <v>#REF!</v>
      </c>
      <c r="V7" t="e">
        <f>AND(#REF!,"AAAAAFj/mBU=")</f>
        <v>#REF!</v>
      </c>
      <c r="W7" t="e">
        <f>AND(#REF!,"AAAAAFj/mBY=")</f>
        <v>#REF!</v>
      </c>
      <c r="X7" t="e">
        <f>AND(#REF!,"AAAAAFj/mBc=")</f>
        <v>#REF!</v>
      </c>
      <c r="Y7" t="e">
        <f>AND(#REF!,"AAAAAFj/mBg=")</f>
        <v>#REF!</v>
      </c>
      <c r="Z7" t="e">
        <f>AND(#REF!,"AAAAAFj/mBk=")</f>
        <v>#REF!</v>
      </c>
      <c r="AA7" t="e">
        <f>AND(#REF!,"AAAAAFj/mBo=")</f>
        <v>#REF!</v>
      </c>
      <c r="AB7" t="e">
        <f>AND(#REF!,"AAAAAFj/mBs=")</f>
        <v>#REF!</v>
      </c>
      <c r="AC7" t="e">
        <f>AND(#REF!,"AAAAAFj/mBw=")</f>
        <v>#REF!</v>
      </c>
      <c r="AD7" t="e">
        <f>AND(#REF!,"AAAAAFj/mB0=")</f>
        <v>#REF!</v>
      </c>
      <c r="AE7" t="e">
        <f>AND(#REF!,"AAAAAFj/mB4=")</f>
        <v>#REF!</v>
      </c>
      <c r="AF7" t="e">
        <f>AND(#REF!,"AAAAAFj/mB8=")</f>
        <v>#REF!</v>
      </c>
      <c r="AG7" t="e">
        <f>IF(#REF!,"AAAAAFj/mCA=",0)</f>
        <v>#REF!</v>
      </c>
      <c r="AH7" t="e">
        <f>AND(#REF!,"AAAAAFj/mCE=")</f>
        <v>#REF!</v>
      </c>
      <c r="AI7" t="e">
        <f>AND(#REF!,"AAAAAFj/mCI=")</f>
        <v>#REF!</v>
      </c>
      <c r="AJ7" t="e">
        <f>AND(#REF!,"AAAAAFj/mCM=")</f>
        <v>#REF!</v>
      </c>
      <c r="AK7" t="e">
        <f>AND(#REF!,"AAAAAFj/mCQ=")</f>
        <v>#REF!</v>
      </c>
      <c r="AL7" t="e">
        <f>AND(#REF!,"AAAAAFj/mCU=")</f>
        <v>#REF!</v>
      </c>
      <c r="AM7" t="e">
        <f>AND(#REF!,"AAAAAFj/mCY=")</f>
        <v>#REF!</v>
      </c>
      <c r="AN7" t="e">
        <f>AND(#REF!,"AAAAAFj/mCc=")</f>
        <v>#REF!</v>
      </c>
      <c r="AO7" t="e">
        <f>AND(#REF!,"AAAAAFj/mCg=")</f>
        <v>#REF!</v>
      </c>
      <c r="AP7" t="e">
        <f>AND(#REF!,"AAAAAFj/mCk=")</f>
        <v>#REF!</v>
      </c>
      <c r="AQ7" t="e">
        <f>AND(#REF!,"AAAAAFj/mCo=")</f>
        <v>#REF!</v>
      </c>
      <c r="AR7" t="e">
        <f>AND(#REF!,"AAAAAFj/mCs=")</f>
        <v>#REF!</v>
      </c>
      <c r="AS7" t="e">
        <f>AND(#REF!,"AAAAAFj/mCw=")</f>
        <v>#REF!</v>
      </c>
      <c r="AT7" t="e">
        <f>AND(#REF!,"AAAAAFj/mC0=")</f>
        <v>#REF!</v>
      </c>
      <c r="AU7" t="e">
        <f>AND(#REF!,"AAAAAFj/mC4=")</f>
        <v>#REF!</v>
      </c>
      <c r="AV7" t="e">
        <f>AND(#REF!,"AAAAAFj/mC8=")</f>
        <v>#REF!</v>
      </c>
      <c r="AW7" t="e">
        <f>AND(#REF!,"AAAAAFj/mDA=")</f>
        <v>#REF!</v>
      </c>
      <c r="AX7" t="e">
        <f>AND(#REF!,"AAAAAFj/mDE=")</f>
        <v>#REF!</v>
      </c>
      <c r="AY7" t="e">
        <f>AND(#REF!,"AAAAAFj/mDI=")</f>
        <v>#REF!</v>
      </c>
      <c r="AZ7" t="e">
        <f>AND(#REF!,"AAAAAFj/mDM=")</f>
        <v>#REF!</v>
      </c>
      <c r="BA7" t="e">
        <f>AND(#REF!,"AAAAAFj/mDQ=")</f>
        <v>#REF!</v>
      </c>
      <c r="BB7" t="e">
        <f>AND(#REF!,"AAAAAFj/mDU=")</f>
        <v>#REF!</v>
      </c>
      <c r="BC7" t="e">
        <f>AND(#REF!,"AAAAAFj/mDY=")</f>
        <v>#REF!</v>
      </c>
      <c r="BD7" t="e">
        <f>AND(#REF!,"AAAAAFj/mDc=")</f>
        <v>#REF!</v>
      </c>
      <c r="BE7" t="e">
        <f>AND(#REF!,"AAAAAFj/mDg=")</f>
        <v>#REF!</v>
      </c>
      <c r="BF7" t="e">
        <f>AND(#REF!,"AAAAAFj/mDk=")</f>
        <v>#REF!</v>
      </c>
      <c r="BG7" t="e">
        <f>AND(#REF!,"AAAAAFj/mDo=")</f>
        <v>#REF!</v>
      </c>
      <c r="BH7" t="e">
        <f>AND(#REF!,"AAAAAFj/mDs=")</f>
        <v>#REF!</v>
      </c>
      <c r="BI7" t="e">
        <f>AND(#REF!,"AAAAAFj/mDw=")</f>
        <v>#REF!</v>
      </c>
      <c r="BJ7" t="e">
        <f>AND(#REF!,"AAAAAFj/mD0=")</f>
        <v>#REF!</v>
      </c>
      <c r="BK7" t="e">
        <f>AND(#REF!,"AAAAAFj/mD4=")</f>
        <v>#REF!</v>
      </c>
      <c r="BL7" t="e">
        <f>AND(#REF!,"AAAAAFj/mD8=")</f>
        <v>#REF!</v>
      </c>
      <c r="BM7" t="e">
        <f>AND(#REF!,"AAAAAFj/mEA=")</f>
        <v>#REF!</v>
      </c>
      <c r="BN7" t="e">
        <f>AND(#REF!,"AAAAAFj/mEE=")</f>
        <v>#REF!</v>
      </c>
      <c r="BO7" t="e">
        <f>AND(#REF!,"AAAAAFj/mEI=")</f>
        <v>#REF!</v>
      </c>
      <c r="BP7" t="e">
        <f>AND(#REF!,"AAAAAFj/mEM=")</f>
        <v>#REF!</v>
      </c>
      <c r="BQ7" t="e">
        <f>IF(#REF!,"AAAAAFj/mEQ=",0)</f>
        <v>#REF!</v>
      </c>
      <c r="BR7" t="e">
        <f>AND(#REF!,"AAAAAFj/mEU=")</f>
        <v>#REF!</v>
      </c>
      <c r="BS7" t="e">
        <f>AND(#REF!,"AAAAAFj/mEY=")</f>
        <v>#REF!</v>
      </c>
      <c r="BT7" t="e">
        <f>AND(#REF!,"AAAAAFj/mEc=")</f>
        <v>#REF!</v>
      </c>
      <c r="BU7" t="e">
        <f>AND(#REF!,"AAAAAFj/mEg=")</f>
        <v>#REF!</v>
      </c>
      <c r="BV7" t="e">
        <f>AND(#REF!,"AAAAAFj/mEk=")</f>
        <v>#REF!</v>
      </c>
      <c r="BW7" t="e">
        <f>AND(#REF!,"AAAAAFj/mEo=")</f>
        <v>#REF!</v>
      </c>
      <c r="BX7" t="e">
        <f>AND(#REF!,"AAAAAFj/mEs=")</f>
        <v>#REF!</v>
      </c>
      <c r="BY7" t="e">
        <f>AND(#REF!,"AAAAAFj/mEw=")</f>
        <v>#REF!</v>
      </c>
      <c r="BZ7" t="e">
        <f>AND(#REF!,"AAAAAFj/mE0=")</f>
        <v>#REF!</v>
      </c>
      <c r="CA7" t="e">
        <f>AND(#REF!,"AAAAAFj/mE4=")</f>
        <v>#REF!</v>
      </c>
      <c r="CB7" t="e">
        <f>AND(#REF!,"AAAAAFj/mE8=")</f>
        <v>#REF!</v>
      </c>
      <c r="CC7" t="e">
        <f>AND(#REF!,"AAAAAFj/mFA=")</f>
        <v>#REF!</v>
      </c>
      <c r="CD7" t="e">
        <f>AND(#REF!,"AAAAAFj/mFE=")</f>
        <v>#REF!</v>
      </c>
      <c r="CE7" t="e">
        <f>AND(#REF!,"AAAAAFj/mFI=")</f>
        <v>#REF!</v>
      </c>
      <c r="CF7" t="e">
        <f>AND(#REF!,"AAAAAFj/mFM=")</f>
        <v>#REF!</v>
      </c>
      <c r="CG7" t="e">
        <f>AND(#REF!,"AAAAAFj/mFQ=")</f>
        <v>#REF!</v>
      </c>
      <c r="CH7" t="e">
        <f>AND(#REF!,"AAAAAFj/mFU=")</f>
        <v>#REF!</v>
      </c>
      <c r="CI7" t="e">
        <f>AND(#REF!,"AAAAAFj/mFY=")</f>
        <v>#REF!</v>
      </c>
      <c r="CJ7" t="e">
        <f>AND(#REF!,"AAAAAFj/mFc=")</f>
        <v>#REF!</v>
      </c>
      <c r="CK7" t="e">
        <f>AND(#REF!,"AAAAAFj/mFg=")</f>
        <v>#REF!</v>
      </c>
      <c r="CL7" t="e">
        <f>AND(#REF!,"AAAAAFj/mFk=")</f>
        <v>#REF!</v>
      </c>
      <c r="CM7" t="e">
        <f>AND(#REF!,"AAAAAFj/mFo=")</f>
        <v>#REF!</v>
      </c>
      <c r="CN7" t="e">
        <f>AND(#REF!,"AAAAAFj/mFs=")</f>
        <v>#REF!</v>
      </c>
      <c r="CO7" t="e">
        <f>AND(#REF!,"AAAAAFj/mFw=")</f>
        <v>#REF!</v>
      </c>
      <c r="CP7" t="e">
        <f>AND(#REF!,"AAAAAFj/mF0=")</f>
        <v>#REF!</v>
      </c>
      <c r="CQ7" t="e">
        <f>AND(#REF!,"AAAAAFj/mF4=")</f>
        <v>#REF!</v>
      </c>
      <c r="CR7" t="e">
        <f>AND(#REF!,"AAAAAFj/mF8=")</f>
        <v>#REF!</v>
      </c>
      <c r="CS7" t="e">
        <f>AND(#REF!,"AAAAAFj/mGA=")</f>
        <v>#REF!</v>
      </c>
      <c r="CT7" t="e">
        <f>AND(#REF!,"AAAAAFj/mGE=")</f>
        <v>#REF!</v>
      </c>
      <c r="CU7" t="e">
        <f>AND(#REF!,"AAAAAFj/mGI=")</f>
        <v>#REF!</v>
      </c>
      <c r="CV7" t="e">
        <f>AND(#REF!,"AAAAAFj/mGM=")</f>
        <v>#REF!</v>
      </c>
      <c r="CW7" t="e">
        <f>AND(#REF!,"AAAAAFj/mGQ=")</f>
        <v>#REF!</v>
      </c>
      <c r="CX7" t="e">
        <f>AND(#REF!,"AAAAAFj/mGU=")</f>
        <v>#REF!</v>
      </c>
      <c r="CY7" t="e">
        <f>AND(#REF!,"AAAAAFj/mGY=")</f>
        <v>#REF!</v>
      </c>
      <c r="CZ7" t="e">
        <f>AND(#REF!,"AAAAAFj/mGc=")</f>
        <v>#REF!</v>
      </c>
      <c r="DA7" t="e">
        <f>IF(#REF!,"AAAAAFj/mGg=",0)</f>
        <v>#REF!</v>
      </c>
      <c r="DB7" t="e">
        <f>AND(#REF!,"AAAAAFj/mGk=")</f>
        <v>#REF!</v>
      </c>
      <c r="DC7" t="e">
        <f>AND(#REF!,"AAAAAFj/mGo=")</f>
        <v>#REF!</v>
      </c>
      <c r="DD7" t="e">
        <f>AND(#REF!,"AAAAAFj/mGs=")</f>
        <v>#REF!</v>
      </c>
      <c r="DE7" t="e">
        <f>AND(#REF!,"AAAAAFj/mGw=")</f>
        <v>#REF!</v>
      </c>
      <c r="DF7" t="e">
        <f>AND(#REF!,"AAAAAFj/mG0=")</f>
        <v>#REF!</v>
      </c>
      <c r="DG7" t="e">
        <f>AND(#REF!,"AAAAAFj/mG4=")</f>
        <v>#REF!</v>
      </c>
      <c r="DH7" t="e">
        <f>AND(#REF!,"AAAAAFj/mG8=")</f>
        <v>#REF!</v>
      </c>
      <c r="DI7" t="e">
        <f>AND(#REF!,"AAAAAFj/mHA=")</f>
        <v>#REF!</v>
      </c>
      <c r="DJ7" t="e">
        <f>AND(#REF!,"AAAAAFj/mHE=")</f>
        <v>#REF!</v>
      </c>
      <c r="DK7" t="e">
        <f>AND(#REF!,"AAAAAFj/mHI=")</f>
        <v>#REF!</v>
      </c>
      <c r="DL7" t="e">
        <f>AND(#REF!,"AAAAAFj/mHM=")</f>
        <v>#REF!</v>
      </c>
      <c r="DM7" t="e">
        <f>AND(#REF!,"AAAAAFj/mHQ=")</f>
        <v>#REF!</v>
      </c>
      <c r="DN7" t="e">
        <f>AND(#REF!,"AAAAAFj/mHU=")</f>
        <v>#REF!</v>
      </c>
      <c r="DO7" t="e">
        <f>AND(#REF!,"AAAAAFj/mHY=")</f>
        <v>#REF!</v>
      </c>
      <c r="DP7" t="e">
        <f>AND(#REF!,"AAAAAFj/mHc=")</f>
        <v>#REF!</v>
      </c>
      <c r="DQ7" t="e">
        <f>AND(#REF!,"AAAAAFj/mHg=")</f>
        <v>#REF!</v>
      </c>
      <c r="DR7" t="e">
        <f>AND(#REF!,"AAAAAFj/mHk=")</f>
        <v>#REF!</v>
      </c>
      <c r="DS7" t="e">
        <f>AND(#REF!,"AAAAAFj/mHo=")</f>
        <v>#REF!</v>
      </c>
      <c r="DT7" t="e">
        <f>AND(#REF!,"AAAAAFj/mHs=")</f>
        <v>#REF!</v>
      </c>
      <c r="DU7" t="e">
        <f>AND(#REF!,"AAAAAFj/mHw=")</f>
        <v>#REF!</v>
      </c>
      <c r="DV7" t="e">
        <f>AND(#REF!,"AAAAAFj/mH0=")</f>
        <v>#REF!</v>
      </c>
      <c r="DW7" t="e">
        <f>AND(#REF!,"AAAAAFj/mH4=")</f>
        <v>#REF!</v>
      </c>
      <c r="DX7" t="e">
        <f>AND(#REF!,"AAAAAFj/mH8=")</f>
        <v>#REF!</v>
      </c>
      <c r="DY7" t="e">
        <f>AND(#REF!,"AAAAAFj/mIA=")</f>
        <v>#REF!</v>
      </c>
      <c r="DZ7" t="e">
        <f>AND(#REF!,"AAAAAFj/mIE=")</f>
        <v>#REF!</v>
      </c>
      <c r="EA7" t="e">
        <f>AND(#REF!,"AAAAAFj/mII=")</f>
        <v>#REF!</v>
      </c>
      <c r="EB7" t="e">
        <f>AND(#REF!,"AAAAAFj/mIM=")</f>
        <v>#REF!</v>
      </c>
      <c r="EC7" t="e">
        <f>AND(#REF!,"AAAAAFj/mIQ=")</f>
        <v>#REF!</v>
      </c>
      <c r="ED7" t="e">
        <f>AND(#REF!,"AAAAAFj/mIU=")</f>
        <v>#REF!</v>
      </c>
      <c r="EE7" t="e">
        <f>AND(#REF!,"AAAAAFj/mIY=")</f>
        <v>#REF!</v>
      </c>
      <c r="EF7" t="e">
        <f>AND(#REF!,"AAAAAFj/mIc=")</f>
        <v>#REF!</v>
      </c>
      <c r="EG7" t="e">
        <f>AND(#REF!,"AAAAAFj/mIg=")</f>
        <v>#REF!</v>
      </c>
      <c r="EH7" t="e">
        <f>AND(#REF!,"AAAAAFj/mIk=")</f>
        <v>#REF!</v>
      </c>
      <c r="EI7" t="e">
        <f>AND(#REF!,"AAAAAFj/mIo=")</f>
        <v>#REF!</v>
      </c>
      <c r="EJ7" t="e">
        <f>AND(#REF!,"AAAAAFj/mIs=")</f>
        <v>#REF!</v>
      </c>
      <c r="EK7" t="e">
        <f>IF(#REF!,"AAAAAFj/mIw=",0)</f>
        <v>#REF!</v>
      </c>
      <c r="EL7" t="e">
        <f>AND(#REF!,"AAAAAFj/mI0=")</f>
        <v>#REF!</v>
      </c>
      <c r="EM7" t="e">
        <f>AND(#REF!,"AAAAAFj/mI4=")</f>
        <v>#REF!</v>
      </c>
      <c r="EN7" t="e">
        <f>AND(#REF!,"AAAAAFj/mI8=")</f>
        <v>#REF!</v>
      </c>
      <c r="EO7" t="e">
        <f>AND(#REF!,"AAAAAFj/mJA=")</f>
        <v>#REF!</v>
      </c>
      <c r="EP7" t="e">
        <f>AND(#REF!,"AAAAAFj/mJE=")</f>
        <v>#REF!</v>
      </c>
      <c r="EQ7" t="e">
        <f>AND(#REF!,"AAAAAFj/mJI=")</f>
        <v>#REF!</v>
      </c>
      <c r="ER7" t="e">
        <f>AND(#REF!,"AAAAAFj/mJM=")</f>
        <v>#REF!</v>
      </c>
      <c r="ES7" t="e">
        <f>AND(#REF!,"AAAAAFj/mJQ=")</f>
        <v>#REF!</v>
      </c>
      <c r="ET7" t="e">
        <f>AND(#REF!,"AAAAAFj/mJU=")</f>
        <v>#REF!</v>
      </c>
      <c r="EU7" t="e">
        <f>AND(#REF!,"AAAAAFj/mJY=")</f>
        <v>#REF!</v>
      </c>
      <c r="EV7" t="e">
        <f>AND(#REF!,"AAAAAFj/mJc=")</f>
        <v>#REF!</v>
      </c>
      <c r="EW7" t="e">
        <f>AND(#REF!,"AAAAAFj/mJg=")</f>
        <v>#REF!</v>
      </c>
      <c r="EX7" t="e">
        <f>AND(#REF!,"AAAAAFj/mJk=")</f>
        <v>#REF!</v>
      </c>
      <c r="EY7" t="e">
        <f>AND(#REF!,"AAAAAFj/mJo=")</f>
        <v>#REF!</v>
      </c>
      <c r="EZ7" t="e">
        <f>AND(#REF!,"AAAAAFj/mJs=")</f>
        <v>#REF!</v>
      </c>
      <c r="FA7" t="e">
        <f>AND(#REF!,"AAAAAFj/mJw=")</f>
        <v>#REF!</v>
      </c>
      <c r="FB7" t="e">
        <f>AND(#REF!,"AAAAAFj/mJ0=")</f>
        <v>#REF!</v>
      </c>
      <c r="FC7" t="e">
        <f>AND(#REF!,"AAAAAFj/mJ4=")</f>
        <v>#REF!</v>
      </c>
      <c r="FD7" t="e">
        <f>AND(#REF!,"AAAAAFj/mJ8=")</f>
        <v>#REF!</v>
      </c>
      <c r="FE7" t="e">
        <f>AND(#REF!,"AAAAAFj/mKA=")</f>
        <v>#REF!</v>
      </c>
      <c r="FF7" t="e">
        <f>AND(#REF!,"AAAAAFj/mKE=")</f>
        <v>#REF!</v>
      </c>
      <c r="FG7" t="e">
        <f>AND(#REF!,"AAAAAFj/mKI=")</f>
        <v>#REF!</v>
      </c>
      <c r="FH7" t="e">
        <f>AND(#REF!,"AAAAAFj/mKM=")</f>
        <v>#REF!</v>
      </c>
      <c r="FI7" t="e">
        <f>AND(#REF!,"AAAAAFj/mKQ=")</f>
        <v>#REF!</v>
      </c>
      <c r="FJ7" t="e">
        <f>AND(#REF!,"AAAAAFj/mKU=")</f>
        <v>#REF!</v>
      </c>
      <c r="FK7" t="e">
        <f>AND(#REF!,"AAAAAFj/mKY=")</f>
        <v>#REF!</v>
      </c>
      <c r="FL7" t="e">
        <f>AND(#REF!,"AAAAAFj/mKc=")</f>
        <v>#REF!</v>
      </c>
      <c r="FM7" t="e">
        <f>AND(#REF!,"AAAAAFj/mKg=")</f>
        <v>#REF!</v>
      </c>
      <c r="FN7" t="e">
        <f>AND(#REF!,"AAAAAFj/mKk=")</f>
        <v>#REF!</v>
      </c>
      <c r="FO7" t="e">
        <f>AND(#REF!,"AAAAAFj/mKo=")</f>
        <v>#REF!</v>
      </c>
      <c r="FP7" t="e">
        <f>AND(#REF!,"AAAAAFj/mKs=")</f>
        <v>#REF!</v>
      </c>
      <c r="FQ7" t="e">
        <f>AND(#REF!,"AAAAAFj/mKw=")</f>
        <v>#REF!</v>
      </c>
      <c r="FR7" t="e">
        <f>AND(#REF!,"AAAAAFj/mK0=")</f>
        <v>#REF!</v>
      </c>
      <c r="FS7" t="e">
        <f>AND(#REF!,"AAAAAFj/mK4=")</f>
        <v>#REF!</v>
      </c>
      <c r="FT7" t="e">
        <f>AND(#REF!,"AAAAAFj/mK8=")</f>
        <v>#REF!</v>
      </c>
      <c r="FU7" t="e">
        <f>IF(#REF!,"AAAAAFj/mLA=",0)</f>
        <v>#REF!</v>
      </c>
      <c r="FV7" t="e">
        <f>AND(#REF!,"AAAAAFj/mLE=")</f>
        <v>#REF!</v>
      </c>
      <c r="FW7" t="e">
        <f>AND(#REF!,"AAAAAFj/mLI=")</f>
        <v>#REF!</v>
      </c>
      <c r="FX7" t="e">
        <f>AND(#REF!,"AAAAAFj/mLM=")</f>
        <v>#REF!</v>
      </c>
      <c r="FY7" t="e">
        <f>AND(#REF!,"AAAAAFj/mLQ=")</f>
        <v>#REF!</v>
      </c>
      <c r="FZ7" t="e">
        <f>AND(#REF!,"AAAAAFj/mLU=")</f>
        <v>#REF!</v>
      </c>
      <c r="GA7" t="e">
        <f>AND(#REF!,"AAAAAFj/mLY=")</f>
        <v>#REF!</v>
      </c>
      <c r="GB7" t="e">
        <f>AND(#REF!,"AAAAAFj/mLc=")</f>
        <v>#REF!</v>
      </c>
      <c r="GC7" t="e">
        <f>AND(#REF!,"AAAAAFj/mLg=")</f>
        <v>#REF!</v>
      </c>
      <c r="GD7" t="e">
        <f>AND(#REF!,"AAAAAFj/mLk=")</f>
        <v>#REF!</v>
      </c>
      <c r="GE7" t="e">
        <f>AND(#REF!,"AAAAAFj/mLo=")</f>
        <v>#REF!</v>
      </c>
      <c r="GF7" t="e">
        <f>AND(#REF!,"AAAAAFj/mLs=")</f>
        <v>#REF!</v>
      </c>
      <c r="GG7" t="e">
        <f>AND(#REF!,"AAAAAFj/mLw=")</f>
        <v>#REF!</v>
      </c>
      <c r="GH7" t="e">
        <f>AND(#REF!,"AAAAAFj/mL0=")</f>
        <v>#REF!</v>
      </c>
      <c r="GI7" t="e">
        <f>AND(#REF!,"AAAAAFj/mL4=")</f>
        <v>#REF!</v>
      </c>
      <c r="GJ7" t="e">
        <f>AND(#REF!,"AAAAAFj/mL8=")</f>
        <v>#REF!</v>
      </c>
      <c r="GK7" t="e">
        <f>AND(#REF!,"AAAAAFj/mMA=")</f>
        <v>#REF!</v>
      </c>
      <c r="GL7" t="e">
        <f>AND(#REF!,"AAAAAFj/mME=")</f>
        <v>#REF!</v>
      </c>
      <c r="GM7" t="e">
        <f>AND(#REF!,"AAAAAFj/mMI=")</f>
        <v>#REF!</v>
      </c>
      <c r="GN7" t="e">
        <f>AND(#REF!,"AAAAAFj/mMM=")</f>
        <v>#REF!</v>
      </c>
      <c r="GO7" t="e">
        <f>AND(#REF!,"AAAAAFj/mMQ=")</f>
        <v>#REF!</v>
      </c>
      <c r="GP7" t="e">
        <f>AND(#REF!,"AAAAAFj/mMU=")</f>
        <v>#REF!</v>
      </c>
      <c r="GQ7" t="e">
        <f>AND(#REF!,"AAAAAFj/mMY=")</f>
        <v>#REF!</v>
      </c>
      <c r="GR7" t="e">
        <f>AND(#REF!,"AAAAAFj/mMc=")</f>
        <v>#REF!</v>
      </c>
      <c r="GS7" t="e">
        <f>AND(#REF!,"AAAAAFj/mMg=")</f>
        <v>#REF!</v>
      </c>
      <c r="GT7" t="e">
        <f>AND(#REF!,"AAAAAFj/mMk=")</f>
        <v>#REF!</v>
      </c>
      <c r="GU7" t="e">
        <f>AND(#REF!,"AAAAAFj/mMo=")</f>
        <v>#REF!</v>
      </c>
      <c r="GV7" t="e">
        <f>AND(#REF!,"AAAAAFj/mMs=")</f>
        <v>#REF!</v>
      </c>
      <c r="GW7" t="e">
        <f>AND(#REF!,"AAAAAFj/mMw=")</f>
        <v>#REF!</v>
      </c>
      <c r="GX7" t="e">
        <f>AND(#REF!,"AAAAAFj/mM0=")</f>
        <v>#REF!</v>
      </c>
      <c r="GY7" t="e">
        <f>AND(#REF!,"AAAAAFj/mM4=")</f>
        <v>#REF!</v>
      </c>
      <c r="GZ7" t="e">
        <f>AND(#REF!,"AAAAAFj/mM8=")</f>
        <v>#REF!</v>
      </c>
      <c r="HA7" t="e">
        <f>AND(#REF!,"AAAAAFj/mNA=")</f>
        <v>#REF!</v>
      </c>
      <c r="HB7" t="e">
        <f>AND(#REF!,"AAAAAFj/mNE=")</f>
        <v>#REF!</v>
      </c>
      <c r="HC7" t="e">
        <f>AND(#REF!,"AAAAAFj/mNI=")</f>
        <v>#REF!</v>
      </c>
      <c r="HD7" t="e">
        <f>AND(#REF!,"AAAAAFj/mNM=")</f>
        <v>#REF!</v>
      </c>
      <c r="HE7" t="e">
        <f>IF(#REF!,"AAAAAFj/mNQ=",0)</f>
        <v>#REF!</v>
      </c>
      <c r="HF7" t="e">
        <f>AND(#REF!,"AAAAAFj/mNU=")</f>
        <v>#REF!</v>
      </c>
      <c r="HG7" t="e">
        <f>AND(#REF!,"AAAAAFj/mNY=")</f>
        <v>#REF!</v>
      </c>
      <c r="HH7" t="e">
        <f>AND(#REF!,"AAAAAFj/mNc=")</f>
        <v>#REF!</v>
      </c>
      <c r="HI7" t="e">
        <f>AND(#REF!,"AAAAAFj/mNg=")</f>
        <v>#REF!</v>
      </c>
      <c r="HJ7" t="e">
        <f>AND(#REF!,"AAAAAFj/mNk=")</f>
        <v>#REF!</v>
      </c>
      <c r="HK7" t="e">
        <f>AND(#REF!,"AAAAAFj/mNo=")</f>
        <v>#REF!</v>
      </c>
      <c r="HL7" t="e">
        <f>AND(#REF!,"AAAAAFj/mNs=")</f>
        <v>#REF!</v>
      </c>
      <c r="HM7" t="e">
        <f>AND(#REF!,"AAAAAFj/mNw=")</f>
        <v>#REF!</v>
      </c>
      <c r="HN7" t="e">
        <f>AND(#REF!,"AAAAAFj/mN0=")</f>
        <v>#REF!</v>
      </c>
      <c r="HO7" t="e">
        <f>AND(#REF!,"AAAAAFj/mN4=")</f>
        <v>#REF!</v>
      </c>
      <c r="HP7" t="e">
        <f>AND(#REF!,"AAAAAFj/mN8=")</f>
        <v>#REF!</v>
      </c>
      <c r="HQ7" t="e">
        <f>AND(#REF!,"AAAAAFj/mOA=")</f>
        <v>#REF!</v>
      </c>
      <c r="HR7" t="e">
        <f>AND(#REF!,"AAAAAFj/mOE=")</f>
        <v>#REF!</v>
      </c>
      <c r="HS7" t="e">
        <f>AND(#REF!,"AAAAAFj/mOI=")</f>
        <v>#REF!</v>
      </c>
      <c r="HT7" t="e">
        <f>AND(#REF!,"AAAAAFj/mOM=")</f>
        <v>#REF!</v>
      </c>
      <c r="HU7" t="e">
        <f>AND(#REF!,"AAAAAFj/mOQ=")</f>
        <v>#REF!</v>
      </c>
      <c r="HV7" t="e">
        <f>AND(#REF!,"AAAAAFj/mOU=")</f>
        <v>#REF!</v>
      </c>
      <c r="HW7" t="e">
        <f>AND(#REF!,"AAAAAFj/mOY=")</f>
        <v>#REF!</v>
      </c>
      <c r="HX7" t="e">
        <f>AND(#REF!,"AAAAAFj/mOc=")</f>
        <v>#REF!</v>
      </c>
      <c r="HY7" t="e">
        <f>AND(#REF!,"AAAAAFj/mOg=")</f>
        <v>#REF!</v>
      </c>
      <c r="HZ7" t="e">
        <f>AND(#REF!,"AAAAAFj/mOk=")</f>
        <v>#REF!</v>
      </c>
      <c r="IA7" t="e">
        <f>AND(#REF!,"AAAAAFj/mOo=")</f>
        <v>#REF!</v>
      </c>
      <c r="IB7" t="e">
        <f>AND(#REF!,"AAAAAFj/mOs=")</f>
        <v>#REF!</v>
      </c>
      <c r="IC7" t="e">
        <f>AND(#REF!,"AAAAAFj/mOw=")</f>
        <v>#REF!</v>
      </c>
      <c r="ID7" t="e">
        <f>AND(#REF!,"AAAAAFj/mO0=")</f>
        <v>#REF!</v>
      </c>
      <c r="IE7" t="e">
        <f>AND(#REF!,"AAAAAFj/mO4=")</f>
        <v>#REF!</v>
      </c>
      <c r="IF7" t="e">
        <f>AND(#REF!,"AAAAAFj/mO8=")</f>
        <v>#REF!</v>
      </c>
      <c r="IG7" t="e">
        <f>AND(#REF!,"AAAAAFj/mPA=")</f>
        <v>#REF!</v>
      </c>
      <c r="IH7" t="e">
        <f>AND(#REF!,"AAAAAFj/mPE=")</f>
        <v>#REF!</v>
      </c>
      <c r="II7" t="e">
        <f>AND(#REF!,"AAAAAFj/mPI=")</f>
        <v>#REF!</v>
      </c>
      <c r="IJ7" t="e">
        <f>AND(#REF!,"AAAAAFj/mPM=")</f>
        <v>#REF!</v>
      </c>
      <c r="IK7" t="e">
        <f>AND(#REF!,"AAAAAFj/mPQ=")</f>
        <v>#REF!</v>
      </c>
      <c r="IL7" t="e">
        <f>AND(#REF!,"AAAAAFj/mPU=")</f>
        <v>#REF!</v>
      </c>
      <c r="IM7" t="e">
        <f>AND(#REF!,"AAAAAFj/mPY=")</f>
        <v>#REF!</v>
      </c>
      <c r="IN7" t="e">
        <f>AND(#REF!,"AAAAAFj/mPc=")</f>
        <v>#REF!</v>
      </c>
      <c r="IO7" t="e">
        <f>IF(#REF!,"AAAAAFj/mPg=",0)</f>
        <v>#REF!</v>
      </c>
      <c r="IP7" t="e">
        <f>AND(#REF!,"AAAAAFj/mPk=")</f>
        <v>#REF!</v>
      </c>
      <c r="IQ7" t="e">
        <f>AND(#REF!,"AAAAAFj/mPo=")</f>
        <v>#REF!</v>
      </c>
      <c r="IR7" t="e">
        <f>AND(#REF!,"AAAAAFj/mPs=")</f>
        <v>#REF!</v>
      </c>
      <c r="IS7" t="e">
        <f>AND(#REF!,"AAAAAFj/mPw=")</f>
        <v>#REF!</v>
      </c>
      <c r="IT7" t="e">
        <f>AND(#REF!,"AAAAAFj/mP0=")</f>
        <v>#REF!</v>
      </c>
      <c r="IU7" t="e">
        <f>AND(#REF!,"AAAAAFj/mP4=")</f>
        <v>#REF!</v>
      </c>
      <c r="IV7" t="e">
        <f>AND(#REF!,"AAAAAFj/mP8=")</f>
        <v>#REF!</v>
      </c>
    </row>
    <row r="8" spans="1:256">
      <c r="A8" t="e">
        <f>AND(#REF!,"AAAAAH/+7wA=")</f>
        <v>#REF!</v>
      </c>
      <c r="B8" t="e">
        <f>AND(#REF!,"AAAAAH/+7wE=")</f>
        <v>#REF!</v>
      </c>
      <c r="C8" t="e">
        <f>AND(#REF!,"AAAAAH/+7wI=")</f>
        <v>#REF!</v>
      </c>
      <c r="D8" t="e">
        <f>AND(#REF!,"AAAAAH/+7wM=")</f>
        <v>#REF!</v>
      </c>
      <c r="E8" t="e">
        <f>AND(#REF!,"AAAAAH/+7wQ=")</f>
        <v>#REF!</v>
      </c>
      <c r="F8" t="e">
        <f>AND(#REF!,"AAAAAH/+7wU=")</f>
        <v>#REF!</v>
      </c>
      <c r="G8" t="e">
        <f>AND(#REF!,"AAAAAH/+7wY=")</f>
        <v>#REF!</v>
      </c>
      <c r="H8" t="e">
        <f>AND(#REF!,"AAAAAH/+7wc=")</f>
        <v>#REF!</v>
      </c>
      <c r="I8" t="e">
        <f>AND(#REF!,"AAAAAH/+7wg=")</f>
        <v>#REF!</v>
      </c>
      <c r="J8" t="e">
        <f>AND(#REF!,"AAAAAH/+7wk=")</f>
        <v>#REF!</v>
      </c>
      <c r="K8" t="e">
        <f>AND(#REF!,"AAAAAH/+7wo=")</f>
        <v>#REF!</v>
      </c>
      <c r="L8" t="e">
        <f>AND(#REF!,"AAAAAH/+7ws=")</f>
        <v>#REF!</v>
      </c>
      <c r="M8" t="e">
        <f>AND(#REF!,"AAAAAH/+7ww=")</f>
        <v>#REF!</v>
      </c>
      <c r="N8" t="e">
        <f>AND(#REF!,"AAAAAH/+7w0=")</f>
        <v>#REF!</v>
      </c>
      <c r="O8" t="e">
        <f>AND(#REF!,"AAAAAH/+7w4=")</f>
        <v>#REF!</v>
      </c>
      <c r="P8" t="e">
        <f>AND(#REF!,"AAAAAH/+7w8=")</f>
        <v>#REF!</v>
      </c>
      <c r="Q8" t="e">
        <f>AND(#REF!,"AAAAAH/+7xA=")</f>
        <v>#REF!</v>
      </c>
      <c r="R8" t="e">
        <f>AND(#REF!,"AAAAAH/+7xE=")</f>
        <v>#REF!</v>
      </c>
      <c r="S8" t="e">
        <f>AND(#REF!,"AAAAAH/+7xI=")</f>
        <v>#REF!</v>
      </c>
      <c r="T8" t="e">
        <f>AND(#REF!,"AAAAAH/+7xM=")</f>
        <v>#REF!</v>
      </c>
      <c r="U8" t="e">
        <f>AND(#REF!,"AAAAAH/+7xQ=")</f>
        <v>#REF!</v>
      </c>
      <c r="V8" t="e">
        <f>AND(#REF!,"AAAAAH/+7xU=")</f>
        <v>#REF!</v>
      </c>
      <c r="W8" t="e">
        <f>AND(#REF!,"AAAAAH/+7xY=")</f>
        <v>#REF!</v>
      </c>
      <c r="X8" t="e">
        <f>AND(#REF!,"AAAAAH/+7xc=")</f>
        <v>#REF!</v>
      </c>
      <c r="Y8" t="e">
        <f>AND(#REF!,"AAAAAH/+7xg=")</f>
        <v>#REF!</v>
      </c>
      <c r="Z8" t="e">
        <f>AND(#REF!,"AAAAAH/+7xk=")</f>
        <v>#REF!</v>
      </c>
      <c r="AA8" t="e">
        <f>AND(#REF!,"AAAAAH/+7xo=")</f>
        <v>#REF!</v>
      </c>
      <c r="AB8" t="e">
        <f>AND(#REF!,"AAAAAH/+7xs=")</f>
        <v>#REF!</v>
      </c>
      <c r="AC8" t="e">
        <f>IF(#REF!,"AAAAAH/+7xw=",0)</f>
        <v>#REF!</v>
      </c>
      <c r="AD8" t="e">
        <f>AND(#REF!,"AAAAAH/+7x0=")</f>
        <v>#REF!</v>
      </c>
      <c r="AE8" t="e">
        <f>AND(#REF!,"AAAAAH/+7x4=")</f>
        <v>#REF!</v>
      </c>
      <c r="AF8" t="e">
        <f>AND(#REF!,"AAAAAH/+7x8=")</f>
        <v>#REF!</v>
      </c>
      <c r="AG8" t="e">
        <f>AND(#REF!,"AAAAAH/+7yA=")</f>
        <v>#REF!</v>
      </c>
      <c r="AH8" t="e">
        <f>AND(#REF!,"AAAAAH/+7yE=")</f>
        <v>#REF!</v>
      </c>
      <c r="AI8" t="e">
        <f>AND(#REF!,"AAAAAH/+7yI=")</f>
        <v>#REF!</v>
      </c>
      <c r="AJ8" t="e">
        <f>AND(#REF!,"AAAAAH/+7yM=")</f>
        <v>#REF!</v>
      </c>
      <c r="AK8" t="e">
        <f>AND(#REF!,"AAAAAH/+7yQ=")</f>
        <v>#REF!</v>
      </c>
      <c r="AL8" t="e">
        <f>AND(#REF!,"AAAAAH/+7yU=")</f>
        <v>#REF!</v>
      </c>
      <c r="AM8" t="e">
        <f>AND(#REF!,"AAAAAH/+7yY=")</f>
        <v>#REF!</v>
      </c>
      <c r="AN8" t="e">
        <f>AND(#REF!,"AAAAAH/+7yc=")</f>
        <v>#REF!</v>
      </c>
      <c r="AO8" t="e">
        <f>AND(#REF!,"AAAAAH/+7yg=")</f>
        <v>#REF!</v>
      </c>
      <c r="AP8" t="e">
        <f>AND(#REF!,"AAAAAH/+7yk=")</f>
        <v>#REF!</v>
      </c>
      <c r="AQ8" t="e">
        <f>AND(#REF!,"AAAAAH/+7yo=")</f>
        <v>#REF!</v>
      </c>
      <c r="AR8" t="e">
        <f>AND(#REF!,"AAAAAH/+7ys=")</f>
        <v>#REF!</v>
      </c>
      <c r="AS8" t="e">
        <f>AND(#REF!,"AAAAAH/+7yw=")</f>
        <v>#REF!</v>
      </c>
      <c r="AT8" t="e">
        <f>AND(#REF!,"AAAAAH/+7y0=")</f>
        <v>#REF!</v>
      </c>
      <c r="AU8" t="e">
        <f>AND(#REF!,"AAAAAH/+7y4=")</f>
        <v>#REF!</v>
      </c>
      <c r="AV8" t="e">
        <f>AND(#REF!,"AAAAAH/+7y8=")</f>
        <v>#REF!</v>
      </c>
      <c r="AW8" t="e">
        <f>AND(#REF!,"AAAAAH/+7zA=")</f>
        <v>#REF!</v>
      </c>
      <c r="AX8" t="e">
        <f>AND(#REF!,"AAAAAH/+7zE=")</f>
        <v>#REF!</v>
      </c>
      <c r="AY8" t="e">
        <f>AND(#REF!,"AAAAAH/+7zI=")</f>
        <v>#REF!</v>
      </c>
      <c r="AZ8" t="e">
        <f>AND(#REF!,"AAAAAH/+7zM=")</f>
        <v>#REF!</v>
      </c>
      <c r="BA8" t="e">
        <f>AND(#REF!,"AAAAAH/+7zQ=")</f>
        <v>#REF!</v>
      </c>
      <c r="BB8" t="e">
        <f>AND(#REF!,"AAAAAH/+7zU=")</f>
        <v>#REF!</v>
      </c>
      <c r="BC8" t="e">
        <f>AND(#REF!,"AAAAAH/+7zY=")</f>
        <v>#REF!</v>
      </c>
      <c r="BD8" t="e">
        <f>AND(#REF!,"AAAAAH/+7zc=")</f>
        <v>#REF!</v>
      </c>
      <c r="BE8" t="e">
        <f>AND(#REF!,"AAAAAH/+7zg=")</f>
        <v>#REF!</v>
      </c>
      <c r="BF8" t="e">
        <f>AND(#REF!,"AAAAAH/+7zk=")</f>
        <v>#REF!</v>
      </c>
      <c r="BG8" t="e">
        <f>AND(#REF!,"AAAAAH/+7zo=")</f>
        <v>#REF!</v>
      </c>
      <c r="BH8" t="e">
        <f>AND(#REF!,"AAAAAH/+7zs=")</f>
        <v>#REF!</v>
      </c>
      <c r="BI8" t="e">
        <f>AND(#REF!,"AAAAAH/+7zw=")</f>
        <v>#REF!</v>
      </c>
      <c r="BJ8" t="e">
        <f>AND(#REF!,"AAAAAH/+7z0=")</f>
        <v>#REF!</v>
      </c>
      <c r="BK8" t="e">
        <f>AND(#REF!,"AAAAAH/+7z4=")</f>
        <v>#REF!</v>
      </c>
      <c r="BL8" t="e">
        <f>AND(#REF!,"AAAAAH/+7z8=")</f>
        <v>#REF!</v>
      </c>
      <c r="BM8" t="e">
        <f>IF(#REF!,"AAAAAH/+70A=",0)</f>
        <v>#REF!</v>
      </c>
      <c r="BN8" t="e">
        <f>AND(#REF!,"AAAAAH/+70E=")</f>
        <v>#REF!</v>
      </c>
      <c r="BO8" t="e">
        <f>AND(#REF!,"AAAAAH/+70I=")</f>
        <v>#REF!</v>
      </c>
      <c r="BP8" t="e">
        <f>AND(#REF!,"AAAAAH/+70M=")</f>
        <v>#REF!</v>
      </c>
      <c r="BQ8" t="e">
        <f>AND(#REF!,"AAAAAH/+70Q=")</f>
        <v>#REF!</v>
      </c>
      <c r="BR8" t="e">
        <f>AND(#REF!,"AAAAAH/+70U=")</f>
        <v>#REF!</v>
      </c>
      <c r="BS8" t="e">
        <f>AND(#REF!,"AAAAAH/+70Y=")</f>
        <v>#REF!</v>
      </c>
      <c r="BT8" t="e">
        <f>AND(#REF!,"AAAAAH/+70c=")</f>
        <v>#REF!</v>
      </c>
      <c r="BU8" t="e">
        <f>AND(#REF!,"AAAAAH/+70g=")</f>
        <v>#REF!</v>
      </c>
      <c r="BV8" t="e">
        <f>AND(#REF!,"AAAAAH/+70k=")</f>
        <v>#REF!</v>
      </c>
      <c r="BW8" t="e">
        <f>AND(#REF!,"AAAAAH/+70o=")</f>
        <v>#REF!</v>
      </c>
      <c r="BX8" t="e">
        <f>AND(#REF!,"AAAAAH/+70s=")</f>
        <v>#REF!</v>
      </c>
      <c r="BY8" t="e">
        <f>AND(#REF!,"AAAAAH/+70w=")</f>
        <v>#REF!</v>
      </c>
      <c r="BZ8" t="e">
        <f>AND(#REF!,"AAAAAH/+700=")</f>
        <v>#REF!</v>
      </c>
      <c r="CA8" t="e">
        <f>AND(#REF!,"AAAAAH/+704=")</f>
        <v>#REF!</v>
      </c>
      <c r="CB8" t="e">
        <f>AND(#REF!,"AAAAAH/+708=")</f>
        <v>#REF!</v>
      </c>
      <c r="CC8" t="e">
        <f>AND(#REF!,"AAAAAH/+71A=")</f>
        <v>#REF!</v>
      </c>
      <c r="CD8" t="e">
        <f>AND(#REF!,"AAAAAH/+71E=")</f>
        <v>#REF!</v>
      </c>
      <c r="CE8" t="e">
        <f>AND(#REF!,"AAAAAH/+71I=")</f>
        <v>#REF!</v>
      </c>
      <c r="CF8" t="e">
        <f>AND(#REF!,"AAAAAH/+71M=")</f>
        <v>#REF!</v>
      </c>
      <c r="CG8" t="e">
        <f>AND(#REF!,"AAAAAH/+71Q=")</f>
        <v>#REF!</v>
      </c>
      <c r="CH8" t="e">
        <f>AND(#REF!,"AAAAAH/+71U=")</f>
        <v>#REF!</v>
      </c>
      <c r="CI8" t="e">
        <f>AND(#REF!,"AAAAAH/+71Y=")</f>
        <v>#REF!</v>
      </c>
      <c r="CJ8" t="e">
        <f>AND(#REF!,"AAAAAH/+71c=")</f>
        <v>#REF!</v>
      </c>
      <c r="CK8" t="e">
        <f>AND(#REF!,"AAAAAH/+71g=")</f>
        <v>#REF!</v>
      </c>
      <c r="CL8" t="e">
        <f>AND(#REF!,"AAAAAH/+71k=")</f>
        <v>#REF!</v>
      </c>
      <c r="CM8" t="e">
        <f>AND(#REF!,"AAAAAH/+71o=")</f>
        <v>#REF!</v>
      </c>
      <c r="CN8" t="e">
        <f>AND(#REF!,"AAAAAH/+71s=")</f>
        <v>#REF!</v>
      </c>
      <c r="CO8" t="e">
        <f>AND(#REF!,"AAAAAH/+71w=")</f>
        <v>#REF!</v>
      </c>
      <c r="CP8" t="e">
        <f>AND(#REF!,"AAAAAH/+710=")</f>
        <v>#REF!</v>
      </c>
      <c r="CQ8" t="e">
        <f>AND(#REF!,"AAAAAH/+714=")</f>
        <v>#REF!</v>
      </c>
      <c r="CR8" t="e">
        <f>AND(#REF!,"AAAAAH/+718=")</f>
        <v>#REF!</v>
      </c>
      <c r="CS8" t="e">
        <f>AND(#REF!,"AAAAAH/+72A=")</f>
        <v>#REF!</v>
      </c>
      <c r="CT8" t="e">
        <f>AND(#REF!,"AAAAAH/+72E=")</f>
        <v>#REF!</v>
      </c>
      <c r="CU8" t="e">
        <f>AND(#REF!,"AAAAAH/+72I=")</f>
        <v>#REF!</v>
      </c>
      <c r="CV8" t="e">
        <f>AND(#REF!,"AAAAAH/+72M=")</f>
        <v>#REF!</v>
      </c>
      <c r="CW8" t="e">
        <f>IF(#REF!,"AAAAAH/+72Q=",0)</f>
        <v>#REF!</v>
      </c>
      <c r="CX8" t="e">
        <f>AND(#REF!,"AAAAAH/+72U=")</f>
        <v>#REF!</v>
      </c>
      <c r="CY8" t="e">
        <f>AND(#REF!,"AAAAAH/+72Y=")</f>
        <v>#REF!</v>
      </c>
      <c r="CZ8" t="e">
        <f>AND(#REF!,"AAAAAH/+72c=")</f>
        <v>#REF!</v>
      </c>
      <c r="DA8" t="e">
        <f>AND(#REF!,"AAAAAH/+72g=")</f>
        <v>#REF!</v>
      </c>
      <c r="DB8" t="e">
        <f>AND(#REF!,"AAAAAH/+72k=")</f>
        <v>#REF!</v>
      </c>
      <c r="DC8" t="e">
        <f>AND(#REF!,"AAAAAH/+72o=")</f>
        <v>#REF!</v>
      </c>
      <c r="DD8" t="e">
        <f>AND(#REF!,"AAAAAH/+72s=")</f>
        <v>#REF!</v>
      </c>
      <c r="DE8" t="e">
        <f>AND(#REF!,"AAAAAH/+72w=")</f>
        <v>#REF!</v>
      </c>
      <c r="DF8" t="e">
        <f>AND(#REF!,"AAAAAH/+720=")</f>
        <v>#REF!</v>
      </c>
      <c r="DG8" t="e">
        <f>AND(#REF!,"AAAAAH/+724=")</f>
        <v>#REF!</v>
      </c>
      <c r="DH8" t="e">
        <f>AND(#REF!,"AAAAAH/+728=")</f>
        <v>#REF!</v>
      </c>
      <c r="DI8" t="e">
        <f>AND(#REF!,"AAAAAH/+73A=")</f>
        <v>#REF!</v>
      </c>
      <c r="DJ8" t="e">
        <f>AND(#REF!,"AAAAAH/+73E=")</f>
        <v>#REF!</v>
      </c>
      <c r="DK8" t="e">
        <f>AND(#REF!,"AAAAAH/+73I=")</f>
        <v>#REF!</v>
      </c>
      <c r="DL8" t="e">
        <f>AND(#REF!,"AAAAAH/+73M=")</f>
        <v>#REF!</v>
      </c>
      <c r="DM8" t="e">
        <f>AND(#REF!,"AAAAAH/+73Q=")</f>
        <v>#REF!</v>
      </c>
      <c r="DN8" t="e">
        <f>AND(#REF!,"AAAAAH/+73U=")</f>
        <v>#REF!</v>
      </c>
      <c r="DO8" t="e">
        <f>AND(#REF!,"AAAAAH/+73Y=")</f>
        <v>#REF!</v>
      </c>
      <c r="DP8" t="e">
        <f>AND(#REF!,"AAAAAH/+73c=")</f>
        <v>#REF!</v>
      </c>
      <c r="DQ8" t="e">
        <f>AND(#REF!,"AAAAAH/+73g=")</f>
        <v>#REF!</v>
      </c>
      <c r="DR8" t="e">
        <f>AND(#REF!,"AAAAAH/+73k=")</f>
        <v>#REF!</v>
      </c>
      <c r="DS8" t="e">
        <f>AND(#REF!,"AAAAAH/+73o=")</f>
        <v>#REF!</v>
      </c>
      <c r="DT8" t="e">
        <f>AND(#REF!,"AAAAAH/+73s=")</f>
        <v>#REF!</v>
      </c>
      <c r="DU8" t="e">
        <f>AND(#REF!,"AAAAAH/+73w=")</f>
        <v>#REF!</v>
      </c>
      <c r="DV8" t="e">
        <f>AND(#REF!,"AAAAAH/+730=")</f>
        <v>#REF!</v>
      </c>
      <c r="DW8" t="e">
        <f>AND(#REF!,"AAAAAH/+734=")</f>
        <v>#REF!</v>
      </c>
      <c r="DX8" t="e">
        <f>AND(#REF!,"AAAAAH/+738=")</f>
        <v>#REF!</v>
      </c>
      <c r="DY8" t="e">
        <f>AND(#REF!,"AAAAAH/+74A=")</f>
        <v>#REF!</v>
      </c>
      <c r="DZ8" t="e">
        <f>AND(#REF!,"AAAAAH/+74E=")</f>
        <v>#REF!</v>
      </c>
      <c r="EA8" t="e">
        <f>AND(#REF!,"AAAAAH/+74I=")</f>
        <v>#REF!</v>
      </c>
      <c r="EB8" t="e">
        <f>AND(#REF!,"AAAAAH/+74M=")</f>
        <v>#REF!</v>
      </c>
      <c r="EC8" t="e">
        <f>AND(#REF!,"AAAAAH/+74Q=")</f>
        <v>#REF!</v>
      </c>
      <c r="ED8" t="e">
        <f>AND(#REF!,"AAAAAH/+74U=")</f>
        <v>#REF!</v>
      </c>
      <c r="EE8" t="e">
        <f>AND(#REF!,"AAAAAH/+74Y=")</f>
        <v>#REF!</v>
      </c>
      <c r="EF8" t="e">
        <f>AND(#REF!,"AAAAAH/+74c=")</f>
        <v>#REF!</v>
      </c>
      <c r="EG8" t="e">
        <f>IF(#REF!,"AAAAAH/+74g=",0)</f>
        <v>#REF!</v>
      </c>
      <c r="EH8" t="e">
        <f>AND(#REF!,"AAAAAH/+74k=")</f>
        <v>#REF!</v>
      </c>
      <c r="EI8" t="e">
        <f>AND(#REF!,"AAAAAH/+74o=")</f>
        <v>#REF!</v>
      </c>
      <c r="EJ8" t="e">
        <f>AND(#REF!,"AAAAAH/+74s=")</f>
        <v>#REF!</v>
      </c>
      <c r="EK8" t="e">
        <f>AND(#REF!,"AAAAAH/+74w=")</f>
        <v>#REF!</v>
      </c>
      <c r="EL8" t="e">
        <f>AND(#REF!,"AAAAAH/+740=")</f>
        <v>#REF!</v>
      </c>
      <c r="EM8" t="e">
        <f>AND(#REF!,"AAAAAH/+744=")</f>
        <v>#REF!</v>
      </c>
      <c r="EN8" t="e">
        <f>AND(#REF!,"AAAAAH/+748=")</f>
        <v>#REF!</v>
      </c>
      <c r="EO8" t="e">
        <f>AND(#REF!,"AAAAAH/+75A=")</f>
        <v>#REF!</v>
      </c>
      <c r="EP8" t="e">
        <f>AND(#REF!,"AAAAAH/+75E=")</f>
        <v>#REF!</v>
      </c>
      <c r="EQ8" t="e">
        <f>AND(#REF!,"AAAAAH/+75I=")</f>
        <v>#REF!</v>
      </c>
      <c r="ER8" t="e">
        <f>AND(#REF!,"AAAAAH/+75M=")</f>
        <v>#REF!</v>
      </c>
      <c r="ES8" t="e">
        <f>AND(#REF!,"AAAAAH/+75Q=")</f>
        <v>#REF!</v>
      </c>
      <c r="ET8" t="e">
        <f>AND(#REF!,"AAAAAH/+75U=")</f>
        <v>#REF!</v>
      </c>
      <c r="EU8" t="e">
        <f>AND(#REF!,"AAAAAH/+75Y=")</f>
        <v>#REF!</v>
      </c>
      <c r="EV8" t="e">
        <f>AND(#REF!,"AAAAAH/+75c=")</f>
        <v>#REF!</v>
      </c>
      <c r="EW8" t="e">
        <f>AND(#REF!,"AAAAAH/+75g=")</f>
        <v>#REF!</v>
      </c>
      <c r="EX8" t="e">
        <f>AND(#REF!,"AAAAAH/+75k=")</f>
        <v>#REF!</v>
      </c>
      <c r="EY8" t="e">
        <f>AND(#REF!,"AAAAAH/+75o=")</f>
        <v>#REF!</v>
      </c>
      <c r="EZ8" t="e">
        <f>AND(#REF!,"AAAAAH/+75s=")</f>
        <v>#REF!</v>
      </c>
      <c r="FA8" t="e">
        <f>AND(#REF!,"AAAAAH/+75w=")</f>
        <v>#REF!</v>
      </c>
      <c r="FB8" t="e">
        <f>AND(#REF!,"AAAAAH/+750=")</f>
        <v>#REF!</v>
      </c>
      <c r="FC8" t="e">
        <f>AND(#REF!,"AAAAAH/+754=")</f>
        <v>#REF!</v>
      </c>
      <c r="FD8" t="e">
        <f>AND(#REF!,"AAAAAH/+758=")</f>
        <v>#REF!</v>
      </c>
      <c r="FE8" t="e">
        <f>AND(#REF!,"AAAAAH/+76A=")</f>
        <v>#REF!</v>
      </c>
      <c r="FF8" t="e">
        <f>AND(#REF!,"AAAAAH/+76E=")</f>
        <v>#REF!</v>
      </c>
      <c r="FG8" t="e">
        <f>AND(#REF!,"AAAAAH/+76I=")</f>
        <v>#REF!</v>
      </c>
      <c r="FH8" t="e">
        <f>AND(#REF!,"AAAAAH/+76M=")</f>
        <v>#REF!</v>
      </c>
      <c r="FI8" t="e">
        <f>AND(#REF!,"AAAAAH/+76Q=")</f>
        <v>#REF!</v>
      </c>
      <c r="FJ8" t="e">
        <f>AND(#REF!,"AAAAAH/+76U=")</f>
        <v>#REF!</v>
      </c>
      <c r="FK8" t="e">
        <f>AND(#REF!,"AAAAAH/+76Y=")</f>
        <v>#REF!</v>
      </c>
      <c r="FL8" t="e">
        <f>AND(#REF!,"AAAAAH/+76c=")</f>
        <v>#REF!</v>
      </c>
      <c r="FM8" t="e">
        <f>AND(#REF!,"AAAAAH/+76g=")</f>
        <v>#REF!</v>
      </c>
      <c r="FN8" t="e">
        <f>AND(#REF!,"AAAAAH/+76k=")</f>
        <v>#REF!</v>
      </c>
      <c r="FO8" t="e">
        <f>AND(#REF!,"AAAAAH/+76o=")</f>
        <v>#REF!</v>
      </c>
      <c r="FP8" t="e">
        <f>AND(#REF!,"AAAAAH/+76s=")</f>
        <v>#REF!</v>
      </c>
      <c r="FQ8" t="e">
        <f>IF(#REF!,"AAAAAH/+76w=",0)</f>
        <v>#REF!</v>
      </c>
      <c r="FR8" t="e">
        <f>AND(#REF!,"AAAAAH/+760=")</f>
        <v>#REF!</v>
      </c>
      <c r="FS8" t="e">
        <f>AND(#REF!,"AAAAAH/+764=")</f>
        <v>#REF!</v>
      </c>
      <c r="FT8" t="e">
        <f>AND(#REF!,"AAAAAH/+768=")</f>
        <v>#REF!</v>
      </c>
      <c r="FU8" t="e">
        <f>AND(#REF!,"AAAAAH/+77A=")</f>
        <v>#REF!</v>
      </c>
      <c r="FV8" t="e">
        <f>AND(#REF!,"AAAAAH/+77E=")</f>
        <v>#REF!</v>
      </c>
      <c r="FW8" t="e">
        <f>AND(#REF!,"AAAAAH/+77I=")</f>
        <v>#REF!</v>
      </c>
      <c r="FX8" t="e">
        <f>AND(#REF!,"AAAAAH/+77M=")</f>
        <v>#REF!</v>
      </c>
      <c r="FY8" t="e">
        <f>AND(#REF!,"AAAAAH/+77Q=")</f>
        <v>#REF!</v>
      </c>
      <c r="FZ8" t="e">
        <f>AND(#REF!,"AAAAAH/+77U=")</f>
        <v>#REF!</v>
      </c>
      <c r="GA8" t="e">
        <f>AND(#REF!,"AAAAAH/+77Y=")</f>
        <v>#REF!</v>
      </c>
      <c r="GB8" t="e">
        <f>AND(#REF!,"AAAAAH/+77c=")</f>
        <v>#REF!</v>
      </c>
      <c r="GC8" t="e">
        <f>AND(#REF!,"AAAAAH/+77g=")</f>
        <v>#REF!</v>
      </c>
      <c r="GD8" t="e">
        <f>AND(#REF!,"AAAAAH/+77k=")</f>
        <v>#REF!</v>
      </c>
      <c r="GE8" t="e">
        <f>AND(#REF!,"AAAAAH/+77o=")</f>
        <v>#REF!</v>
      </c>
      <c r="GF8" t="e">
        <f>AND(#REF!,"AAAAAH/+77s=")</f>
        <v>#REF!</v>
      </c>
      <c r="GG8" t="e">
        <f>AND(#REF!,"AAAAAH/+77w=")</f>
        <v>#REF!</v>
      </c>
      <c r="GH8" t="e">
        <f>AND(#REF!,"AAAAAH/+770=")</f>
        <v>#REF!</v>
      </c>
      <c r="GI8" t="e">
        <f>AND(#REF!,"AAAAAH/+774=")</f>
        <v>#REF!</v>
      </c>
      <c r="GJ8" t="e">
        <f>AND(#REF!,"AAAAAH/+778=")</f>
        <v>#REF!</v>
      </c>
      <c r="GK8" t="e">
        <f>AND(#REF!,"AAAAAH/+78A=")</f>
        <v>#REF!</v>
      </c>
      <c r="GL8" t="e">
        <f>AND(#REF!,"AAAAAH/+78E=")</f>
        <v>#REF!</v>
      </c>
      <c r="GM8" t="e">
        <f>AND(#REF!,"AAAAAH/+78I=")</f>
        <v>#REF!</v>
      </c>
      <c r="GN8" t="e">
        <f>AND(#REF!,"AAAAAH/+78M=")</f>
        <v>#REF!</v>
      </c>
      <c r="GO8" t="e">
        <f>AND(#REF!,"AAAAAH/+78Q=")</f>
        <v>#REF!</v>
      </c>
      <c r="GP8" t="e">
        <f>AND(#REF!,"AAAAAH/+78U=")</f>
        <v>#REF!</v>
      </c>
      <c r="GQ8" t="e">
        <f>AND(#REF!,"AAAAAH/+78Y=")</f>
        <v>#REF!</v>
      </c>
      <c r="GR8" t="e">
        <f>AND(#REF!,"AAAAAH/+78c=")</f>
        <v>#REF!</v>
      </c>
      <c r="GS8" t="e">
        <f>AND(#REF!,"AAAAAH/+78g=")</f>
        <v>#REF!</v>
      </c>
      <c r="GT8" t="e">
        <f>AND(#REF!,"AAAAAH/+78k=")</f>
        <v>#REF!</v>
      </c>
      <c r="GU8" t="e">
        <f>AND(#REF!,"AAAAAH/+78o=")</f>
        <v>#REF!</v>
      </c>
      <c r="GV8" t="e">
        <f>AND(#REF!,"AAAAAH/+78s=")</f>
        <v>#REF!</v>
      </c>
      <c r="GW8" t="e">
        <f>AND(#REF!,"AAAAAH/+78w=")</f>
        <v>#REF!</v>
      </c>
      <c r="GX8" t="e">
        <f>AND(#REF!,"AAAAAH/+780=")</f>
        <v>#REF!</v>
      </c>
      <c r="GY8" t="e">
        <f>AND(#REF!,"AAAAAH/+784=")</f>
        <v>#REF!</v>
      </c>
      <c r="GZ8" t="e">
        <f>AND(#REF!,"AAAAAH/+788=")</f>
        <v>#REF!</v>
      </c>
      <c r="HA8" t="e">
        <f>IF(#REF!,"AAAAAH/+79A=",0)</f>
        <v>#REF!</v>
      </c>
      <c r="HB8" t="e">
        <f>AND(#REF!,"AAAAAH/+79E=")</f>
        <v>#REF!</v>
      </c>
      <c r="HC8" t="e">
        <f>AND(#REF!,"AAAAAH/+79I=")</f>
        <v>#REF!</v>
      </c>
      <c r="HD8" t="e">
        <f>AND(#REF!,"AAAAAH/+79M=")</f>
        <v>#REF!</v>
      </c>
      <c r="HE8" t="e">
        <f>AND(#REF!,"AAAAAH/+79Q=")</f>
        <v>#REF!</v>
      </c>
      <c r="HF8" t="e">
        <f>AND(#REF!,"AAAAAH/+79U=")</f>
        <v>#REF!</v>
      </c>
      <c r="HG8" t="e">
        <f>AND(#REF!,"AAAAAH/+79Y=")</f>
        <v>#REF!</v>
      </c>
      <c r="HH8" t="e">
        <f>AND(#REF!,"AAAAAH/+79c=")</f>
        <v>#REF!</v>
      </c>
      <c r="HI8" t="e">
        <f>AND(#REF!,"AAAAAH/+79g=")</f>
        <v>#REF!</v>
      </c>
      <c r="HJ8" t="e">
        <f>AND(#REF!,"AAAAAH/+79k=")</f>
        <v>#REF!</v>
      </c>
      <c r="HK8" t="e">
        <f>AND(#REF!,"AAAAAH/+79o=")</f>
        <v>#REF!</v>
      </c>
      <c r="HL8" t="e">
        <f>AND(#REF!,"AAAAAH/+79s=")</f>
        <v>#REF!</v>
      </c>
      <c r="HM8" t="e">
        <f>AND(#REF!,"AAAAAH/+79w=")</f>
        <v>#REF!</v>
      </c>
      <c r="HN8" t="e">
        <f>AND(#REF!,"AAAAAH/+790=")</f>
        <v>#REF!</v>
      </c>
      <c r="HO8" t="e">
        <f>AND(#REF!,"AAAAAH/+794=")</f>
        <v>#REF!</v>
      </c>
      <c r="HP8" t="e">
        <f>AND(#REF!,"AAAAAH/+798=")</f>
        <v>#REF!</v>
      </c>
      <c r="HQ8" t="e">
        <f>AND(#REF!,"AAAAAH/+7+A=")</f>
        <v>#REF!</v>
      </c>
      <c r="HR8" t="e">
        <f>AND(#REF!,"AAAAAH/+7+E=")</f>
        <v>#REF!</v>
      </c>
      <c r="HS8" t="e">
        <f>AND(#REF!,"AAAAAH/+7+I=")</f>
        <v>#REF!</v>
      </c>
      <c r="HT8" t="e">
        <f>AND(#REF!,"AAAAAH/+7+M=")</f>
        <v>#REF!</v>
      </c>
      <c r="HU8" t="e">
        <f>AND(#REF!,"AAAAAH/+7+Q=")</f>
        <v>#REF!</v>
      </c>
      <c r="HV8" t="e">
        <f>AND(#REF!,"AAAAAH/+7+U=")</f>
        <v>#REF!</v>
      </c>
      <c r="HW8" t="e">
        <f>AND(#REF!,"AAAAAH/+7+Y=")</f>
        <v>#REF!</v>
      </c>
      <c r="HX8" t="e">
        <f>AND(#REF!,"AAAAAH/+7+c=")</f>
        <v>#REF!</v>
      </c>
      <c r="HY8" t="e">
        <f>AND(#REF!,"AAAAAH/+7+g=")</f>
        <v>#REF!</v>
      </c>
      <c r="HZ8" t="e">
        <f>AND(#REF!,"AAAAAH/+7+k=")</f>
        <v>#REF!</v>
      </c>
      <c r="IA8" t="e">
        <f>AND(#REF!,"AAAAAH/+7+o=")</f>
        <v>#REF!</v>
      </c>
      <c r="IB8" t="e">
        <f>AND(#REF!,"AAAAAH/+7+s=")</f>
        <v>#REF!</v>
      </c>
      <c r="IC8" t="e">
        <f>AND(#REF!,"AAAAAH/+7+w=")</f>
        <v>#REF!</v>
      </c>
      <c r="ID8" t="e">
        <f>AND(#REF!,"AAAAAH/+7+0=")</f>
        <v>#REF!</v>
      </c>
      <c r="IE8" t="e">
        <f>AND(#REF!,"AAAAAH/+7+4=")</f>
        <v>#REF!</v>
      </c>
      <c r="IF8" t="e">
        <f>AND(#REF!,"AAAAAH/+7+8=")</f>
        <v>#REF!</v>
      </c>
      <c r="IG8" t="e">
        <f>AND(#REF!,"AAAAAH/+7/A=")</f>
        <v>#REF!</v>
      </c>
      <c r="IH8" t="e">
        <f>AND(#REF!,"AAAAAH/+7/E=")</f>
        <v>#REF!</v>
      </c>
      <c r="II8" t="e">
        <f>AND(#REF!,"AAAAAH/+7/I=")</f>
        <v>#REF!</v>
      </c>
      <c r="IJ8" t="e">
        <f>AND(#REF!,"AAAAAH/+7/M=")</f>
        <v>#REF!</v>
      </c>
      <c r="IK8" t="e">
        <f>IF(#REF!,"AAAAAH/+7/Q=",0)</f>
        <v>#REF!</v>
      </c>
      <c r="IL8" t="e">
        <f>AND(#REF!,"AAAAAH/+7/U=")</f>
        <v>#REF!</v>
      </c>
      <c r="IM8" t="e">
        <f>AND(#REF!,"AAAAAH/+7/Y=")</f>
        <v>#REF!</v>
      </c>
      <c r="IN8" t="e">
        <f>AND(#REF!,"AAAAAH/+7/c=")</f>
        <v>#REF!</v>
      </c>
      <c r="IO8" t="e">
        <f>AND(#REF!,"AAAAAH/+7/g=")</f>
        <v>#REF!</v>
      </c>
      <c r="IP8" t="e">
        <f>AND(#REF!,"AAAAAH/+7/k=")</f>
        <v>#REF!</v>
      </c>
      <c r="IQ8" t="e">
        <f>AND(#REF!,"AAAAAH/+7/o=")</f>
        <v>#REF!</v>
      </c>
      <c r="IR8" t="e">
        <f>AND(#REF!,"AAAAAH/+7/s=")</f>
        <v>#REF!</v>
      </c>
      <c r="IS8" t="e">
        <f>AND(#REF!,"AAAAAH/+7/w=")</f>
        <v>#REF!</v>
      </c>
      <c r="IT8" t="e">
        <f>AND(#REF!,"AAAAAH/+7/0=")</f>
        <v>#REF!</v>
      </c>
      <c r="IU8" t="e">
        <f>AND(#REF!,"AAAAAH/+7/4=")</f>
        <v>#REF!</v>
      </c>
      <c r="IV8" t="e">
        <f>AND(#REF!,"AAAAAH/+7/8=")</f>
        <v>#REF!</v>
      </c>
    </row>
    <row r="9" spans="1:256">
      <c r="A9" t="e">
        <f>AND(#REF!,"AAAAAHv6/gA=")</f>
        <v>#REF!</v>
      </c>
      <c r="B9" t="e">
        <f>AND(#REF!,"AAAAAHv6/gE=")</f>
        <v>#REF!</v>
      </c>
      <c r="C9" t="e">
        <f>AND(#REF!,"AAAAAHv6/gI=")</f>
        <v>#REF!</v>
      </c>
      <c r="D9" t="e">
        <f>AND(#REF!,"AAAAAHv6/gM=")</f>
        <v>#REF!</v>
      </c>
      <c r="E9" t="e">
        <f>AND(#REF!,"AAAAAHv6/gQ=")</f>
        <v>#REF!</v>
      </c>
      <c r="F9" t="e">
        <f>AND(#REF!,"AAAAAHv6/gU=")</f>
        <v>#REF!</v>
      </c>
      <c r="G9" t="e">
        <f>AND(#REF!,"AAAAAHv6/gY=")</f>
        <v>#REF!</v>
      </c>
      <c r="H9" t="e">
        <f>AND(#REF!,"AAAAAHv6/gc=")</f>
        <v>#REF!</v>
      </c>
      <c r="I9" t="e">
        <f>AND(#REF!,"AAAAAHv6/gg=")</f>
        <v>#REF!</v>
      </c>
      <c r="J9" t="e">
        <f>AND(#REF!,"AAAAAHv6/gk=")</f>
        <v>#REF!</v>
      </c>
      <c r="K9" t="e">
        <f>AND(#REF!,"AAAAAHv6/go=")</f>
        <v>#REF!</v>
      </c>
      <c r="L9" t="e">
        <f>AND(#REF!,"AAAAAHv6/gs=")</f>
        <v>#REF!</v>
      </c>
      <c r="M9" t="e">
        <f>AND(#REF!,"AAAAAHv6/gw=")</f>
        <v>#REF!</v>
      </c>
      <c r="N9" t="e">
        <f>AND(#REF!,"AAAAAHv6/g0=")</f>
        <v>#REF!</v>
      </c>
      <c r="O9" t="e">
        <f>AND(#REF!,"AAAAAHv6/g4=")</f>
        <v>#REF!</v>
      </c>
      <c r="P9" t="e">
        <f>AND(#REF!,"AAAAAHv6/g8=")</f>
        <v>#REF!</v>
      </c>
      <c r="Q9" t="e">
        <f>AND(#REF!,"AAAAAHv6/hA=")</f>
        <v>#REF!</v>
      </c>
      <c r="R9" t="e">
        <f>AND(#REF!,"AAAAAHv6/hE=")</f>
        <v>#REF!</v>
      </c>
      <c r="S9" t="e">
        <f>AND(#REF!,"AAAAAHv6/hI=")</f>
        <v>#REF!</v>
      </c>
      <c r="T9" t="e">
        <f>AND(#REF!,"AAAAAHv6/hM=")</f>
        <v>#REF!</v>
      </c>
      <c r="U9" t="e">
        <f>AND(#REF!,"AAAAAHv6/hQ=")</f>
        <v>#REF!</v>
      </c>
      <c r="V9" t="e">
        <f>AND(#REF!,"AAAAAHv6/hU=")</f>
        <v>#REF!</v>
      </c>
      <c r="W9" t="e">
        <f>AND(#REF!,"AAAAAHv6/hY=")</f>
        <v>#REF!</v>
      </c>
      <c r="X9" t="e">
        <f>AND(#REF!,"AAAAAHv6/hc=")</f>
        <v>#REF!</v>
      </c>
      <c r="Y9" t="e">
        <f>IF(#REF!,"AAAAAHv6/hg=",0)</f>
        <v>#REF!</v>
      </c>
      <c r="Z9" t="e">
        <f>AND(#REF!,"AAAAAHv6/hk=")</f>
        <v>#REF!</v>
      </c>
      <c r="AA9" t="e">
        <f>AND(#REF!,"AAAAAHv6/ho=")</f>
        <v>#REF!</v>
      </c>
      <c r="AB9" t="e">
        <f>AND(#REF!,"AAAAAHv6/hs=")</f>
        <v>#REF!</v>
      </c>
      <c r="AC9" t="e">
        <f>AND(#REF!,"AAAAAHv6/hw=")</f>
        <v>#REF!</v>
      </c>
      <c r="AD9" t="e">
        <f>AND(#REF!,"AAAAAHv6/h0=")</f>
        <v>#REF!</v>
      </c>
      <c r="AE9" t="e">
        <f>AND(#REF!,"AAAAAHv6/h4=")</f>
        <v>#REF!</v>
      </c>
      <c r="AF9" t="e">
        <f>AND(#REF!,"AAAAAHv6/h8=")</f>
        <v>#REF!</v>
      </c>
      <c r="AG9" t="e">
        <f>AND(#REF!,"AAAAAHv6/iA=")</f>
        <v>#REF!</v>
      </c>
      <c r="AH9" t="e">
        <f>AND(#REF!,"AAAAAHv6/iE=")</f>
        <v>#REF!</v>
      </c>
      <c r="AI9" t="e">
        <f>AND(#REF!,"AAAAAHv6/iI=")</f>
        <v>#REF!</v>
      </c>
      <c r="AJ9" t="e">
        <f>AND(#REF!,"AAAAAHv6/iM=")</f>
        <v>#REF!</v>
      </c>
      <c r="AK9" t="e">
        <f>AND(#REF!,"AAAAAHv6/iQ=")</f>
        <v>#REF!</v>
      </c>
      <c r="AL9" t="e">
        <f>AND(#REF!,"AAAAAHv6/iU=")</f>
        <v>#REF!</v>
      </c>
      <c r="AM9" t="e">
        <f>AND(#REF!,"AAAAAHv6/iY=")</f>
        <v>#REF!</v>
      </c>
      <c r="AN9" t="e">
        <f>AND(#REF!,"AAAAAHv6/ic=")</f>
        <v>#REF!</v>
      </c>
      <c r="AO9" t="e">
        <f>AND(#REF!,"AAAAAHv6/ig=")</f>
        <v>#REF!</v>
      </c>
      <c r="AP9" t="e">
        <f>AND(#REF!,"AAAAAHv6/ik=")</f>
        <v>#REF!</v>
      </c>
      <c r="AQ9" t="e">
        <f>AND(#REF!,"AAAAAHv6/io=")</f>
        <v>#REF!</v>
      </c>
      <c r="AR9" t="e">
        <f>AND(#REF!,"AAAAAHv6/is=")</f>
        <v>#REF!</v>
      </c>
      <c r="AS9" t="e">
        <f>AND(#REF!,"AAAAAHv6/iw=")</f>
        <v>#REF!</v>
      </c>
      <c r="AT9" t="e">
        <f>AND(#REF!,"AAAAAHv6/i0=")</f>
        <v>#REF!</v>
      </c>
      <c r="AU9" t="e">
        <f>AND(#REF!,"AAAAAHv6/i4=")</f>
        <v>#REF!</v>
      </c>
      <c r="AV9" t="e">
        <f>AND(#REF!,"AAAAAHv6/i8=")</f>
        <v>#REF!</v>
      </c>
      <c r="AW9" t="e">
        <f>AND(#REF!,"AAAAAHv6/jA=")</f>
        <v>#REF!</v>
      </c>
      <c r="AX9" t="e">
        <f>AND(#REF!,"AAAAAHv6/jE=")</f>
        <v>#REF!</v>
      </c>
      <c r="AY9" t="e">
        <f>AND(#REF!,"AAAAAHv6/jI=")</f>
        <v>#REF!</v>
      </c>
      <c r="AZ9" t="e">
        <f>AND(#REF!,"AAAAAHv6/jM=")</f>
        <v>#REF!</v>
      </c>
      <c r="BA9" t="e">
        <f>AND(#REF!,"AAAAAHv6/jQ=")</f>
        <v>#REF!</v>
      </c>
      <c r="BB9" t="e">
        <f>AND(#REF!,"AAAAAHv6/jU=")</f>
        <v>#REF!</v>
      </c>
      <c r="BC9" t="e">
        <f>AND(#REF!,"AAAAAHv6/jY=")</f>
        <v>#REF!</v>
      </c>
      <c r="BD9" t="e">
        <f>AND(#REF!,"AAAAAHv6/jc=")</f>
        <v>#REF!</v>
      </c>
      <c r="BE9" t="e">
        <f>AND(#REF!,"AAAAAHv6/jg=")</f>
        <v>#REF!</v>
      </c>
      <c r="BF9" t="e">
        <f>AND(#REF!,"AAAAAHv6/jk=")</f>
        <v>#REF!</v>
      </c>
      <c r="BG9" t="e">
        <f>AND(#REF!,"AAAAAHv6/jo=")</f>
        <v>#REF!</v>
      </c>
      <c r="BH9" t="e">
        <f>AND(#REF!,"AAAAAHv6/js=")</f>
        <v>#REF!</v>
      </c>
      <c r="BI9" t="e">
        <f>IF(#REF!,"AAAAAHv6/jw=",0)</f>
        <v>#REF!</v>
      </c>
      <c r="BJ9" t="e">
        <f>AND(#REF!,"AAAAAHv6/j0=")</f>
        <v>#REF!</v>
      </c>
      <c r="BK9" t="e">
        <f>AND(#REF!,"AAAAAHv6/j4=")</f>
        <v>#REF!</v>
      </c>
      <c r="BL9" t="e">
        <f>AND(#REF!,"AAAAAHv6/j8=")</f>
        <v>#REF!</v>
      </c>
      <c r="BM9" t="e">
        <f>AND(#REF!,"AAAAAHv6/kA=")</f>
        <v>#REF!</v>
      </c>
      <c r="BN9" t="e">
        <f>AND(#REF!,"AAAAAHv6/kE=")</f>
        <v>#REF!</v>
      </c>
      <c r="BO9" t="e">
        <f>AND(#REF!,"AAAAAHv6/kI=")</f>
        <v>#REF!</v>
      </c>
      <c r="BP9" t="e">
        <f>AND(#REF!,"AAAAAHv6/kM=")</f>
        <v>#REF!</v>
      </c>
      <c r="BQ9" t="e">
        <f>AND(#REF!,"AAAAAHv6/kQ=")</f>
        <v>#REF!</v>
      </c>
      <c r="BR9" t="e">
        <f>AND(#REF!,"AAAAAHv6/kU=")</f>
        <v>#REF!</v>
      </c>
      <c r="BS9" t="e">
        <f>AND(#REF!,"AAAAAHv6/kY=")</f>
        <v>#REF!</v>
      </c>
      <c r="BT9" t="e">
        <f>AND(#REF!,"AAAAAHv6/kc=")</f>
        <v>#REF!</v>
      </c>
      <c r="BU9" t="e">
        <f>AND(#REF!,"AAAAAHv6/kg=")</f>
        <v>#REF!</v>
      </c>
      <c r="BV9" t="e">
        <f>AND(#REF!,"AAAAAHv6/kk=")</f>
        <v>#REF!</v>
      </c>
      <c r="BW9" t="e">
        <f>AND(#REF!,"AAAAAHv6/ko=")</f>
        <v>#REF!</v>
      </c>
      <c r="BX9" t="e">
        <f>AND(#REF!,"AAAAAHv6/ks=")</f>
        <v>#REF!</v>
      </c>
      <c r="BY9" t="e">
        <f>AND(#REF!,"AAAAAHv6/kw=")</f>
        <v>#REF!</v>
      </c>
      <c r="BZ9" t="e">
        <f>AND(#REF!,"AAAAAHv6/k0=")</f>
        <v>#REF!</v>
      </c>
      <c r="CA9" t="e">
        <f>AND(#REF!,"AAAAAHv6/k4=")</f>
        <v>#REF!</v>
      </c>
      <c r="CB9" t="e">
        <f>AND(#REF!,"AAAAAHv6/k8=")</f>
        <v>#REF!</v>
      </c>
      <c r="CC9" t="e">
        <f>AND(#REF!,"AAAAAHv6/lA=")</f>
        <v>#REF!</v>
      </c>
      <c r="CD9" t="e">
        <f>AND(#REF!,"AAAAAHv6/lE=")</f>
        <v>#REF!</v>
      </c>
      <c r="CE9" t="e">
        <f>AND(#REF!,"AAAAAHv6/lI=")</f>
        <v>#REF!</v>
      </c>
      <c r="CF9" t="e">
        <f>AND(#REF!,"AAAAAHv6/lM=")</f>
        <v>#REF!</v>
      </c>
      <c r="CG9" t="e">
        <f>AND(#REF!,"AAAAAHv6/lQ=")</f>
        <v>#REF!</v>
      </c>
      <c r="CH9" t="e">
        <f>AND(#REF!,"AAAAAHv6/lU=")</f>
        <v>#REF!</v>
      </c>
      <c r="CI9" t="e">
        <f>AND(#REF!,"AAAAAHv6/lY=")</f>
        <v>#REF!</v>
      </c>
      <c r="CJ9" t="e">
        <f>AND(#REF!,"AAAAAHv6/lc=")</f>
        <v>#REF!</v>
      </c>
      <c r="CK9" t="e">
        <f>AND(#REF!,"AAAAAHv6/lg=")</f>
        <v>#REF!</v>
      </c>
      <c r="CL9" t="e">
        <f>AND(#REF!,"AAAAAHv6/lk=")</f>
        <v>#REF!</v>
      </c>
      <c r="CM9" t="e">
        <f>AND(#REF!,"AAAAAHv6/lo=")</f>
        <v>#REF!</v>
      </c>
      <c r="CN9" t="e">
        <f>AND(#REF!,"AAAAAHv6/ls=")</f>
        <v>#REF!</v>
      </c>
      <c r="CO9" t="e">
        <f>AND(#REF!,"AAAAAHv6/lw=")</f>
        <v>#REF!</v>
      </c>
      <c r="CP9" t="e">
        <f>AND(#REF!,"AAAAAHv6/l0=")</f>
        <v>#REF!</v>
      </c>
      <c r="CQ9" t="e">
        <f>AND(#REF!,"AAAAAHv6/l4=")</f>
        <v>#REF!</v>
      </c>
      <c r="CR9" t="e">
        <f>AND(#REF!,"AAAAAHv6/l8=")</f>
        <v>#REF!</v>
      </c>
      <c r="CS9" t="e">
        <f>IF(#REF!,"AAAAAHv6/mA=",0)</f>
        <v>#REF!</v>
      </c>
      <c r="CT9" t="e">
        <f>AND(#REF!,"AAAAAHv6/mE=")</f>
        <v>#REF!</v>
      </c>
      <c r="CU9" t="e">
        <f>AND(#REF!,"AAAAAHv6/mI=")</f>
        <v>#REF!</v>
      </c>
      <c r="CV9" t="e">
        <f>AND(#REF!,"AAAAAHv6/mM=")</f>
        <v>#REF!</v>
      </c>
      <c r="CW9" t="e">
        <f>AND(#REF!,"AAAAAHv6/mQ=")</f>
        <v>#REF!</v>
      </c>
      <c r="CX9" t="e">
        <f>AND(#REF!,"AAAAAHv6/mU=")</f>
        <v>#REF!</v>
      </c>
      <c r="CY9" t="e">
        <f>AND(#REF!,"AAAAAHv6/mY=")</f>
        <v>#REF!</v>
      </c>
      <c r="CZ9" t="e">
        <f>AND(#REF!,"AAAAAHv6/mc=")</f>
        <v>#REF!</v>
      </c>
      <c r="DA9" t="e">
        <f>AND(#REF!,"AAAAAHv6/mg=")</f>
        <v>#REF!</v>
      </c>
      <c r="DB9" t="e">
        <f>AND(#REF!,"AAAAAHv6/mk=")</f>
        <v>#REF!</v>
      </c>
      <c r="DC9" t="e">
        <f>AND(#REF!,"AAAAAHv6/mo=")</f>
        <v>#REF!</v>
      </c>
      <c r="DD9" t="e">
        <f>AND(#REF!,"AAAAAHv6/ms=")</f>
        <v>#REF!</v>
      </c>
      <c r="DE9" t="e">
        <f>AND(#REF!,"AAAAAHv6/mw=")</f>
        <v>#REF!</v>
      </c>
      <c r="DF9" t="e">
        <f>AND(#REF!,"AAAAAHv6/m0=")</f>
        <v>#REF!</v>
      </c>
      <c r="DG9" t="e">
        <f>AND(#REF!,"AAAAAHv6/m4=")</f>
        <v>#REF!</v>
      </c>
      <c r="DH9" t="e">
        <f>AND(#REF!,"AAAAAHv6/m8=")</f>
        <v>#REF!</v>
      </c>
      <c r="DI9" t="e">
        <f>AND(#REF!,"AAAAAHv6/nA=")</f>
        <v>#REF!</v>
      </c>
      <c r="DJ9" t="e">
        <f>AND(#REF!,"AAAAAHv6/nE=")</f>
        <v>#REF!</v>
      </c>
      <c r="DK9" t="e">
        <f>AND(#REF!,"AAAAAHv6/nI=")</f>
        <v>#REF!</v>
      </c>
      <c r="DL9" t="e">
        <f>AND(#REF!,"AAAAAHv6/nM=")</f>
        <v>#REF!</v>
      </c>
      <c r="DM9" t="e">
        <f>AND(#REF!,"AAAAAHv6/nQ=")</f>
        <v>#REF!</v>
      </c>
      <c r="DN9" t="e">
        <f>AND(#REF!,"AAAAAHv6/nU=")</f>
        <v>#REF!</v>
      </c>
      <c r="DO9" t="e">
        <f>AND(#REF!,"AAAAAHv6/nY=")</f>
        <v>#REF!</v>
      </c>
      <c r="DP9" t="e">
        <f>AND(#REF!,"AAAAAHv6/nc=")</f>
        <v>#REF!</v>
      </c>
      <c r="DQ9" t="e">
        <f>AND(#REF!,"AAAAAHv6/ng=")</f>
        <v>#REF!</v>
      </c>
      <c r="DR9" t="e">
        <f>AND(#REF!,"AAAAAHv6/nk=")</f>
        <v>#REF!</v>
      </c>
      <c r="DS9" t="e">
        <f>AND(#REF!,"AAAAAHv6/no=")</f>
        <v>#REF!</v>
      </c>
      <c r="DT9" t="e">
        <f>AND(#REF!,"AAAAAHv6/ns=")</f>
        <v>#REF!</v>
      </c>
      <c r="DU9" t="e">
        <f>AND(#REF!,"AAAAAHv6/nw=")</f>
        <v>#REF!</v>
      </c>
      <c r="DV9" t="e">
        <f>AND(#REF!,"AAAAAHv6/n0=")</f>
        <v>#REF!</v>
      </c>
      <c r="DW9" t="e">
        <f>AND(#REF!,"AAAAAHv6/n4=")</f>
        <v>#REF!</v>
      </c>
      <c r="DX9" t="e">
        <f>AND(#REF!,"AAAAAHv6/n8=")</f>
        <v>#REF!</v>
      </c>
      <c r="DY9" t="e">
        <f>AND(#REF!,"AAAAAHv6/oA=")</f>
        <v>#REF!</v>
      </c>
      <c r="DZ9" t="e">
        <f>AND(#REF!,"AAAAAHv6/oE=")</f>
        <v>#REF!</v>
      </c>
      <c r="EA9" t="e">
        <f>AND(#REF!,"AAAAAHv6/oI=")</f>
        <v>#REF!</v>
      </c>
      <c r="EB9" t="e">
        <f>AND(#REF!,"AAAAAHv6/oM=")</f>
        <v>#REF!</v>
      </c>
      <c r="EC9" t="e">
        <f>IF(#REF!,"AAAAAHv6/oQ=",0)</f>
        <v>#REF!</v>
      </c>
      <c r="ED9" t="e">
        <f>AND(#REF!,"AAAAAHv6/oU=")</f>
        <v>#REF!</v>
      </c>
      <c r="EE9" t="e">
        <f>AND(#REF!,"AAAAAHv6/oY=")</f>
        <v>#REF!</v>
      </c>
      <c r="EF9" t="e">
        <f>AND(#REF!,"AAAAAHv6/oc=")</f>
        <v>#REF!</v>
      </c>
      <c r="EG9" t="e">
        <f>AND(#REF!,"AAAAAHv6/og=")</f>
        <v>#REF!</v>
      </c>
      <c r="EH9" t="e">
        <f>AND(#REF!,"AAAAAHv6/ok=")</f>
        <v>#REF!</v>
      </c>
      <c r="EI9" t="e">
        <f>AND(#REF!,"AAAAAHv6/oo=")</f>
        <v>#REF!</v>
      </c>
      <c r="EJ9" t="e">
        <f>AND(#REF!,"AAAAAHv6/os=")</f>
        <v>#REF!</v>
      </c>
      <c r="EK9" t="e">
        <f>AND(#REF!,"AAAAAHv6/ow=")</f>
        <v>#REF!</v>
      </c>
      <c r="EL9" t="e">
        <f>AND(#REF!,"AAAAAHv6/o0=")</f>
        <v>#REF!</v>
      </c>
      <c r="EM9" t="e">
        <f>AND(#REF!,"AAAAAHv6/o4=")</f>
        <v>#REF!</v>
      </c>
      <c r="EN9" t="e">
        <f>AND(#REF!,"AAAAAHv6/o8=")</f>
        <v>#REF!</v>
      </c>
      <c r="EO9" t="e">
        <f>AND(#REF!,"AAAAAHv6/pA=")</f>
        <v>#REF!</v>
      </c>
      <c r="EP9" t="e">
        <f>AND(#REF!,"AAAAAHv6/pE=")</f>
        <v>#REF!</v>
      </c>
      <c r="EQ9" t="e">
        <f>AND(#REF!,"AAAAAHv6/pI=")</f>
        <v>#REF!</v>
      </c>
      <c r="ER9" t="e">
        <f>AND(#REF!,"AAAAAHv6/pM=")</f>
        <v>#REF!</v>
      </c>
      <c r="ES9" t="e">
        <f>AND(#REF!,"AAAAAHv6/pQ=")</f>
        <v>#REF!</v>
      </c>
      <c r="ET9" t="e">
        <f>AND(#REF!,"AAAAAHv6/pU=")</f>
        <v>#REF!</v>
      </c>
      <c r="EU9" t="e">
        <f>AND(#REF!,"AAAAAHv6/pY=")</f>
        <v>#REF!</v>
      </c>
      <c r="EV9" t="e">
        <f>AND(#REF!,"AAAAAHv6/pc=")</f>
        <v>#REF!</v>
      </c>
      <c r="EW9" t="e">
        <f>AND(#REF!,"AAAAAHv6/pg=")</f>
        <v>#REF!</v>
      </c>
      <c r="EX9" t="e">
        <f>AND(#REF!,"AAAAAHv6/pk=")</f>
        <v>#REF!</v>
      </c>
      <c r="EY9" t="e">
        <f>AND(#REF!,"AAAAAHv6/po=")</f>
        <v>#REF!</v>
      </c>
      <c r="EZ9" t="e">
        <f>AND(#REF!,"AAAAAHv6/ps=")</f>
        <v>#REF!</v>
      </c>
      <c r="FA9" t="e">
        <f>AND(#REF!,"AAAAAHv6/pw=")</f>
        <v>#REF!</v>
      </c>
      <c r="FB9" t="e">
        <f>AND(#REF!,"AAAAAHv6/p0=")</f>
        <v>#REF!</v>
      </c>
      <c r="FC9" t="e">
        <f>AND(#REF!,"AAAAAHv6/p4=")</f>
        <v>#REF!</v>
      </c>
      <c r="FD9" t="e">
        <f>AND(#REF!,"AAAAAHv6/p8=")</f>
        <v>#REF!</v>
      </c>
      <c r="FE9" t="e">
        <f>AND(#REF!,"AAAAAHv6/qA=")</f>
        <v>#REF!</v>
      </c>
      <c r="FF9" t="e">
        <f>AND(#REF!,"AAAAAHv6/qE=")</f>
        <v>#REF!</v>
      </c>
      <c r="FG9" t="e">
        <f>AND(#REF!,"AAAAAHv6/qI=")</f>
        <v>#REF!</v>
      </c>
      <c r="FH9" t="e">
        <f>AND(#REF!,"AAAAAHv6/qM=")</f>
        <v>#REF!</v>
      </c>
      <c r="FI9" t="e">
        <f>AND(#REF!,"AAAAAHv6/qQ=")</f>
        <v>#REF!</v>
      </c>
      <c r="FJ9" t="e">
        <f>AND(#REF!,"AAAAAHv6/qU=")</f>
        <v>#REF!</v>
      </c>
      <c r="FK9" t="e">
        <f>AND(#REF!,"AAAAAHv6/qY=")</f>
        <v>#REF!</v>
      </c>
      <c r="FL9" t="e">
        <f>AND(#REF!,"AAAAAHv6/qc=")</f>
        <v>#REF!</v>
      </c>
      <c r="FM9" t="e">
        <f>IF(#REF!,"AAAAAHv6/qg=",0)</f>
        <v>#REF!</v>
      </c>
      <c r="FN9" t="e">
        <f>AND(#REF!,"AAAAAHv6/qk=")</f>
        <v>#REF!</v>
      </c>
      <c r="FO9" t="e">
        <f>AND(#REF!,"AAAAAHv6/qo=")</f>
        <v>#REF!</v>
      </c>
      <c r="FP9" t="e">
        <f>AND(#REF!,"AAAAAHv6/qs=")</f>
        <v>#REF!</v>
      </c>
      <c r="FQ9" t="e">
        <f>AND(#REF!,"AAAAAHv6/qw=")</f>
        <v>#REF!</v>
      </c>
      <c r="FR9" t="e">
        <f>AND(#REF!,"AAAAAHv6/q0=")</f>
        <v>#REF!</v>
      </c>
      <c r="FS9" t="e">
        <f>AND(#REF!,"AAAAAHv6/q4=")</f>
        <v>#REF!</v>
      </c>
      <c r="FT9" t="e">
        <f>AND(#REF!,"AAAAAHv6/q8=")</f>
        <v>#REF!</v>
      </c>
      <c r="FU9" t="e">
        <f>AND(#REF!,"AAAAAHv6/rA=")</f>
        <v>#REF!</v>
      </c>
      <c r="FV9" t="e">
        <f>AND(#REF!,"AAAAAHv6/rE=")</f>
        <v>#REF!</v>
      </c>
      <c r="FW9" t="e">
        <f>AND(#REF!,"AAAAAHv6/rI=")</f>
        <v>#REF!</v>
      </c>
      <c r="FX9" t="e">
        <f>AND(#REF!,"AAAAAHv6/rM=")</f>
        <v>#REF!</v>
      </c>
      <c r="FY9" t="e">
        <f>AND(#REF!,"AAAAAHv6/rQ=")</f>
        <v>#REF!</v>
      </c>
      <c r="FZ9" t="e">
        <f>AND(#REF!,"AAAAAHv6/rU=")</f>
        <v>#REF!</v>
      </c>
      <c r="GA9" t="e">
        <f>AND(#REF!,"AAAAAHv6/rY=")</f>
        <v>#REF!</v>
      </c>
      <c r="GB9" t="e">
        <f>AND(#REF!,"AAAAAHv6/rc=")</f>
        <v>#REF!</v>
      </c>
      <c r="GC9" t="e">
        <f>AND(#REF!,"AAAAAHv6/rg=")</f>
        <v>#REF!</v>
      </c>
      <c r="GD9" t="e">
        <f>AND(#REF!,"AAAAAHv6/rk=")</f>
        <v>#REF!</v>
      </c>
      <c r="GE9" t="e">
        <f>AND(#REF!,"AAAAAHv6/ro=")</f>
        <v>#REF!</v>
      </c>
      <c r="GF9" t="e">
        <f>AND(#REF!,"AAAAAHv6/rs=")</f>
        <v>#REF!</v>
      </c>
      <c r="GG9" t="e">
        <f>AND(#REF!,"AAAAAHv6/rw=")</f>
        <v>#REF!</v>
      </c>
      <c r="GH9" t="e">
        <f>AND(#REF!,"AAAAAHv6/r0=")</f>
        <v>#REF!</v>
      </c>
      <c r="GI9" t="e">
        <f>AND(#REF!,"AAAAAHv6/r4=")</f>
        <v>#REF!</v>
      </c>
      <c r="GJ9" t="e">
        <f>AND(#REF!,"AAAAAHv6/r8=")</f>
        <v>#REF!</v>
      </c>
      <c r="GK9" t="e">
        <f>AND(#REF!,"AAAAAHv6/sA=")</f>
        <v>#REF!</v>
      </c>
      <c r="GL9" t="e">
        <f>AND(#REF!,"AAAAAHv6/sE=")</f>
        <v>#REF!</v>
      </c>
      <c r="GM9" t="e">
        <f>AND(#REF!,"AAAAAHv6/sI=")</f>
        <v>#REF!</v>
      </c>
      <c r="GN9" t="e">
        <f>AND(#REF!,"AAAAAHv6/sM=")</f>
        <v>#REF!</v>
      </c>
      <c r="GO9" t="e">
        <f>AND(#REF!,"AAAAAHv6/sQ=")</f>
        <v>#REF!</v>
      </c>
      <c r="GP9" t="e">
        <f>AND(#REF!,"AAAAAHv6/sU=")</f>
        <v>#REF!</v>
      </c>
      <c r="GQ9" t="e">
        <f>AND(#REF!,"AAAAAHv6/sY=")</f>
        <v>#REF!</v>
      </c>
      <c r="GR9" t="e">
        <f>AND(#REF!,"AAAAAHv6/sc=")</f>
        <v>#REF!</v>
      </c>
      <c r="GS9" t="e">
        <f>AND(#REF!,"AAAAAHv6/sg=")</f>
        <v>#REF!</v>
      </c>
      <c r="GT9" t="e">
        <f>AND(#REF!,"AAAAAHv6/sk=")</f>
        <v>#REF!</v>
      </c>
      <c r="GU9" t="e">
        <f>AND(#REF!,"AAAAAHv6/so=")</f>
        <v>#REF!</v>
      </c>
      <c r="GV9" t="e">
        <f>AND(#REF!,"AAAAAHv6/ss=")</f>
        <v>#REF!</v>
      </c>
      <c r="GW9" t="e">
        <f>IF(#REF!,"AAAAAHv6/sw=",0)</f>
        <v>#REF!</v>
      </c>
      <c r="GX9" t="e">
        <f>AND(#REF!,"AAAAAHv6/s0=")</f>
        <v>#REF!</v>
      </c>
      <c r="GY9" t="e">
        <f>AND(#REF!,"AAAAAHv6/s4=")</f>
        <v>#REF!</v>
      </c>
      <c r="GZ9" t="e">
        <f>AND(#REF!,"AAAAAHv6/s8=")</f>
        <v>#REF!</v>
      </c>
      <c r="HA9" t="e">
        <f>AND(#REF!,"AAAAAHv6/tA=")</f>
        <v>#REF!</v>
      </c>
      <c r="HB9" t="e">
        <f>AND(#REF!,"AAAAAHv6/tE=")</f>
        <v>#REF!</v>
      </c>
      <c r="HC9" t="e">
        <f>AND(#REF!,"AAAAAHv6/tI=")</f>
        <v>#REF!</v>
      </c>
      <c r="HD9" t="e">
        <f>AND(#REF!,"AAAAAHv6/tM=")</f>
        <v>#REF!</v>
      </c>
      <c r="HE9" t="e">
        <f>AND(#REF!,"AAAAAHv6/tQ=")</f>
        <v>#REF!</v>
      </c>
      <c r="HF9" t="e">
        <f>AND(#REF!,"AAAAAHv6/tU=")</f>
        <v>#REF!</v>
      </c>
      <c r="HG9" t="e">
        <f>AND(#REF!,"AAAAAHv6/tY=")</f>
        <v>#REF!</v>
      </c>
      <c r="HH9" t="e">
        <f>AND(#REF!,"AAAAAHv6/tc=")</f>
        <v>#REF!</v>
      </c>
      <c r="HI9" t="e">
        <f>AND(#REF!,"AAAAAHv6/tg=")</f>
        <v>#REF!</v>
      </c>
      <c r="HJ9" t="e">
        <f>AND(#REF!,"AAAAAHv6/tk=")</f>
        <v>#REF!</v>
      </c>
      <c r="HK9" t="e">
        <f>AND(#REF!,"AAAAAHv6/to=")</f>
        <v>#REF!</v>
      </c>
      <c r="HL9" t="e">
        <f>AND(#REF!,"AAAAAHv6/ts=")</f>
        <v>#REF!</v>
      </c>
      <c r="HM9" t="e">
        <f>AND(#REF!,"AAAAAHv6/tw=")</f>
        <v>#REF!</v>
      </c>
      <c r="HN9" t="e">
        <f>AND(#REF!,"AAAAAHv6/t0=")</f>
        <v>#REF!</v>
      </c>
      <c r="HO9" t="e">
        <f>AND(#REF!,"AAAAAHv6/t4=")</f>
        <v>#REF!</v>
      </c>
      <c r="HP9" t="e">
        <f>AND(#REF!,"AAAAAHv6/t8=")</f>
        <v>#REF!</v>
      </c>
      <c r="HQ9" t="e">
        <f>AND(#REF!,"AAAAAHv6/uA=")</f>
        <v>#REF!</v>
      </c>
      <c r="HR9" t="e">
        <f>AND(#REF!,"AAAAAHv6/uE=")</f>
        <v>#REF!</v>
      </c>
      <c r="HS9" t="e">
        <f>AND(#REF!,"AAAAAHv6/uI=")</f>
        <v>#REF!</v>
      </c>
      <c r="HT9" t="e">
        <f>AND(#REF!,"AAAAAHv6/uM=")</f>
        <v>#REF!</v>
      </c>
      <c r="HU9" t="e">
        <f>AND(#REF!,"AAAAAHv6/uQ=")</f>
        <v>#REF!</v>
      </c>
      <c r="HV9" t="e">
        <f>AND(#REF!,"AAAAAHv6/uU=")</f>
        <v>#REF!</v>
      </c>
      <c r="HW9" t="e">
        <f>AND(#REF!,"AAAAAHv6/uY=")</f>
        <v>#REF!</v>
      </c>
      <c r="HX9" t="e">
        <f>AND(#REF!,"AAAAAHv6/uc=")</f>
        <v>#REF!</v>
      </c>
      <c r="HY9" t="e">
        <f>AND(#REF!,"AAAAAHv6/ug=")</f>
        <v>#REF!</v>
      </c>
      <c r="HZ9" t="e">
        <f>AND(#REF!,"AAAAAHv6/uk=")</f>
        <v>#REF!</v>
      </c>
      <c r="IA9" t="e">
        <f>AND(#REF!,"AAAAAHv6/uo=")</f>
        <v>#REF!</v>
      </c>
      <c r="IB9" t="e">
        <f>AND(#REF!,"AAAAAHv6/us=")</f>
        <v>#REF!</v>
      </c>
      <c r="IC9" t="e">
        <f>AND(#REF!,"AAAAAHv6/uw=")</f>
        <v>#REF!</v>
      </c>
      <c r="ID9" t="e">
        <f>AND(#REF!,"AAAAAHv6/u0=")</f>
        <v>#REF!</v>
      </c>
      <c r="IE9" t="e">
        <f>AND(#REF!,"AAAAAHv6/u4=")</f>
        <v>#REF!</v>
      </c>
      <c r="IF9" t="e">
        <f>AND(#REF!,"AAAAAHv6/u8=")</f>
        <v>#REF!</v>
      </c>
      <c r="IG9" t="e">
        <f>IF(#REF!,"AAAAAHv6/vA=",0)</f>
        <v>#REF!</v>
      </c>
      <c r="IH9" t="e">
        <f>AND(#REF!,"AAAAAHv6/vE=")</f>
        <v>#REF!</v>
      </c>
      <c r="II9" t="e">
        <f>AND(#REF!,"AAAAAHv6/vI=")</f>
        <v>#REF!</v>
      </c>
      <c r="IJ9" t="e">
        <f>AND(#REF!,"AAAAAHv6/vM=")</f>
        <v>#REF!</v>
      </c>
      <c r="IK9" t="e">
        <f>AND(#REF!,"AAAAAHv6/vQ=")</f>
        <v>#REF!</v>
      </c>
      <c r="IL9" t="e">
        <f>AND(#REF!,"AAAAAHv6/vU=")</f>
        <v>#REF!</v>
      </c>
      <c r="IM9" t="e">
        <f>AND(#REF!,"AAAAAHv6/vY=")</f>
        <v>#REF!</v>
      </c>
      <c r="IN9" t="e">
        <f>AND(#REF!,"AAAAAHv6/vc=")</f>
        <v>#REF!</v>
      </c>
      <c r="IO9" t="e">
        <f>AND(#REF!,"AAAAAHv6/vg=")</f>
        <v>#REF!</v>
      </c>
      <c r="IP9" t="e">
        <f>AND(#REF!,"AAAAAHv6/vk=")</f>
        <v>#REF!</v>
      </c>
      <c r="IQ9" t="e">
        <f>AND(#REF!,"AAAAAHv6/vo=")</f>
        <v>#REF!</v>
      </c>
      <c r="IR9" t="e">
        <f>AND(#REF!,"AAAAAHv6/vs=")</f>
        <v>#REF!</v>
      </c>
      <c r="IS9" t="e">
        <f>AND(#REF!,"AAAAAHv6/vw=")</f>
        <v>#REF!</v>
      </c>
      <c r="IT9" t="e">
        <f>AND(#REF!,"AAAAAHv6/v0=")</f>
        <v>#REF!</v>
      </c>
      <c r="IU9" t="e">
        <f>AND(#REF!,"AAAAAHv6/v4=")</f>
        <v>#REF!</v>
      </c>
      <c r="IV9" t="e">
        <f>AND(#REF!,"AAAAAHv6/v8=")</f>
        <v>#REF!</v>
      </c>
    </row>
    <row r="10" spans="1:256">
      <c r="A10" t="e">
        <f>AND(#REF!,"AAAAAF+umQA=")</f>
        <v>#REF!</v>
      </c>
      <c r="B10" t="e">
        <f>AND(#REF!,"AAAAAF+umQE=")</f>
        <v>#REF!</v>
      </c>
      <c r="C10" t="e">
        <f>AND(#REF!,"AAAAAF+umQI=")</f>
        <v>#REF!</v>
      </c>
      <c r="D10" t="e">
        <f>AND(#REF!,"AAAAAF+umQM=")</f>
        <v>#REF!</v>
      </c>
      <c r="E10" t="e">
        <f>AND(#REF!,"AAAAAF+umQQ=")</f>
        <v>#REF!</v>
      </c>
      <c r="F10" t="e">
        <f>AND(#REF!,"AAAAAF+umQU=")</f>
        <v>#REF!</v>
      </c>
      <c r="G10" t="e">
        <f>AND(#REF!,"AAAAAF+umQY=")</f>
        <v>#REF!</v>
      </c>
      <c r="H10" t="e">
        <f>AND(#REF!,"AAAAAF+umQc=")</f>
        <v>#REF!</v>
      </c>
      <c r="I10" t="e">
        <f>AND(#REF!,"AAAAAF+umQg=")</f>
        <v>#REF!</v>
      </c>
      <c r="J10" t="e">
        <f>AND(#REF!,"AAAAAF+umQk=")</f>
        <v>#REF!</v>
      </c>
      <c r="K10" t="e">
        <f>AND(#REF!,"AAAAAF+umQo=")</f>
        <v>#REF!</v>
      </c>
      <c r="L10" t="e">
        <f>AND(#REF!,"AAAAAF+umQs=")</f>
        <v>#REF!</v>
      </c>
      <c r="M10" t="e">
        <f>AND(#REF!,"AAAAAF+umQw=")</f>
        <v>#REF!</v>
      </c>
      <c r="N10" t="e">
        <f>AND(#REF!,"AAAAAF+umQ0=")</f>
        <v>#REF!</v>
      </c>
      <c r="O10" t="e">
        <f>AND(#REF!,"AAAAAF+umQ4=")</f>
        <v>#REF!</v>
      </c>
      <c r="P10" t="e">
        <f>AND(#REF!,"AAAAAF+umQ8=")</f>
        <v>#REF!</v>
      </c>
      <c r="Q10" t="e">
        <f>AND(#REF!,"AAAAAF+umRA=")</f>
        <v>#REF!</v>
      </c>
      <c r="R10" t="e">
        <f>AND(#REF!,"AAAAAF+umRE=")</f>
        <v>#REF!</v>
      </c>
      <c r="S10" t="e">
        <f>AND(#REF!,"AAAAAF+umRI=")</f>
        <v>#REF!</v>
      </c>
      <c r="T10" t="e">
        <f>AND(#REF!,"AAAAAF+umRM=")</f>
        <v>#REF!</v>
      </c>
      <c r="U10" t="e">
        <f>IF(#REF!,"AAAAAF+umRQ=",0)</f>
        <v>#REF!</v>
      </c>
      <c r="V10" t="e">
        <f>AND(#REF!,"AAAAAF+umRU=")</f>
        <v>#REF!</v>
      </c>
      <c r="W10" t="e">
        <f>AND(#REF!,"AAAAAF+umRY=")</f>
        <v>#REF!</v>
      </c>
      <c r="X10" t="e">
        <f>AND(#REF!,"AAAAAF+umRc=")</f>
        <v>#REF!</v>
      </c>
      <c r="Y10" t="e">
        <f>AND(#REF!,"AAAAAF+umRg=")</f>
        <v>#REF!</v>
      </c>
      <c r="Z10" t="e">
        <f>AND(#REF!,"AAAAAF+umRk=")</f>
        <v>#REF!</v>
      </c>
      <c r="AA10" t="e">
        <f>AND(#REF!,"AAAAAF+umRo=")</f>
        <v>#REF!</v>
      </c>
      <c r="AB10" t="e">
        <f>AND(#REF!,"AAAAAF+umRs=")</f>
        <v>#REF!</v>
      </c>
      <c r="AC10" t="e">
        <f>AND(#REF!,"AAAAAF+umRw=")</f>
        <v>#REF!</v>
      </c>
      <c r="AD10" t="e">
        <f>AND(#REF!,"AAAAAF+umR0=")</f>
        <v>#REF!</v>
      </c>
      <c r="AE10" t="e">
        <f>AND(#REF!,"AAAAAF+umR4=")</f>
        <v>#REF!</v>
      </c>
      <c r="AF10" t="e">
        <f>AND(#REF!,"AAAAAF+umR8=")</f>
        <v>#REF!</v>
      </c>
      <c r="AG10" t="e">
        <f>AND(#REF!,"AAAAAF+umSA=")</f>
        <v>#REF!</v>
      </c>
      <c r="AH10" t="e">
        <f>AND(#REF!,"AAAAAF+umSE=")</f>
        <v>#REF!</v>
      </c>
      <c r="AI10" t="e">
        <f>AND(#REF!,"AAAAAF+umSI=")</f>
        <v>#REF!</v>
      </c>
      <c r="AJ10" t="e">
        <f>AND(#REF!,"AAAAAF+umSM=")</f>
        <v>#REF!</v>
      </c>
      <c r="AK10" t="e">
        <f>AND(#REF!,"AAAAAF+umSQ=")</f>
        <v>#REF!</v>
      </c>
      <c r="AL10" t="e">
        <f>AND(#REF!,"AAAAAF+umSU=")</f>
        <v>#REF!</v>
      </c>
      <c r="AM10" t="e">
        <f>AND(#REF!,"AAAAAF+umSY=")</f>
        <v>#REF!</v>
      </c>
      <c r="AN10" t="e">
        <f>AND(#REF!,"AAAAAF+umSc=")</f>
        <v>#REF!</v>
      </c>
      <c r="AO10" t="e">
        <f>AND(#REF!,"AAAAAF+umSg=")</f>
        <v>#REF!</v>
      </c>
      <c r="AP10" t="e">
        <f>AND(#REF!,"AAAAAF+umSk=")</f>
        <v>#REF!</v>
      </c>
      <c r="AQ10" t="e">
        <f>AND(#REF!,"AAAAAF+umSo=")</f>
        <v>#REF!</v>
      </c>
      <c r="AR10" t="e">
        <f>AND(#REF!,"AAAAAF+umSs=")</f>
        <v>#REF!</v>
      </c>
      <c r="AS10" t="e">
        <f>AND(#REF!,"AAAAAF+umSw=")</f>
        <v>#REF!</v>
      </c>
      <c r="AT10" t="e">
        <f>AND(#REF!,"AAAAAF+umS0=")</f>
        <v>#REF!</v>
      </c>
      <c r="AU10" t="e">
        <f>AND(#REF!,"AAAAAF+umS4=")</f>
        <v>#REF!</v>
      </c>
      <c r="AV10" t="e">
        <f>AND(#REF!,"AAAAAF+umS8=")</f>
        <v>#REF!</v>
      </c>
      <c r="AW10" t="e">
        <f>AND(#REF!,"AAAAAF+umTA=")</f>
        <v>#REF!</v>
      </c>
      <c r="AX10" t="e">
        <f>AND(#REF!,"AAAAAF+umTE=")</f>
        <v>#REF!</v>
      </c>
      <c r="AY10" t="e">
        <f>AND(#REF!,"AAAAAF+umTI=")</f>
        <v>#REF!</v>
      </c>
      <c r="AZ10" t="e">
        <f>AND(#REF!,"AAAAAF+umTM=")</f>
        <v>#REF!</v>
      </c>
      <c r="BA10" t="e">
        <f>AND(#REF!,"AAAAAF+umTQ=")</f>
        <v>#REF!</v>
      </c>
      <c r="BB10" t="e">
        <f>AND(#REF!,"AAAAAF+umTU=")</f>
        <v>#REF!</v>
      </c>
      <c r="BC10" t="e">
        <f>AND(#REF!,"AAAAAF+umTY=")</f>
        <v>#REF!</v>
      </c>
      <c r="BD10" t="e">
        <f>AND(#REF!,"AAAAAF+umTc=")</f>
        <v>#REF!</v>
      </c>
      <c r="BE10" t="e">
        <f>IF(#REF!,"AAAAAF+umTg=",0)</f>
        <v>#REF!</v>
      </c>
      <c r="BF10" t="e">
        <f>AND(#REF!,"AAAAAF+umTk=")</f>
        <v>#REF!</v>
      </c>
      <c r="BG10" t="e">
        <f>AND(#REF!,"AAAAAF+umTo=")</f>
        <v>#REF!</v>
      </c>
      <c r="BH10" t="e">
        <f>AND(#REF!,"AAAAAF+umTs=")</f>
        <v>#REF!</v>
      </c>
      <c r="BI10" t="e">
        <f>AND(#REF!,"AAAAAF+umTw=")</f>
        <v>#REF!</v>
      </c>
      <c r="BJ10" t="e">
        <f>AND(#REF!,"AAAAAF+umT0=")</f>
        <v>#REF!</v>
      </c>
      <c r="BK10" t="e">
        <f>AND(#REF!,"AAAAAF+umT4=")</f>
        <v>#REF!</v>
      </c>
      <c r="BL10" t="e">
        <f>AND(#REF!,"AAAAAF+umT8=")</f>
        <v>#REF!</v>
      </c>
      <c r="BM10" t="e">
        <f>AND(#REF!,"AAAAAF+umUA=")</f>
        <v>#REF!</v>
      </c>
      <c r="BN10" t="e">
        <f>AND(#REF!,"AAAAAF+umUE=")</f>
        <v>#REF!</v>
      </c>
      <c r="BO10" t="e">
        <f>AND(#REF!,"AAAAAF+umUI=")</f>
        <v>#REF!</v>
      </c>
      <c r="BP10" t="e">
        <f>AND(#REF!,"AAAAAF+umUM=")</f>
        <v>#REF!</v>
      </c>
      <c r="BQ10" t="e">
        <f>AND(#REF!,"AAAAAF+umUQ=")</f>
        <v>#REF!</v>
      </c>
      <c r="BR10" t="e">
        <f>AND(#REF!,"AAAAAF+umUU=")</f>
        <v>#REF!</v>
      </c>
      <c r="BS10" t="e">
        <f>AND(#REF!,"AAAAAF+umUY=")</f>
        <v>#REF!</v>
      </c>
      <c r="BT10" t="e">
        <f>AND(#REF!,"AAAAAF+umUc=")</f>
        <v>#REF!</v>
      </c>
      <c r="BU10" t="e">
        <f>AND(#REF!,"AAAAAF+umUg=")</f>
        <v>#REF!</v>
      </c>
      <c r="BV10" t="e">
        <f>AND(#REF!,"AAAAAF+umUk=")</f>
        <v>#REF!</v>
      </c>
      <c r="BW10" t="e">
        <f>AND(#REF!,"AAAAAF+umUo=")</f>
        <v>#REF!</v>
      </c>
      <c r="BX10" t="e">
        <f>AND(#REF!,"AAAAAF+umUs=")</f>
        <v>#REF!</v>
      </c>
      <c r="BY10" t="e">
        <f>AND(#REF!,"AAAAAF+umUw=")</f>
        <v>#REF!</v>
      </c>
      <c r="BZ10" t="e">
        <f>AND(#REF!,"AAAAAF+umU0=")</f>
        <v>#REF!</v>
      </c>
      <c r="CA10" t="e">
        <f>AND(#REF!,"AAAAAF+umU4=")</f>
        <v>#REF!</v>
      </c>
      <c r="CB10" t="e">
        <f>AND(#REF!,"AAAAAF+umU8=")</f>
        <v>#REF!</v>
      </c>
      <c r="CC10" t="e">
        <f>AND(#REF!,"AAAAAF+umVA=")</f>
        <v>#REF!</v>
      </c>
      <c r="CD10" t="e">
        <f>AND(#REF!,"AAAAAF+umVE=")</f>
        <v>#REF!</v>
      </c>
      <c r="CE10" t="e">
        <f>AND(#REF!,"AAAAAF+umVI=")</f>
        <v>#REF!</v>
      </c>
      <c r="CF10" t="e">
        <f>AND(#REF!,"AAAAAF+umVM=")</f>
        <v>#REF!</v>
      </c>
      <c r="CG10" t="e">
        <f>AND(#REF!,"AAAAAF+umVQ=")</f>
        <v>#REF!</v>
      </c>
      <c r="CH10" t="e">
        <f>AND(#REF!,"AAAAAF+umVU=")</f>
        <v>#REF!</v>
      </c>
      <c r="CI10" t="e">
        <f>AND(#REF!,"AAAAAF+umVY=")</f>
        <v>#REF!</v>
      </c>
      <c r="CJ10" t="e">
        <f>AND(#REF!,"AAAAAF+umVc=")</f>
        <v>#REF!</v>
      </c>
      <c r="CK10" t="e">
        <f>AND(#REF!,"AAAAAF+umVg=")</f>
        <v>#REF!</v>
      </c>
      <c r="CL10" t="e">
        <f>AND(#REF!,"AAAAAF+umVk=")</f>
        <v>#REF!</v>
      </c>
      <c r="CM10" t="e">
        <f>AND(#REF!,"AAAAAF+umVo=")</f>
        <v>#REF!</v>
      </c>
      <c r="CN10" t="e">
        <f>AND(#REF!,"AAAAAF+umVs=")</f>
        <v>#REF!</v>
      </c>
      <c r="CO10" t="e">
        <f>IF(#REF!,"AAAAAF+umVw=",0)</f>
        <v>#REF!</v>
      </c>
      <c r="CP10" t="e">
        <f>AND(#REF!,"AAAAAF+umV0=")</f>
        <v>#REF!</v>
      </c>
      <c r="CQ10" t="e">
        <f>AND(#REF!,"AAAAAF+umV4=")</f>
        <v>#REF!</v>
      </c>
      <c r="CR10" t="e">
        <f>AND(#REF!,"AAAAAF+umV8=")</f>
        <v>#REF!</v>
      </c>
      <c r="CS10" t="e">
        <f>AND(#REF!,"AAAAAF+umWA=")</f>
        <v>#REF!</v>
      </c>
      <c r="CT10" t="e">
        <f>AND(#REF!,"AAAAAF+umWE=")</f>
        <v>#REF!</v>
      </c>
      <c r="CU10" t="e">
        <f>AND(#REF!,"AAAAAF+umWI=")</f>
        <v>#REF!</v>
      </c>
      <c r="CV10" t="e">
        <f>AND(#REF!,"AAAAAF+umWM=")</f>
        <v>#REF!</v>
      </c>
      <c r="CW10" t="e">
        <f>AND(#REF!,"AAAAAF+umWQ=")</f>
        <v>#REF!</v>
      </c>
      <c r="CX10" t="e">
        <f>AND(#REF!,"AAAAAF+umWU=")</f>
        <v>#REF!</v>
      </c>
      <c r="CY10" t="e">
        <f>AND(#REF!,"AAAAAF+umWY=")</f>
        <v>#REF!</v>
      </c>
      <c r="CZ10" t="e">
        <f>AND(#REF!,"AAAAAF+umWc=")</f>
        <v>#REF!</v>
      </c>
      <c r="DA10" t="e">
        <f>AND(#REF!,"AAAAAF+umWg=")</f>
        <v>#REF!</v>
      </c>
      <c r="DB10" t="e">
        <f>AND(#REF!,"AAAAAF+umWk=")</f>
        <v>#REF!</v>
      </c>
      <c r="DC10" t="e">
        <f>AND(#REF!,"AAAAAF+umWo=")</f>
        <v>#REF!</v>
      </c>
      <c r="DD10" t="e">
        <f>AND(#REF!,"AAAAAF+umWs=")</f>
        <v>#REF!</v>
      </c>
      <c r="DE10" t="e">
        <f>AND(#REF!,"AAAAAF+umWw=")</f>
        <v>#REF!</v>
      </c>
      <c r="DF10" t="e">
        <f>AND(#REF!,"AAAAAF+umW0=")</f>
        <v>#REF!</v>
      </c>
      <c r="DG10" t="e">
        <f>AND(#REF!,"AAAAAF+umW4=")</f>
        <v>#REF!</v>
      </c>
      <c r="DH10" t="e">
        <f>AND(#REF!,"AAAAAF+umW8=")</f>
        <v>#REF!</v>
      </c>
      <c r="DI10" t="e">
        <f>AND(#REF!,"AAAAAF+umXA=")</f>
        <v>#REF!</v>
      </c>
      <c r="DJ10" t="e">
        <f>AND(#REF!,"AAAAAF+umXE=")</f>
        <v>#REF!</v>
      </c>
      <c r="DK10" t="e">
        <f>AND(#REF!,"AAAAAF+umXI=")</f>
        <v>#REF!</v>
      </c>
      <c r="DL10" t="e">
        <f>AND(#REF!,"AAAAAF+umXM=")</f>
        <v>#REF!</v>
      </c>
      <c r="DM10" t="e">
        <f>AND(#REF!,"AAAAAF+umXQ=")</f>
        <v>#REF!</v>
      </c>
      <c r="DN10" t="e">
        <f>AND(#REF!,"AAAAAF+umXU=")</f>
        <v>#REF!</v>
      </c>
      <c r="DO10" t="e">
        <f>AND(#REF!,"AAAAAF+umXY=")</f>
        <v>#REF!</v>
      </c>
      <c r="DP10" t="e">
        <f>AND(#REF!,"AAAAAF+umXc=")</f>
        <v>#REF!</v>
      </c>
      <c r="DQ10" t="e">
        <f>AND(#REF!,"AAAAAF+umXg=")</f>
        <v>#REF!</v>
      </c>
      <c r="DR10" t="e">
        <f>AND(#REF!,"AAAAAF+umXk=")</f>
        <v>#REF!</v>
      </c>
      <c r="DS10" t="e">
        <f>AND(#REF!,"AAAAAF+umXo=")</f>
        <v>#REF!</v>
      </c>
      <c r="DT10" t="e">
        <f>AND(#REF!,"AAAAAF+umXs=")</f>
        <v>#REF!</v>
      </c>
      <c r="DU10" t="e">
        <f>AND(#REF!,"AAAAAF+umXw=")</f>
        <v>#REF!</v>
      </c>
      <c r="DV10" t="e">
        <f>AND(#REF!,"AAAAAF+umX0=")</f>
        <v>#REF!</v>
      </c>
      <c r="DW10" t="e">
        <f>AND(#REF!,"AAAAAF+umX4=")</f>
        <v>#REF!</v>
      </c>
      <c r="DX10" t="e">
        <f>AND(#REF!,"AAAAAF+umX8=")</f>
        <v>#REF!</v>
      </c>
      <c r="DY10" t="e">
        <f>IF(#REF!,"AAAAAF+umYA=",0)</f>
        <v>#REF!</v>
      </c>
      <c r="DZ10" t="e">
        <f>AND(#REF!,"AAAAAF+umYE=")</f>
        <v>#REF!</v>
      </c>
      <c r="EA10" t="e">
        <f>AND(#REF!,"AAAAAF+umYI=")</f>
        <v>#REF!</v>
      </c>
      <c r="EB10" t="e">
        <f>AND(#REF!,"AAAAAF+umYM=")</f>
        <v>#REF!</v>
      </c>
      <c r="EC10" t="e">
        <f>AND(#REF!,"AAAAAF+umYQ=")</f>
        <v>#REF!</v>
      </c>
      <c r="ED10" t="e">
        <f>AND(#REF!,"AAAAAF+umYU=")</f>
        <v>#REF!</v>
      </c>
      <c r="EE10" t="e">
        <f>AND(#REF!,"AAAAAF+umYY=")</f>
        <v>#REF!</v>
      </c>
      <c r="EF10" t="e">
        <f>AND(#REF!,"AAAAAF+umYc=")</f>
        <v>#REF!</v>
      </c>
      <c r="EG10" t="e">
        <f>AND(#REF!,"AAAAAF+umYg=")</f>
        <v>#REF!</v>
      </c>
      <c r="EH10" t="e">
        <f>AND(#REF!,"AAAAAF+umYk=")</f>
        <v>#REF!</v>
      </c>
      <c r="EI10" t="e">
        <f>AND(#REF!,"AAAAAF+umYo=")</f>
        <v>#REF!</v>
      </c>
      <c r="EJ10" t="e">
        <f>AND(#REF!,"AAAAAF+umYs=")</f>
        <v>#REF!</v>
      </c>
      <c r="EK10" t="e">
        <f>AND(#REF!,"AAAAAF+umYw=")</f>
        <v>#REF!</v>
      </c>
      <c r="EL10" t="e">
        <f>AND(#REF!,"AAAAAF+umY0=")</f>
        <v>#REF!</v>
      </c>
      <c r="EM10" t="e">
        <f>AND(#REF!,"AAAAAF+umY4=")</f>
        <v>#REF!</v>
      </c>
      <c r="EN10" t="e">
        <f>AND(#REF!,"AAAAAF+umY8=")</f>
        <v>#REF!</v>
      </c>
      <c r="EO10" t="e">
        <f>AND(#REF!,"AAAAAF+umZA=")</f>
        <v>#REF!</v>
      </c>
      <c r="EP10" t="e">
        <f>AND(#REF!,"AAAAAF+umZE=")</f>
        <v>#REF!</v>
      </c>
      <c r="EQ10" t="e">
        <f>AND(#REF!,"AAAAAF+umZI=")</f>
        <v>#REF!</v>
      </c>
      <c r="ER10" t="e">
        <f>AND(#REF!,"AAAAAF+umZM=")</f>
        <v>#REF!</v>
      </c>
      <c r="ES10" t="e">
        <f>AND(#REF!,"AAAAAF+umZQ=")</f>
        <v>#REF!</v>
      </c>
      <c r="ET10" t="e">
        <f>AND(#REF!,"AAAAAF+umZU=")</f>
        <v>#REF!</v>
      </c>
      <c r="EU10" t="e">
        <f>AND(#REF!,"AAAAAF+umZY=")</f>
        <v>#REF!</v>
      </c>
      <c r="EV10" t="e">
        <f>AND(#REF!,"AAAAAF+umZc=")</f>
        <v>#REF!</v>
      </c>
      <c r="EW10" t="e">
        <f>AND(#REF!,"AAAAAF+umZg=")</f>
        <v>#REF!</v>
      </c>
      <c r="EX10" t="e">
        <f>AND(#REF!,"AAAAAF+umZk=")</f>
        <v>#REF!</v>
      </c>
      <c r="EY10" t="e">
        <f>AND(#REF!,"AAAAAF+umZo=")</f>
        <v>#REF!</v>
      </c>
      <c r="EZ10" t="e">
        <f>AND(#REF!,"AAAAAF+umZs=")</f>
        <v>#REF!</v>
      </c>
      <c r="FA10" t="e">
        <f>AND(#REF!,"AAAAAF+umZw=")</f>
        <v>#REF!</v>
      </c>
      <c r="FB10" t="e">
        <f>AND(#REF!,"AAAAAF+umZ0=")</f>
        <v>#REF!</v>
      </c>
      <c r="FC10" t="e">
        <f>AND(#REF!,"AAAAAF+umZ4=")</f>
        <v>#REF!</v>
      </c>
      <c r="FD10" t="e">
        <f>AND(#REF!,"AAAAAF+umZ8=")</f>
        <v>#REF!</v>
      </c>
      <c r="FE10" t="e">
        <f>AND(#REF!,"AAAAAF+umaA=")</f>
        <v>#REF!</v>
      </c>
      <c r="FF10" t="e">
        <f>AND(#REF!,"AAAAAF+umaE=")</f>
        <v>#REF!</v>
      </c>
      <c r="FG10" t="e">
        <f>AND(#REF!,"AAAAAF+umaI=")</f>
        <v>#REF!</v>
      </c>
      <c r="FH10" t="e">
        <f>AND(#REF!,"AAAAAF+umaM=")</f>
        <v>#REF!</v>
      </c>
      <c r="FI10" t="e">
        <f>IF(#REF!,"AAAAAF+umaQ=",0)</f>
        <v>#REF!</v>
      </c>
      <c r="FJ10" t="e">
        <f>AND(#REF!,"AAAAAF+umaU=")</f>
        <v>#REF!</v>
      </c>
      <c r="FK10" t="e">
        <f>AND(#REF!,"AAAAAF+umaY=")</f>
        <v>#REF!</v>
      </c>
      <c r="FL10" t="e">
        <f>AND(#REF!,"AAAAAF+umac=")</f>
        <v>#REF!</v>
      </c>
      <c r="FM10" t="e">
        <f>AND(#REF!,"AAAAAF+umag=")</f>
        <v>#REF!</v>
      </c>
      <c r="FN10" t="e">
        <f>AND(#REF!,"AAAAAF+umak=")</f>
        <v>#REF!</v>
      </c>
      <c r="FO10" t="e">
        <f>AND(#REF!,"AAAAAF+umao=")</f>
        <v>#REF!</v>
      </c>
      <c r="FP10" t="e">
        <f>AND(#REF!,"AAAAAF+umas=")</f>
        <v>#REF!</v>
      </c>
      <c r="FQ10" t="e">
        <f>AND(#REF!,"AAAAAF+umaw=")</f>
        <v>#REF!</v>
      </c>
      <c r="FR10" t="e">
        <f>AND(#REF!,"AAAAAF+uma0=")</f>
        <v>#REF!</v>
      </c>
      <c r="FS10" t="e">
        <f>AND(#REF!,"AAAAAF+uma4=")</f>
        <v>#REF!</v>
      </c>
      <c r="FT10" t="e">
        <f>AND(#REF!,"AAAAAF+uma8=")</f>
        <v>#REF!</v>
      </c>
      <c r="FU10" t="e">
        <f>AND(#REF!,"AAAAAF+umbA=")</f>
        <v>#REF!</v>
      </c>
      <c r="FV10" t="e">
        <f>AND(#REF!,"AAAAAF+umbE=")</f>
        <v>#REF!</v>
      </c>
      <c r="FW10" t="e">
        <f>AND(#REF!,"AAAAAF+umbI=")</f>
        <v>#REF!</v>
      </c>
      <c r="FX10" t="e">
        <f>AND(#REF!,"AAAAAF+umbM=")</f>
        <v>#REF!</v>
      </c>
      <c r="FY10" t="e">
        <f>AND(#REF!,"AAAAAF+umbQ=")</f>
        <v>#REF!</v>
      </c>
      <c r="FZ10" t="e">
        <f>AND(#REF!,"AAAAAF+umbU=")</f>
        <v>#REF!</v>
      </c>
      <c r="GA10" t="e">
        <f>AND(#REF!,"AAAAAF+umbY=")</f>
        <v>#REF!</v>
      </c>
      <c r="GB10" t="e">
        <f>AND(#REF!,"AAAAAF+umbc=")</f>
        <v>#REF!</v>
      </c>
      <c r="GC10" t="e">
        <f>AND(#REF!,"AAAAAF+umbg=")</f>
        <v>#REF!</v>
      </c>
      <c r="GD10" t="e">
        <f>AND(#REF!,"AAAAAF+umbk=")</f>
        <v>#REF!</v>
      </c>
      <c r="GE10" t="e">
        <f>AND(#REF!,"AAAAAF+umbo=")</f>
        <v>#REF!</v>
      </c>
      <c r="GF10" t="e">
        <f>AND(#REF!,"AAAAAF+umbs=")</f>
        <v>#REF!</v>
      </c>
      <c r="GG10" t="e">
        <f>AND(#REF!,"AAAAAF+umbw=")</f>
        <v>#REF!</v>
      </c>
      <c r="GH10" t="e">
        <f>AND(#REF!,"AAAAAF+umb0=")</f>
        <v>#REF!</v>
      </c>
      <c r="GI10" t="e">
        <f>AND(#REF!,"AAAAAF+umb4=")</f>
        <v>#REF!</v>
      </c>
      <c r="GJ10" t="e">
        <f>AND(#REF!,"AAAAAF+umb8=")</f>
        <v>#REF!</v>
      </c>
      <c r="GK10" t="e">
        <f>AND(#REF!,"AAAAAF+umcA=")</f>
        <v>#REF!</v>
      </c>
      <c r="GL10" t="e">
        <f>AND(#REF!,"AAAAAF+umcE=")</f>
        <v>#REF!</v>
      </c>
      <c r="GM10" t="e">
        <f>AND(#REF!,"AAAAAF+umcI=")</f>
        <v>#REF!</v>
      </c>
      <c r="GN10" t="e">
        <f>AND(#REF!,"AAAAAF+umcM=")</f>
        <v>#REF!</v>
      </c>
      <c r="GO10" t="e">
        <f>AND(#REF!,"AAAAAF+umcQ=")</f>
        <v>#REF!</v>
      </c>
      <c r="GP10" t="e">
        <f>AND(#REF!,"AAAAAF+umcU=")</f>
        <v>#REF!</v>
      </c>
      <c r="GQ10" t="e">
        <f>AND(#REF!,"AAAAAF+umcY=")</f>
        <v>#REF!</v>
      </c>
      <c r="GR10" t="e">
        <f>AND(#REF!,"AAAAAF+umcc=")</f>
        <v>#REF!</v>
      </c>
      <c r="GS10" t="e">
        <f>IF(#REF!,"AAAAAF+umcg=",0)</f>
        <v>#REF!</v>
      </c>
      <c r="GT10" t="e">
        <f>AND(#REF!,"AAAAAF+umck=")</f>
        <v>#REF!</v>
      </c>
      <c r="GU10" t="e">
        <f>AND(#REF!,"AAAAAF+umco=")</f>
        <v>#REF!</v>
      </c>
      <c r="GV10" t="e">
        <f>AND(#REF!,"AAAAAF+umcs=")</f>
        <v>#REF!</v>
      </c>
      <c r="GW10" t="e">
        <f>AND(#REF!,"AAAAAF+umcw=")</f>
        <v>#REF!</v>
      </c>
      <c r="GX10" t="e">
        <f>AND(#REF!,"AAAAAF+umc0=")</f>
        <v>#REF!</v>
      </c>
      <c r="GY10" t="e">
        <f>AND(#REF!,"AAAAAF+umc4=")</f>
        <v>#REF!</v>
      </c>
      <c r="GZ10" t="e">
        <f>AND(#REF!,"AAAAAF+umc8=")</f>
        <v>#REF!</v>
      </c>
      <c r="HA10" t="e">
        <f>AND(#REF!,"AAAAAF+umdA=")</f>
        <v>#REF!</v>
      </c>
      <c r="HB10" t="e">
        <f>AND(#REF!,"AAAAAF+umdE=")</f>
        <v>#REF!</v>
      </c>
      <c r="HC10" t="e">
        <f>AND(#REF!,"AAAAAF+umdI=")</f>
        <v>#REF!</v>
      </c>
      <c r="HD10" t="e">
        <f>AND(#REF!,"AAAAAF+umdM=")</f>
        <v>#REF!</v>
      </c>
      <c r="HE10" t="e">
        <f>AND(#REF!,"AAAAAF+umdQ=")</f>
        <v>#REF!</v>
      </c>
      <c r="HF10" t="e">
        <f>AND(#REF!,"AAAAAF+umdU=")</f>
        <v>#REF!</v>
      </c>
      <c r="HG10" t="e">
        <f>AND(#REF!,"AAAAAF+umdY=")</f>
        <v>#REF!</v>
      </c>
      <c r="HH10" t="e">
        <f>AND(#REF!,"AAAAAF+umdc=")</f>
        <v>#REF!</v>
      </c>
      <c r="HI10" t="e">
        <f>AND(#REF!,"AAAAAF+umdg=")</f>
        <v>#REF!</v>
      </c>
      <c r="HJ10" t="e">
        <f>AND(#REF!,"AAAAAF+umdk=")</f>
        <v>#REF!</v>
      </c>
      <c r="HK10" t="e">
        <f>AND(#REF!,"AAAAAF+umdo=")</f>
        <v>#REF!</v>
      </c>
      <c r="HL10" t="e">
        <f>AND(#REF!,"AAAAAF+umds=")</f>
        <v>#REF!</v>
      </c>
      <c r="HM10" t="e">
        <f>AND(#REF!,"AAAAAF+umdw=")</f>
        <v>#REF!</v>
      </c>
      <c r="HN10" t="e">
        <f>AND(#REF!,"AAAAAF+umd0=")</f>
        <v>#REF!</v>
      </c>
      <c r="HO10" t="e">
        <f>AND(#REF!,"AAAAAF+umd4=")</f>
        <v>#REF!</v>
      </c>
      <c r="HP10" t="e">
        <f>AND(#REF!,"AAAAAF+umd8=")</f>
        <v>#REF!</v>
      </c>
      <c r="HQ10" t="e">
        <f>AND(#REF!,"AAAAAF+umeA=")</f>
        <v>#REF!</v>
      </c>
      <c r="HR10" t="e">
        <f>AND(#REF!,"AAAAAF+umeE=")</f>
        <v>#REF!</v>
      </c>
      <c r="HS10" t="e">
        <f>AND(#REF!,"AAAAAF+umeI=")</f>
        <v>#REF!</v>
      </c>
      <c r="HT10" t="e">
        <f>AND(#REF!,"AAAAAF+umeM=")</f>
        <v>#REF!</v>
      </c>
      <c r="HU10" t="e">
        <f>AND(#REF!,"AAAAAF+umeQ=")</f>
        <v>#REF!</v>
      </c>
      <c r="HV10" t="e">
        <f>AND(#REF!,"AAAAAF+umeU=")</f>
        <v>#REF!</v>
      </c>
      <c r="HW10" t="e">
        <f>AND(#REF!,"AAAAAF+umeY=")</f>
        <v>#REF!</v>
      </c>
      <c r="HX10" t="e">
        <f>AND(#REF!,"AAAAAF+umec=")</f>
        <v>#REF!</v>
      </c>
      <c r="HY10" t="e">
        <f>AND(#REF!,"AAAAAF+umeg=")</f>
        <v>#REF!</v>
      </c>
      <c r="HZ10" t="e">
        <f>AND(#REF!,"AAAAAF+umek=")</f>
        <v>#REF!</v>
      </c>
      <c r="IA10" t="e">
        <f>AND(#REF!,"AAAAAF+umeo=")</f>
        <v>#REF!</v>
      </c>
      <c r="IB10" t="e">
        <f>AND(#REF!,"AAAAAF+umes=")</f>
        <v>#REF!</v>
      </c>
      <c r="IC10" t="e">
        <f>IF(#REF!,"AAAAAF+umew=",0)</f>
        <v>#REF!</v>
      </c>
      <c r="ID10" t="e">
        <f>AND(#REF!,"AAAAAF+ume0=")</f>
        <v>#REF!</v>
      </c>
      <c r="IE10" t="e">
        <f>AND(#REF!,"AAAAAF+ume4=")</f>
        <v>#REF!</v>
      </c>
      <c r="IF10" t="e">
        <f>AND(#REF!,"AAAAAF+ume8=")</f>
        <v>#REF!</v>
      </c>
      <c r="IG10" t="e">
        <f>AND(#REF!,"AAAAAF+umfA=")</f>
        <v>#REF!</v>
      </c>
      <c r="IH10" t="e">
        <f>AND(#REF!,"AAAAAF+umfE=")</f>
        <v>#REF!</v>
      </c>
      <c r="II10" t="e">
        <f>AND(#REF!,"AAAAAF+umfI=")</f>
        <v>#REF!</v>
      </c>
      <c r="IJ10" t="e">
        <f>AND(#REF!,"AAAAAF+umfM=")</f>
        <v>#REF!</v>
      </c>
      <c r="IK10" t="e">
        <f>AND(#REF!,"AAAAAF+umfQ=")</f>
        <v>#REF!</v>
      </c>
      <c r="IL10" t="e">
        <f>AND(#REF!,"AAAAAF+umfU=")</f>
        <v>#REF!</v>
      </c>
      <c r="IM10" t="e">
        <f>AND(#REF!,"AAAAAF+umfY=")</f>
        <v>#REF!</v>
      </c>
      <c r="IN10" t="e">
        <f>AND(#REF!,"AAAAAF+umfc=")</f>
        <v>#REF!</v>
      </c>
      <c r="IO10" t="e">
        <f>AND(#REF!,"AAAAAF+umfg=")</f>
        <v>#REF!</v>
      </c>
      <c r="IP10" t="e">
        <f>AND(#REF!,"AAAAAF+umfk=")</f>
        <v>#REF!</v>
      </c>
      <c r="IQ10" t="e">
        <f>AND(#REF!,"AAAAAF+umfo=")</f>
        <v>#REF!</v>
      </c>
      <c r="IR10" t="e">
        <f>AND(#REF!,"AAAAAF+umfs=")</f>
        <v>#REF!</v>
      </c>
      <c r="IS10" t="e">
        <f>AND(#REF!,"AAAAAF+umfw=")</f>
        <v>#REF!</v>
      </c>
      <c r="IT10" t="e">
        <f>AND(#REF!,"AAAAAF+umf0=")</f>
        <v>#REF!</v>
      </c>
      <c r="IU10" t="e">
        <f>AND(#REF!,"AAAAAF+umf4=")</f>
        <v>#REF!</v>
      </c>
      <c r="IV10" t="e">
        <f>AND(#REF!,"AAAAAF+umf8=")</f>
        <v>#REF!</v>
      </c>
    </row>
    <row r="11" spans="1:256">
      <c r="A11" t="e">
        <f>AND(#REF!,"AAAAAHvT9wA=")</f>
        <v>#REF!</v>
      </c>
      <c r="B11" t="e">
        <f>AND(#REF!,"AAAAAHvT9wE=")</f>
        <v>#REF!</v>
      </c>
      <c r="C11" t="e">
        <f>AND(#REF!,"AAAAAHvT9wI=")</f>
        <v>#REF!</v>
      </c>
      <c r="D11" t="e">
        <f>AND(#REF!,"AAAAAHvT9wM=")</f>
        <v>#REF!</v>
      </c>
      <c r="E11" t="e">
        <f>AND(#REF!,"AAAAAHvT9wQ=")</f>
        <v>#REF!</v>
      </c>
      <c r="F11" t="e">
        <f>AND(#REF!,"AAAAAHvT9wU=")</f>
        <v>#REF!</v>
      </c>
      <c r="G11" t="e">
        <f>AND(#REF!,"AAAAAHvT9wY=")</f>
        <v>#REF!</v>
      </c>
      <c r="H11" t="e">
        <f>AND(#REF!,"AAAAAHvT9wc=")</f>
        <v>#REF!</v>
      </c>
      <c r="I11" t="e">
        <f>AND(#REF!,"AAAAAHvT9wg=")</f>
        <v>#REF!</v>
      </c>
      <c r="J11" t="e">
        <f>AND(#REF!,"AAAAAHvT9wk=")</f>
        <v>#REF!</v>
      </c>
      <c r="K11" t="e">
        <f>AND(#REF!,"AAAAAHvT9wo=")</f>
        <v>#REF!</v>
      </c>
      <c r="L11" t="e">
        <f>AND(#REF!,"AAAAAHvT9ws=")</f>
        <v>#REF!</v>
      </c>
      <c r="M11" t="e">
        <f>AND(#REF!,"AAAAAHvT9ww=")</f>
        <v>#REF!</v>
      </c>
      <c r="N11" t="e">
        <f>AND(#REF!,"AAAAAHvT9w0=")</f>
        <v>#REF!</v>
      </c>
      <c r="O11" t="e">
        <f>AND(#REF!,"AAAAAHvT9w4=")</f>
        <v>#REF!</v>
      </c>
      <c r="P11" t="e">
        <f>AND(#REF!,"AAAAAHvT9w8=")</f>
        <v>#REF!</v>
      </c>
      <c r="Q11" t="e">
        <f>IF(#REF!,"AAAAAHvT9xA=",0)</f>
        <v>#REF!</v>
      </c>
      <c r="R11" t="e">
        <f>AND(#REF!,"AAAAAHvT9xE=")</f>
        <v>#REF!</v>
      </c>
      <c r="S11" t="e">
        <f>AND(#REF!,"AAAAAHvT9xI=")</f>
        <v>#REF!</v>
      </c>
      <c r="T11" t="e">
        <f>AND(#REF!,"AAAAAHvT9xM=")</f>
        <v>#REF!</v>
      </c>
      <c r="U11" t="e">
        <f>AND(#REF!,"AAAAAHvT9xQ=")</f>
        <v>#REF!</v>
      </c>
      <c r="V11" t="e">
        <f>AND(#REF!,"AAAAAHvT9xU=")</f>
        <v>#REF!</v>
      </c>
      <c r="W11" t="e">
        <f>AND(#REF!,"AAAAAHvT9xY=")</f>
        <v>#REF!</v>
      </c>
      <c r="X11" t="e">
        <f>AND(#REF!,"AAAAAHvT9xc=")</f>
        <v>#REF!</v>
      </c>
      <c r="Y11" t="e">
        <f>AND(#REF!,"AAAAAHvT9xg=")</f>
        <v>#REF!</v>
      </c>
      <c r="Z11" t="e">
        <f>AND(#REF!,"AAAAAHvT9xk=")</f>
        <v>#REF!</v>
      </c>
      <c r="AA11" t="e">
        <f>AND(#REF!,"AAAAAHvT9xo=")</f>
        <v>#REF!</v>
      </c>
      <c r="AB11" t="e">
        <f>AND(#REF!,"AAAAAHvT9xs=")</f>
        <v>#REF!</v>
      </c>
      <c r="AC11" t="e">
        <f>AND(#REF!,"AAAAAHvT9xw=")</f>
        <v>#REF!</v>
      </c>
      <c r="AD11" t="e">
        <f>AND(#REF!,"AAAAAHvT9x0=")</f>
        <v>#REF!</v>
      </c>
      <c r="AE11" t="e">
        <f>AND(#REF!,"AAAAAHvT9x4=")</f>
        <v>#REF!</v>
      </c>
      <c r="AF11" t="e">
        <f>AND(#REF!,"AAAAAHvT9x8=")</f>
        <v>#REF!</v>
      </c>
      <c r="AG11" t="e">
        <f>AND(#REF!,"AAAAAHvT9yA=")</f>
        <v>#REF!</v>
      </c>
      <c r="AH11" t="e">
        <f>AND(#REF!,"AAAAAHvT9yE=")</f>
        <v>#REF!</v>
      </c>
      <c r="AI11" t="e">
        <f>AND(#REF!,"AAAAAHvT9yI=")</f>
        <v>#REF!</v>
      </c>
      <c r="AJ11" t="e">
        <f>AND(#REF!,"AAAAAHvT9yM=")</f>
        <v>#REF!</v>
      </c>
      <c r="AK11" t="e">
        <f>AND(#REF!,"AAAAAHvT9yQ=")</f>
        <v>#REF!</v>
      </c>
      <c r="AL11" t="e">
        <f>AND(#REF!,"AAAAAHvT9yU=")</f>
        <v>#REF!</v>
      </c>
      <c r="AM11" t="e">
        <f>AND(#REF!,"AAAAAHvT9yY=")</f>
        <v>#REF!</v>
      </c>
      <c r="AN11" t="e">
        <f>AND(#REF!,"AAAAAHvT9yc=")</f>
        <v>#REF!</v>
      </c>
      <c r="AO11" t="e">
        <f>AND(#REF!,"AAAAAHvT9yg=")</f>
        <v>#REF!</v>
      </c>
      <c r="AP11" t="e">
        <f>AND(#REF!,"AAAAAHvT9yk=")</f>
        <v>#REF!</v>
      </c>
      <c r="AQ11" t="e">
        <f>AND(#REF!,"AAAAAHvT9yo=")</f>
        <v>#REF!</v>
      </c>
      <c r="AR11" t="e">
        <f>AND(#REF!,"AAAAAHvT9ys=")</f>
        <v>#REF!</v>
      </c>
      <c r="AS11" t="e">
        <f>AND(#REF!,"AAAAAHvT9yw=")</f>
        <v>#REF!</v>
      </c>
      <c r="AT11" t="e">
        <f>AND(#REF!,"AAAAAHvT9y0=")</f>
        <v>#REF!</v>
      </c>
      <c r="AU11" t="e">
        <f>AND(#REF!,"AAAAAHvT9y4=")</f>
        <v>#REF!</v>
      </c>
      <c r="AV11" t="e">
        <f>AND(#REF!,"AAAAAHvT9y8=")</f>
        <v>#REF!</v>
      </c>
      <c r="AW11" t="e">
        <f>AND(#REF!,"AAAAAHvT9zA=")</f>
        <v>#REF!</v>
      </c>
      <c r="AX11" t="e">
        <f>AND(#REF!,"AAAAAHvT9zE=")</f>
        <v>#REF!</v>
      </c>
      <c r="AY11" t="e">
        <f>AND(#REF!,"AAAAAHvT9zI=")</f>
        <v>#REF!</v>
      </c>
      <c r="AZ11" t="e">
        <f>AND(#REF!,"AAAAAHvT9zM=")</f>
        <v>#REF!</v>
      </c>
      <c r="BA11" t="e">
        <f>IF(#REF!,"AAAAAHvT9zQ=",0)</f>
        <v>#REF!</v>
      </c>
      <c r="BB11" t="e">
        <f>AND(#REF!,"AAAAAHvT9zU=")</f>
        <v>#REF!</v>
      </c>
      <c r="BC11" t="e">
        <f>AND(#REF!,"AAAAAHvT9zY=")</f>
        <v>#REF!</v>
      </c>
      <c r="BD11" t="e">
        <f>AND(#REF!,"AAAAAHvT9zc=")</f>
        <v>#REF!</v>
      </c>
      <c r="BE11" t="e">
        <f>AND(#REF!,"AAAAAHvT9zg=")</f>
        <v>#REF!</v>
      </c>
      <c r="BF11" t="e">
        <f>AND(#REF!,"AAAAAHvT9zk=")</f>
        <v>#REF!</v>
      </c>
      <c r="BG11" t="e">
        <f>AND(#REF!,"AAAAAHvT9zo=")</f>
        <v>#REF!</v>
      </c>
      <c r="BH11" t="e">
        <f>AND(#REF!,"AAAAAHvT9zs=")</f>
        <v>#REF!</v>
      </c>
      <c r="BI11" t="e">
        <f>AND(#REF!,"AAAAAHvT9zw=")</f>
        <v>#REF!</v>
      </c>
      <c r="BJ11" t="e">
        <f>AND(#REF!,"AAAAAHvT9z0=")</f>
        <v>#REF!</v>
      </c>
      <c r="BK11" t="e">
        <f>AND(#REF!,"AAAAAHvT9z4=")</f>
        <v>#REF!</v>
      </c>
      <c r="BL11" t="e">
        <f>AND(#REF!,"AAAAAHvT9z8=")</f>
        <v>#REF!</v>
      </c>
      <c r="BM11" t="e">
        <f>AND(#REF!,"AAAAAHvT90A=")</f>
        <v>#REF!</v>
      </c>
      <c r="BN11" t="e">
        <f>AND(#REF!,"AAAAAHvT90E=")</f>
        <v>#REF!</v>
      </c>
      <c r="BO11" t="e">
        <f>AND(#REF!,"AAAAAHvT90I=")</f>
        <v>#REF!</v>
      </c>
      <c r="BP11" t="e">
        <f>AND(#REF!,"AAAAAHvT90M=")</f>
        <v>#REF!</v>
      </c>
      <c r="BQ11" t="e">
        <f>AND(#REF!,"AAAAAHvT90Q=")</f>
        <v>#REF!</v>
      </c>
      <c r="BR11" t="e">
        <f>AND(#REF!,"AAAAAHvT90U=")</f>
        <v>#REF!</v>
      </c>
      <c r="BS11" t="e">
        <f>AND(#REF!,"AAAAAHvT90Y=")</f>
        <v>#REF!</v>
      </c>
      <c r="BT11" t="e">
        <f>AND(#REF!,"AAAAAHvT90c=")</f>
        <v>#REF!</v>
      </c>
      <c r="BU11" t="e">
        <f>AND(#REF!,"AAAAAHvT90g=")</f>
        <v>#REF!</v>
      </c>
      <c r="BV11" t="e">
        <f>AND(#REF!,"AAAAAHvT90k=")</f>
        <v>#REF!</v>
      </c>
      <c r="BW11" t="e">
        <f>AND(#REF!,"AAAAAHvT90o=")</f>
        <v>#REF!</v>
      </c>
      <c r="BX11" t="e">
        <f>AND(#REF!,"AAAAAHvT90s=")</f>
        <v>#REF!</v>
      </c>
      <c r="BY11" t="e">
        <f>AND(#REF!,"AAAAAHvT90w=")</f>
        <v>#REF!</v>
      </c>
      <c r="BZ11" t="e">
        <f>AND(#REF!,"AAAAAHvT900=")</f>
        <v>#REF!</v>
      </c>
      <c r="CA11" t="e">
        <f>AND(#REF!,"AAAAAHvT904=")</f>
        <v>#REF!</v>
      </c>
      <c r="CB11" t="e">
        <f>AND(#REF!,"AAAAAHvT908=")</f>
        <v>#REF!</v>
      </c>
      <c r="CC11" t="e">
        <f>AND(#REF!,"AAAAAHvT91A=")</f>
        <v>#REF!</v>
      </c>
      <c r="CD11" t="e">
        <f>AND(#REF!,"AAAAAHvT91E=")</f>
        <v>#REF!</v>
      </c>
      <c r="CE11" t="e">
        <f>AND(#REF!,"AAAAAHvT91I=")</f>
        <v>#REF!</v>
      </c>
      <c r="CF11" t="e">
        <f>AND(#REF!,"AAAAAHvT91M=")</f>
        <v>#REF!</v>
      </c>
      <c r="CG11" t="e">
        <f>AND(#REF!,"AAAAAHvT91Q=")</f>
        <v>#REF!</v>
      </c>
      <c r="CH11" t="e">
        <f>AND(#REF!,"AAAAAHvT91U=")</f>
        <v>#REF!</v>
      </c>
      <c r="CI11" t="e">
        <f>AND(#REF!,"AAAAAHvT91Y=")</f>
        <v>#REF!</v>
      </c>
      <c r="CJ11" t="e">
        <f>AND(#REF!,"AAAAAHvT91c=")</f>
        <v>#REF!</v>
      </c>
      <c r="CK11" t="e">
        <f>IF(#REF!,"AAAAAHvT91g=",0)</f>
        <v>#REF!</v>
      </c>
      <c r="CL11" t="e">
        <f>AND(#REF!,"AAAAAHvT91k=")</f>
        <v>#REF!</v>
      </c>
      <c r="CM11" t="e">
        <f>AND(#REF!,"AAAAAHvT91o=")</f>
        <v>#REF!</v>
      </c>
      <c r="CN11" t="e">
        <f>AND(#REF!,"AAAAAHvT91s=")</f>
        <v>#REF!</v>
      </c>
      <c r="CO11" t="e">
        <f>AND(#REF!,"AAAAAHvT91w=")</f>
        <v>#REF!</v>
      </c>
      <c r="CP11" t="e">
        <f>AND(#REF!,"AAAAAHvT910=")</f>
        <v>#REF!</v>
      </c>
      <c r="CQ11" t="e">
        <f>AND(#REF!,"AAAAAHvT914=")</f>
        <v>#REF!</v>
      </c>
      <c r="CR11" t="e">
        <f>AND(#REF!,"AAAAAHvT918=")</f>
        <v>#REF!</v>
      </c>
      <c r="CS11" t="e">
        <f>AND(#REF!,"AAAAAHvT92A=")</f>
        <v>#REF!</v>
      </c>
      <c r="CT11" t="e">
        <f>AND(#REF!,"AAAAAHvT92E=")</f>
        <v>#REF!</v>
      </c>
      <c r="CU11" t="e">
        <f>AND(#REF!,"AAAAAHvT92I=")</f>
        <v>#REF!</v>
      </c>
      <c r="CV11" t="e">
        <f>AND(#REF!,"AAAAAHvT92M=")</f>
        <v>#REF!</v>
      </c>
      <c r="CW11" t="e">
        <f>AND(#REF!,"AAAAAHvT92Q=")</f>
        <v>#REF!</v>
      </c>
      <c r="CX11" t="e">
        <f>AND(#REF!,"AAAAAHvT92U=")</f>
        <v>#REF!</v>
      </c>
      <c r="CY11" t="e">
        <f>AND(#REF!,"AAAAAHvT92Y=")</f>
        <v>#REF!</v>
      </c>
      <c r="CZ11" t="e">
        <f>AND(#REF!,"AAAAAHvT92c=")</f>
        <v>#REF!</v>
      </c>
      <c r="DA11" t="e">
        <f>AND(#REF!,"AAAAAHvT92g=")</f>
        <v>#REF!</v>
      </c>
      <c r="DB11" t="e">
        <f>AND(#REF!,"AAAAAHvT92k=")</f>
        <v>#REF!</v>
      </c>
      <c r="DC11" t="e">
        <f>AND(#REF!,"AAAAAHvT92o=")</f>
        <v>#REF!</v>
      </c>
      <c r="DD11" t="e">
        <f>AND(#REF!,"AAAAAHvT92s=")</f>
        <v>#REF!</v>
      </c>
      <c r="DE11" t="e">
        <f>AND(#REF!,"AAAAAHvT92w=")</f>
        <v>#REF!</v>
      </c>
      <c r="DF11" t="e">
        <f>AND(#REF!,"AAAAAHvT920=")</f>
        <v>#REF!</v>
      </c>
      <c r="DG11" t="e">
        <f>AND(#REF!,"AAAAAHvT924=")</f>
        <v>#REF!</v>
      </c>
      <c r="DH11" t="e">
        <f>AND(#REF!,"AAAAAHvT928=")</f>
        <v>#REF!</v>
      </c>
      <c r="DI11" t="e">
        <f>AND(#REF!,"AAAAAHvT93A=")</f>
        <v>#REF!</v>
      </c>
      <c r="DJ11" t="e">
        <f>AND(#REF!,"AAAAAHvT93E=")</f>
        <v>#REF!</v>
      </c>
      <c r="DK11" t="e">
        <f>AND(#REF!,"AAAAAHvT93I=")</f>
        <v>#REF!</v>
      </c>
      <c r="DL11" t="e">
        <f>AND(#REF!,"AAAAAHvT93M=")</f>
        <v>#REF!</v>
      </c>
      <c r="DM11" t="e">
        <f>AND(#REF!,"AAAAAHvT93Q=")</f>
        <v>#REF!</v>
      </c>
      <c r="DN11" t="e">
        <f>AND(#REF!,"AAAAAHvT93U=")</f>
        <v>#REF!</v>
      </c>
      <c r="DO11" t="e">
        <f>AND(#REF!,"AAAAAHvT93Y=")</f>
        <v>#REF!</v>
      </c>
      <c r="DP11" t="e">
        <f>AND(#REF!,"AAAAAHvT93c=")</f>
        <v>#REF!</v>
      </c>
      <c r="DQ11" t="e">
        <f>AND(#REF!,"AAAAAHvT93g=")</f>
        <v>#REF!</v>
      </c>
      <c r="DR11" t="e">
        <f>AND(#REF!,"AAAAAHvT93k=")</f>
        <v>#REF!</v>
      </c>
      <c r="DS11" t="e">
        <f>AND(#REF!,"AAAAAHvT93o=")</f>
        <v>#REF!</v>
      </c>
      <c r="DT11" t="e">
        <f>AND(#REF!,"AAAAAHvT93s=")</f>
        <v>#REF!</v>
      </c>
      <c r="DU11" t="e">
        <f>IF(#REF!,"AAAAAHvT93w=",0)</f>
        <v>#REF!</v>
      </c>
      <c r="DV11" t="e">
        <f>AND(#REF!,"AAAAAHvT930=")</f>
        <v>#REF!</v>
      </c>
      <c r="DW11" t="e">
        <f>AND(#REF!,"AAAAAHvT934=")</f>
        <v>#REF!</v>
      </c>
      <c r="DX11" t="e">
        <f>AND(#REF!,"AAAAAHvT938=")</f>
        <v>#REF!</v>
      </c>
      <c r="DY11" t="e">
        <f>AND(#REF!,"AAAAAHvT94A=")</f>
        <v>#REF!</v>
      </c>
      <c r="DZ11" t="e">
        <f>AND(#REF!,"AAAAAHvT94E=")</f>
        <v>#REF!</v>
      </c>
      <c r="EA11" t="e">
        <f>AND(#REF!,"AAAAAHvT94I=")</f>
        <v>#REF!</v>
      </c>
      <c r="EB11" t="e">
        <f>AND(#REF!,"AAAAAHvT94M=")</f>
        <v>#REF!</v>
      </c>
      <c r="EC11" t="e">
        <f>AND(#REF!,"AAAAAHvT94Q=")</f>
        <v>#REF!</v>
      </c>
      <c r="ED11" t="e">
        <f>AND(#REF!,"AAAAAHvT94U=")</f>
        <v>#REF!</v>
      </c>
      <c r="EE11" t="e">
        <f>AND(#REF!,"AAAAAHvT94Y=")</f>
        <v>#REF!</v>
      </c>
      <c r="EF11" t="e">
        <f>AND(#REF!,"AAAAAHvT94c=")</f>
        <v>#REF!</v>
      </c>
      <c r="EG11" t="e">
        <f>AND(#REF!,"AAAAAHvT94g=")</f>
        <v>#REF!</v>
      </c>
      <c r="EH11" t="e">
        <f>AND(#REF!,"AAAAAHvT94k=")</f>
        <v>#REF!</v>
      </c>
      <c r="EI11" t="e">
        <f>AND(#REF!,"AAAAAHvT94o=")</f>
        <v>#REF!</v>
      </c>
      <c r="EJ11" t="e">
        <f>AND(#REF!,"AAAAAHvT94s=")</f>
        <v>#REF!</v>
      </c>
      <c r="EK11" t="e">
        <f>AND(#REF!,"AAAAAHvT94w=")</f>
        <v>#REF!</v>
      </c>
      <c r="EL11" t="e">
        <f>AND(#REF!,"AAAAAHvT940=")</f>
        <v>#REF!</v>
      </c>
      <c r="EM11" t="e">
        <f>AND(#REF!,"AAAAAHvT944=")</f>
        <v>#REF!</v>
      </c>
      <c r="EN11" t="e">
        <f>AND(#REF!,"AAAAAHvT948=")</f>
        <v>#REF!</v>
      </c>
      <c r="EO11" t="e">
        <f>AND(#REF!,"AAAAAHvT95A=")</f>
        <v>#REF!</v>
      </c>
      <c r="EP11" t="e">
        <f>AND(#REF!,"AAAAAHvT95E=")</f>
        <v>#REF!</v>
      </c>
      <c r="EQ11" t="e">
        <f>AND(#REF!,"AAAAAHvT95I=")</f>
        <v>#REF!</v>
      </c>
      <c r="ER11" t="e">
        <f>AND(#REF!,"AAAAAHvT95M=")</f>
        <v>#REF!</v>
      </c>
      <c r="ES11" t="e">
        <f>AND(#REF!,"AAAAAHvT95Q=")</f>
        <v>#REF!</v>
      </c>
      <c r="ET11" t="e">
        <f>AND(#REF!,"AAAAAHvT95U=")</f>
        <v>#REF!</v>
      </c>
      <c r="EU11" t="e">
        <f>AND(#REF!,"AAAAAHvT95Y=")</f>
        <v>#REF!</v>
      </c>
      <c r="EV11" t="e">
        <f>AND(#REF!,"AAAAAHvT95c=")</f>
        <v>#REF!</v>
      </c>
      <c r="EW11" t="e">
        <f>AND(#REF!,"AAAAAHvT95g=")</f>
        <v>#REF!</v>
      </c>
      <c r="EX11" t="e">
        <f>AND(#REF!,"AAAAAHvT95k=")</f>
        <v>#REF!</v>
      </c>
      <c r="EY11" t="e">
        <f>AND(#REF!,"AAAAAHvT95o=")</f>
        <v>#REF!</v>
      </c>
      <c r="EZ11" t="e">
        <f>AND(#REF!,"AAAAAHvT95s=")</f>
        <v>#REF!</v>
      </c>
      <c r="FA11" t="e">
        <f>AND(#REF!,"AAAAAHvT95w=")</f>
        <v>#REF!</v>
      </c>
      <c r="FB11" t="e">
        <f>AND(#REF!,"AAAAAHvT950=")</f>
        <v>#REF!</v>
      </c>
      <c r="FC11" t="e">
        <f>AND(#REF!,"AAAAAHvT954=")</f>
        <v>#REF!</v>
      </c>
      <c r="FD11" t="e">
        <f>AND(#REF!,"AAAAAHvT958=")</f>
        <v>#REF!</v>
      </c>
      <c r="FE11" t="e">
        <f>IF(#REF!,"AAAAAHvT96A=",0)</f>
        <v>#REF!</v>
      </c>
      <c r="FF11" t="e">
        <f>AND(#REF!,"AAAAAHvT96E=")</f>
        <v>#REF!</v>
      </c>
      <c r="FG11" t="e">
        <f>AND(#REF!,"AAAAAHvT96I=")</f>
        <v>#REF!</v>
      </c>
      <c r="FH11" t="e">
        <f>AND(#REF!,"AAAAAHvT96M=")</f>
        <v>#REF!</v>
      </c>
      <c r="FI11" t="e">
        <f>AND(#REF!,"AAAAAHvT96Q=")</f>
        <v>#REF!</v>
      </c>
      <c r="FJ11" t="e">
        <f>AND(#REF!,"AAAAAHvT96U=")</f>
        <v>#REF!</v>
      </c>
      <c r="FK11" t="e">
        <f>AND(#REF!,"AAAAAHvT96Y=")</f>
        <v>#REF!</v>
      </c>
      <c r="FL11" t="e">
        <f>AND(#REF!,"AAAAAHvT96c=")</f>
        <v>#REF!</v>
      </c>
      <c r="FM11" t="e">
        <f>AND(#REF!,"AAAAAHvT96g=")</f>
        <v>#REF!</v>
      </c>
      <c r="FN11" t="e">
        <f>AND(#REF!,"AAAAAHvT96k=")</f>
        <v>#REF!</v>
      </c>
      <c r="FO11" t="e">
        <f>AND(#REF!,"AAAAAHvT96o=")</f>
        <v>#REF!</v>
      </c>
      <c r="FP11" t="e">
        <f>AND(#REF!,"AAAAAHvT96s=")</f>
        <v>#REF!</v>
      </c>
      <c r="FQ11" t="e">
        <f>AND(#REF!,"AAAAAHvT96w=")</f>
        <v>#REF!</v>
      </c>
      <c r="FR11" t="e">
        <f>AND(#REF!,"AAAAAHvT960=")</f>
        <v>#REF!</v>
      </c>
      <c r="FS11" t="e">
        <f>AND(#REF!,"AAAAAHvT964=")</f>
        <v>#REF!</v>
      </c>
      <c r="FT11" t="e">
        <f>AND(#REF!,"AAAAAHvT968=")</f>
        <v>#REF!</v>
      </c>
      <c r="FU11" t="e">
        <f>AND(#REF!,"AAAAAHvT97A=")</f>
        <v>#REF!</v>
      </c>
      <c r="FV11" t="e">
        <f>AND(#REF!,"AAAAAHvT97E=")</f>
        <v>#REF!</v>
      </c>
      <c r="FW11" t="e">
        <f>AND(#REF!,"AAAAAHvT97I=")</f>
        <v>#REF!</v>
      </c>
      <c r="FX11" t="e">
        <f>AND(#REF!,"AAAAAHvT97M=")</f>
        <v>#REF!</v>
      </c>
      <c r="FY11" t="e">
        <f>AND(#REF!,"AAAAAHvT97Q=")</f>
        <v>#REF!</v>
      </c>
      <c r="FZ11" t="e">
        <f>AND(#REF!,"AAAAAHvT97U=")</f>
        <v>#REF!</v>
      </c>
      <c r="GA11" t="e">
        <f>AND(#REF!,"AAAAAHvT97Y=")</f>
        <v>#REF!</v>
      </c>
      <c r="GB11" t="e">
        <f>AND(#REF!,"AAAAAHvT97c=")</f>
        <v>#REF!</v>
      </c>
      <c r="GC11" t="e">
        <f>AND(#REF!,"AAAAAHvT97g=")</f>
        <v>#REF!</v>
      </c>
      <c r="GD11" t="e">
        <f>AND(#REF!,"AAAAAHvT97k=")</f>
        <v>#REF!</v>
      </c>
      <c r="GE11" t="e">
        <f>AND(#REF!,"AAAAAHvT97o=")</f>
        <v>#REF!</v>
      </c>
      <c r="GF11" t="e">
        <f>AND(#REF!,"AAAAAHvT97s=")</f>
        <v>#REF!</v>
      </c>
      <c r="GG11" t="e">
        <f>AND(#REF!,"AAAAAHvT97w=")</f>
        <v>#REF!</v>
      </c>
      <c r="GH11" t="e">
        <f>AND(#REF!,"AAAAAHvT970=")</f>
        <v>#REF!</v>
      </c>
      <c r="GI11" t="e">
        <f>AND(#REF!,"AAAAAHvT974=")</f>
        <v>#REF!</v>
      </c>
      <c r="GJ11" t="e">
        <f>AND(#REF!,"AAAAAHvT978=")</f>
        <v>#REF!</v>
      </c>
      <c r="GK11" t="e">
        <f>AND(#REF!,"AAAAAHvT98A=")</f>
        <v>#REF!</v>
      </c>
      <c r="GL11" t="e">
        <f>AND(#REF!,"AAAAAHvT98E=")</f>
        <v>#REF!</v>
      </c>
      <c r="GM11" t="e">
        <f>AND(#REF!,"AAAAAHvT98I=")</f>
        <v>#REF!</v>
      </c>
      <c r="GN11" t="e">
        <f>AND(#REF!,"AAAAAHvT98M=")</f>
        <v>#REF!</v>
      </c>
      <c r="GO11" t="e">
        <f>IF(#REF!,"AAAAAHvT98Q=",0)</f>
        <v>#REF!</v>
      </c>
      <c r="GP11" t="e">
        <f>AND(#REF!,"AAAAAHvT98U=")</f>
        <v>#REF!</v>
      </c>
      <c r="GQ11" t="e">
        <f>AND(#REF!,"AAAAAHvT98Y=")</f>
        <v>#REF!</v>
      </c>
      <c r="GR11" t="e">
        <f>AND(#REF!,"AAAAAHvT98c=")</f>
        <v>#REF!</v>
      </c>
      <c r="GS11" t="e">
        <f>AND(#REF!,"AAAAAHvT98g=")</f>
        <v>#REF!</v>
      </c>
      <c r="GT11" t="e">
        <f>AND(#REF!,"AAAAAHvT98k=")</f>
        <v>#REF!</v>
      </c>
      <c r="GU11" t="e">
        <f>AND(#REF!,"AAAAAHvT98o=")</f>
        <v>#REF!</v>
      </c>
      <c r="GV11" t="e">
        <f>AND(#REF!,"AAAAAHvT98s=")</f>
        <v>#REF!</v>
      </c>
      <c r="GW11" t="e">
        <f>AND(#REF!,"AAAAAHvT98w=")</f>
        <v>#REF!</v>
      </c>
      <c r="GX11" t="e">
        <f>AND(#REF!,"AAAAAHvT980=")</f>
        <v>#REF!</v>
      </c>
      <c r="GY11" t="e">
        <f>AND(#REF!,"AAAAAHvT984=")</f>
        <v>#REF!</v>
      </c>
      <c r="GZ11" t="e">
        <f>AND(#REF!,"AAAAAHvT988=")</f>
        <v>#REF!</v>
      </c>
      <c r="HA11" t="e">
        <f>AND(#REF!,"AAAAAHvT99A=")</f>
        <v>#REF!</v>
      </c>
      <c r="HB11" t="e">
        <f>AND(#REF!,"AAAAAHvT99E=")</f>
        <v>#REF!</v>
      </c>
      <c r="HC11" t="e">
        <f>AND(#REF!,"AAAAAHvT99I=")</f>
        <v>#REF!</v>
      </c>
      <c r="HD11" t="e">
        <f>AND(#REF!,"AAAAAHvT99M=")</f>
        <v>#REF!</v>
      </c>
      <c r="HE11" t="e">
        <f>AND(#REF!,"AAAAAHvT99Q=")</f>
        <v>#REF!</v>
      </c>
      <c r="HF11" t="e">
        <f>AND(#REF!,"AAAAAHvT99U=")</f>
        <v>#REF!</v>
      </c>
      <c r="HG11" t="e">
        <f>AND(#REF!,"AAAAAHvT99Y=")</f>
        <v>#REF!</v>
      </c>
      <c r="HH11" t="e">
        <f>AND(#REF!,"AAAAAHvT99c=")</f>
        <v>#REF!</v>
      </c>
      <c r="HI11" t="e">
        <f>AND(#REF!,"AAAAAHvT99g=")</f>
        <v>#REF!</v>
      </c>
      <c r="HJ11" t="e">
        <f>AND(#REF!,"AAAAAHvT99k=")</f>
        <v>#REF!</v>
      </c>
      <c r="HK11" t="e">
        <f>AND(#REF!,"AAAAAHvT99o=")</f>
        <v>#REF!</v>
      </c>
      <c r="HL11" t="e">
        <f>AND(#REF!,"AAAAAHvT99s=")</f>
        <v>#REF!</v>
      </c>
      <c r="HM11" t="e">
        <f>AND(#REF!,"AAAAAHvT99w=")</f>
        <v>#REF!</v>
      </c>
      <c r="HN11" t="e">
        <f>AND(#REF!,"AAAAAHvT990=")</f>
        <v>#REF!</v>
      </c>
      <c r="HO11" t="e">
        <f>AND(#REF!,"AAAAAHvT994=")</f>
        <v>#REF!</v>
      </c>
      <c r="HP11" t="e">
        <f>AND(#REF!,"AAAAAHvT998=")</f>
        <v>#REF!</v>
      </c>
      <c r="HQ11" t="e">
        <f>AND(#REF!,"AAAAAHvT9+A=")</f>
        <v>#REF!</v>
      </c>
      <c r="HR11" t="e">
        <f>AND(#REF!,"AAAAAHvT9+E=")</f>
        <v>#REF!</v>
      </c>
      <c r="HS11" t="e">
        <f>AND(#REF!,"AAAAAHvT9+I=")</f>
        <v>#REF!</v>
      </c>
      <c r="HT11" t="e">
        <f>AND(#REF!,"AAAAAHvT9+M=")</f>
        <v>#REF!</v>
      </c>
      <c r="HU11" t="e">
        <f>AND(#REF!,"AAAAAHvT9+Q=")</f>
        <v>#REF!</v>
      </c>
      <c r="HV11" t="e">
        <f>AND(#REF!,"AAAAAHvT9+U=")</f>
        <v>#REF!</v>
      </c>
      <c r="HW11" t="e">
        <f>AND(#REF!,"AAAAAHvT9+Y=")</f>
        <v>#REF!</v>
      </c>
      <c r="HX11" t="e">
        <f>AND(#REF!,"AAAAAHvT9+c=")</f>
        <v>#REF!</v>
      </c>
      <c r="HY11" t="e">
        <f>IF(#REF!,"AAAAAHvT9+g=",0)</f>
        <v>#REF!</v>
      </c>
      <c r="HZ11" t="e">
        <f>AND(#REF!,"AAAAAHvT9+k=")</f>
        <v>#REF!</v>
      </c>
      <c r="IA11" t="e">
        <f>AND(#REF!,"AAAAAHvT9+o=")</f>
        <v>#REF!</v>
      </c>
      <c r="IB11" t="e">
        <f>AND(#REF!,"AAAAAHvT9+s=")</f>
        <v>#REF!</v>
      </c>
      <c r="IC11" t="e">
        <f>AND(#REF!,"AAAAAHvT9+w=")</f>
        <v>#REF!</v>
      </c>
      <c r="ID11" t="e">
        <f>AND(#REF!,"AAAAAHvT9+0=")</f>
        <v>#REF!</v>
      </c>
      <c r="IE11" t="e">
        <f>AND(#REF!,"AAAAAHvT9+4=")</f>
        <v>#REF!</v>
      </c>
      <c r="IF11" t="e">
        <f>AND(#REF!,"AAAAAHvT9+8=")</f>
        <v>#REF!</v>
      </c>
      <c r="IG11" t="e">
        <f>AND(#REF!,"AAAAAHvT9/A=")</f>
        <v>#REF!</v>
      </c>
      <c r="IH11" t="e">
        <f>AND(#REF!,"AAAAAHvT9/E=")</f>
        <v>#REF!</v>
      </c>
      <c r="II11" t="e">
        <f>AND(#REF!,"AAAAAHvT9/I=")</f>
        <v>#REF!</v>
      </c>
      <c r="IJ11" t="e">
        <f>AND(#REF!,"AAAAAHvT9/M=")</f>
        <v>#REF!</v>
      </c>
      <c r="IK11" t="e">
        <f>AND(#REF!,"AAAAAHvT9/Q=")</f>
        <v>#REF!</v>
      </c>
      <c r="IL11" t="e">
        <f>AND(#REF!,"AAAAAHvT9/U=")</f>
        <v>#REF!</v>
      </c>
      <c r="IM11" t="e">
        <f>AND(#REF!,"AAAAAHvT9/Y=")</f>
        <v>#REF!</v>
      </c>
      <c r="IN11" t="e">
        <f>AND(#REF!,"AAAAAHvT9/c=")</f>
        <v>#REF!</v>
      </c>
      <c r="IO11" t="e">
        <f>AND(#REF!,"AAAAAHvT9/g=")</f>
        <v>#REF!</v>
      </c>
      <c r="IP11" t="e">
        <f>AND(#REF!,"AAAAAHvT9/k=")</f>
        <v>#REF!</v>
      </c>
      <c r="IQ11" t="e">
        <f>AND(#REF!,"AAAAAHvT9/o=")</f>
        <v>#REF!</v>
      </c>
      <c r="IR11" t="e">
        <f>AND(#REF!,"AAAAAHvT9/s=")</f>
        <v>#REF!</v>
      </c>
      <c r="IS11" t="e">
        <f>AND(#REF!,"AAAAAHvT9/w=")</f>
        <v>#REF!</v>
      </c>
      <c r="IT11" t="e">
        <f>AND(#REF!,"AAAAAHvT9/0=")</f>
        <v>#REF!</v>
      </c>
      <c r="IU11" t="e">
        <f>AND(#REF!,"AAAAAHvT9/4=")</f>
        <v>#REF!</v>
      </c>
      <c r="IV11" t="e">
        <f>AND(#REF!,"AAAAAHvT9/8=")</f>
        <v>#REF!</v>
      </c>
    </row>
    <row r="12" spans="1:256">
      <c r="A12" t="e">
        <f>AND(#REF!,"AAAAADt38wA=")</f>
        <v>#REF!</v>
      </c>
      <c r="B12" t="e">
        <f>AND(#REF!,"AAAAADt38wE=")</f>
        <v>#REF!</v>
      </c>
      <c r="C12" t="e">
        <f>AND(#REF!,"AAAAADt38wI=")</f>
        <v>#REF!</v>
      </c>
      <c r="D12" t="e">
        <f>AND(#REF!,"AAAAADt38wM=")</f>
        <v>#REF!</v>
      </c>
      <c r="E12" t="e">
        <f>AND(#REF!,"AAAAADt38wQ=")</f>
        <v>#REF!</v>
      </c>
      <c r="F12" t="e">
        <f>AND(#REF!,"AAAAADt38wU=")</f>
        <v>#REF!</v>
      </c>
      <c r="G12" t="e">
        <f>AND(#REF!,"AAAAADt38wY=")</f>
        <v>#REF!</v>
      </c>
      <c r="H12" t="e">
        <f>AND(#REF!,"AAAAADt38wc=")</f>
        <v>#REF!</v>
      </c>
      <c r="I12" t="e">
        <f>AND(#REF!,"AAAAADt38wg=")</f>
        <v>#REF!</v>
      </c>
      <c r="J12" t="e">
        <f>AND(#REF!,"AAAAADt38wk=")</f>
        <v>#REF!</v>
      </c>
      <c r="K12" t="e">
        <f>AND(#REF!,"AAAAADt38wo=")</f>
        <v>#REF!</v>
      </c>
      <c r="L12" t="e">
        <f>AND(#REF!,"AAAAADt38ws=")</f>
        <v>#REF!</v>
      </c>
      <c r="M12" t="e">
        <f>IF(#REF!,"AAAAADt38ww=",0)</f>
        <v>#REF!</v>
      </c>
      <c r="N12" t="e">
        <f>AND(#REF!,"AAAAADt38w0=")</f>
        <v>#REF!</v>
      </c>
      <c r="O12" t="e">
        <f>AND(#REF!,"AAAAADt38w4=")</f>
        <v>#REF!</v>
      </c>
      <c r="P12" t="e">
        <f>AND(#REF!,"AAAAADt38w8=")</f>
        <v>#REF!</v>
      </c>
      <c r="Q12" t="e">
        <f>AND(#REF!,"AAAAADt38xA=")</f>
        <v>#REF!</v>
      </c>
      <c r="R12" t="e">
        <f>AND(#REF!,"AAAAADt38xE=")</f>
        <v>#REF!</v>
      </c>
      <c r="S12" t="e">
        <f>AND(#REF!,"AAAAADt38xI=")</f>
        <v>#REF!</v>
      </c>
      <c r="T12" t="e">
        <f>AND(#REF!,"AAAAADt38xM=")</f>
        <v>#REF!</v>
      </c>
      <c r="U12" t="e">
        <f>AND(#REF!,"AAAAADt38xQ=")</f>
        <v>#REF!</v>
      </c>
      <c r="V12" t="e">
        <f>AND(#REF!,"AAAAADt38xU=")</f>
        <v>#REF!</v>
      </c>
      <c r="W12" t="e">
        <f>AND(#REF!,"AAAAADt38xY=")</f>
        <v>#REF!</v>
      </c>
      <c r="X12" t="e">
        <f>AND(#REF!,"AAAAADt38xc=")</f>
        <v>#REF!</v>
      </c>
      <c r="Y12" t="e">
        <f>AND(#REF!,"AAAAADt38xg=")</f>
        <v>#REF!</v>
      </c>
      <c r="Z12" t="e">
        <f>AND(#REF!,"AAAAADt38xk=")</f>
        <v>#REF!</v>
      </c>
      <c r="AA12" t="e">
        <f>AND(#REF!,"AAAAADt38xo=")</f>
        <v>#REF!</v>
      </c>
      <c r="AB12" t="e">
        <f>AND(#REF!,"AAAAADt38xs=")</f>
        <v>#REF!</v>
      </c>
      <c r="AC12" t="e">
        <f>AND(#REF!,"AAAAADt38xw=")</f>
        <v>#REF!</v>
      </c>
      <c r="AD12" t="e">
        <f>AND(#REF!,"AAAAADt38x0=")</f>
        <v>#REF!</v>
      </c>
      <c r="AE12" t="e">
        <f>AND(#REF!,"AAAAADt38x4=")</f>
        <v>#REF!</v>
      </c>
      <c r="AF12" t="e">
        <f>AND(#REF!,"AAAAADt38x8=")</f>
        <v>#REF!</v>
      </c>
      <c r="AG12" t="e">
        <f>AND(#REF!,"AAAAADt38yA=")</f>
        <v>#REF!</v>
      </c>
      <c r="AH12" t="e">
        <f>AND(#REF!,"AAAAADt38yE=")</f>
        <v>#REF!</v>
      </c>
      <c r="AI12" t="e">
        <f>AND(#REF!,"AAAAADt38yI=")</f>
        <v>#REF!</v>
      </c>
      <c r="AJ12" t="e">
        <f>AND(#REF!,"AAAAADt38yM=")</f>
        <v>#REF!</v>
      </c>
      <c r="AK12" t="e">
        <f>AND(#REF!,"AAAAADt38yQ=")</f>
        <v>#REF!</v>
      </c>
      <c r="AL12" t="e">
        <f>AND(#REF!,"AAAAADt38yU=")</f>
        <v>#REF!</v>
      </c>
      <c r="AM12" t="e">
        <f>AND(#REF!,"AAAAADt38yY=")</f>
        <v>#REF!</v>
      </c>
      <c r="AN12" t="e">
        <f>AND(#REF!,"AAAAADt38yc=")</f>
        <v>#REF!</v>
      </c>
      <c r="AO12" t="e">
        <f>AND(#REF!,"AAAAADt38yg=")</f>
        <v>#REF!</v>
      </c>
      <c r="AP12" t="e">
        <f>AND(#REF!,"AAAAADt38yk=")</f>
        <v>#REF!</v>
      </c>
      <c r="AQ12" t="e">
        <f>AND(#REF!,"AAAAADt38yo=")</f>
        <v>#REF!</v>
      </c>
      <c r="AR12" t="e">
        <f>AND(#REF!,"AAAAADt38ys=")</f>
        <v>#REF!</v>
      </c>
      <c r="AS12" t="e">
        <f>AND(#REF!,"AAAAADt38yw=")</f>
        <v>#REF!</v>
      </c>
      <c r="AT12" t="e">
        <f>AND(#REF!,"AAAAADt38y0=")</f>
        <v>#REF!</v>
      </c>
      <c r="AU12" t="e">
        <f>AND(#REF!,"AAAAADt38y4=")</f>
        <v>#REF!</v>
      </c>
      <c r="AV12" t="e">
        <f>AND(#REF!,"AAAAADt38y8=")</f>
        <v>#REF!</v>
      </c>
      <c r="AW12" t="e">
        <f>IF(#REF!,"AAAAADt38zA=",0)</f>
        <v>#REF!</v>
      </c>
      <c r="AX12" t="e">
        <f>AND(#REF!,"AAAAADt38zE=")</f>
        <v>#REF!</v>
      </c>
      <c r="AY12" t="e">
        <f>AND(#REF!,"AAAAADt38zI=")</f>
        <v>#REF!</v>
      </c>
      <c r="AZ12" t="e">
        <f>AND(#REF!,"AAAAADt38zM=")</f>
        <v>#REF!</v>
      </c>
      <c r="BA12" t="e">
        <f>AND(#REF!,"AAAAADt38zQ=")</f>
        <v>#REF!</v>
      </c>
      <c r="BB12" t="e">
        <f>AND(#REF!,"AAAAADt38zU=")</f>
        <v>#REF!</v>
      </c>
      <c r="BC12" t="e">
        <f>AND(#REF!,"AAAAADt38zY=")</f>
        <v>#REF!</v>
      </c>
      <c r="BD12" t="e">
        <f>AND(#REF!,"AAAAADt38zc=")</f>
        <v>#REF!</v>
      </c>
      <c r="BE12" t="e">
        <f>AND(#REF!,"AAAAADt38zg=")</f>
        <v>#REF!</v>
      </c>
      <c r="BF12" t="e">
        <f>AND(#REF!,"AAAAADt38zk=")</f>
        <v>#REF!</v>
      </c>
      <c r="BG12" t="e">
        <f>AND(#REF!,"AAAAADt38zo=")</f>
        <v>#REF!</v>
      </c>
      <c r="BH12" t="e">
        <f>AND(#REF!,"AAAAADt38zs=")</f>
        <v>#REF!</v>
      </c>
      <c r="BI12" t="e">
        <f>AND(#REF!,"AAAAADt38zw=")</f>
        <v>#REF!</v>
      </c>
      <c r="BJ12" t="e">
        <f>AND(#REF!,"AAAAADt38z0=")</f>
        <v>#REF!</v>
      </c>
      <c r="BK12" t="e">
        <f>AND(#REF!,"AAAAADt38z4=")</f>
        <v>#REF!</v>
      </c>
      <c r="BL12" t="e">
        <f>AND(#REF!,"AAAAADt38z8=")</f>
        <v>#REF!</v>
      </c>
      <c r="BM12" t="e">
        <f>AND(#REF!,"AAAAADt380A=")</f>
        <v>#REF!</v>
      </c>
      <c r="BN12" t="e">
        <f>AND(#REF!,"AAAAADt380E=")</f>
        <v>#REF!</v>
      </c>
      <c r="BO12" t="e">
        <f>AND(#REF!,"AAAAADt380I=")</f>
        <v>#REF!</v>
      </c>
      <c r="BP12" t="e">
        <f>AND(#REF!,"AAAAADt380M=")</f>
        <v>#REF!</v>
      </c>
      <c r="BQ12" t="e">
        <f>AND(#REF!,"AAAAADt380Q=")</f>
        <v>#REF!</v>
      </c>
      <c r="BR12" t="e">
        <f>AND(#REF!,"AAAAADt380U=")</f>
        <v>#REF!</v>
      </c>
      <c r="BS12" t="e">
        <f>AND(#REF!,"AAAAADt380Y=")</f>
        <v>#REF!</v>
      </c>
      <c r="BT12" t="e">
        <f>AND(#REF!,"AAAAADt380c=")</f>
        <v>#REF!</v>
      </c>
      <c r="BU12" t="e">
        <f>AND(#REF!,"AAAAADt380g=")</f>
        <v>#REF!</v>
      </c>
      <c r="BV12" t="e">
        <f>AND(#REF!,"AAAAADt380k=")</f>
        <v>#REF!</v>
      </c>
      <c r="BW12" t="e">
        <f>AND(#REF!,"AAAAADt380o=")</f>
        <v>#REF!</v>
      </c>
      <c r="BX12" t="e">
        <f>AND(#REF!,"AAAAADt380s=")</f>
        <v>#REF!</v>
      </c>
      <c r="BY12" t="e">
        <f>AND(#REF!,"AAAAADt380w=")</f>
        <v>#REF!</v>
      </c>
      <c r="BZ12" t="e">
        <f>AND(#REF!,"AAAAADt3800=")</f>
        <v>#REF!</v>
      </c>
      <c r="CA12" t="e">
        <f>AND(#REF!,"AAAAADt3804=")</f>
        <v>#REF!</v>
      </c>
      <c r="CB12" t="e">
        <f>AND(#REF!,"AAAAADt3808=")</f>
        <v>#REF!</v>
      </c>
      <c r="CC12" t="e">
        <f>AND(#REF!,"AAAAADt381A=")</f>
        <v>#REF!</v>
      </c>
      <c r="CD12" t="e">
        <f>AND(#REF!,"AAAAADt381E=")</f>
        <v>#REF!</v>
      </c>
      <c r="CE12" t="e">
        <f>AND(#REF!,"AAAAADt381I=")</f>
        <v>#REF!</v>
      </c>
      <c r="CF12" t="e">
        <f>AND(#REF!,"AAAAADt381M=")</f>
        <v>#REF!</v>
      </c>
      <c r="CG12" t="e">
        <f>IF(#REF!,"AAAAADt381Q=",0)</f>
        <v>#REF!</v>
      </c>
      <c r="CH12" t="e">
        <f>AND(#REF!,"AAAAADt381U=")</f>
        <v>#REF!</v>
      </c>
      <c r="CI12" t="e">
        <f>AND(#REF!,"AAAAADt381Y=")</f>
        <v>#REF!</v>
      </c>
      <c r="CJ12" t="e">
        <f>AND(#REF!,"AAAAADt381c=")</f>
        <v>#REF!</v>
      </c>
      <c r="CK12" t="e">
        <f>AND(#REF!,"AAAAADt381g=")</f>
        <v>#REF!</v>
      </c>
      <c r="CL12" t="e">
        <f>AND(#REF!,"AAAAADt381k=")</f>
        <v>#REF!</v>
      </c>
      <c r="CM12" t="e">
        <f>AND(#REF!,"AAAAADt381o=")</f>
        <v>#REF!</v>
      </c>
      <c r="CN12" t="e">
        <f>AND(#REF!,"AAAAADt381s=")</f>
        <v>#REF!</v>
      </c>
      <c r="CO12" t="e">
        <f>AND(#REF!,"AAAAADt381w=")</f>
        <v>#REF!</v>
      </c>
      <c r="CP12" t="e">
        <f>AND(#REF!,"AAAAADt3810=")</f>
        <v>#REF!</v>
      </c>
      <c r="CQ12" t="e">
        <f>AND(#REF!,"AAAAADt3814=")</f>
        <v>#REF!</v>
      </c>
      <c r="CR12" t="e">
        <f>AND(#REF!,"AAAAADt3818=")</f>
        <v>#REF!</v>
      </c>
      <c r="CS12" t="e">
        <f>AND(#REF!,"AAAAADt382A=")</f>
        <v>#REF!</v>
      </c>
      <c r="CT12" t="e">
        <f>AND(#REF!,"AAAAADt382E=")</f>
        <v>#REF!</v>
      </c>
      <c r="CU12" t="e">
        <f>AND(#REF!,"AAAAADt382I=")</f>
        <v>#REF!</v>
      </c>
      <c r="CV12" t="e">
        <f>AND(#REF!,"AAAAADt382M=")</f>
        <v>#REF!</v>
      </c>
      <c r="CW12" t="e">
        <f>AND(#REF!,"AAAAADt382Q=")</f>
        <v>#REF!</v>
      </c>
      <c r="CX12" t="e">
        <f>AND(#REF!,"AAAAADt382U=")</f>
        <v>#REF!</v>
      </c>
      <c r="CY12" t="e">
        <f>AND(#REF!,"AAAAADt382Y=")</f>
        <v>#REF!</v>
      </c>
      <c r="CZ12" t="e">
        <f>AND(#REF!,"AAAAADt382c=")</f>
        <v>#REF!</v>
      </c>
      <c r="DA12" t="e">
        <f>AND(#REF!,"AAAAADt382g=")</f>
        <v>#REF!</v>
      </c>
      <c r="DB12" t="e">
        <f>AND(#REF!,"AAAAADt382k=")</f>
        <v>#REF!</v>
      </c>
      <c r="DC12" t="e">
        <f>AND(#REF!,"AAAAADt382o=")</f>
        <v>#REF!</v>
      </c>
      <c r="DD12" t="e">
        <f>AND(#REF!,"AAAAADt382s=")</f>
        <v>#REF!</v>
      </c>
      <c r="DE12" t="e">
        <f>AND(#REF!,"AAAAADt382w=")</f>
        <v>#REF!</v>
      </c>
      <c r="DF12" t="e">
        <f>AND(#REF!,"AAAAADt3820=")</f>
        <v>#REF!</v>
      </c>
      <c r="DG12" t="e">
        <f>AND(#REF!,"AAAAADt3824=")</f>
        <v>#REF!</v>
      </c>
      <c r="DH12" t="e">
        <f>AND(#REF!,"AAAAADt3828=")</f>
        <v>#REF!</v>
      </c>
      <c r="DI12" t="e">
        <f>AND(#REF!,"AAAAADt383A=")</f>
        <v>#REF!</v>
      </c>
      <c r="DJ12" t="e">
        <f>AND(#REF!,"AAAAADt383E=")</f>
        <v>#REF!</v>
      </c>
      <c r="DK12" t="e">
        <f>AND(#REF!,"AAAAADt383I=")</f>
        <v>#REF!</v>
      </c>
      <c r="DL12" t="e">
        <f>AND(#REF!,"AAAAADt383M=")</f>
        <v>#REF!</v>
      </c>
      <c r="DM12" t="e">
        <f>AND(#REF!,"AAAAADt383Q=")</f>
        <v>#REF!</v>
      </c>
      <c r="DN12" t="e">
        <f>AND(#REF!,"AAAAADt383U=")</f>
        <v>#REF!</v>
      </c>
      <c r="DO12" t="e">
        <f>AND(#REF!,"AAAAADt383Y=")</f>
        <v>#REF!</v>
      </c>
      <c r="DP12" t="e">
        <f>AND(#REF!,"AAAAADt383c=")</f>
        <v>#REF!</v>
      </c>
      <c r="DQ12" t="e">
        <f>IF(#REF!,"AAAAADt383g=",0)</f>
        <v>#REF!</v>
      </c>
      <c r="DR12" t="e">
        <f>AND(#REF!,"AAAAADt383k=")</f>
        <v>#REF!</v>
      </c>
      <c r="DS12" t="e">
        <f>AND(#REF!,"AAAAADt383o=")</f>
        <v>#REF!</v>
      </c>
      <c r="DT12" t="e">
        <f>AND(#REF!,"AAAAADt383s=")</f>
        <v>#REF!</v>
      </c>
      <c r="DU12" t="e">
        <f>AND(#REF!,"AAAAADt383w=")</f>
        <v>#REF!</v>
      </c>
      <c r="DV12" t="e">
        <f>AND(#REF!,"AAAAADt3830=")</f>
        <v>#REF!</v>
      </c>
      <c r="DW12" t="e">
        <f>AND(#REF!,"AAAAADt3834=")</f>
        <v>#REF!</v>
      </c>
      <c r="DX12" t="e">
        <f>AND(#REF!,"AAAAADt3838=")</f>
        <v>#REF!</v>
      </c>
      <c r="DY12" t="e">
        <f>AND(#REF!,"AAAAADt384A=")</f>
        <v>#REF!</v>
      </c>
      <c r="DZ12" t="e">
        <f>AND(#REF!,"AAAAADt384E=")</f>
        <v>#REF!</v>
      </c>
      <c r="EA12" t="e">
        <f>AND(#REF!,"AAAAADt384I=")</f>
        <v>#REF!</v>
      </c>
      <c r="EB12" t="e">
        <f>AND(#REF!,"AAAAADt384M=")</f>
        <v>#REF!</v>
      </c>
      <c r="EC12" t="e">
        <f>AND(#REF!,"AAAAADt384Q=")</f>
        <v>#REF!</v>
      </c>
      <c r="ED12" t="e">
        <f>AND(#REF!,"AAAAADt384U=")</f>
        <v>#REF!</v>
      </c>
      <c r="EE12" t="e">
        <f>AND(#REF!,"AAAAADt384Y=")</f>
        <v>#REF!</v>
      </c>
      <c r="EF12" t="e">
        <f>AND(#REF!,"AAAAADt384c=")</f>
        <v>#REF!</v>
      </c>
      <c r="EG12" t="e">
        <f>AND(#REF!,"AAAAADt384g=")</f>
        <v>#REF!</v>
      </c>
      <c r="EH12" t="e">
        <f>AND(#REF!,"AAAAADt384k=")</f>
        <v>#REF!</v>
      </c>
      <c r="EI12" t="e">
        <f>AND(#REF!,"AAAAADt384o=")</f>
        <v>#REF!</v>
      </c>
      <c r="EJ12" t="e">
        <f>AND(#REF!,"AAAAADt384s=")</f>
        <v>#REF!</v>
      </c>
      <c r="EK12" t="e">
        <f>AND(#REF!,"AAAAADt384w=")</f>
        <v>#REF!</v>
      </c>
      <c r="EL12" t="e">
        <f>AND(#REF!,"AAAAADt3840=")</f>
        <v>#REF!</v>
      </c>
      <c r="EM12" t="e">
        <f>AND(#REF!,"AAAAADt3844=")</f>
        <v>#REF!</v>
      </c>
      <c r="EN12" t="e">
        <f>AND(#REF!,"AAAAADt3848=")</f>
        <v>#REF!</v>
      </c>
      <c r="EO12" t="e">
        <f>AND(#REF!,"AAAAADt385A=")</f>
        <v>#REF!</v>
      </c>
      <c r="EP12" t="e">
        <f>AND(#REF!,"AAAAADt385E=")</f>
        <v>#REF!</v>
      </c>
      <c r="EQ12" t="e">
        <f>AND(#REF!,"AAAAADt385I=")</f>
        <v>#REF!</v>
      </c>
      <c r="ER12" t="e">
        <f>AND(#REF!,"AAAAADt385M=")</f>
        <v>#REF!</v>
      </c>
      <c r="ES12" t="e">
        <f>AND(#REF!,"AAAAADt385Q=")</f>
        <v>#REF!</v>
      </c>
      <c r="ET12" t="e">
        <f>AND(#REF!,"AAAAADt385U=")</f>
        <v>#REF!</v>
      </c>
      <c r="EU12" t="e">
        <f>AND(#REF!,"AAAAADt385Y=")</f>
        <v>#REF!</v>
      </c>
      <c r="EV12" t="e">
        <f>AND(#REF!,"AAAAADt385c=")</f>
        <v>#REF!</v>
      </c>
      <c r="EW12" t="e">
        <f>AND(#REF!,"AAAAADt385g=")</f>
        <v>#REF!</v>
      </c>
      <c r="EX12" t="e">
        <f>AND(#REF!,"AAAAADt385k=")</f>
        <v>#REF!</v>
      </c>
      <c r="EY12" t="e">
        <f>AND(#REF!,"AAAAADt385o=")</f>
        <v>#REF!</v>
      </c>
      <c r="EZ12" t="e">
        <f>AND(#REF!,"AAAAADt385s=")</f>
        <v>#REF!</v>
      </c>
      <c r="FA12" t="e">
        <f>IF(#REF!,"AAAAADt385w=",0)</f>
        <v>#REF!</v>
      </c>
      <c r="FB12" t="e">
        <f>AND(#REF!,"AAAAADt3850=")</f>
        <v>#REF!</v>
      </c>
      <c r="FC12" t="e">
        <f>AND(#REF!,"AAAAADt3854=")</f>
        <v>#REF!</v>
      </c>
      <c r="FD12" t="e">
        <f>AND(#REF!,"AAAAADt3858=")</f>
        <v>#REF!</v>
      </c>
      <c r="FE12" t="e">
        <f>AND(#REF!,"AAAAADt386A=")</f>
        <v>#REF!</v>
      </c>
      <c r="FF12" t="e">
        <f>AND(#REF!,"AAAAADt386E=")</f>
        <v>#REF!</v>
      </c>
      <c r="FG12" t="e">
        <f>AND(#REF!,"AAAAADt386I=")</f>
        <v>#REF!</v>
      </c>
      <c r="FH12" t="e">
        <f>AND(#REF!,"AAAAADt386M=")</f>
        <v>#REF!</v>
      </c>
      <c r="FI12" t="e">
        <f>AND(#REF!,"AAAAADt386Q=")</f>
        <v>#REF!</v>
      </c>
      <c r="FJ12" t="e">
        <f>AND(#REF!,"AAAAADt386U=")</f>
        <v>#REF!</v>
      </c>
      <c r="FK12" t="e">
        <f>AND(#REF!,"AAAAADt386Y=")</f>
        <v>#REF!</v>
      </c>
      <c r="FL12" t="e">
        <f>AND(#REF!,"AAAAADt386c=")</f>
        <v>#REF!</v>
      </c>
      <c r="FM12" t="e">
        <f>AND(#REF!,"AAAAADt386g=")</f>
        <v>#REF!</v>
      </c>
      <c r="FN12" t="e">
        <f>AND(#REF!,"AAAAADt386k=")</f>
        <v>#REF!</v>
      </c>
      <c r="FO12" t="e">
        <f>AND(#REF!,"AAAAADt386o=")</f>
        <v>#REF!</v>
      </c>
      <c r="FP12" t="e">
        <f>AND(#REF!,"AAAAADt386s=")</f>
        <v>#REF!</v>
      </c>
      <c r="FQ12" t="e">
        <f>AND(#REF!,"AAAAADt386w=")</f>
        <v>#REF!</v>
      </c>
      <c r="FR12" t="e">
        <f>AND(#REF!,"AAAAADt3860=")</f>
        <v>#REF!</v>
      </c>
      <c r="FS12" t="e">
        <f>AND(#REF!,"AAAAADt3864=")</f>
        <v>#REF!</v>
      </c>
      <c r="FT12" t="e">
        <f>AND(#REF!,"AAAAADt3868=")</f>
        <v>#REF!</v>
      </c>
      <c r="FU12" t="e">
        <f>AND(#REF!,"AAAAADt387A=")</f>
        <v>#REF!</v>
      </c>
      <c r="FV12" t="e">
        <f>AND(#REF!,"AAAAADt387E=")</f>
        <v>#REF!</v>
      </c>
      <c r="FW12" t="e">
        <f>AND(#REF!,"AAAAADt387I=")</f>
        <v>#REF!</v>
      </c>
      <c r="FX12" t="e">
        <f>AND(#REF!,"AAAAADt387M=")</f>
        <v>#REF!</v>
      </c>
      <c r="FY12" t="e">
        <f>AND(#REF!,"AAAAADt387Q=")</f>
        <v>#REF!</v>
      </c>
      <c r="FZ12" t="e">
        <f>AND(#REF!,"AAAAADt387U=")</f>
        <v>#REF!</v>
      </c>
      <c r="GA12" t="e">
        <f>AND(#REF!,"AAAAADt387Y=")</f>
        <v>#REF!</v>
      </c>
      <c r="GB12" t="e">
        <f>AND(#REF!,"AAAAADt387c=")</f>
        <v>#REF!</v>
      </c>
      <c r="GC12" t="e">
        <f>AND(#REF!,"AAAAADt387g=")</f>
        <v>#REF!</v>
      </c>
      <c r="GD12" t="e">
        <f>AND(#REF!,"AAAAADt387k=")</f>
        <v>#REF!</v>
      </c>
      <c r="GE12" t="e">
        <f>AND(#REF!,"AAAAADt387o=")</f>
        <v>#REF!</v>
      </c>
      <c r="GF12" t="e">
        <f>AND(#REF!,"AAAAADt387s=")</f>
        <v>#REF!</v>
      </c>
      <c r="GG12" t="e">
        <f>AND(#REF!,"AAAAADt387w=")</f>
        <v>#REF!</v>
      </c>
      <c r="GH12" t="e">
        <f>AND(#REF!,"AAAAADt3870=")</f>
        <v>#REF!</v>
      </c>
      <c r="GI12" t="e">
        <f>AND(#REF!,"AAAAADt3874=")</f>
        <v>#REF!</v>
      </c>
      <c r="GJ12" t="e">
        <f>AND(#REF!,"AAAAADt3878=")</f>
        <v>#REF!</v>
      </c>
      <c r="GK12" t="e">
        <f>IF(#REF!,"AAAAADt388A=",0)</f>
        <v>#REF!</v>
      </c>
      <c r="GL12" t="e">
        <f>AND(#REF!,"AAAAADt388E=")</f>
        <v>#REF!</v>
      </c>
      <c r="GM12" t="e">
        <f>AND(#REF!,"AAAAADt388I=")</f>
        <v>#REF!</v>
      </c>
      <c r="GN12" t="e">
        <f>AND(#REF!,"AAAAADt388M=")</f>
        <v>#REF!</v>
      </c>
      <c r="GO12" t="e">
        <f>AND(#REF!,"AAAAADt388Q=")</f>
        <v>#REF!</v>
      </c>
      <c r="GP12" t="e">
        <f>AND(#REF!,"AAAAADt388U=")</f>
        <v>#REF!</v>
      </c>
      <c r="GQ12" t="e">
        <f>AND(#REF!,"AAAAADt388Y=")</f>
        <v>#REF!</v>
      </c>
      <c r="GR12" t="e">
        <f>AND(#REF!,"AAAAADt388c=")</f>
        <v>#REF!</v>
      </c>
      <c r="GS12" t="e">
        <f>AND(#REF!,"AAAAADt388g=")</f>
        <v>#REF!</v>
      </c>
      <c r="GT12" t="e">
        <f>AND(#REF!,"AAAAADt388k=")</f>
        <v>#REF!</v>
      </c>
      <c r="GU12" t="e">
        <f>AND(#REF!,"AAAAADt388o=")</f>
        <v>#REF!</v>
      </c>
      <c r="GV12" t="e">
        <f>AND(#REF!,"AAAAADt388s=")</f>
        <v>#REF!</v>
      </c>
      <c r="GW12" t="e">
        <f>AND(#REF!,"AAAAADt388w=")</f>
        <v>#REF!</v>
      </c>
      <c r="GX12" t="e">
        <f>AND(#REF!,"AAAAADt3880=")</f>
        <v>#REF!</v>
      </c>
      <c r="GY12" t="e">
        <f>AND(#REF!,"AAAAADt3884=")</f>
        <v>#REF!</v>
      </c>
      <c r="GZ12" t="e">
        <f>AND(#REF!,"AAAAADt3888=")</f>
        <v>#REF!</v>
      </c>
      <c r="HA12" t="e">
        <f>AND(#REF!,"AAAAADt389A=")</f>
        <v>#REF!</v>
      </c>
      <c r="HB12" t="e">
        <f>AND(#REF!,"AAAAADt389E=")</f>
        <v>#REF!</v>
      </c>
      <c r="HC12" t="e">
        <f>AND(#REF!,"AAAAADt389I=")</f>
        <v>#REF!</v>
      </c>
      <c r="HD12" t="e">
        <f>AND(#REF!,"AAAAADt389M=")</f>
        <v>#REF!</v>
      </c>
      <c r="HE12" t="e">
        <f>AND(#REF!,"AAAAADt389Q=")</f>
        <v>#REF!</v>
      </c>
      <c r="HF12" t="e">
        <f>AND(#REF!,"AAAAADt389U=")</f>
        <v>#REF!</v>
      </c>
      <c r="HG12" t="e">
        <f>AND(#REF!,"AAAAADt389Y=")</f>
        <v>#REF!</v>
      </c>
      <c r="HH12" t="e">
        <f>AND(#REF!,"AAAAADt389c=")</f>
        <v>#REF!</v>
      </c>
      <c r="HI12" t="e">
        <f>AND(#REF!,"AAAAADt389g=")</f>
        <v>#REF!</v>
      </c>
      <c r="HJ12" t="e">
        <f>AND(#REF!,"AAAAADt389k=")</f>
        <v>#REF!</v>
      </c>
      <c r="HK12" t="e">
        <f>AND(#REF!,"AAAAADt389o=")</f>
        <v>#REF!</v>
      </c>
      <c r="HL12" t="e">
        <f>AND(#REF!,"AAAAADt389s=")</f>
        <v>#REF!</v>
      </c>
      <c r="HM12" t="e">
        <f>AND(#REF!,"AAAAADt389w=")</f>
        <v>#REF!</v>
      </c>
      <c r="HN12" t="e">
        <f>AND(#REF!,"AAAAADt3890=")</f>
        <v>#REF!</v>
      </c>
      <c r="HO12" t="e">
        <f>AND(#REF!,"AAAAADt3894=")</f>
        <v>#REF!</v>
      </c>
      <c r="HP12" t="e">
        <f>AND(#REF!,"AAAAADt3898=")</f>
        <v>#REF!</v>
      </c>
      <c r="HQ12" t="e">
        <f>AND(#REF!,"AAAAADt38+A=")</f>
        <v>#REF!</v>
      </c>
      <c r="HR12" t="e">
        <f>AND(#REF!,"AAAAADt38+E=")</f>
        <v>#REF!</v>
      </c>
      <c r="HS12" t="e">
        <f>AND(#REF!,"AAAAADt38+I=")</f>
        <v>#REF!</v>
      </c>
      <c r="HT12" t="e">
        <f>AND(#REF!,"AAAAADt38+M=")</f>
        <v>#REF!</v>
      </c>
      <c r="HU12" t="e">
        <f>IF(#REF!,"AAAAADt38+Q=",0)</f>
        <v>#REF!</v>
      </c>
      <c r="HV12" t="e">
        <f>AND(#REF!,"AAAAADt38+U=")</f>
        <v>#REF!</v>
      </c>
      <c r="HW12" t="e">
        <f>AND(#REF!,"AAAAADt38+Y=")</f>
        <v>#REF!</v>
      </c>
      <c r="HX12" t="e">
        <f>AND(#REF!,"AAAAADt38+c=")</f>
        <v>#REF!</v>
      </c>
      <c r="HY12" t="e">
        <f>AND(#REF!,"AAAAADt38+g=")</f>
        <v>#REF!</v>
      </c>
      <c r="HZ12" t="e">
        <f>AND(#REF!,"AAAAADt38+k=")</f>
        <v>#REF!</v>
      </c>
      <c r="IA12" t="e">
        <f>AND(#REF!,"AAAAADt38+o=")</f>
        <v>#REF!</v>
      </c>
      <c r="IB12" t="e">
        <f>AND(#REF!,"AAAAADt38+s=")</f>
        <v>#REF!</v>
      </c>
      <c r="IC12" t="e">
        <f>AND(#REF!,"AAAAADt38+w=")</f>
        <v>#REF!</v>
      </c>
      <c r="ID12" t="e">
        <f>AND(#REF!,"AAAAADt38+0=")</f>
        <v>#REF!</v>
      </c>
      <c r="IE12" t="e">
        <f>AND(#REF!,"AAAAADt38+4=")</f>
        <v>#REF!</v>
      </c>
      <c r="IF12" t="e">
        <f>AND(#REF!,"AAAAADt38+8=")</f>
        <v>#REF!</v>
      </c>
      <c r="IG12" t="e">
        <f>AND(#REF!,"AAAAADt38/A=")</f>
        <v>#REF!</v>
      </c>
      <c r="IH12" t="e">
        <f>AND(#REF!,"AAAAADt38/E=")</f>
        <v>#REF!</v>
      </c>
      <c r="II12" t="e">
        <f>AND(#REF!,"AAAAADt38/I=")</f>
        <v>#REF!</v>
      </c>
      <c r="IJ12" t="e">
        <f>AND(#REF!,"AAAAADt38/M=")</f>
        <v>#REF!</v>
      </c>
      <c r="IK12" t="e">
        <f>AND(#REF!,"AAAAADt38/Q=")</f>
        <v>#REF!</v>
      </c>
      <c r="IL12" t="e">
        <f>AND(#REF!,"AAAAADt38/U=")</f>
        <v>#REF!</v>
      </c>
      <c r="IM12" t="e">
        <f>AND(#REF!,"AAAAADt38/Y=")</f>
        <v>#REF!</v>
      </c>
      <c r="IN12" t="e">
        <f>AND(#REF!,"AAAAADt38/c=")</f>
        <v>#REF!</v>
      </c>
      <c r="IO12" t="e">
        <f>AND(#REF!,"AAAAADt38/g=")</f>
        <v>#REF!</v>
      </c>
      <c r="IP12" t="e">
        <f>AND(#REF!,"AAAAADt38/k=")</f>
        <v>#REF!</v>
      </c>
      <c r="IQ12" t="e">
        <f>AND(#REF!,"AAAAADt38/o=")</f>
        <v>#REF!</v>
      </c>
      <c r="IR12" t="e">
        <f>AND(#REF!,"AAAAADt38/s=")</f>
        <v>#REF!</v>
      </c>
      <c r="IS12" t="e">
        <f>AND(#REF!,"AAAAADt38/w=")</f>
        <v>#REF!</v>
      </c>
      <c r="IT12" t="e">
        <f>AND(#REF!,"AAAAADt38/0=")</f>
        <v>#REF!</v>
      </c>
      <c r="IU12" t="e">
        <f>AND(#REF!,"AAAAADt38/4=")</f>
        <v>#REF!</v>
      </c>
      <c r="IV12" t="e">
        <f>AND(#REF!,"AAAAADt38/8=")</f>
        <v>#REF!</v>
      </c>
    </row>
    <row r="13" spans="1:256">
      <c r="A13" t="e">
        <f>AND(#REF!,"AAAAAG7qXQA=")</f>
        <v>#REF!</v>
      </c>
      <c r="B13" t="e">
        <f>AND(#REF!,"AAAAAG7qXQE=")</f>
        <v>#REF!</v>
      </c>
      <c r="C13" t="e">
        <f>AND(#REF!,"AAAAAG7qXQI=")</f>
        <v>#REF!</v>
      </c>
      <c r="D13" t="e">
        <f>AND(#REF!,"AAAAAG7qXQM=")</f>
        <v>#REF!</v>
      </c>
      <c r="E13" t="e">
        <f>AND(#REF!,"AAAAAG7qXQQ=")</f>
        <v>#REF!</v>
      </c>
      <c r="F13" t="e">
        <f>AND(#REF!,"AAAAAG7qXQU=")</f>
        <v>#REF!</v>
      </c>
      <c r="G13" t="e">
        <f>AND(#REF!,"AAAAAG7qXQY=")</f>
        <v>#REF!</v>
      </c>
      <c r="H13" t="e">
        <f>AND(#REF!,"AAAAAG7qXQc=")</f>
        <v>#REF!</v>
      </c>
      <c r="I13" t="e">
        <f>IF(#REF!,"AAAAAG7qXQg=",0)</f>
        <v>#REF!</v>
      </c>
      <c r="J13" t="e">
        <f>AND(#REF!,"AAAAAG7qXQk=")</f>
        <v>#REF!</v>
      </c>
      <c r="K13" t="e">
        <f>AND(#REF!,"AAAAAG7qXQo=")</f>
        <v>#REF!</v>
      </c>
      <c r="L13" t="e">
        <f>AND(#REF!,"AAAAAG7qXQs=")</f>
        <v>#REF!</v>
      </c>
      <c r="M13" t="e">
        <f>AND(#REF!,"AAAAAG7qXQw=")</f>
        <v>#REF!</v>
      </c>
      <c r="N13" t="e">
        <f>AND(#REF!,"AAAAAG7qXQ0=")</f>
        <v>#REF!</v>
      </c>
      <c r="O13" t="e">
        <f>AND(#REF!,"AAAAAG7qXQ4=")</f>
        <v>#REF!</v>
      </c>
      <c r="P13" t="e">
        <f>AND(#REF!,"AAAAAG7qXQ8=")</f>
        <v>#REF!</v>
      </c>
      <c r="Q13" t="e">
        <f>AND(#REF!,"AAAAAG7qXRA=")</f>
        <v>#REF!</v>
      </c>
      <c r="R13" t="e">
        <f>AND(#REF!,"AAAAAG7qXRE=")</f>
        <v>#REF!</v>
      </c>
      <c r="S13" t="e">
        <f>AND(#REF!,"AAAAAG7qXRI=")</f>
        <v>#REF!</v>
      </c>
      <c r="T13" t="e">
        <f>AND(#REF!,"AAAAAG7qXRM=")</f>
        <v>#REF!</v>
      </c>
      <c r="U13" t="e">
        <f>AND(#REF!,"AAAAAG7qXRQ=")</f>
        <v>#REF!</v>
      </c>
      <c r="V13" t="e">
        <f>AND(#REF!,"AAAAAG7qXRU=")</f>
        <v>#REF!</v>
      </c>
      <c r="W13" t="e">
        <f>AND(#REF!,"AAAAAG7qXRY=")</f>
        <v>#REF!</v>
      </c>
      <c r="X13" t="e">
        <f>AND(#REF!,"AAAAAG7qXRc=")</f>
        <v>#REF!</v>
      </c>
      <c r="Y13" t="e">
        <f>AND(#REF!,"AAAAAG7qXRg=")</f>
        <v>#REF!</v>
      </c>
      <c r="Z13" t="e">
        <f>AND(#REF!,"AAAAAG7qXRk=")</f>
        <v>#REF!</v>
      </c>
      <c r="AA13" t="e">
        <f>AND(#REF!,"AAAAAG7qXRo=")</f>
        <v>#REF!</v>
      </c>
      <c r="AB13" t="e">
        <f>AND(#REF!,"AAAAAG7qXRs=")</f>
        <v>#REF!</v>
      </c>
      <c r="AC13" t="e">
        <f>AND(#REF!,"AAAAAG7qXRw=")</f>
        <v>#REF!</v>
      </c>
      <c r="AD13" t="e">
        <f>AND(#REF!,"AAAAAG7qXR0=")</f>
        <v>#REF!</v>
      </c>
      <c r="AE13" t="e">
        <f>AND(#REF!,"AAAAAG7qXR4=")</f>
        <v>#REF!</v>
      </c>
      <c r="AF13" t="e">
        <f>AND(#REF!,"AAAAAG7qXR8=")</f>
        <v>#REF!</v>
      </c>
      <c r="AG13" t="e">
        <f>AND(#REF!,"AAAAAG7qXSA=")</f>
        <v>#REF!</v>
      </c>
      <c r="AH13" t="e">
        <f>AND(#REF!,"AAAAAG7qXSE=")</f>
        <v>#REF!</v>
      </c>
      <c r="AI13" t="e">
        <f>AND(#REF!,"AAAAAG7qXSI=")</f>
        <v>#REF!</v>
      </c>
      <c r="AJ13" t="e">
        <f>AND(#REF!,"AAAAAG7qXSM=")</f>
        <v>#REF!</v>
      </c>
      <c r="AK13" t="e">
        <f>AND(#REF!,"AAAAAG7qXSQ=")</f>
        <v>#REF!</v>
      </c>
      <c r="AL13" t="e">
        <f>AND(#REF!,"AAAAAG7qXSU=")</f>
        <v>#REF!</v>
      </c>
      <c r="AM13" t="e">
        <f>AND(#REF!,"AAAAAG7qXSY=")</f>
        <v>#REF!</v>
      </c>
      <c r="AN13" t="e">
        <f>AND(#REF!,"AAAAAG7qXSc=")</f>
        <v>#REF!</v>
      </c>
      <c r="AO13" t="e">
        <f>AND(#REF!,"AAAAAG7qXSg=")</f>
        <v>#REF!</v>
      </c>
      <c r="AP13" t="e">
        <f>AND(#REF!,"AAAAAG7qXSk=")</f>
        <v>#REF!</v>
      </c>
      <c r="AQ13" t="e">
        <f>AND(#REF!,"AAAAAG7qXSo=")</f>
        <v>#REF!</v>
      </c>
      <c r="AR13" t="e">
        <f>AND(#REF!,"AAAAAG7qXSs=")</f>
        <v>#REF!</v>
      </c>
      <c r="AS13" t="e">
        <f>IF(#REF!,"AAAAAG7qXSw=",0)</f>
        <v>#REF!</v>
      </c>
      <c r="AT13" t="e">
        <f>AND(#REF!,"AAAAAG7qXS0=")</f>
        <v>#REF!</v>
      </c>
      <c r="AU13" t="e">
        <f>AND(#REF!,"AAAAAG7qXS4=")</f>
        <v>#REF!</v>
      </c>
      <c r="AV13" t="e">
        <f>AND(#REF!,"AAAAAG7qXS8=")</f>
        <v>#REF!</v>
      </c>
      <c r="AW13" t="e">
        <f>AND(#REF!,"AAAAAG7qXTA=")</f>
        <v>#REF!</v>
      </c>
      <c r="AX13" t="e">
        <f>AND(#REF!,"AAAAAG7qXTE=")</f>
        <v>#REF!</v>
      </c>
      <c r="AY13" t="e">
        <f>AND(#REF!,"AAAAAG7qXTI=")</f>
        <v>#REF!</v>
      </c>
      <c r="AZ13" t="e">
        <f>AND(#REF!,"AAAAAG7qXTM=")</f>
        <v>#REF!</v>
      </c>
      <c r="BA13" t="e">
        <f>AND(#REF!,"AAAAAG7qXTQ=")</f>
        <v>#REF!</v>
      </c>
      <c r="BB13" t="e">
        <f>AND(#REF!,"AAAAAG7qXTU=")</f>
        <v>#REF!</v>
      </c>
      <c r="BC13" t="e">
        <f>AND(#REF!,"AAAAAG7qXTY=")</f>
        <v>#REF!</v>
      </c>
      <c r="BD13" t="e">
        <f>AND(#REF!,"AAAAAG7qXTc=")</f>
        <v>#REF!</v>
      </c>
      <c r="BE13" t="e">
        <f>AND(#REF!,"AAAAAG7qXTg=")</f>
        <v>#REF!</v>
      </c>
      <c r="BF13" t="e">
        <f>AND(#REF!,"AAAAAG7qXTk=")</f>
        <v>#REF!</v>
      </c>
      <c r="BG13" t="e">
        <f>AND(#REF!,"AAAAAG7qXTo=")</f>
        <v>#REF!</v>
      </c>
      <c r="BH13" t="e">
        <f>AND(#REF!,"AAAAAG7qXTs=")</f>
        <v>#REF!</v>
      </c>
      <c r="BI13" t="e">
        <f>AND(#REF!,"AAAAAG7qXTw=")</f>
        <v>#REF!</v>
      </c>
      <c r="BJ13" t="e">
        <f>AND(#REF!,"AAAAAG7qXT0=")</f>
        <v>#REF!</v>
      </c>
      <c r="BK13" t="e">
        <f>AND(#REF!,"AAAAAG7qXT4=")</f>
        <v>#REF!</v>
      </c>
      <c r="BL13" t="e">
        <f>AND(#REF!,"AAAAAG7qXT8=")</f>
        <v>#REF!</v>
      </c>
      <c r="BM13" t="e">
        <f>AND(#REF!,"AAAAAG7qXUA=")</f>
        <v>#REF!</v>
      </c>
      <c r="BN13" t="e">
        <f>AND(#REF!,"AAAAAG7qXUE=")</f>
        <v>#REF!</v>
      </c>
      <c r="BO13" t="e">
        <f>AND(#REF!,"AAAAAG7qXUI=")</f>
        <v>#REF!</v>
      </c>
      <c r="BP13" t="e">
        <f>AND(#REF!,"AAAAAG7qXUM=")</f>
        <v>#REF!</v>
      </c>
      <c r="BQ13" t="e">
        <f>AND(#REF!,"AAAAAG7qXUQ=")</f>
        <v>#REF!</v>
      </c>
      <c r="BR13" t="e">
        <f>AND(#REF!,"AAAAAG7qXUU=")</f>
        <v>#REF!</v>
      </c>
      <c r="BS13" t="e">
        <f>AND(#REF!,"AAAAAG7qXUY=")</f>
        <v>#REF!</v>
      </c>
      <c r="BT13" t="e">
        <f>AND(#REF!,"AAAAAG7qXUc=")</f>
        <v>#REF!</v>
      </c>
      <c r="BU13" t="e">
        <f>AND(#REF!,"AAAAAG7qXUg=")</f>
        <v>#REF!</v>
      </c>
      <c r="BV13" t="e">
        <f>AND(#REF!,"AAAAAG7qXUk=")</f>
        <v>#REF!</v>
      </c>
      <c r="BW13" t="e">
        <f>AND(#REF!,"AAAAAG7qXUo=")</f>
        <v>#REF!</v>
      </c>
      <c r="BX13" t="e">
        <f>AND(#REF!,"AAAAAG7qXUs=")</f>
        <v>#REF!</v>
      </c>
      <c r="BY13" t="e">
        <f>AND(#REF!,"AAAAAG7qXUw=")</f>
        <v>#REF!</v>
      </c>
      <c r="BZ13" t="e">
        <f>AND(#REF!,"AAAAAG7qXU0=")</f>
        <v>#REF!</v>
      </c>
      <c r="CA13" t="e">
        <f>AND(#REF!,"AAAAAG7qXU4=")</f>
        <v>#REF!</v>
      </c>
      <c r="CB13" t="e">
        <f>AND(#REF!,"AAAAAG7qXU8=")</f>
        <v>#REF!</v>
      </c>
      <c r="CC13" t="e">
        <f>IF(#REF!,"AAAAAG7qXVA=",0)</f>
        <v>#REF!</v>
      </c>
      <c r="CD13" t="e">
        <f>AND(#REF!,"AAAAAG7qXVE=")</f>
        <v>#REF!</v>
      </c>
      <c r="CE13" t="e">
        <f>AND(#REF!,"AAAAAG7qXVI=")</f>
        <v>#REF!</v>
      </c>
      <c r="CF13" t="e">
        <f>AND(#REF!,"AAAAAG7qXVM=")</f>
        <v>#REF!</v>
      </c>
      <c r="CG13" t="e">
        <f>AND(#REF!,"AAAAAG7qXVQ=")</f>
        <v>#REF!</v>
      </c>
      <c r="CH13" t="e">
        <f>AND(#REF!,"AAAAAG7qXVU=")</f>
        <v>#REF!</v>
      </c>
      <c r="CI13" t="e">
        <f>AND(#REF!,"AAAAAG7qXVY=")</f>
        <v>#REF!</v>
      </c>
      <c r="CJ13" t="e">
        <f>AND(#REF!,"AAAAAG7qXVc=")</f>
        <v>#REF!</v>
      </c>
      <c r="CK13" t="e">
        <f>AND(#REF!,"AAAAAG7qXVg=")</f>
        <v>#REF!</v>
      </c>
      <c r="CL13" t="e">
        <f>AND(#REF!,"AAAAAG7qXVk=")</f>
        <v>#REF!</v>
      </c>
      <c r="CM13" t="e">
        <f>AND(#REF!,"AAAAAG7qXVo=")</f>
        <v>#REF!</v>
      </c>
      <c r="CN13" t="e">
        <f>AND(#REF!,"AAAAAG7qXVs=")</f>
        <v>#REF!</v>
      </c>
      <c r="CO13" t="e">
        <f>AND(#REF!,"AAAAAG7qXVw=")</f>
        <v>#REF!</v>
      </c>
      <c r="CP13" t="e">
        <f>AND(#REF!,"AAAAAG7qXV0=")</f>
        <v>#REF!</v>
      </c>
      <c r="CQ13" t="e">
        <f>AND(#REF!,"AAAAAG7qXV4=")</f>
        <v>#REF!</v>
      </c>
      <c r="CR13" t="e">
        <f>AND(#REF!,"AAAAAG7qXV8=")</f>
        <v>#REF!</v>
      </c>
      <c r="CS13" t="e">
        <f>AND(#REF!,"AAAAAG7qXWA=")</f>
        <v>#REF!</v>
      </c>
      <c r="CT13" t="e">
        <f>AND(#REF!,"AAAAAG7qXWE=")</f>
        <v>#REF!</v>
      </c>
      <c r="CU13" t="e">
        <f>AND(#REF!,"AAAAAG7qXWI=")</f>
        <v>#REF!</v>
      </c>
      <c r="CV13" t="e">
        <f>AND(#REF!,"AAAAAG7qXWM=")</f>
        <v>#REF!</v>
      </c>
      <c r="CW13" t="e">
        <f>AND(#REF!,"AAAAAG7qXWQ=")</f>
        <v>#REF!</v>
      </c>
      <c r="CX13" t="e">
        <f>AND(#REF!,"AAAAAG7qXWU=")</f>
        <v>#REF!</v>
      </c>
      <c r="CY13" t="e">
        <f>AND(#REF!,"AAAAAG7qXWY=")</f>
        <v>#REF!</v>
      </c>
      <c r="CZ13" t="e">
        <f>AND(#REF!,"AAAAAG7qXWc=")</f>
        <v>#REF!</v>
      </c>
      <c r="DA13" t="e">
        <f>AND(#REF!,"AAAAAG7qXWg=")</f>
        <v>#REF!</v>
      </c>
      <c r="DB13" t="e">
        <f>AND(#REF!,"AAAAAG7qXWk=")</f>
        <v>#REF!</v>
      </c>
      <c r="DC13" t="e">
        <f>AND(#REF!,"AAAAAG7qXWo=")</f>
        <v>#REF!</v>
      </c>
      <c r="DD13" t="e">
        <f>AND(#REF!,"AAAAAG7qXWs=")</f>
        <v>#REF!</v>
      </c>
      <c r="DE13" t="e">
        <f>AND(#REF!,"AAAAAG7qXWw=")</f>
        <v>#REF!</v>
      </c>
      <c r="DF13" t="e">
        <f>AND(#REF!,"AAAAAG7qXW0=")</f>
        <v>#REF!</v>
      </c>
      <c r="DG13" t="e">
        <f>AND(#REF!,"AAAAAG7qXW4=")</f>
        <v>#REF!</v>
      </c>
      <c r="DH13" t="e">
        <f>AND(#REF!,"AAAAAG7qXW8=")</f>
        <v>#REF!</v>
      </c>
      <c r="DI13" t="e">
        <f>AND(#REF!,"AAAAAG7qXXA=")</f>
        <v>#REF!</v>
      </c>
      <c r="DJ13" t="e">
        <f>AND(#REF!,"AAAAAG7qXXE=")</f>
        <v>#REF!</v>
      </c>
      <c r="DK13" t="e">
        <f>AND(#REF!,"AAAAAG7qXXI=")</f>
        <v>#REF!</v>
      </c>
      <c r="DL13" t="e">
        <f>AND(#REF!,"AAAAAG7qXXM=")</f>
        <v>#REF!</v>
      </c>
      <c r="DM13" t="e">
        <f>IF(#REF!,"AAAAAG7qXXQ=",0)</f>
        <v>#REF!</v>
      </c>
      <c r="DN13" t="e">
        <f>AND(#REF!,"AAAAAG7qXXU=")</f>
        <v>#REF!</v>
      </c>
      <c r="DO13" t="e">
        <f>AND(#REF!,"AAAAAG7qXXY=")</f>
        <v>#REF!</v>
      </c>
      <c r="DP13" t="e">
        <f>AND(#REF!,"AAAAAG7qXXc=")</f>
        <v>#REF!</v>
      </c>
      <c r="DQ13" t="e">
        <f>AND(#REF!,"AAAAAG7qXXg=")</f>
        <v>#REF!</v>
      </c>
      <c r="DR13" t="e">
        <f>AND(#REF!,"AAAAAG7qXXk=")</f>
        <v>#REF!</v>
      </c>
      <c r="DS13" t="e">
        <f>AND(#REF!,"AAAAAG7qXXo=")</f>
        <v>#REF!</v>
      </c>
      <c r="DT13" t="e">
        <f>AND(#REF!,"AAAAAG7qXXs=")</f>
        <v>#REF!</v>
      </c>
      <c r="DU13" t="e">
        <f>AND(#REF!,"AAAAAG7qXXw=")</f>
        <v>#REF!</v>
      </c>
      <c r="DV13" t="e">
        <f>AND(#REF!,"AAAAAG7qXX0=")</f>
        <v>#REF!</v>
      </c>
      <c r="DW13" t="e">
        <f>AND(#REF!,"AAAAAG7qXX4=")</f>
        <v>#REF!</v>
      </c>
      <c r="DX13" t="e">
        <f>AND(#REF!,"AAAAAG7qXX8=")</f>
        <v>#REF!</v>
      </c>
      <c r="DY13" t="e">
        <f>AND(#REF!,"AAAAAG7qXYA=")</f>
        <v>#REF!</v>
      </c>
      <c r="DZ13" t="e">
        <f>AND(#REF!,"AAAAAG7qXYE=")</f>
        <v>#REF!</v>
      </c>
      <c r="EA13" t="e">
        <f>AND(#REF!,"AAAAAG7qXYI=")</f>
        <v>#REF!</v>
      </c>
      <c r="EB13" t="e">
        <f>AND(#REF!,"AAAAAG7qXYM=")</f>
        <v>#REF!</v>
      </c>
      <c r="EC13" t="e">
        <f>AND(#REF!,"AAAAAG7qXYQ=")</f>
        <v>#REF!</v>
      </c>
      <c r="ED13" t="e">
        <f>AND(#REF!,"AAAAAG7qXYU=")</f>
        <v>#REF!</v>
      </c>
      <c r="EE13" t="e">
        <f>AND(#REF!,"AAAAAG7qXYY=")</f>
        <v>#REF!</v>
      </c>
      <c r="EF13" t="e">
        <f>AND(#REF!,"AAAAAG7qXYc=")</f>
        <v>#REF!</v>
      </c>
      <c r="EG13" t="e">
        <f>AND(#REF!,"AAAAAG7qXYg=")</f>
        <v>#REF!</v>
      </c>
      <c r="EH13" t="e">
        <f>AND(#REF!,"AAAAAG7qXYk=")</f>
        <v>#REF!</v>
      </c>
      <c r="EI13" t="e">
        <f>AND(#REF!,"AAAAAG7qXYo=")</f>
        <v>#REF!</v>
      </c>
      <c r="EJ13" t="e">
        <f>AND(#REF!,"AAAAAG7qXYs=")</f>
        <v>#REF!</v>
      </c>
      <c r="EK13" t="e">
        <f>AND(#REF!,"AAAAAG7qXYw=")</f>
        <v>#REF!</v>
      </c>
      <c r="EL13" t="e">
        <f>AND(#REF!,"AAAAAG7qXY0=")</f>
        <v>#REF!</v>
      </c>
      <c r="EM13" t="e">
        <f>AND(#REF!,"AAAAAG7qXY4=")</f>
        <v>#REF!</v>
      </c>
      <c r="EN13" t="e">
        <f>AND(#REF!,"AAAAAG7qXY8=")</f>
        <v>#REF!</v>
      </c>
      <c r="EO13" t="e">
        <f>AND(#REF!,"AAAAAG7qXZA=")</f>
        <v>#REF!</v>
      </c>
      <c r="EP13" t="e">
        <f>AND(#REF!,"AAAAAG7qXZE=")</f>
        <v>#REF!</v>
      </c>
      <c r="EQ13" t="e">
        <f>AND(#REF!,"AAAAAG7qXZI=")</f>
        <v>#REF!</v>
      </c>
      <c r="ER13" t="e">
        <f>AND(#REF!,"AAAAAG7qXZM=")</f>
        <v>#REF!</v>
      </c>
      <c r="ES13" t="e">
        <f>AND(#REF!,"AAAAAG7qXZQ=")</f>
        <v>#REF!</v>
      </c>
      <c r="ET13" t="e">
        <f>AND(#REF!,"AAAAAG7qXZU=")</f>
        <v>#REF!</v>
      </c>
      <c r="EU13" t="e">
        <f>AND(#REF!,"AAAAAG7qXZY=")</f>
        <v>#REF!</v>
      </c>
      <c r="EV13" t="e">
        <f>AND(#REF!,"AAAAAG7qXZc=")</f>
        <v>#REF!</v>
      </c>
      <c r="EW13" t="e">
        <f>IF(#REF!,"AAAAAG7qXZg=",0)</f>
        <v>#REF!</v>
      </c>
      <c r="EX13" t="e">
        <f>AND(#REF!,"AAAAAG7qXZk=")</f>
        <v>#REF!</v>
      </c>
      <c r="EY13" t="e">
        <f>AND(#REF!,"AAAAAG7qXZo=")</f>
        <v>#REF!</v>
      </c>
      <c r="EZ13" t="e">
        <f>AND(#REF!,"AAAAAG7qXZs=")</f>
        <v>#REF!</v>
      </c>
      <c r="FA13" t="e">
        <f>AND(#REF!,"AAAAAG7qXZw=")</f>
        <v>#REF!</v>
      </c>
      <c r="FB13" t="e">
        <f>AND(#REF!,"AAAAAG7qXZ0=")</f>
        <v>#REF!</v>
      </c>
      <c r="FC13" t="e">
        <f>AND(#REF!,"AAAAAG7qXZ4=")</f>
        <v>#REF!</v>
      </c>
      <c r="FD13" t="e">
        <f>AND(#REF!,"AAAAAG7qXZ8=")</f>
        <v>#REF!</v>
      </c>
      <c r="FE13" t="e">
        <f>AND(#REF!,"AAAAAG7qXaA=")</f>
        <v>#REF!</v>
      </c>
      <c r="FF13" t="e">
        <f>AND(#REF!,"AAAAAG7qXaE=")</f>
        <v>#REF!</v>
      </c>
      <c r="FG13" t="e">
        <f>AND(#REF!,"AAAAAG7qXaI=")</f>
        <v>#REF!</v>
      </c>
      <c r="FH13" t="e">
        <f>AND(#REF!,"AAAAAG7qXaM=")</f>
        <v>#REF!</v>
      </c>
      <c r="FI13" t="e">
        <f>AND(#REF!,"AAAAAG7qXaQ=")</f>
        <v>#REF!</v>
      </c>
      <c r="FJ13" t="e">
        <f>AND(#REF!,"AAAAAG7qXaU=")</f>
        <v>#REF!</v>
      </c>
      <c r="FK13" t="e">
        <f>AND(#REF!,"AAAAAG7qXaY=")</f>
        <v>#REF!</v>
      </c>
      <c r="FL13" t="e">
        <f>AND(#REF!,"AAAAAG7qXac=")</f>
        <v>#REF!</v>
      </c>
      <c r="FM13" t="e">
        <f>AND(#REF!,"AAAAAG7qXag=")</f>
        <v>#REF!</v>
      </c>
      <c r="FN13" t="e">
        <f>AND(#REF!,"AAAAAG7qXak=")</f>
        <v>#REF!</v>
      </c>
      <c r="FO13" t="e">
        <f>AND(#REF!,"AAAAAG7qXao=")</f>
        <v>#REF!</v>
      </c>
      <c r="FP13" t="e">
        <f>AND(#REF!,"AAAAAG7qXas=")</f>
        <v>#REF!</v>
      </c>
      <c r="FQ13" t="e">
        <f>AND(#REF!,"AAAAAG7qXaw=")</f>
        <v>#REF!</v>
      </c>
      <c r="FR13" t="e">
        <f>AND(#REF!,"AAAAAG7qXa0=")</f>
        <v>#REF!</v>
      </c>
      <c r="FS13" t="e">
        <f>AND(#REF!,"AAAAAG7qXa4=")</f>
        <v>#REF!</v>
      </c>
      <c r="FT13" t="e">
        <f>AND(#REF!,"AAAAAG7qXa8=")</f>
        <v>#REF!</v>
      </c>
      <c r="FU13" t="e">
        <f>AND(#REF!,"AAAAAG7qXbA=")</f>
        <v>#REF!</v>
      </c>
      <c r="FV13" t="e">
        <f>AND(#REF!,"AAAAAG7qXbE=")</f>
        <v>#REF!</v>
      </c>
      <c r="FW13" t="e">
        <f>AND(#REF!,"AAAAAG7qXbI=")</f>
        <v>#REF!</v>
      </c>
      <c r="FX13" t="e">
        <f>AND(#REF!,"AAAAAG7qXbM=")</f>
        <v>#REF!</v>
      </c>
      <c r="FY13" t="e">
        <f>AND(#REF!,"AAAAAG7qXbQ=")</f>
        <v>#REF!</v>
      </c>
      <c r="FZ13" t="e">
        <f>AND(#REF!,"AAAAAG7qXbU=")</f>
        <v>#REF!</v>
      </c>
      <c r="GA13" t="e">
        <f>AND(#REF!,"AAAAAG7qXbY=")</f>
        <v>#REF!</v>
      </c>
      <c r="GB13" t="e">
        <f>AND(#REF!,"AAAAAG7qXbc=")</f>
        <v>#REF!</v>
      </c>
      <c r="GC13" t="e">
        <f>AND(#REF!,"AAAAAG7qXbg=")</f>
        <v>#REF!</v>
      </c>
      <c r="GD13" t="e">
        <f>AND(#REF!,"AAAAAG7qXbk=")</f>
        <v>#REF!</v>
      </c>
      <c r="GE13" t="e">
        <f>AND(#REF!,"AAAAAG7qXbo=")</f>
        <v>#REF!</v>
      </c>
      <c r="GF13" t="e">
        <f>AND(#REF!,"AAAAAG7qXbs=")</f>
        <v>#REF!</v>
      </c>
      <c r="GG13" t="e">
        <f>IF(#REF!,"AAAAAG7qXbw=",0)</f>
        <v>#REF!</v>
      </c>
      <c r="GH13" t="e">
        <f>AND(#REF!,"AAAAAG7qXb0=")</f>
        <v>#REF!</v>
      </c>
      <c r="GI13" t="e">
        <f>AND(#REF!,"AAAAAG7qXb4=")</f>
        <v>#REF!</v>
      </c>
      <c r="GJ13" t="e">
        <f>AND(#REF!,"AAAAAG7qXb8=")</f>
        <v>#REF!</v>
      </c>
      <c r="GK13" t="e">
        <f>AND(#REF!,"AAAAAG7qXcA=")</f>
        <v>#REF!</v>
      </c>
      <c r="GL13" t="e">
        <f>AND(#REF!,"AAAAAG7qXcE=")</f>
        <v>#REF!</v>
      </c>
      <c r="GM13" t="e">
        <f>AND(#REF!,"AAAAAG7qXcI=")</f>
        <v>#REF!</v>
      </c>
      <c r="GN13" t="e">
        <f>AND(#REF!,"AAAAAG7qXcM=")</f>
        <v>#REF!</v>
      </c>
      <c r="GO13" t="e">
        <f>AND(#REF!,"AAAAAG7qXcQ=")</f>
        <v>#REF!</v>
      </c>
      <c r="GP13" t="e">
        <f>AND(#REF!,"AAAAAG7qXcU=")</f>
        <v>#REF!</v>
      </c>
      <c r="GQ13" t="e">
        <f>AND(#REF!,"AAAAAG7qXcY=")</f>
        <v>#REF!</v>
      </c>
      <c r="GR13" t="e">
        <f>AND(#REF!,"AAAAAG7qXcc=")</f>
        <v>#REF!</v>
      </c>
      <c r="GS13" t="e">
        <f>AND(#REF!,"AAAAAG7qXcg=")</f>
        <v>#REF!</v>
      </c>
      <c r="GT13" t="e">
        <f>AND(#REF!,"AAAAAG7qXck=")</f>
        <v>#REF!</v>
      </c>
      <c r="GU13" t="e">
        <f>AND(#REF!,"AAAAAG7qXco=")</f>
        <v>#REF!</v>
      </c>
      <c r="GV13" t="e">
        <f>AND(#REF!,"AAAAAG7qXcs=")</f>
        <v>#REF!</v>
      </c>
      <c r="GW13" t="e">
        <f>AND(#REF!,"AAAAAG7qXcw=")</f>
        <v>#REF!</v>
      </c>
      <c r="GX13" t="e">
        <f>AND(#REF!,"AAAAAG7qXc0=")</f>
        <v>#REF!</v>
      </c>
      <c r="GY13" t="e">
        <f>AND(#REF!,"AAAAAG7qXc4=")</f>
        <v>#REF!</v>
      </c>
      <c r="GZ13" t="e">
        <f>AND(#REF!,"AAAAAG7qXc8=")</f>
        <v>#REF!</v>
      </c>
      <c r="HA13" t="e">
        <f>AND(#REF!,"AAAAAG7qXdA=")</f>
        <v>#REF!</v>
      </c>
      <c r="HB13" t="e">
        <f>AND(#REF!,"AAAAAG7qXdE=")</f>
        <v>#REF!</v>
      </c>
      <c r="HC13" t="e">
        <f>AND(#REF!,"AAAAAG7qXdI=")</f>
        <v>#REF!</v>
      </c>
      <c r="HD13" t="e">
        <f>AND(#REF!,"AAAAAG7qXdM=")</f>
        <v>#REF!</v>
      </c>
      <c r="HE13" t="e">
        <f>AND(#REF!,"AAAAAG7qXdQ=")</f>
        <v>#REF!</v>
      </c>
      <c r="HF13" t="e">
        <f>AND(#REF!,"AAAAAG7qXdU=")</f>
        <v>#REF!</v>
      </c>
      <c r="HG13" t="e">
        <f>AND(#REF!,"AAAAAG7qXdY=")</f>
        <v>#REF!</v>
      </c>
      <c r="HH13" t="e">
        <f>AND(#REF!,"AAAAAG7qXdc=")</f>
        <v>#REF!</v>
      </c>
      <c r="HI13" t="e">
        <f>AND(#REF!,"AAAAAG7qXdg=")</f>
        <v>#REF!</v>
      </c>
      <c r="HJ13" t="e">
        <f>AND(#REF!,"AAAAAG7qXdk=")</f>
        <v>#REF!</v>
      </c>
      <c r="HK13" t="e">
        <f>AND(#REF!,"AAAAAG7qXdo=")</f>
        <v>#REF!</v>
      </c>
      <c r="HL13" t="e">
        <f>AND(#REF!,"AAAAAG7qXds=")</f>
        <v>#REF!</v>
      </c>
      <c r="HM13" t="e">
        <f>AND(#REF!,"AAAAAG7qXdw=")</f>
        <v>#REF!</v>
      </c>
      <c r="HN13" t="e">
        <f>AND(#REF!,"AAAAAG7qXd0=")</f>
        <v>#REF!</v>
      </c>
      <c r="HO13" t="e">
        <f>AND(#REF!,"AAAAAG7qXd4=")</f>
        <v>#REF!</v>
      </c>
      <c r="HP13" t="e">
        <f>AND(#REF!,"AAAAAG7qXd8=")</f>
        <v>#REF!</v>
      </c>
      <c r="HQ13" t="e">
        <f>IF(#REF!,"AAAAAG7qXeA=",0)</f>
        <v>#REF!</v>
      </c>
      <c r="HR13" t="e">
        <f>AND(#REF!,"AAAAAG7qXeE=")</f>
        <v>#REF!</v>
      </c>
      <c r="HS13" t="e">
        <f>AND(#REF!,"AAAAAG7qXeI=")</f>
        <v>#REF!</v>
      </c>
      <c r="HT13" t="e">
        <f>AND(#REF!,"AAAAAG7qXeM=")</f>
        <v>#REF!</v>
      </c>
      <c r="HU13" t="e">
        <f>AND(#REF!,"AAAAAG7qXeQ=")</f>
        <v>#REF!</v>
      </c>
      <c r="HV13" t="e">
        <f>AND(#REF!,"AAAAAG7qXeU=")</f>
        <v>#REF!</v>
      </c>
      <c r="HW13" t="e">
        <f>AND(#REF!,"AAAAAG7qXeY=")</f>
        <v>#REF!</v>
      </c>
      <c r="HX13" t="e">
        <f>AND(#REF!,"AAAAAG7qXec=")</f>
        <v>#REF!</v>
      </c>
      <c r="HY13" t="e">
        <f>AND(#REF!,"AAAAAG7qXeg=")</f>
        <v>#REF!</v>
      </c>
      <c r="HZ13" t="e">
        <f>AND(#REF!,"AAAAAG7qXek=")</f>
        <v>#REF!</v>
      </c>
      <c r="IA13" t="e">
        <f>AND(#REF!,"AAAAAG7qXeo=")</f>
        <v>#REF!</v>
      </c>
      <c r="IB13" t="e">
        <f>AND(#REF!,"AAAAAG7qXes=")</f>
        <v>#REF!</v>
      </c>
      <c r="IC13" t="e">
        <f>AND(#REF!,"AAAAAG7qXew=")</f>
        <v>#REF!</v>
      </c>
      <c r="ID13" t="e">
        <f>AND(#REF!,"AAAAAG7qXe0=")</f>
        <v>#REF!</v>
      </c>
      <c r="IE13" t="e">
        <f>AND(#REF!,"AAAAAG7qXe4=")</f>
        <v>#REF!</v>
      </c>
      <c r="IF13" t="e">
        <f>AND(#REF!,"AAAAAG7qXe8=")</f>
        <v>#REF!</v>
      </c>
      <c r="IG13" t="e">
        <f>AND(#REF!,"AAAAAG7qXfA=")</f>
        <v>#REF!</v>
      </c>
      <c r="IH13" t="e">
        <f>AND(#REF!,"AAAAAG7qXfE=")</f>
        <v>#REF!</v>
      </c>
      <c r="II13" t="e">
        <f>AND(#REF!,"AAAAAG7qXfI=")</f>
        <v>#REF!</v>
      </c>
      <c r="IJ13" t="e">
        <f>AND(#REF!,"AAAAAG7qXfM=")</f>
        <v>#REF!</v>
      </c>
      <c r="IK13" t="e">
        <f>AND(#REF!,"AAAAAG7qXfQ=")</f>
        <v>#REF!</v>
      </c>
      <c r="IL13" t="e">
        <f>AND(#REF!,"AAAAAG7qXfU=")</f>
        <v>#REF!</v>
      </c>
      <c r="IM13" t="e">
        <f>AND(#REF!,"AAAAAG7qXfY=")</f>
        <v>#REF!</v>
      </c>
      <c r="IN13" t="e">
        <f>AND(#REF!,"AAAAAG7qXfc=")</f>
        <v>#REF!</v>
      </c>
      <c r="IO13" t="e">
        <f>AND(#REF!,"AAAAAG7qXfg=")</f>
        <v>#REF!</v>
      </c>
      <c r="IP13" t="e">
        <f>AND(#REF!,"AAAAAG7qXfk=")</f>
        <v>#REF!</v>
      </c>
      <c r="IQ13" t="e">
        <f>AND(#REF!,"AAAAAG7qXfo=")</f>
        <v>#REF!</v>
      </c>
      <c r="IR13" t="e">
        <f>AND(#REF!,"AAAAAG7qXfs=")</f>
        <v>#REF!</v>
      </c>
      <c r="IS13" t="e">
        <f>AND(#REF!,"AAAAAG7qXfw=")</f>
        <v>#REF!</v>
      </c>
      <c r="IT13" t="e">
        <f>AND(#REF!,"AAAAAG7qXf0=")</f>
        <v>#REF!</v>
      </c>
      <c r="IU13" t="e">
        <f>AND(#REF!,"AAAAAG7qXf4=")</f>
        <v>#REF!</v>
      </c>
      <c r="IV13" t="e">
        <f>AND(#REF!,"AAAAAG7qXf8=")</f>
        <v>#REF!</v>
      </c>
    </row>
    <row r="14" spans="1:256">
      <c r="A14" t="e">
        <f>AND(#REF!,"AAAAAD+/8QA=")</f>
        <v>#REF!</v>
      </c>
      <c r="B14" t="e">
        <f>AND(#REF!,"AAAAAD+/8QE=")</f>
        <v>#REF!</v>
      </c>
      <c r="C14" t="e">
        <f>AND(#REF!,"AAAAAD+/8QI=")</f>
        <v>#REF!</v>
      </c>
      <c r="D14" t="e">
        <f>AND(#REF!,"AAAAAD+/8QM=")</f>
        <v>#REF!</v>
      </c>
      <c r="E14" t="e">
        <f>IF(#REF!,"AAAAAD+/8QQ=",0)</f>
        <v>#REF!</v>
      </c>
      <c r="F14" t="e">
        <f>AND(#REF!,"AAAAAD+/8QU=")</f>
        <v>#REF!</v>
      </c>
      <c r="G14" t="e">
        <f>AND(#REF!,"AAAAAD+/8QY=")</f>
        <v>#REF!</v>
      </c>
      <c r="H14" t="e">
        <f>AND(#REF!,"AAAAAD+/8Qc=")</f>
        <v>#REF!</v>
      </c>
      <c r="I14" t="e">
        <f>AND(#REF!,"AAAAAD+/8Qg=")</f>
        <v>#REF!</v>
      </c>
      <c r="J14" t="e">
        <f>AND(#REF!,"AAAAAD+/8Qk=")</f>
        <v>#REF!</v>
      </c>
      <c r="K14" t="e">
        <f>AND(#REF!,"AAAAAD+/8Qo=")</f>
        <v>#REF!</v>
      </c>
      <c r="L14" t="e">
        <f>AND(#REF!,"AAAAAD+/8Qs=")</f>
        <v>#REF!</v>
      </c>
      <c r="M14" t="e">
        <f>AND(#REF!,"AAAAAD+/8Qw=")</f>
        <v>#REF!</v>
      </c>
      <c r="N14" t="e">
        <f>AND(#REF!,"AAAAAD+/8Q0=")</f>
        <v>#REF!</v>
      </c>
      <c r="O14" t="e">
        <f>AND(#REF!,"AAAAAD+/8Q4=")</f>
        <v>#REF!</v>
      </c>
      <c r="P14" t="e">
        <f>AND(#REF!,"AAAAAD+/8Q8=")</f>
        <v>#REF!</v>
      </c>
      <c r="Q14" t="e">
        <f>AND(#REF!,"AAAAAD+/8RA=")</f>
        <v>#REF!</v>
      </c>
      <c r="R14" t="e">
        <f>AND(#REF!,"AAAAAD+/8RE=")</f>
        <v>#REF!</v>
      </c>
      <c r="S14" t="e">
        <f>AND(#REF!,"AAAAAD+/8RI=")</f>
        <v>#REF!</v>
      </c>
      <c r="T14" t="e">
        <f>AND(#REF!,"AAAAAD+/8RM=")</f>
        <v>#REF!</v>
      </c>
      <c r="U14" t="e">
        <f>AND(#REF!,"AAAAAD+/8RQ=")</f>
        <v>#REF!</v>
      </c>
      <c r="V14" t="e">
        <f>AND(#REF!,"AAAAAD+/8RU=")</f>
        <v>#REF!</v>
      </c>
      <c r="W14" t="e">
        <f>AND(#REF!,"AAAAAD+/8RY=")</f>
        <v>#REF!</v>
      </c>
      <c r="X14" t="e">
        <f>AND(#REF!,"AAAAAD+/8Rc=")</f>
        <v>#REF!</v>
      </c>
      <c r="Y14" t="e">
        <f>AND(#REF!,"AAAAAD+/8Rg=")</f>
        <v>#REF!</v>
      </c>
      <c r="Z14" t="e">
        <f>AND(#REF!,"AAAAAD+/8Rk=")</f>
        <v>#REF!</v>
      </c>
      <c r="AA14" t="e">
        <f>AND(#REF!,"AAAAAD+/8Ro=")</f>
        <v>#REF!</v>
      </c>
      <c r="AB14" t="e">
        <f>AND(#REF!,"AAAAAD+/8Rs=")</f>
        <v>#REF!</v>
      </c>
      <c r="AC14" t="e">
        <f>AND(#REF!,"AAAAAD+/8Rw=")</f>
        <v>#REF!</v>
      </c>
      <c r="AD14" t="e">
        <f>AND(#REF!,"AAAAAD+/8R0=")</f>
        <v>#REF!</v>
      </c>
      <c r="AE14" t="e">
        <f>AND(#REF!,"AAAAAD+/8R4=")</f>
        <v>#REF!</v>
      </c>
      <c r="AF14" t="e">
        <f>AND(#REF!,"AAAAAD+/8R8=")</f>
        <v>#REF!</v>
      </c>
      <c r="AG14" t="e">
        <f>AND(#REF!,"AAAAAD+/8SA=")</f>
        <v>#REF!</v>
      </c>
      <c r="AH14" t="e">
        <f>AND(#REF!,"AAAAAD+/8SE=")</f>
        <v>#REF!</v>
      </c>
      <c r="AI14" t="e">
        <f>AND(#REF!,"AAAAAD+/8SI=")</f>
        <v>#REF!</v>
      </c>
      <c r="AJ14" t="e">
        <f>AND(#REF!,"AAAAAD+/8SM=")</f>
        <v>#REF!</v>
      </c>
      <c r="AK14" t="e">
        <f>AND(#REF!,"AAAAAD+/8SQ=")</f>
        <v>#REF!</v>
      </c>
      <c r="AL14" t="e">
        <f>AND(#REF!,"AAAAAD+/8SU=")</f>
        <v>#REF!</v>
      </c>
      <c r="AM14" t="e">
        <f>AND(#REF!,"AAAAAD+/8SY=")</f>
        <v>#REF!</v>
      </c>
      <c r="AN14" t="e">
        <f>AND(#REF!,"AAAAAD+/8Sc=")</f>
        <v>#REF!</v>
      </c>
      <c r="AO14" t="e">
        <f>IF(#REF!,"AAAAAD+/8Sg=",0)</f>
        <v>#REF!</v>
      </c>
      <c r="AP14" t="e">
        <f>AND(#REF!,"AAAAAD+/8Sk=")</f>
        <v>#REF!</v>
      </c>
      <c r="AQ14" t="e">
        <f>AND(#REF!,"AAAAAD+/8So=")</f>
        <v>#REF!</v>
      </c>
      <c r="AR14" t="e">
        <f>AND(#REF!,"AAAAAD+/8Ss=")</f>
        <v>#REF!</v>
      </c>
      <c r="AS14" t="e">
        <f>AND(#REF!,"AAAAAD+/8Sw=")</f>
        <v>#REF!</v>
      </c>
      <c r="AT14" t="e">
        <f>AND(#REF!,"AAAAAD+/8S0=")</f>
        <v>#REF!</v>
      </c>
      <c r="AU14" t="e">
        <f>AND(#REF!,"AAAAAD+/8S4=")</f>
        <v>#REF!</v>
      </c>
      <c r="AV14" t="e">
        <f>AND(#REF!,"AAAAAD+/8S8=")</f>
        <v>#REF!</v>
      </c>
      <c r="AW14" t="e">
        <f>AND(#REF!,"AAAAAD+/8TA=")</f>
        <v>#REF!</v>
      </c>
      <c r="AX14" t="e">
        <f>AND(#REF!,"AAAAAD+/8TE=")</f>
        <v>#REF!</v>
      </c>
      <c r="AY14" t="e">
        <f>AND(#REF!,"AAAAAD+/8TI=")</f>
        <v>#REF!</v>
      </c>
      <c r="AZ14" t="e">
        <f>AND(#REF!,"AAAAAD+/8TM=")</f>
        <v>#REF!</v>
      </c>
      <c r="BA14" t="e">
        <f>AND(#REF!,"AAAAAD+/8TQ=")</f>
        <v>#REF!</v>
      </c>
      <c r="BB14" t="e">
        <f>AND(#REF!,"AAAAAD+/8TU=")</f>
        <v>#REF!</v>
      </c>
      <c r="BC14" t="e">
        <f>AND(#REF!,"AAAAAD+/8TY=")</f>
        <v>#REF!</v>
      </c>
      <c r="BD14" t="e">
        <f>AND(#REF!,"AAAAAD+/8Tc=")</f>
        <v>#REF!</v>
      </c>
      <c r="BE14" t="e">
        <f>AND(#REF!,"AAAAAD+/8Tg=")</f>
        <v>#REF!</v>
      </c>
      <c r="BF14" t="e">
        <f>AND(#REF!,"AAAAAD+/8Tk=")</f>
        <v>#REF!</v>
      </c>
      <c r="BG14" t="e">
        <f>AND(#REF!,"AAAAAD+/8To=")</f>
        <v>#REF!</v>
      </c>
      <c r="BH14" t="e">
        <f>AND(#REF!,"AAAAAD+/8Ts=")</f>
        <v>#REF!</v>
      </c>
      <c r="BI14" t="e">
        <f>AND(#REF!,"AAAAAD+/8Tw=")</f>
        <v>#REF!</v>
      </c>
      <c r="BJ14" t="e">
        <f>AND(#REF!,"AAAAAD+/8T0=")</f>
        <v>#REF!</v>
      </c>
      <c r="BK14" t="e">
        <f>AND(#REF!,"AAAAAD+/8T4=")</f>
        <v>#REF!</v>
      </c>
      <c r="BL14" t="e">
        <f>AND(#REF!,"AAAAAD+/8T8=")</f>
        <v>#REF!</v>
      </c>
      <c r="BM14" t="e">
        <f>AND(#REF!,"AAAAAD+/8UA=")</f>
        <v>#REF!</v>
      </c>
      <c r="BN14" t="e">
        <f>AND(#REF!,"AAAAAD+/8UE=")</f>
        <v>#REF!</v>
      </c>
      <c r="BO14" t="e">
        <f>AND(#REF!,"AAAAAD+/8UI=")</f>
        <v>#REF!</v>
      </c>
      <c r="BP14" t="e">
        <f>AND(#REF!,"AAAAAD+/8UM=")</f>
        <v>#REF!</v>
      </c>
      <c r="BQ14" t="e">
        <f>AND(#REF!,"AAAAAD+/8UQ=")</f>
        <v>#REF!</v>
      </c>
      <c r="BR14" t="e">
        <f>AND(#REF!,"AAAAAD+/8UU=")</f>
        <v>#REF!</v>
      </c>
      <c r="BS14" t="e">
        <f>AND(#REF!,"AAAAAD+/8UY=")</f>
        <v>#REF!</v>
      </c>
      <c r="BT14" t="e">
        <f>AND(#REF!,"AAAAAD+/8Uc=")</f>
        <v>#REF!</v>
      </c>
      <c r="BU14" t="e">
        <f>AND(#REF!,"AAAAAD+/8Ug=")</f>
        <v>#REF!</v>
      </c>
      <c r="BV14" t="e">
        <f>AND(#REF!,"AAAAAD+/8Uk=")</f>
        <v>#REF!</v>
      </c>
      <c r="BW14" t="e">
        <f>AND(#REF!,"AAAAAD+/8Uo=")</f>
        <v>#REF!</v>
      </c>
      <c r="BX14" t="e">
        <f>AND(#REF!,"AAAAAD+/8Us=")</f>
        <v>#REF!</v>
      </c>
      <c r="BY14" t="e">
        <f>IF(#REF!,"AAAAAD+/8Uw=",0)</f>
        <v>#REF!</v>
      </c>
      <c r="BZ14" t="e">
        <f>AND(#REF!,"AAAAAD+/8U0=")</f>
        <v>#REF!</v>
      </c>
      <c r="CA14" t="e">
        <f>AND(#REF!,"AAAAAD+/8U4=")</f>
        <v>#REF!</v>
      </c>
      <c r="CB14" t="e">
        <f>AND(#REF!,"AAAAAD+/8U8=")</f>
        <v>#REF!</v>
      </c>
      <c r="CC14" t="e">
        <f>AND(#REF!,"AAAAAD+/8VA=")</f>
        <v>#REF!</v>
      </c>
      <c r="CD14" t="e">
        <f>AND(#REF!,"AAAAAD+/8VE=")</f>
        <v>#REF!</v>
      </c>
      <c r="CE14" t="e">
        <f>AND(#REF!,"AAAAAD+/8VI=")</f>
        <v>#REF!</v>
      </c>
      <c r="CF14" t="e">
        <f>AND(#REF!,"AAAAAD+/8VM=")</f>
        <v>#REF!</v>
      </c>
      <c r="CG14" t="e">
        <f>AND(#REF!,"AAAAAD+/8VQ=")</f>
        <v>#REF!</v>
      </c>
      <c r="CH14" t="e">
        <f>AND(#REF!,"AAAAAD+/8VU=")</f>
        <v>#REF!</v>
      </c>
      <c r="CI14" t="e">
        <f>AND(#REF!,"AAAAAD+/8VY=")</f>
        <v>#REF!</v>
      </c>
      <c r="CJ14" t="e">
        <f>AND(#REF!,"AAAAAD+/8Vc=")</f>
        <v>#REF!</v>
      </c>
      <c r="CK14" t="e">
        <f>AND(#REF!,"AAAAAD+/8Vg=")</f>
        <v>#REF!</v>
      </c>
      <c r="CL14" t="e">
        <f>AND(#REF!,"AAAAAD+/8Vk=")</f>
        <v>#REF!</v>
      </c>
      <c r="CM14" t="e">
        <f>AND(#REF!,"AAAAAD+/8Vo=")</f>
        <v>#REF!</v>
      </c>
      <c r="CN14" t="e">
        <f>AND(#REF!,"AAAAAD+/8Vs=")</f>
        <v>#REF!</v>
      </c>
      <c r="CO14" t="e">
        <f>AND(#REF!,"AAAAAD+/8Vw=")</f>
        <v>#REF!</v>
      </c>
      <c r="CP14" t="e">
        <f>AND(#REF!,"AAAAAD+/8V0=")</f>
        <v>#REF!</v>
      </c>
      <c r="CQ14" t="e">
        <f>AND(#REF!,"AAAAAD+/8V4=")</f>
        <v>#REF!</v>
      </c>
      <c r="CR14" t="e">
        <f>AND(#REF!,"AAAAAD+/8V8=")</f>
        <v>#REF!</v>
      </c>
      <c r="CS14" t="e">
        <f>AND(#REF!,"AAAAAD+/8WA=")</f>
        <v>#REF!</v>
      </c>
      <c r="CT14" t="e">
        <f>AND(#REF!,"AAAAAD+/8WE=")</f>
        <v>#REF!</v>
      </c>
      <c r="CU14" t="e">
        <f>AND(#REF!,"AAAAAD+/8WI=")</f>
        <v>#REF!</v>
      </c>
      <c r="CV14" t="e">
        <f>AND(#REF!,"AAAAAD+/8WM=")</f>
        <v>#REF!</v>
      </c>
      <c r="CW14" t="e">
        <f>AND(#REF!,"AAAAAD+/8WQ=")</f>
        <v>#REF!</v>
      </c>
      <c r="CX14" t="e">
        <f>AND(#REF!,"AAAAAD+/8WU=")</f>
        <v>#REF!</v>
      </c>
      <c r="CY14" t="e">
        <f>AND(#REF!,"AAAAAD+/8WY=")</f>
        <v>#REF!</v>
      </c>
      <c r="CZ14" t="e">
        <f>AND(#REF!,"AAAAAD+/8Wc=")</f>
        <v>#REF!</v>
      </c>
      <c r="DA14" t="e">
        <f>AND(#REF!,"AAAAAD+/8Wg=")</f>
        <v>#REF!</v>
      </c>
      <c r="DB14" t="e">
        <f>AND(#REF!,"AAAAAD+/8Wk=")</f>
        <v>#REF!</v>
      </c>
      <c r="DC14" t="e">
        <f>AND(#REF!,"AAAAAD+/8Wo=")</f>
        <v>#REF!</v>
      </c>
      <c r="DD14" t="e">
        <f>AND(#REF!,"AAAAAD+/8Ws=")</f>
        <v>#REF!</v>
      </c>
      <c r="DE14" t="e">
        <f>AND(#REF!,"AAAAAD+/8Ww=")</f>
        <v>#REF!</v>
      </c>
      <c r="DF14" t="e">
        <f>AND(#REF!,"AAAAAD+/8W0=")</f>
        <v>#REF!</v>
      </c>
      <c r="DG14" t="e">
        <f>AND(#REF!,"AAAAAD+/8W4=")</f>
        <v>#REF!</v>
      </c>
      <c r="DH14" t="e">
        <f>AND(#REF!,"AAAAAD+/8W8=")</f>
        <v>#REF!</v>
      </c>
      <c r="DI14" t="e">
        <f>IF(#REF!,"AAAAAD+/8XA=",0)</f>
        <v>#REF!</v>
      </c>
      <c r="DJ14" t="e">
        <f>IF(#REF!,"AAAAAD+/8XE=",0)</f>
        <v>#REF!</v>
      </c>
      <c r="DK14" t="e">
        <f>IF(#REF!,"AAAAAD+/8XI=",0)</f>
        <v>#REF!</v>
      </c>
      <c r="DL14" t="e">
        <f>IF(#REF!,"AAAAAD+/8XM=",0)</f>
        <v>#REF!</v>
      </c>
      <c r="DM14" t="e">
        <f>IF(#REF!,"AAAAAD+/8XQ=",0)</f>
        <v>#REF!</v>
      </c>
      <c r="DN14" t="e">
        <f>IF(#REF!,"AAAAAD+/8XU=",0)</f>
        <v>#REF!</v>
      </c>
      <c r="DO14" t="e">
        <f>IF(#REF!,"AAAAAD+/8XY=",0)</f>
        <v>#REF!</v>
      </c>
      <c r="DP14" t="e">
        <f>IF(#REF!,"AAAAAD+/8Xc=",0)</f>
        <v>#REF!</v>
      </c>
      <c r="DQ14" t="e">
        <f>IF(#REF!,"AAAAAD+/8Xg=",0)</f>
        <v>#REF!</v>
      </c>
      <c r="DR14" t="e">
        <f>IF(#REF!,"AAAAAD+/8Xk=",0)</f>
        <v>#REF!</v>
      </c>
      <c r="DS14" t="e">
        <f>IF(#REF!,"AAAAAD+/8Xo=",0)</f>
        <v>#REF!</v>
      </c>
      <c r="DT14" t="e">
        <f>IF(#REF!,"AAAAAD+/8Xs=",0)</f>
        <v>#REF!</v>
      </c>
      <c r="DU14" t="e">
        <f>IF(#REF!,"AAAAAD+/8Xw=",0)</f>
        <v>#REF!</v>
      </c>
      <c r="DV14" t="e">
        <f>IF(#REF!,"AAAAAD+/8X0=",0)</f>
        <v>#REF!</v>
      </c>
      <c r="DW14" t="e">
        <f>IF(#REF!,"AAAAAD+/8X4=",0)</f>
        <v>#REF!</v>
      </c>
      <c r="DX14" t="e">
        <f>IF(#REF!,"AAAAAD+/8X8=",0)</f>
        <v>#REF!</v>
      </c>
      <c r="DY14" t="e">
        <f>IF(#REF!,"AAAAAD+/8YA=",0)</f>
        <v>#REF!</v>
      </c>
      <c r="DZ14" t="e">
        <f>IF(#REF!,"AAAAAD+/8YE=",0)</f>
        <v>#REF!</v>
      </c>
      <c r="EA14" t="e">
        <f>IF(#REF!,"AAAAAD+/8YI=",0)</f>
        <v>#REF!</v>
      </c>
      <c r="EB14" t="e">
        <f>IF(#REF!,"AAAAAD+/8YM=",0)</f>
        <v>#REF!</v>
      </c>
      <c r="EC14" t="e">
        <f>IF(#REF!,"AAAAAD+/8YQ=",0)</f>
        <v>#REF!</v>
      </c>
      <c r="ED14" t="e">
        <f>IF(#REF!,"AAAAAD+/8YU=",0)</f>
        <v>#REF!</v>
      </c>
      <c r="EE14" t="e">
        <f>IF(#REF!,"AAAAAD+/8YY=",0)</f>
        <v>#REF!</v>
      </c>
      <c r="EF14" t="e">
        <f>IF(#REF!,"AAAAAD+/8Yc=",0)</f>
        <v>#REF!</v>
      </c>
      <c r="EG14" t="e">
        <f>IF(#REF!,"AAAAAD+/8Yg=",0)</f>
        <v>#REF!</v>
      </c>
      <c r="EH14" t="e">
        <f>IF(#REF!,"AAAAAD+/8Yk=",0)</f>
        <v>#REF!</v>
      </c>
      <c r="EI14" t="e">
        <f>IF(#REF!,"AAAAAD+/8Yo=",0)</f>
        <v>#REF!</v>
      </c>
      <c r="EJ14" t="e">
        <f>IF(#REF!,"AAAAAD+/8Ys=",0)</f>
        <v>#REF!</v>
      </c>
      <c r="EK14" t="e">
        <f>IF(#REF!,"AAAAAD+/8Yw=",0)</f>
        <v>#REF!</v>
      </c>
      <c r="EL14" t="e">
        <f>IF(#REF!,"AAAAAD+/8Y0=",0)</f>
        <v>#REF!</v>
      </c>
      <c r="EM14" t="e">
        <f>IF(#REF!,"AAAAAD+/8Y4=",0)</f>
        <v>#REF!</v>
      </c>
      <c r="EN14" t="e">
        <f>IF(#REF!,"AAAAAD+/8Y8=",0)</f>
        <v>#REF!</v>
      </c>
      <c r="EO14" t="e">
        <f>IF(#REF!,"AAAAAD+/8ZA=",0)</f>
        <v>#REF!</v>
      </c>
      <c r="EP14" t="e">
        <f>IF(#REF!,"AAAAAD+/8ZE=",0)</f>
        <v>#REF!</v>
      </c>
      <c r="EQ14" t="e">
        <f>IF(#REF!,"AAAAAD+/8ZI=",0)</f>
        <v>#REF!</v>
      </c>
      <c r="ER14" t="e">
        <f>IF(#REF!,"AAAAAD+/8ZM=",0)</f>
        <v>#REF!</v>
      </c>
      <c r="ES14" t="e">
        <f>IF(#REF!,"AAAAAD+/8ZQ=",0)</f>
        <v>#REF!</v>
      </c>
      <c r="ET14" t="e">
        <f>IF(#REF!,"AAAAAD+/8ZU=",0)</f>
        <v>#REF!</v>
      </c>
      <c r="EU14" t="e">
        <f>IF(#REF!,"AAAAAD+/8ZY=",0)</f>
        <v>#REF!</v>
      </c>
      <c r="EV14" t="e">
        <f>IF(#REF!,"AAAAAD+/8Zc=",0)</f>
        <v>#REF!</v>
      </c>
      <c r="EW14" t="e">
        <f>IF(#REF!,"AAAAAD+/8Zg=",0)</f>
        <v>#REF!</v>
      </c>
      <c r="EX14" t="e">
        <f>IF(#REF!,"AAAAAD+/8Zk=",0)</f>
        <v>#REF!</v>
      </c>
      <c r="EY14" t="e">
        <f>IF(#REF!,"AAAAAD+/8Zo=",0)</f>
        <v>#REF!</v>
      </c>
      <c r="EZ14" t="e">
        <f>IF(#REF!,"AAAAAD+/8Zs=",0)</f>
        <v>#REF!</v>
      </c>
      <c r="FA14" t="e">
        <f>IF(#REF!,"AAAAAD+/8Zw=",0)</f>
        <v>#REF!</v>
      </c>
      <c r="FB14" t="e">
        <f>IF(#REF!,"AAAAAD+/8Z0=",0)</f>
        <v>#REF!</v>
      </c>
      <c r="FC14" t="e">
        <f>IF(#REF!,"AAAAAD+/8Z4=",0)</f>
        <v>#REF!</v>
      </c>
      <c r="FD14" t="e">
        <f>IF(#REF!,"AAAAAD+/8Z8=",0)</f>
        <v>#REF!</v>
      </c>
      <c r="FE14" t="e">
        <f>IF(#REF!,"AAAAAD+/8aA=",0)</f>
        <v>#REF!</v>
      </c>
      <c r="FF14" t="e">
        <f>IF(#REF!,"AAAAAD+/8aE=",0)</f>
        <v>#REF!</v>
      </c>
      <c r="FG14" t="e">
        <f>IF(#REF!,"AAAAAD+/8aI=",0)</f>
        <v>#REF!</v>
      </c>
      <c r="FH14" t="e">
        <f>IF(#REF!,"AAAAAD+/8aM=",0)</f>
        <v>#REF!</v>
      </c>
      <c r="FI14" t="e">
        <f>IF(#REF!,"AAAAAD+/8aQ=",0)</f>
        <v>#REF!</v>
      </c>
      <c r="FJ14" t="e">
        <f>IF(#REF!,"AAAAAD+/8aU=",0)</f>
        <v>#REF!</v>
      </c>
      <c r="FK14" t="e">
        <f>IF(#REF!,"AAAAAD+/8aY=",0)</f>
        <v>#REF!</v>
      </c>
      <c r="FL14" t="e">
        <f>IF(#REF!,"AAAAAD+/8ac=",0)</f>
        <v>#REF!</v>
      </c>
      <c r="FM14" t="e">
        <f>IF(#REF!,"AAAAAD+/8ag=",0)</f>
        <v>#REF!</v>
      </c>
      <c r="FN14" t="e">
        <f>AND(#REF!,"AAAAAD+/8ak=")</f>
        <v>#REF!</v>
      </c>
      <c r="FO14" t="e">
        <f>AND(#REF!,"AAAAAD+/8ao=")</f>
        <v>#REF!</v>
      </c>
      <c r="FP14" t="e">
        <f>AND(#REF!,"AAAAAD+/8as=")</f>
        <v>#REF!</v>
      </c>
      <c r="FQ14" t="e">
        <f>AND(#REF!,"AAAAAD+/8aw=")</f>
        <v>#REF!</v>
      </c>
      <c r="FR14" t="e">
        <f>AND(#REF!,"AAAAAD+/8a0=")</f>
        <v>#REF!</v>
      </c>
      <c r="FS14" t="e">
        <f>AND(#REF!,"AAAAAD+/8a4=")</f>
        <v>#REF!</v>
      </c>
      <c r="FT14" t="e">
        <f>AND(#REF!,"AAAAAD+/8a8=")</f>
        <v>#REF!</v>
      </c>
      <c r="FU14" t="e">
        <f>AND(#REF!,"AAAAAD+/8bA=")</f>
        <v>#REF!</v>
      </c>
      <c r="FV14" t="e">
        <f>AND(#REF!,"AAAAAD+/8bE=")</f>
        <v>#REF!</v>
      </c>
      <c r="FW14" t="e">
        <f>AND(#REF!,"AAAAAD+/8bI=")</f>
        <v>#REF!</v>
      </c>
      <c r="FX14" t="e">
        <f>AND(#REF!,"AAAAAD+/8bM=")</f>
        <v>#REF!</v>
      </c>
      <c r="FY14" t="e">
        <f>AND(#REF!,"AAAAAD+/8bQ=")</f>
        <v>#REF!</v>
      </c>
      <c r="FZ14" t="e">
        <f>AND(#REF!,"AAAAAD+/8bU=")</f>
        <v>#REF!</v>
      </c>
      <c r="GA14" t="e">
        <f>AND(#REF!,"AAAAAD+/8bY=")</f>
        <v>#REF!</v>
      </c>
      <c r="GB14" t="e">
        <f>AND(#REF!,"AAAAAD+/8bc=")</f>
        <v>#REF!</v>
      </c>
      <c r="GC14" t="e">
        <f>AND(#REF!,"AAAAAD+/8bg=")</f>
        <v>#REF!</v>
      </c>
      <c r="GD14" t="e">
        <f>AND(#REF!,"AAAAAD+/8bk=")</f>
        <v>#REF!</v>
      </c>
      <c r="GE14" t="e">
        <f>AND(#REF!,"AAAAAD+/8bo=")</f>
        <v>#REF!</v>
      </c>
      <c r="GF14" t="e">
        <f>AND(#REF!,"AAAAAD+/8bs=")</f>
        <v>#REF!</v>
      </c>
      <c r="GG14" t="e">
        <f>AND(#REF!,"AAAAAD+/8bw=")</f>
        <v>#REF!</v>
      </c>
      <c r="GH14" t="e">
        <f>AND(#REF!,"AAAAAD+/8b0=")</f>
        <v>#REF!</v>
      </c>
      <c r="GI14" t="e">
        <f>AND(#REF!,"AAAAAD+/8b4=")</f>
        <v>#REF!</v>
      </c>
      <c r="GJ14" t="e">
        <f>AND(#REF!,"AAAAAD+/8b8=")</f>
        <v>#REF!</v>
      </c>
      <c r="GK14" t="e">
        <f>AND(#REF!,"AAAAAD+/8cA=")</f>
        <v>#REF!</v>
      </c>
      <c r="GL14" t="e">
        <f>AND(#REF!,"AAAAAD+/8cE=")</f>
        <v>#REF!</v>
      </c>
      <c r="GM14" t="e">
        <f>AND(#REF!,"AAAAAD+/8cI=")</f>
        <v>#REF!</v>
      </c>
      <c r="GN14" t="e">
        <f>AND(#REF!,"AAAAAD+/8cM=")</f>
        <v>#REF!</v>
      </c>
      <c r="GO14" t="e">
        <f>AND(#REF!,"AAAAAD+/8cQ=")</f>
        <v>#REF!</v>
      </c>
      <c r="GP14" t="e">
        <f>AND(#REF!,"AAAAAD+/8cU=")</f>
        <v>#REF!</v>
      </c>
      <c r="GQ14" t="e">
        <f>AND(#REF!,"AAAAAD+/8cY=")</f>
        <v>#REF!</v>
      </c>
      <c r="GR14" t="e">
        <f>AND(#REF!,"AAAAAD+/8cc=")</f>
        <v>#REF!</v>
      </c>
      <c r="GS14" t="e">
        <f>AND(#REF!,"AAAAAD+/8cg=")</f>
        <v>#REF!</v>
      </c>
      <c r="GT14" t="e">
        <f>AND(#REF!,"AAAAAD+/8ck=")</f>
        <v>#REF!</v>
      </c>
      <c r="GU14" t="e">
        <f>AND(#REF!,"AAAAAD+/8co=")</f>
        <v>#REF!</v>
      </c>
      <c r="GV14" t="e">
        <f>AND(#REF!,"AAAAAD+/8cs=")</f>
        <v>#REF!</v>
      </c>
      <c r="GW14" t="e">
        <f>IF(#REF!,"AAAAAD+/8cw=",0)</f>
        <v>#REF!</v>
      </c>
      <c r="GX14" t="e">
        <f>AND(#REF!,"AAAAAD+/8c0=")</f>
        <v>#REF!</v>
      </c>
      <c r="GY14" t="e">
        <f>AND(#REF!,"AAAAAD+/8c4=")</f>
        <v>#REF!</v>
      </c>
      <c r="GZ14" t="e">
        <f>AND(#REF!,"AAAAAD+/8c8=")</f>
        <v>#REF!</v>
      </c>
      <c r="HA14" t="e">
        <f>AND(#REF!,"AAAAAD+/8dA=")</f>
        <v>#REF!</v>
      </c>
      <c r="HB14" t="e">
        <f>AND(#REF!,"AAAAAD+/8dE=")</f>
        <v>#REF!</v>
      </c>
      <c r="HC14" t="e">
        <f>AND(#REF!,"AAAAAD+/8dI=")</f>
        <v>#REF!</v>
      </c>
      <c r="HD14" t="e">
        <f>AND(#REF!,"AAAAAD+/8dM=")</f>
        <v>#REF!</v>
      </c>
      <c r="HE14" t="e">
        <f>AND(#REF!,"AAAAAD+/8dQ=")</f>
        <v>#REF!</v>
      </c>
      <c r="HF14" t="e">
        <f>AND(#REF!,"AAAAAD+/8dU=")</f>
        <v>#REF!</v>
      </c>
      <c r="HG14" t="e">
        <f>AND(#REF!,"AAAAAD+/8dY=")</f>
        <v>#REF!</v>
      </c>
      <c r="HH14" t="e">
        <f>AND(#REF!,"AAAAAD+/8dc=")</f>
        <v>#REF!</v>
      </c>
      <c r="HI14" t="e">
        <f>AND(#REF!,"AAAAAD+/8dg=")</f>
        <v>#REF!</v>
      </c>
      <c r="HJ14" t="e">
        <f>AND(#REF!,"AAAAAD+/8dk=")</f>
        <v>#REF!</v>
      </c>
      <c r="HK14" t="e">
        <f>AND(#REF!,"AAAAAD+/8do=")</f>
        <v>#REF!</v>
      </c>
      <c r="HL14" t="e">
        <f>AND(#REF!,"AAAAAD+/8ds=")</f>
        <v>#REF!</v>
      </c>
      <c r="HM14" t="e">
        <f>AND(#REF!,"AAAAAD+/8dw=")</f>
        <v>#REF!</v>
      </c>
      <c r="HN14" t="e">
        <f>AND(#REF!,"AAAAAD+/8d0=")</f>
        <v>#REF!</v>
      </c>
      <c r="HO14" t="e">
        <f>AND(#REF!,"AAAAAD+/8d4=")</f>
        <v>#REF!</v>
      </c>
      <c r="HP14" t="e">
        <f>AND(#REF!,"AAAAAD+/8d8=")</f>
        <v>#REF!</v>
      </c>
      <c r="HQ14" t="e">
        <f>AND(#REF!,"AAAAAD+/8eA=")</f>
        <v>#REF!</v>
      </c>
      <c r="HR14" t="e">
        <f>AND(#REF!,"AAAAAD+/8eE=")</f>
        <v>#REF!</v>
      </c>
      <c r="HS14" t="e">
        <f>AND(#REF!,"AAAAAD+/8eI=")</f>
        <v>#REF!</v>
      </c>
      <c r="HT14" t="e">
        <f>AND(#REF!,"AAAAAD+/8eM=")</f>
        <v>#REF!</v>
      </c>
      <c r="HU14" t="e">
        <f>AND(#REF!,"AAAAAD+/8eQ=")</f>
        <v>#REF!</v>
      </c>
      <c r="HV14" t="e">
        <f>AND(#REF!,"AAAAAD+/8eU=")</f>
        <v>#REF!</v>
      </c>
      <c r="HW14" t="e">
        <f>AND(#REF!,"AAAAAD+/8eY=")</f>
        <v>#REF!</v>
      </c>
      <c r="HX14" t="e">
        <f>AND(#REF!,"AAAAAD+/8ec=")</f>
        <v>#REF!</v>
      </c>
      <c r="HY14" t="e">
        <f>AND(#REF!,"AAAAAD+/8eg=")</f>
        <v>#REF!</v>
      </c>
      <c r="HZ14" t="e">
        <f>AND(#REF!,"AAAAAD+/8ek=")</f>
        <v>#REF!</v>
      </c>
      <c r="IA14" t="e">
        <f>AND(#REF!,"AAAAAD+/8eo=")</f>
        <v>#REF!</v>
      </c>
      <c r="IB14" t="e">
        <f>AND(#REF!,"AAAAAD+/8es=")</f>
        <v>#REF!</v>
      </c>
      <c r="IC14" t="e">
        <f>AND(#REF!,"AAAAAD+/8ew=")</f>
        <v>#REF!</v>
      </c>
      <c r="ID14" t="e">
        <f>AND(#REF!,"AAAAAD+/8e0=")</f>
        <v>#REF!</v>
      </c>
      <c r="IE14" t="e">
        <f>AND(#REF!,"AAAAAD+/8e4=")</f>
        <v>#REF!</v>
      </c>
      <c r="IF14" t="e">
        <f>AND(#REF!,"AAAAAD+/8e8=")</f>
        <v>#REF!</v>
      </c>
      <c r="IG14" t="e">
        <f>IF(#REF!,"AAAAAD+/8fA=",0)</f>
        <v>#REF!</v>
      </c>
      <c r="IH14" t="e">
        <f>AND(#REF!,"AAAAAD+/8fE=")</f>
        <v>#REF!</v>
      </c>
      <c r="II14" t="e">
        <f>AND(#REF!,"AAAAAD+/8fI=")</f>
        <v>#REF!</v>
      </c>
      <c r="IJ14" t="e">
        <f>AND(#REF!,"AAAAAD+/8fM=")</f>
        <v>#REF!</v>
      </c>
      <c r="IK14" t="e">
        <f>AND(#REF!,"AAAAAD+/8fQ=")</f>
        <v>#REF!</v>
      </c>
      <c r="IL14" t="e">
        <f>AND(#REF!,"AAAAAD+/8fU=")</f>
        <v>#REF!</v>
      </c>
      <c r="IM14" t="e">
        <f>AND(#REF!,"AAAAAD+/8fY=")</f>
        <v>#REF!</v>
      </c>
      <c r="IN14" t="e">
        <f>AND(#REF!,"AAAAAD+/8fc=")</f>
        <v>#REF!</v>
      </c>
      <c r="IO14" t="e">
        <f>AND(#REF!,"AAAAAD+/8fg=")</f>
        <v>#REF!</v>
      </c>
      <c r="IP14" t="e">
        <f>AND(#REF!,"AAAAAD+/8fk=")</f>
        <v>#REF!</v>
      </c>
      <c r="IQ14" t="e">
        <f>AND(#REF!,"AAAAAD+/8fo=")</f>
        <v>#REF!</v>
      </c>
      <c r="IR14" t="e">
        <f>AND(#REF!,"AAAAAD+/8fs=")</f>
        <v>#REF!</v>
      </c>
      <c r="IS14" t="e">
        <f>AND(#REF!,"AAAAAD+/8fw=")</f>
        <v>#REF!</v>
      </c>
      <c r="IT14" t="e">
        <f>AND(#REF!,"AAAAAD+/8f0=")</f>
        <v>#REF!</v>
      </c>
      <c r="IU14" t="e">
        <f>AND(#REF!,"AAAAAD+/8f4=")</f>
        <v>#REF!</v>
      </c>
      <c r="IV14" t="e">
        <f>AND(#REF!,"AAAAAD+/8f8=")</f>
        <v>#REF!</v>
      </c>
    </row>
    <row r="15" spans="1:256">
      <c r="A15" t="e">
        <f>AND(#REF!,"AAAAAHe/fwA=")</f>
        <v>#REF!</v>
      </c>
      <c r="B15" t="e">
        <f>AND(#REF!,"AAAAAHe/fwE=")</f>
        <v>#REF!</v>
      </c>
      <c r="C15" t="e">
        <f>AND(#REF!,"AAAAAHe/fwI=")</f>
        <v>#REF!</v>
      </c>
      <c r="D15" t="e">
        <f>AND(#REF!,"AAAAAHe/fwM=")</f>
        <v>#REF!</v>
      </c>
      <c r="E15" t="e">
        <f>AND(#REF!,"AAAAAHe/fwQ=")</f>
        <v>#REF!</v>
      </c>
      <c r="F15" t="e">
        <f>AND(#REF!,"AAAAAHe/fwU=")</f>
        <v>#REF!</v>
      </c>
      <c r="G15" t="e">
        <f>AND(#REF!,"AAAAAHe/fwY=")</f>
        <v>#REF!</v>
      </c>
      <c r="H15" t="e">
        <f>AND(#REF!,"AAAAAHe/fwc=")</f>
        <v>#REF!</v>
      </c>
      <c r="I15" t="e">
        <f>AND(#REF!,"AAAAAHe/fwg=")</f>
        <v>#REF!</v>
      </c>
      <c r="J15" t="e">
        <f>AND(#REF!,"AAAAAHe/fwk=")</f>
        <v>#REF!</v>
      </c>
      <c r="K15" t="e">
        <f>AND(#REF!,"AAAAAHe/fwo=")</f>
        <v>#REF!</v>
      </c>
      <c r="L15" t="e">
        <f>AND(#REF!,"AAAAAHe/fws=")</f>
        <v>#REF!</v>
      </c>
      <c r="M15" t="e">
        <f>AND(#REF!,"AAAAAHe/fww=")</f>
        <v>#REF!</v>
      </c>
      <c r="N15" t="e">
        <f>AND(#REF!,"AAAAAHe/fw0=")</f>
        <v>#REF!</v>
      </c>
      <c r="O15" t="e">
        <f>AND(#REF!,"AAAAAHe/fw4=")</f>
        <v>#REF!</v>
      </c>
      <c r="P15" t="e">
        <f>AND(#REF!,"AAAAAHe/fw8=")</f>
        <v>#REF!</v>
      </c>
      <c r="Q15" t="e">
        <f>AND(#REF!,"AAAAAHe/fxA=")</f>
        <v>#REF!</v>
      </c>
      <c r="R15" t="e">
        <f>AND(#REF!,"AAAAAHe/fxE=")</f>
        <v>#REF!</v>
      </c>
      <c r="S15" t="e">
        <f>AND(#REF!,"AAAAAHe/fxI=")</f>
        <v>#REF!</v>
      </c>
      <c r="T15" t="e">
        <f>AND(#REF!,"AAAAAHe/fxM=")</f>
        <v>#REF!</v>
      </c>
      <c r="U15" t="e">
        <f>IF(#REF!,"AAAAAHe/fxQ=",0)</f>
        <v>#REF!</v>
      </c>
      <c r="V15" t="e">
        <f>AND(#REF!,"AAAAAHe/fxU=")</f>
        <v>#REF!</v>
      </c>
      <c r="W15" t="e">
        <f>AND(#REF!,"AAAAAHe/fxY=")</f>
        <v>#REF!</v>
      </c>
      <c r="X15" t="e">
        <f>AND(#REF!,"AAAAAHe/fxc=")</f>
        <v>#REF!</v>
      </c>
      <c r="Y15" t="e">
        <f>AND(#REF!,"AAAAAHe/fxg=")</f>
        <v>#REF!</v>
      </c>
      <c r="Z15" t="e">
        <f>AND(#REF!,"AAAAAHe/fxk=")</f>
        <v>#REF!</v>
      </c>
      <c r="AA15" t="e">
        <f>AND(#REF!,"AAAAAHe/fxo=")</f>
        <v>#REF!</v>
      </c>
      <c r="AB15" t="e">
        <f>AND(#REF!,"AAAAAHe/fxs=")</f>
        <v>#REF!</v>
      </c>
      <c r="AC15" t="e">
        <f>AND(#REF!,"AAAAAHe/fxw=")</f>
        <v>#REF!</v>
      </c>
      <c r="AD15" t="e">
        <f>AND(#REF!,"AAAAAHe/fx0=")</f>
        <v>#REF!</v>
      </c>
      <c r="AE15" t="e">
        <f>AND(#REF!,"AAAAAHe/fx4=")</f>
        <v>#REF!</v>
      </c>
      <c r="AF15" t="e">
        <f>AND(#REF!,"AAAAAHe/fx8=")</f>
        <v>#REF!</v>
      </c>
      <c r="AG15" t="e">
        <f>AND(#REF!,"AAAAAHe/fyA=")</f>
        <v>#REF!</v>
      </c>
      <c r="AH15" t="e">
        <f>AND(#REF!,"AAAAAHe/fyE=")</f>
        <v>#REF!</v>
      </c>
      <c r="AI15" t="e">
        <f>AND(#REF!,"AAAAAHe/fyI=")</f>
        <v>#REF!</v>
      </c>
      <c r="AJ15" t="e">
        <f>AND(#REF!,"AAAAAHe/fyM=")</f>
        <v>#REF!</v>
      </c>
      <c r="AK15" t="e">
        <f>AND(#REF!,"AAAAAHe/fyQ=")</f>
        <v>#REF!</v>
      </c>
      <c r="AL15" t="e">
        <f>AND(#REF!,"AAAAAHe/fyU=")</f>
        <v>#REF!</v>
      </c>
      <c r="AM15" t="e">
        <f>AND(#REF!,"AAAAAHe/fyY=")</f>
        <v>#REF!</v>
      </c>
      <c r="AN15" t="e">
        <f>AND(#REF!,"AAAAAHe/fyc=")</f>
        <v>#REF!</v>
      </c>
      <c r="AO15" t="e">
        <f>AND(#REF!,"AAAAAHe/fyg=")</f>
        <v>#REF!</v>
      </c>
      <c r="AP15" t="e">
        <f>AND(#REF!,"AAAAAHe/fyk=")</f>
        <v>#REF!</v>
      </c>
      <c r="AQ15" t="e">
        <f>AND(#REF!,"AAAAAHe/fyo=")</f>
        <v>#REF!</v>
      </c>
      <c r="AR15" t="e">
        <f>AND(#REF!,"AAAAAHe/fys=")</f>
        <v>#REF!</v>
      </c>
      <c r="AS15" t="e">
        <f>AND(#REF!,"AAAAAHe/fyw=")</f>
        <v>#REF!</v>
      </c>
      <c r="AT15" t="e">
        <f>AND(#REF!,"AAAAAHe/fy0=")</f>
        <v>#REF!</v>
      </c>
      <c r="AU15" t="e">
        <f>AND(#REF!,"AAAAAHe/fy4=")</f>
        <v>#REF!</v>
      </c>
      <c r="AV15" t="e">
        <f>AND(#REF!,"AAAAAHe/fy8=")</f>
        <v>#REF!</v>
      </c>
      <c r="AW15" t="e">
        <f>AND(#REF!,"AAAAAHe/fzA=")</f>
        <v>#REF!</v>
      </c>
      <c r="AX15" t="e">
        <f>AND(#REF!,"AAAAAHe/fzE=")</f>
        <v>#REF!</v>
      </c>
      <c r="AY15" t="e">
        <f>AND(#REF!,"AAAAAHe/fzI=")</f>
        <v>#REF!</v>
      </c>
      <c r="AZ15" t="e">
        <f>AND(#REF!,"AAAAAHe/fzM=")</f>
        <v>#REF!</v>
      </c>
      <c r="BA15" t="e">
        <f>AND(#REF!,"AAAAAHe/fzQ=")</f>
        <v>#REF!</v>
      </c>
      <c r="BB15" t="e">
        <f>AND(#REF!,"AAAAAHe/fzU=")</f>
        <v>#REF!</v>
      </c>
      <c r="BC15" t="e">
        <f>AND(#REF!,"AAAAAHe/fzY=")</f>
        <v>#REF!</v>
      </c>
      <c r="BD15" t="e">
        <f>AND(#REF!,"AAAAAHe/fzc=")</f>
        <v>#REF!</v>
      </c>
      <c r="BE15" t="e">
        <f>IF(#REF!,"AAAAAHe/fzg=",0)</f>
        <v>#REF!</v>
      </c>
      <c r="BF15" t="e">
        <f>AND(#REF!,"AAAAAHe/fzk=")</f>
        <v>#REF!</v>
      </c>
      <c r="BG15" t="e">
        <f>AND(#REF!,"AAAAAHe/fzo=")</f>
        <v>#REF!</v>
      </c>
      <c r="BH15" t="e">
        <f>AND(#REF!,"AAAAAHe/fzs=")</f>
        <v>#REF!</v>
      </c>
      <c r="BI15" t="e">
        <f>AND(#REF!,"AAAAAHe/fzw=")</f>
        <v>#REF!</v>
      </c>
      <c r="BJ15" t="e">
        <f>AND(#REF!,"AAAAAHe/fz0=")</f>
        <v>#REF!</v>
      </c>
      <c r="BK15" t="e">
        <f>AND(#REF!,"AAAAAHe/fz4=")</f>
        <v>#REF!</v>
      </c>
      <c r="BL15" t="e">
        <f>AND(#REF!,"AAAAAHe/fz8=")</f>
        <v>#REF!</v>
      </c>
      <c r="BM15" t="e">
        <f>AND(#REF!,"AAAAAHe/f0A=")</f>
        <v>#REF!</v>
      </c>
      <c r="BN15" t="e">
        <f>AND(#REF!,"AAAAAHe/f0E=")</f>
        <v>#REF!</v>
      </c>
      <c r="BO15" t="e">
        <f>AND(#REF!,"AAAAAHe/f0I=")</f>
        <v>#REF!</v>
      </c>
      <c r="BP15" t="e">
        <f>AND(#REF!,"AAAAAHe/f0M=")</f>
        <v>#REF!</v>
      </c>
      <c r="BQ15" t="e">
        <f>AND(#REF!,"AAAAAHe/f0Q=")</f>
        <v>#REF!</v>
      </c>
      <c r="BR15" t="e">
        <f>AND(#REF!,"AAAAAHe/f0U=")</f>
        <v>#REF!</v>
      </c>
      <c r="BS15" t="e">
        <f>AND(#REF!,"AAAAAHe/f0Y=")</f>
        <v>#REF!</v>
      </c>
      <c r="BT15" t="e">
        <f>AND(#REF!,"AAAAAHe/f0c=")</f>
        <v>#REF!</v>
      </c>
      <c r="BU15" t="e">
        <f>AND(#REF!,"AAAAAHe/f0g=")</f>
        <v>#REF!</v>
      </c>
      <c r="BV15" t="e">
        <f>AND(#REF!,"AAAAAHe/f0k=")</f>
        <v>#REF!</v>
      </c>
      <c r="BW15" t="e">
        <f>AND(#REF!,"AAAAAHe/f0o=")</f>
        <v>#REF!</v>
      </c>
      <c r="BX15" t="e">
        <f>AND(#REF!,"AAAAAHe/f0s=")</f>
        <v>#REF!</v>
      </c>
      <c r="BY15" t="e">
        <f>AND(#REF!,"AAAAAHe/f0w=")</f>
        <v>#REF!</v>
      </c>
      <c r="BZ15" t="e">
        <f>AND(#REF!,"AAAAAHe/f00=")</f>
        <v>#REF!</v>
      </c>
      <c r="CA15" t="e">
        <f>AND(#REF!,"AAAAAHe/f04=")</f>
        <v>#REF!</v>
      </c>
      <c r="CB15" t="e">
        <f>AND(#REF!,"AAAAAHe/f08=")</f>
        <v>#REF!</v>
      </c>
      <c r="CC15" t="e">
        <f>AND(#REF!,"AAAAAHe/f1A=")</f>
        <v>#REF!</v>
      </c>
      <c r="CD15" t="e">
        <f>AND(#REF!,"AAAAAHe/f1E=")</f>
        <v>#REF!</v>
      </c>
      <c r="CE15" t="e">
        <f>AND(#REF!,"AAAAAHe/f1I=")</f>
        <v>#REF!</v>
      </c>
      <c r="CF15" t="e">
        <f>AND(#REF!,"AAAAAHe/f1M=")</f>
        <v>#REF!</v>
      </c>
      <c r="CG15" t="e">
        <f>AND(#REF!,"AAAAAHe/f1Q=")</f>
        <v>#REF!</v>
      </c>
      <c r="CH15" t="e">
        <f>AND(#REF!,"AAAAAHe/f1U=")</f>
        <v>#REF!</v>
      </c>
      <c r="CI15" t="e">
        <f>AND(#REF!,"AAAAAHe/f1Y=")</f>
        <v>#REF!</v>
      </c>
      <c r="CJ15" t="e">
        <f>AND(#REF!,"AAAAAHe/f1c=")</f>
        <v>#REF!</v>
      </c>
      <c r="CK15" t="e">
        <f>AND(#REF!,"AAAAAHe/f1g=")</f>
        <v>#REF!</v>
      </c>
      <c r="CL15" t="e">
        <f>AND(#REF!,"AAAAAHe/f1k=")</f>
        <v>#REF!</v>
      </c>
      <c r="CM15" t="e">
        <f>AND(#REF!,"AAAAAHe/f1o=")</f>
        <v>#REF!</v>
      </c>
      <c r="CN15" t="e">
        <f>AND(#REF!,"AAAAAHe/f1s=")</f>
        <v>#REF!</v>
      </c>
      <c r="CO15" t="e">
        <f>IF(#REF!,"AAAAAHe/f1w=",0)</f>
        <v>#REF!</v>
      </c>
      <c r="CP15" t="e">
        <f>AND(#REF!,"AAAAAHe/f10=")</f>
        <v>#REF!</v>
      </c>
      <c r="CQ15" t="e">
        <f>AND(#REF!,"AAAAAHe/f14=")</f>
        <v>#REF!</v>
      </c>
      <c r="CR15" t="e">
        <f>AND(#REF!,"AAAAAHe/f18=")</f>
        <v>#REF!</v>
      </c>
      <c r="CS15" t="e">
        <f>AND(#REF!,"AAAAAHe/f2A=")</f>
        <v>#REF!</v>
      </c>
      <c r="CT15" t="e">
        <f>AND(#REF!,"AAAAAHe/f2E=")</f>
        <v>#REF!</v>
      </c>
      <c r="CU15" t="e">
        <f>AND(#REF!,"AAAAAHe/f2I=")</f>
        <v>#REF!</v>
      </c>
      <c r="CV15" t="e">
        <f>AND(#REF!,"AAAAAHe/f2M=")</f>
        <v>#REF!</v>
      </c>
      <c r="CW15" t="e">
        <f>AND(#REF!,"AAAAAHe/f2Q=")</f>
        <v>#REF!</v>
      </c>
      <c r="CX15" t="e">
        <f>AND(#REF!,"AAAAAHe/f2U=")</f>
        <v>#REF!</v>
      </c>
      <c r="CY15" t="e">
        <f>AND(#REF!,"AAAAAHe/f2Y=")</f>
        <v>#REF!</v>
      </c>
      <c r="CZ15" t="e">
        <f>AND(#REF!,"AAAAAHe/f2c=")</f>
        <v>#REF!</v>
      </c>
      <c r="DA15" t="e">
        <f>AND(#REF!,"AAAAAHe/f2g=")</f>
        <v>#REF!</v>
      </c>
      <c r="DB15" t="e">
        <f>AND(#REF!,"AAAAAHe/f2k=")</f>
        <v>#REF!</v>
      </c>
      <c r="DC15" t="e">
        <f>AND(#REF!,"AAAAAHe/f2o=")</f>
        <v>#REF!</v>
      </c>
      <c r="DD15" t="e">
        <f>AND(#REF!,"AAAAAHe/f2s=")</f>
        <v>#REF!</v>
      </c>
      <c r="DE15" t="e">
        <f>AND(#REF!,"AAAAAHe/f2w=")</f>
        <v>#REF!</v>
      </c>
      <c r="DF15" t="e">
        <f>AND(#REF!,"AAAAAHe/f20=")</f>
        <v>#REF!</v>
      </c>
      <c r="DG15" t="e">
        <f>AND(#REF!,"AAAAAHe/f24=")</f>
        <v>#REF!</v>
      </c>
      <c r="DH15" t="e">
        <f>AND(#REF!,"AAAAAHe/f28=")</f>
        <v>#REF!</v>
      </c>
      <c r="DI15" t="e">
        <f>AND(#REF!,"AAAAAHe/f3A=")</f>
        <v>#REF!</v>
      </c>
      <c r="DJ15" t="e">
        <f>AND(#REF!,"AAAAAHe/f3E=")</f>
        <v>#REF!</v>
      </c>
      <c r="DK15" t="e">
        <f>AND(#REF!,"AAAAAHe/f3I=")</f>
        <v>#REF!</v>
      </c>
      <c r="DL15" t="e">
        <f>AND(#REF!,"AAAAAHe/f3M=")</f>
        <v>#REF!</v>
      </c>
      <c r="DM15" t="e">
        <f>AND(#REF!,"AAAAAHe/f3Q=")</f>
        <v>#REF!</v>
      </c>
      <c r="DN15" t="e">
        <f>AND(#REF!,"AAAAAHe/f3U=")</f>
        <v>#REF!</v>
      </c>
      <c r="DO15" t="e">
        <f>AND(#REF!,"AAAAAHe/f3Y=")</f>
        <v>#REF!</v>
      </c>
      <c r="DP15" t="e">
        <f>AND(#REF!,"AAAAAHe/f3c=")</f>
        <v>#REF!</v>
      </c>
      <c r="DQ15" t="e">
        <f>AND(#REF!,"AAAAAHe/f3g=")</f>
        <v>#REF!</v>
      </c>
      <c r="DR15" t="e">
        <f>AND(#REF!,"AAAAAHe/f3k=")</f>
        <v>#REF!</v>
      </c>
      <c r="DS15" t="e">
        <f>AND(#REF!,"AAAAAHe/f3o=")</f>
        <v>#REF!</v>
      </c>
      <c r="DT15" t="e">
        <f>AND(#REF!,"AAAAAHe/f3s=")</f>
        <v>#REF!</v>
      </c>
      <c r="DU15" t="e">
        <f>AND(#REF!,"AAAAAHe/f3w=")</f>
        <v>#REF!</v>
      </c>
      <c r="DV15" t="e">
        <f>AND(#REF!,"AAAAAHe/f30=")</f>
        <v>#REF!</v>
      </c>
      <c r="DW15" t="e">
        <f>AND(#REF!,"AAAAAHe/f34=")</f>
        <v>#REF!</v>
      </c>
      <c r="DX15" t="e">
        <f>AND(#REF!,"AAAAAHe/f38=")</f>
        <v>#REF!</v>
      </c>
      <c r="DY15" t="e">
        <f>IF(#REF!,"AAAAAHe/f4A=",0)</f>
        <v>#REF!</v>
      </c>
      <c r="DZ15" t="e">
        <f>AND(#REF!,"AAAAAHe/f4E=")</f>
        <v>#REF!</v>
      </c>
      <c r="EA15" t="e">
        <f>AND(#REF!,"AAAAAHe/f4I=")</f>
        <v>#REF!</v>
      </c>
      <c r="EB15" t="e">
        <f>AND(#REF!,"AAAAAHe/f4M=")</f>
        <v>#REF!</v>
      </c>
      <c r="EC15" t="e">
        <f>AND(#REF!,"AAAAAHe/f4Q=")</f>
        <v>#REF!</v>
      </c>
      <c r="ED15" t="e">
        <f>AND(#REF!,"AAAAAHe/f4U=")</f>
        <v>#REF!</v>
      </c>
      <c r="EE15" t="e">
        <f>AND(#REF!,"AAAAAHe/f4Y=")</f>
        <v>#REF!</v>
      </c>
      <c r="EF15" t="e">
        <f>AND(#REF!,"AAAAAHe/f4c=")</f>
        <v>#REF!</v>
      </c>
      <c r="EG15" t="e">
        <f>AND(#REF!,"AAAAAHe/f4g=")</f>
        <v>#REF!</v>
      </c>
      <c r="EH15" t="e">
        <f>AND(#REF!,"AAAAAHe/f4k=")</f>
        <v>#REF!</v>
      </c>
      <c r="EI15" t="e">
        <f>AND(#REF!,"AAAAAHe/f4o=")</f>
        <v>#REF!</v>
      </c>
      <c r="EJ15" t="e">
        <f>AND(#REF!,"AAAAAHe/f4s=")</f>
        <v>#REF!</v>
      </c>
      <c r="EK15" t="e">
        <f>AND(#REF!,"AAAAAHe/f4w=")</f>
        <v>#REF!</v>
      </c>
      <c r="EL15" t="e">
        <f>AND(#REF!,"AAAAAHe/f40=")</f>
        <v>#REF!</v>
      </c>
      <c r="EM15" t="e">
        <f>AND(#REF!,"AAAAAHe/f44=")</f>
        <v>#REF!</v>
      </c>
      <c r="EN15" t="e">
        <f>AND(#REF!,"AAAAAHe/f48=")</f>
        <v>#REF!</v>
      </c>
      <c r="EO15" t="e">
        <f>AND(#REF!,"AAAAAHe/f5A=")</f>
        <v>#REF!</v>
      </c>
      <c r="EP15" t="e">
        <f>AND(#REF!,"AAAAAHe/f5E=")</f>
        <v>#REF!</v>
      </c>
      <c r="EQ15" t="e">
        <f>AND(#REF!,"AAAAAHe/f5I=")</f>
        <v>#REF!</v>
      </c>
      <c r="ER15" t="e">
        <f>AND(#REF!,"AAAAAHe/f5M=")</f>
        <v>#REF!</v>
      </c>
      <c r="ES15" t="e">
        <f>AND(#REF!,"AAAAAHe/f5Q=")</f>
        <v>#REF!</v>
      </c>
      <c r="ET15" t="e">
        <f>AND(#REF!,"AAAAAHe/f5U=")</f>
        <v>#REF!</v>
      </c>
      <c r="EU15" t="e">
        <f>AND(#REF!,"AAAAAHe/f5Y=")</f>
        <v>#REF!</v>
      </c>
      <c r="EV15" t="e">
        <f>AND(#REF!,"AAAAAHe/f5c=")</f>
        <v>#REF!</v>
      </c>
      <c r="EW15" t="e">
        <f>AND(#REF!,"AAAAAHe/f5g=")</f>
        <v>#REF!</v>
      </c>
      <c r="EX15" t="e">
        <f>AND(#REF!,"AAAAAHe/f5k=")</f>
        <v>#REF!</v>
      </c>
      <c r="EY15" t="e">
        <f>AND(#REF!,"AAAAAHe/f5o=")</f>
        <v>#REF!</v>
      </c>
      <c r="EZ15" t="e">
        <f>AND(#REF!,"AAAAAHe/f5s=")</f>
        <v>#REF!</v>
      </c>
      <c r="FA15" t="e">
        <f>AND(#REF!,"AAAAAHe/f5w=")</f>
        <v>#REF!</v>
      </c>
      <c r="FB15" t="e">
        <f>AND(#REF!,"AAAAAHe/f50=")</f>
        <v>#REF!</v>
      </c>
      <c r="FC15" t="e">
        <f>AND(#REF!,"AAAAAHe/f54=")</f>
        <v>#REF!</v>
      </c>
      <c r="FD15" t="e">
        <f>AND(#REF!,"AAAAAHe/f58=")</f>
        <v>#REF!</v>
      </c>
      <c r="FE15" t="e">
        <f>AND(#REF!,"AAAAAHe/f6A=")</f>
        <v>#REF!</v>
      </c>
      <c r="FF15" t="e">
        <f>AND(#REF!,"AAAAAHe/f6E=")</f>
        <v>#REF!</v>
      </c>
      <c r="FG15" t="e">
        <f>AND(#REF!,"AAAAAHe/f6I=")</f>
        <v>#REF!</v>
      </c>
      <c r="FH15" t="e">
        <f>AND(#REF!,"AAAAAHe/f6M=")</f>
        <v>#REF!</v>
      </c>
      <c r="FI15" t="e">
        <f>IF(#REF!,"AAAAAHe/f6Q=",0)</f>
        <v>#REF!</v>
      </c>
      <c r="FJ15" t="e">
        <f>AND(#REF!,"AAAAAHe/f6U=")</f>
        <v>#REF!</v>
      </c>
      <c r="FK15" t="e">
        <f>AND(#REF!,"AAAAAHe/f6Y=")</f>
        <v>#REF!</v>
      </c>
      <c r="FL15" t="e">
        <f>AND(#REF!,"AAAAAHe/f6c=")</f>
        <v>#REF!</v>
      </c>
      <c r="FM15" t="e">
        <f>AND(#REF!,"AAAAAHe/f6g=")</f>
        <v>#REF!</v>
      </c>
      <c r="FN15" t="e">
        <f>AND(#REF!,"AAAAAHe/f6k=")</f>
        <v>#REF!</v>
      </c>
      <c r="FO15" t="e">
        <f>AND(#REF!,"AAAAAHe/f6o=")</f>
        <v>#REF!</v>
      </c>
      <c r="FP15" t="e">
        <f>AND(#REF!,"AAAAAHe/f6s=")</f>
        <v>#REF!</v>
      </c>
      <c r="FQ15" t="e">
        <f>AND(#REF!,"AAAAAHe/f6w=")</f>
        <v>#REF!</v>
      </c>
      <c r="FR15" t="e">
        <f>AND(#REF!,"AAAAAHe/f60=")</f>
        <v>#REF!</v>
      </c>
      <c r="FS15" t="e">
        <f>AND(#REF!,"AAAAAHe/f64=")</f>
        <v>#REF!</v>
      </c>
      <c r="FT15" t="e">
        <f>AND(#REF!,"AAAAAHe/f68=")</f>
        <v>#REF!</v>
      </c>
      <c r="FU15" t="e">
        <f>AND(#REF!,"AAAAAHe/f7A=")</f>
        <v>#REF!</v>
      </c>
      <c r="FV15" t="e">
        <f>AND(#REF!,"AAAAAHe/f7E=")</f>
        <v>#REF!</v>
      </c>
      <c r="FW15" t="e">
        <f>AND(#REF!,"AAAAAHe/f7I=")</f>
        <v>#REF!</v>
      </c>
      <c r="FX15" t="e">
        <f>AND(#REF!,"AAAAAHe/f7M=")</f>
        <v>#REF!</v>
      </c>
      <c r="FY15" t="e">
        <f>AND(#REF!,"AAAAAHe/f7Q=")</f>
        <v>#REF!</v>
      </c>
      <c r="FZ15" t="e">
        <f>AND(#REF!,"AAAAAHe/f7U=")</f>
        <v>#REF!</v>
      </c>
      <c r="GA15" t="e">
        <f>AND(#REF!,"AAAAAHe/f7Y=")</f>
        <v>#REF!</v>
      </c>
      <c r="GB15" t="e">
        <f>AND(#REF!,"AAAAAHe/f7c=")</f>
        <v>#REF!</v>
      </c>
      <c r="GC15" t="e">
        <f>AND(#REF!,"AAAAAHe/f7g=")</f>
        <v>#REF!</v>
      </c>
      <c r="GD15" t="e">
        <f>AND(#REF!,"AAAAAHe/f7k=")</f>
        <v>#REF!</v>
      </c>
      <c r="GE15" t="e">
        <f>AND(#REF!,"AAAAAHe/f7o=")</f>
        <v>#REF!</v>
      </c>
      <c r="GF15" t="e">
        <f>AND(#REF!,"AAAAAHe/f7s=")</f>
        <v>#REF!</v>
      </c>
      <c r="GG15" t="e">
        <f>AND(#REF!,"AAAAAHe/f7w=")</f>
        <v>#REF!</v>
      </c>
      <c r="GH15" t="e">
        <f>AND(#REF!,"AAAAAHe/f70=")</f>
        <v>#REF!</v>
      </c>
      <c r="GI15" t="e">
        <f>AND(#REF!,"AAAAAHe/f74=")</f>
        <v>#REF!</v>
      </c>
      <c r="GJ15" t="e">
        <f>AND(#REF!,"AAAAAHe/f78=")</f>
        <v>#REF!</v>
      </c>
      <c r="GK15" t="e">
        <f>AND(#REF!,"AAAAAHe/f8A=")</f>
        <v>#REF!</v>
      </c>
      <c r="GL15" t="e">
        <f>AND(#REF!,"AAAAAHe/f8E=")</f>
        <v>#REF!</v>
      </c>
      <c r="GM15" t="e">
        <f>AND(#REF!,"AAAAAHe/f8I=")</f>
        <v>#REF!</v>
      </c>
      <c r="GN15" t="e">
        <f>AND(#REF!,"AAAAAHe/f8M=")</f>
        <v>#REF!</v>
      </c>
      <c r="GO15" t="e">
        <f>AND(#REF!,"AAAAAHe/f8Q=")</f>
        <v>#REF!</v>
      </c>
      <c r="GP15" t="e">
        <f>AND(#REF!,"AAAAAHe/f8U=")</f>
        <v>#REF!</v>
      </c>
      <c r="GQ15" t="e">
        <f>AND(#REF!,"AAAAAHe/f8Y=")</f>
        <v>#REF!</v>
      </c>
      <c r="GR15" t="e">
        <f>AND(#REF!,"AAAAAHe/f8c=")</f>
        <v>#REF!</v>
      </c>
      <c r="GS15" t="e">
        <f>IF(#REF!,"AAAAAHe/f8g=",0)</f>
        <v>#REF!</v>
      </c>
      <c r="GT15" t="e">
        <f>AND(#REF!,"AAAAAHe/f8k=")</f>
        <v>#REF!</v>
      </c>
      <c r="GU15" t="e">
        <f>AND(#REF!,"AAAAAHe/f8o=")</f>
        <v>#REF!</v>
      </c>
      <c r="GV15" t="e">
        <f>AND(#REF!,"AAAAAHe/f8s=")</f>
        <v>#REF!</v>
      </c>
      <c r="GW15" t="e">
        <f>AND(#REF!,"AAAAAHe/f8w=")</f>
        <v>#REF!</v>
      </c>
      <c r="GX15" t="e">
        <f>AND(#REF!,"AAAAAHe/f80=")</f>
        <v>#REF!</v>
      </c>
      <c r="GY15" t="e">
        <f>AND(#REF!,"AAAAAHe/f84=")</f>
        <v>#REF!</v>
      </c>
      <c r="GZ15" t="e">
        <f>AND(#REF!,"AAAAAHe/f88=")</f>
        <v>#REF!</v>
      </c>
      <c r="HA15" t="e">
        <f>AND(#REF!,"AAAAAHe/f9A=")</f>
        <v>#REF!</v>
      </c>
      <c r="HB15" t="e">
        <f>AND(#REF!,"AAAAAHe/f9E=")</f>
        <v>#REF!</v>
      </c>
      <c r="HC15" t="e">
        <f>AND(#REF!,"AAAAAHe/f9I=")</f>
        <v>#REF!</v>
      </c>
      <c r="HD15" t="e">
        <f>AND(#REF!,"AAAAAHe/f9M=")</f>
        <v>#REF!</v>
      </c>
      <c r="HE15" t="e">
        <f>AND(#REF!,"AAAAAHe/f9Q=")</f>
        <v>#REF!</v>
      </c>
      <c r="HF15" t="e">
        <f>AND(#REF!,"AAAAAHe/f9U=")</f>
        <v>#REF!</v>
      </c>
      <c r="HG15" t="e">
        <f>AND(#REF!,"AAAAAHe/f9Y=")</f>
        <v>#REF!</v>
      </c>
      <c r="HH15" t="e">
        <f>AND(#REF!,"AAAAAHe/f9c=")</f>
        <v>#REF!</v>
      </c>
      <c r="HI15" t="e">
        <f>AND(#REF!,"AAAAAHe/f9g=")</f>
        <v>#REF!</v>
      </c>
      <c r="HJ15" t="e">
        <f>AND(#REF!,"AAAAAHe/f9k=")</f>
        <v>#REF!</v>
      </c>
      <c r="HK15" t="e">
        <f>AND(#REF!,"AAAAAHe/f9o=")</f>
        <v>#REF!</v>
      </c>
      <c r="HL15" t="e">
        <f>AND(#REF!,"AAAAAHe/f9s=")</f>
        <v>#REF!</v>
      </c>
      <c r="HM15" t="e">
        <f>AND(#REF!,"AAAAAHe/f9w=")</f>
        <v>#REF!</v>
      </c>
      <c r="HN15" t="e">
        <f>AND(#REF!,"AAAAAHe/f90=")</f>
        <v>#REF!</v>
      </c>
      <c r="HO15" t="e">
        <f>AND(#REF!,"AAAAAHe/f94=")</f>
        <v>#REF!</v>
      </c>
      <c r="HP15" t="e">
        <f>AND(#REF!,"AAAAAHe/f98=")</f>
        <v>#REF!</v>
      </c>
      <c r="HQ15" t="e">
        <f>AND(#REF!,"AAAAAHe/f+A=")</f>
        <v>#REF!</v>
      </c>
      <c r="HR15" t="e">
        <f>AND(#REF!,"AAAAAHe/f+E=")</f>
        <v>#REF!</v>
      </c>
      <c r="HS15" t="e">
        <f>AND(#REF!,"AAAAAHe/f+I=")</f>
        <v>#REF!</v>
      </c>
      <c r="HT15" t="e">
        <f>AND(#REF!,"AAAAAHe/f+M=")</f>
        <v>#REF!</v>
      </c>
      <c r="HU15" t="e">
        <f>AND(#REF!,"AAAAAHe/f+Q=")</f>
        <v>#REF!</v>
      </c>
      <c r="HV15" t="e">
        <f>AND(#REF!,"AAAAAHe/f+U=")</f>
        <v>#REF!</v>
      </c>
      <c r="HW15" t="e">
        <f>AND(#REF!,"AAAAAHe/f+Y=")</f>
        <v>#REF!</v>
      </c>
      <c r="HX15" t="e">
        <f>AND(#REF!,"AAAAAHe/f+c=")</f>
        <v>#REF!</v>
      </c>
      <c r="HY15" t="e">
        <f>AND(#REF!,"AAAAAHe/f+g=")</f>
        <v>#REF!</v>
      </c>
      <c r="HZ15" t="e">
        <f>AND(#REF!,"AAAAAHe/f+k=")</f>
        <v>#REF!</v>
      </c>
      <c r="IA15" t="e">
        <f>AND(#REF!,"AAAAAHe/f+o=")</f>
        <v>#REF!</v>
      </c>
      <c r="IB15" t="e">
        <f>AND(#REF!,"AAAAAHe/f+s=")</f>
        <v>#REF!</v>
      </c>
      <c r="IC15" t="e">
        <f>IF(#REF!,"AAAAAHe/f+w=",0)</f>
        <v>#REF!</v>
      </c>
      <c r="ID15" t="e">
        <f>AND(#REF!,"AAAAAHe/f+0=")</f>
        <v>#REF!</v>
      </c>
      <c r="IE15" t="e">
        <f>AND(#REF!,"AAAAAHe/f+4=")</f>
        <v>#REF!</v>
      </c>
      <c r="IF15" t="e">
        <f>AND(#REF!,"AAAAAHe/f+8=")</f>
        <v>#REF!</v>
      </c>
      <c r="IG15" t="e">
        <f>AND(#REF!,"AAAAAHe/f/A=")</f>
        <v>#REF!</v>
      </c>
      <c r="IH15" t="e">
        <f>AND(#REF!,"AAAAAHe/f/E=")</f>
        <v>#REF!</v>
      </c>
      <c r="II15" t="e">
        <f>AND(#REF!,"AAAAAHe/f/I=")</f>
        <v>#REF!</v>
      </c>
      <c r="IJ15" t="e">
        <f>AND(#REF!,"AAAAAHe/f/M=")</f>
        <v>#REF!</v>
      </c>
      <c r="IK15" t="e">
        <f>AND(#REF!,"AAAAAHe/f/Q=")</f>
        <v>#REF!</v>
      </c>
      <c r="IL15" t="e">
        <f>AND(#REF!,"AAAAAHe/f/U=")</f>
        <v>#REF!</v>
      </c>
      <c r="IM15" t="e">
        <f>AND(#REF!,"AAAAAHe/f/Y=")</f>
        <v>#REF!</v>
      </c>
      <c r="IN15" t="e">
        <f>AND(#REF!,"AAAAAHe/f/c=")</f>
        <v>#REF!</v>
      </c>
      <c r="IO15" t="e">
        <f>AND(#REF!,"AAAAAHe/f/g=")</f>
        <v>#REF!</v>
      </c>
      <c r="IP15" t="e">
        <f>AND(#REF!,"AAAAAHe/f/k=")</f>
        <v>#REF!</v>
      </c>
      <c r="IQ15" t="e">
        <f>AND(#REF!,"AAAAAHe/f/o=")</f>
        <v>#REF!</v>
      </c>
      <c r="IR15" t="e">
        <f>AND(#REF!,"AAAAAHe/f/s=")</f>
        <v>#REF!</v>
      </c>
      <c r="IS15" t="e">
        <f>AND(#REF!,"AAAAAHe/f/w=")</f>
        <v>#REF!</v>
      </c>
      <c r="IT15" t="e">
        <f>AND(#REF!,"AAAAAHe/f/0=")</f>
        <v>#REF!</v>
      </c>
      <c r="IU15" t="e">
        <f>AND(#REF!,"AAAAAHe/f/4=")</f>
        <v>#REF!</v>
      </c>
      <c r="IV15" t="e">
        <f>AND(#REF!,"AAAAAHe/f/8=")</f>
        <v>#REF!</v>
      </c>
    </row>
    <row r="16" spans="1:256">
      <c r="A16" t="e">
        <f>AND(#REF!,"AAAAAH/XXgA=")</f>
        <v>#REF!</v>
      </c>
      <c r="B16" t="e">
        <f>AND(#REF!,"AAAAAH/XXgE=")</f>
        <v>#REF!</v>
      </c>
      <c r="C16" t="e">
        <f>AND(#REF!,"AAAAAH/XXgI=")</f>
        <v>#REF!</v>
      </c>
      <c r="D16" t="e">
        <f>AND(#REF!,"AAAAAH/XXgM=")</f>
        <v>#REF!</v>
      </c>
      <c r="E16" t="e">
        <f>AND(#REF!,"AAAAAH/XXgQ=")</f>
        <v>#REF!</v>
      </c>
      <c r="F16" t="e">
        <f>AND(#REF!,"AAAAAH/XXgU=")</f>
        <v>#REF!</v>
      </c>
      <c r="G16" t="e">
        <f>AND(#REF!,"AAAAAH/XXgY=")</f>
        <v>#REF!</v>
      </c>
      <c r="H16" t="e">
        <f>AND(#REF!,"AAAAAH/XXgc=")</f>
        <v>#REF!</v>
      </c>
      <c r="I16" t="e">
        <f>AND(#REF!,"AAAAAH/XXgg=")</f>
        <v>#REF!</v>
      </c>
      <c r="J16" t="e">
        <f>AND(#REF!,"AAAAAH/XXgk=")</f>
        <v>#REF!</v>
      </c>
      <c r="K16" t="e">
        <f>AND(#REF!,"AAAAAH/XXgo=")</f>
        <v>#REF!</v>
      </c>
      <c r="L16" t="e">
        <f>AND(#REF!,"AAAAAH/XXgs=")</f>
        <v>#REF!</v>
      </c>
      <c r="M16" t="e">
        <f>AND(#REF!,"AAAAAH/XXgw=")</f>
        <v>#REF!</v>
      </c>
      <c r="N16" t="e">
        <f>AND(#REF!,"AAAAAH/XXg0=")</f>
        <v>#REF!</v>
      </c>
      <c r="O16" t="e">
        <f>AND(#REF!,"AAAAAH/XXg4=")</f>
        <v>#REF!</v>
      </c>
      <c r="P16" t="e">
        <f>AND(#REF!,"AAAAAH/XXg8=")</f>
        <v>#REF!</v>
      </c>
      <c r="Q16" t="e">
        <f>IF(#REF!,"AAAAAH/XXhA=",0)</f>
        <v>#REF!</v>
      </c>
      <c r="R16" t="e">
        <f>AND(#REF!,"AAAAAH/XXhE=")</f>
        <v>#REF!</v>
      </c>
      <c r="S16" t="e">
        <f>AND(#REF!,"AAAAAH/XXhI=")</f>
        <v>#REF!</v>
      </c>
      <c r="T16" t="e">
        <f>AND(#REF!,"AAAAAH/XXhM=")</f>
        <v>#REF!</v>
      </c>
      <c r="U16" t="e">
        <f>AND(#REF!,"AAAAAH/XXhQ=")</f>
        <v>#REF!</v>
      </c>
      <c r="V16" t="e">
        <f>AND(#REF!,"AAAAAH/XXhU=")</f>
        <v>#REF!</v>
      </c>
      <c r="W16" t="e">
        <f>AND(#REF!,"AAAAAH/XXhY=")</f>
        <v>#REF!</v>
      </c>
      <c r="X16" t="e">
        <f>AND(#REF!,"AAAAAH/XXhc=")</f>
        <v>#REF!</v>
      </c>
      <c r="Y16" t="e">
        <f>AND(#REF!,"AAAAAH/XXhg=")</f>
        <v>#REF!</v>
      </c>
      <c r="Z16" t="e">
        <f>AND(#REF!,"AAAAAH/XXhk=")</f>
        <v>#REF!</v>
      </c>
      <c r="AA16" t="e">
        <f>AND(#REF!,"AAAAAH/XXho=")</f>
        <v>#REF!</v>
      </c>
      <c r="AB16" t="e">
        <f>AND(#REF!,"AAAAAH/XXhs=")</f>
        <v>#REF!</v>
      </c>
      <c r="AC16" t="e">
        <f>AND(#REF!,"AAAAAH/XXhw=")</f>
        <v>#REF!</v>
      </c>
      <c r="AD16" t="e">
        <f>AND(#REF!,"AAAAAH/XXh0=")</f>
        <v>#REF!</v>
      </c>
      <c r="AE16" t="e">
        <f>AND(#REF!,"AAAAAH/XXh4=")</f>
        <v>#REF!</v>
      </c>
      <c r="AF16" t="e">
        <f>AND(#REF!,"AAAAAH/XXh8=")</f>
        <v>#REF!</v>
      </c>
      <c r="AG16" t="e">
        <f>AND(#REF!,"AAAAAH/XXiA=")</f>
        <v>#REF!</v>
      </c>
      <c r="AH16" t="e">
        <f>AND(#REF!,"AAAAAH/XXiE=")</f>
        <v>#REF!</v>
      </c>
      <c r="AI16" t="e">
        <f>AND(#REF!,"AAAAAH/XXiI=")</f>
        <v>#REF!</v>
      </c>
      <c r="AJ16" t="e">
        <f>AND(#REF!,"AAAAAH/XXiM=")</f>
        <v>#REF!</v>
      </c>
      <c r="AK16" t="e">
        <f>AND(#REF!,"AAAAAH/XXiQ=")</f>
        <v>#REF!</v>
      </c>
      <c r="AL16" t="e">
        <f>AND(#REF!,"AAAAAH/XXiU=")</f>
        <v>#REF!</v>
      </c>
      <c r="AM16" t="e">
        <f>AND(#REF!,"AAAAAH/XXiY=")</f>
        <v>#REF!</v>
      </c>
      <c r="AN16" t="e">
        <f>AND(#REF!,"AAAAAH/XXic=")</f>
        <v>#REF!</v>
      </c>
      <c r="AO16" t="e">
        <f>AND(#REF!,"AAAAAH/XXig=")</f>
        <v>#REF!</v>
      </c>
      <c r="AP16" t="e">
        <f>AND(#REF!,"AAAAAH/XXik=")</f>
        <v>#REF!</v>
      </c>
      <c r="AQ16" t="e">
        <f>AND(#REF!,"AAAAAH/XXio=")</f>
        <v>#REF!</v>
      </c>
      <c r="AR16" t="e">
        <f>AND(#REF!,"AAAAAH/XXis=")</f>
        <v>#REF!</v>
      </c>
      <c r="AS16" t="e">
        <f>AND(#REF!,"AAAAAH/XXiw=")</f>
        <v>#REF!</v>
      </c>
      <c r="AT16" t="e">
        <f>AND(#REF!,"AAAAAH/XXi0=")</f>
        <v>#REF!</v>
      </c>
      <c r="AU16" t="e">
        <f>AND(#REF!,"AAAAAH/XXi4=")</f>
        <v>#REF!</v>
      </c>
      <c r="AV16" t="e">
        <f>AND(#REF!,"AAAAAH/XXi8=")</f>
        <v>#REF!</v>
      </c>
      <c r="AW16" t="e">
        <f>AND(#REF!,"AAAAAH/XXjA=")</f>
        <v>#REF!</v>
      </c>
      <c r="AX16" t="e">
        <f>AND(#REF!,"AAAAAH/XXjE=")</f>
        <v>#REF!</v>
      </c>
      <c r="AY16" t="e">
        <f>AND(#REF!,"AAAAAH/XXjI=")</f>
        <v>#REF!</v>
      </c>
      <c r="AZ16" t="e">
        <f>AND(#REF!,"AAAAAH/XXjM=")</f>
        <v>#REF!</v>
      </c>
      <c r="BA16" t="e">
        <f>IF(#REF!,"AAAAAH/XXjQ=",0)</f>
        <v>#REF!</v>
      </c>
      <c r="BB16" t="e">
        <f>AND(#REF!,"AAAAAH/XXjU=")</f>
        <v>#REF!</v>
      </c>
      <c r="BC16" t="e">
        <f>AND(#REF!,"AAAAAH/XXjY=")</f>
        <v>#REF!</v>
      </c>
      <c r="BD16" t="e">
        <f>AND(#REF!,"AAAAAH/XXjc=")</f>
        <v>#REF!</v>
      </c>
      <c r="BE16" t="e">
        <f>AND(#REF!,"AAAAAH/XXjg=")</f>
        <v>#REF!</v>
      </c>
      <c r="BF16" t="e">
        <f>AND(#REF!,"AAAAAH/XXjk=")</f>
        <v>#REF!</v>
      </c>
      <c r="BG16" t="e">
        <f>AND(#REF!,"AAAAAH/XXjo=")</f>
        <v>#REF!</v>
      </c>
      <c r="BH16" t="e">
        <f>AND(#REF!,"AAAAAH/XXjs=")</f>
        <v>#REF!</v>
      </c>
      <c r="BI16" t="e">
        <f>AND(#REF!,"AAAAAH/XXjw=")</f>
        <v>#REF!</v>
      </c>
      <c r="BJ16" t="e">
        <f>AND(#REF!,"AAAAAH/XXj0=")</f>
        <v>#REF!</v>
      </c>
      <c r="BK16" t="e">
        <f>AND(#REF!,"AAAAAH/XXj4=")</f>
        <v>#REF!</v>
      </c>
      <c r="BL16" t="e">
        <f>AND(#REF!,"AAAAAH/XXj8=")</f>
        <v>#REF!</v>
      </c>
      <c r="BM16" t="e">
        <f>AND(#REF!,"AAAAAH/XXkA=")</f>
        <v>#REF!</v>
      </c>
      <c r="BN16" t="e">
        <f>AND(#REF!,"AAAAAH/XXkE=")</f>
        <v>#REF!</v>
      </c>
      <c r="BO16" t="e">
        <f>AND(#REF!,"AAAAAH/XXkI=")</f>
        <v>#REF!</v>
      </c>
      <c r="BP16" t="e">
        <f>AND(#REF!,"AAAAAH/XXkM=")</f>
        <v>#REF!</v>
      </c>
      <c r="BQ16" t="e">
        <f>AND(#REF!,"AAAAAH/XXkQ=")</f>
        <v>#REF!</v>
      </c>
      <c r="BR16" t="e">
        <f>AND(#REF!,"AAAAAH/XXkU=")</f>
        <v>#REF!</v>
      </c>
      <c r="BS16" t="e">
        <f>AND(#REF!,"AAAAAH/XXkY=")</f>
        <v>#REF!</v>
      </c>
      <c r="BT16" t="e">
        <f>AND(#REF!,"AAAAAH/XXkc=")</f>
        <v>#REF!</v>
      </c>
      <c r="BU16" t="e">
        <f>AND(#REF!,"AAAAAH/XXkg=")</f>
        <v>#REF!</v>
      </c>
      <c r="BV16" t="e">
        <f>AND(#REF!,"AAAAAH/XXkk=")</f>
        <v>#REF!</v>
      </c>
      <c r="BW16" t="e">
        <f>AND(#REF!,"AAAAAH/XXko=")</f>
        <v>#REF!</v>
      </c>
      <c r="BX16" t="e">
        <f>AND(#REF!,"AAAAAH/XXks=")</f>
        <v>#REF!</v>
      </c>
      <c r="BY16" t="e">
        <f>AND(#REF!,"AAAAAH/XXkw=")</f>
        <v>#REF!</v>
      </c>
      <c r="BZ16" t="e">
        <f>AND(#REF!,"AAAAAH/XXk0=")</f>
        <v>#REF!</v>
      </c>
      <c r="CA16" t="e">
        <f>AND(#REF!,"AAAAAH/XXk4=")</f>
        <v>#REF!</v>
      </c>
      <c r="CB16" t="e">
        <f>AND(#REF!,"AAAAAH/XXk8=")</f>
        <v>#REF!</v>
      </c>
      <c r="CC16" t="e">
        <f>AND(#REF!,"AAAAAH/XXlA=")</f>
        <v>#REF!</v>
      </c>
      <c r="CD16" t="e">
        <f>AND(#REF!,"AAAAAH/XXlE=")</f>
        <v>#REF!</v>
      </c>
      <c r="CE16" t="e">
        <f>AND(#REF!,"AAAAAH/XXlI=")</f>
        <v>#REF!</v>
      </c>
      <c r="CF16" t="e">
        <f>AND(#REF!,"AAAAAH/XXlM=")</f>
        <v>#REF!</v>
      </c>
      <c r="CG16" t="e">
        <f>AND(#REF!,"AAAAAH/XXlQ=")</f>
        <v>#REF!</v>
      </c>
      <c r="CH16" t="e">
        <f>AND(#REF!,"AAAAAH/XXlU=")</f>
        <v>#REF!</v>
      </c>
      <c r="CI16" t="e">
        <f>AND(#REF!,"AAAAAH/XXlY=")</f>
        <v>#REF!</v>
      </c>
      <c r="CJ16" t="e">
        <f>AND(#REF!,"AAAAAH/XXlc=")</f>
        <v>#REF!</v>
      </c>
      <c r="CK16" t="e">
        <f>IF(#REF!,"AAAAAH/XXlg=",0)</f>
        <v>#REF!</v>
      </c>
      <c r="CL16" t="e">
        <f>AND(#REF!,"AAAAAH/XXlk=")</f>
        <v>#REF!</v>
      </c>
      <c r="CM16" t="e">
        <f>AND(#REF!,"AAAAAH/XXlo=")</f>
        <v>#REF!</v>
      </c>
      <c r="CN16" t="e">
        <f>AND(#REF!,"AAAAAH/XXls=")</f>
        <v>#REF!</v>
      </c>
      <c r="CO16" t="e">
        <f>AND(#REF!,"AAAAAH/XXlw=")</f>
        <v>#REF!</v>
      </c>
      <c r="CP16" t="e">
        <f>AND(#REF!,"AAAAAH/XXl0=")</f>
        <v>#REF!</v>
      </c>
      <c r="CQ16" t="e">
        <f>AND(#REF!,"AAAAAH/XXl4=")</f>
        <v>#REF!</v>
      </c>
      <c r="CR16" t="e">
        <f>AND(#REF!,"AAAAAH/XXl8=")</f>
        <v>#REF!</v>
      </c>
      <c r="CS16" t="e">
        <f>AND(#REF!,"AAAAAH/XXmA=")</f>
        <v>#REF!</v>
      </c>
      <c r="CT16" t="e">
        <f>AND(#REF!,"AAAAAH/XXmE=")</f>
        <v>#REF!</v>
      </c>
      <c r="CU16" t="e">
        <f>AND(#REF!,"AAAAAH/XXmI=")</f>
        <v>#REF!</v>
      </c>
      <c r="CV16" t="e">
        <f>AND(#REF!,"AAAAAH/XXmM=")</f>
        <v>#REF!</v>
      </c>
      <c r="CW16" t="e">
        <f>AND(#REF!,"AAAAAH/XXmQ=")</f>
        <v>#REF!</v>
      </c>
      <c r="CX16" t="e">
        <f>AND(#REF!,"AAAAAH/XXmU=")</f>
        <v>#REF!</v>
      </c>
      <c r="CY16" t="e">
        <f>AND(#REF!,"AAAAAH/XXmY=")</f>
        <v>#REF!</v>
      </c>
      <c r="CZ16" t="e">
        <f>AND(#REF!,"AAAAAH/XXmc=")</f>
        <v>#REF!</v>
      </c>
      <c r="DA16" t="e">
        <f>AND(#REF!,"AAAAAH/XXmg=")</f>
        <v>#REF!</v>
      </c>
      <c r="DB16" t="e">
        <f>AND(#REF!,"AAAAAH/XXmk=")</f>
        <v>#REF!</v>
      </c>
      <c r="DC16" t="e">
        <f>AND(#REF!,"AAAAAH/XXmo=")</f>
        <v>#REF!</v>
      </c>
      <c r="DD16" t="e">
        <f>AND(#REF!,"AAAAAH/XXms=")</f>
        <v>#REF!</v>
      </c>
      <c r="DE16" t="e">
        <f>AND(#REF!,"AAAAAH/XXmw=")</f>
        <v>#REF!</v>
      </c>
      <c r="DF16" t="e">
        <f>AND(#REF!,"AAAAAH/XXm0=")</f>
        <v>#REF!</v>
      </c>
      <c r="DG16" t="e">
        <f>AND(#REF!,"AAAAAH/XXm4=")</f>
        <v>#REF!</v>
      </c>
      <c r="DH16" t="e">
        <f>AND(#REF!,"AAAAAH/XXm8=")</f>
        <v>#REF!</v>
      </c>
      <c r="DI16" t="e">
        <f>AND(#REF!,"AAAAAH/XXnA=")</f>
        <v>#REF!</v>
      </c>
      <c r="DJ16" t="e">
        <f>AND(#REF!,"AAAAAH/XXnE=")</f>
        <v>#REF!</v>
      </c>
      <c r="DK16" t="e">
        <f>AND(#REF!,"AAAAAH/XXnI=")</f>
        <v>#REF!</v>
      </c>
      <c r="DL16" t="e">
        <f>AND(#REF!,"AAAAAH/XXnM=")</f>
        <v>#REF!</v>
      </c>
      <c r="DM16" t="e">
        <f>AND(#REF!,"AAAAAH/XXnQ=")</f>
        <v>#REF!</v>
      </c>
      <c r="DN16" t="e">
        <f>AND(#REF!,"AAAAAH/XXnU=")</f>
        <v>#REF!</v>
      </c>
      <c r="DO16" t="e">
        <f>AND(#REF!,"AAAAAH/XXnY=")</f>
        <v>#REF!</v>
      </c>
      <c r="DP16" t="e">
        <f>AND(#REF!,"AAAAAH/XXnc=")</f>
        <v>#REF!</v>
      </c>
      <c r="DQ16" t="e">
        <f>AND(#REF!,"AAAAAH/XXng=")</f>
        <v>#REF!</v>
      </c>
      <c r="DR16" t="e">
        <f>AND(#REF!,"AAAAAH/XXnk=")</f>
        <v>#REF!</v>
      </c>
      <c r="DS16" t="e">
        <f>AND(#REF!,"AAAAAH/XXno=")</f>
        <v>#REF!</v>
      </c>
      <c r="DT16" t="e">
        <f>AND(#REF!,"AAAAAH/XXns=")</f>
        <v>#REF!</v>
      </c>
      <c r="DU16" t="e">
        <f>IF(#REF!,"AAAAAH/XXnw=",0)</f>
        <v>#REF!</v>
      </c>
      <c r="DV16" t="e">
        <f>AND(#REF!,"AAAAAH/XXn0=")</f>
        <v>#REF!</v>
      </c>
      <c r="DW16" t="e">
        <f>AND(#REF!,"AAAAAH/XXn4=")</f>
        <v>#REF!</v>
      </c>
      <c r="DX16" t="e">
        <f>AND(#REF!,"AAAAAH/XXn8=")</f>
        <v>#REF!</v>
      </c>
      <c r="DY16" t="e">
        <f>AND(#REF!,"AAAAAH/XXoA=")</f>
        <v>#REF!</v>
      </c>
      <c r="DZ16" t="e">
        <f>AND(#REF!,"AAAAAH/XXoE=")</f>
        <v>#REF!</v>
      </c>
      <c r="EA16" t="e">
        <f>AND(#REF!,"AAAAAH/XXoI=")</f>
        <v>#REF!</v>
      </c>
      <c r="EB16" t="e">
        <f>AND(#REF!,"AAAAAH/XXoM=")</f>
        <v>#REF!</v>
      </c>
      <c r="EC16" t="e">
        <f>AND(#REF!,"AAAAAH/XXoQ=")</f>
        <v>#REF!</v>
      </c>
      <c r="ED16" t="e">
        <f>AND(#REF!,"AAAAAH/XXoU=")</f>
        <v>#REF!</v>
      </c>
      <c r="EE16" t="e">
        <f>AND(#REF!,"AAAAAH/XXoY=")</f>
        <v>#REF!</v>
      </c>
      <c r="EF16" t="e">
        <f>AND(#REF!,"AAAAAH/XXoc=")</f>
        <v>#REF!</v>
      </c>
      <c r="EG16" t="e">
        <f>AND(#REF!,"AAAAAH/XXog=")</f>
        <v>#REF!</v>
      </c>
      <c r="EH16" t="e">
        <f>AND(#REF!,"AAAAAH/XXok=")</f>
        <v>#REF!</v>
      </c>
      <c r="EI16" t="e">
        <f>AND(#REF!,"AAAAAH/XXoo=")</f>
        <v>#REF!</v>
      </c>
      <c r="EJ16" t="e">
        <f>AND(#REF!,"AAAAAH/XXos=")</f>
        <v>#REF!</v>
      </c>
      <c r="EK16" t="e">
        <f>AND(#REF!,"AAAAAH/XXow=")</f>
        <v>#REF!</v>
      </c>
      <c r="EL16" t="e">
        <f>AND(#REF!,"AAAAAH/XXo0=")</f>
        <v>#REF!</v>
      </c>
      <c r="EM16" t="e">
        <f>AND(#REF!,"AAAAAH/XXo4=")</f>
        <v>#REF!</v>
      </c>
      <c r="EN16" t="e">
        <f>AND(#REF!,"AAAAAH/XXo8=")</f>
        <v>#REF!</v>
      </c>
      <c r="EO16" t="e">
        <f>AND(#REF!,"AAAAAH/XXpA=")</f>
        <v>#REF!</v>
      </c>
      <c r="EP16" t="e">
        <f>AND(#REF!,"AAAAAH/XXpE=")</f>
        <v>#REF!</v>
      </c>
      <c r="EQ16" t="e">
        <f>AND(#REF!,"AAAAAH/XXpI=")</f>
        <v>#REF!</v>
      </c>
      <c r="ER16" t="e">
        <f>AND(#REF!,"AAAAAH/XXpM=")</f>
        <v>#REF!</v>
      </c>
      <c r="ES16" t="e">
        <f>AND(#REF!,"AAAAAH/XXpQ=")</f>
        <v>#REF!</v>
      </c>
      <c r="ET16" t="e">
        <f>AND(#REF!,"AAAAAH/XXpU=")</f>
        <v>#REF!</v>
      </c>
      <c r="EU16" t="e">
        <f>AND(#REF!,"AAAAAH/XXpY=")</f>
        <v>#REF!</v>
      </c>
      <c r="EV16" t="e">
        <f>AND(#REF!,"AAAAAH/XXpc=")</f>
        <v>#REF!</v>
      </c>
      <c r="EW16" t="e">
        <f>AND(#REF!,"AAAAAH/XXpg=")</f>
        <v>#REF!</v>
      </c>
      <c r="EX16" t="e">
        <f>AND(#REF!,"AAAAAH/XXpk=")</f>
        <v>#REF!</v>
      </c>
      <c r="EY16" t="e">
        <f>AND(#REF!,"AAAAAH/XXpo=")</f>
        <v>#REF!</v>
      </c>
      <c r="EZ16" t="e">
        <f>AND(#REF!,"AAAAAH/XXps=")</f>
        <v>#REF!</v>
      </c>
      <c r="FA16" t="e">
        <f>AND(#REF!,"AAAAAH/XXpw=")</f>
        <v>#REF!</v>
      </c>
      <c r="FB16" t="e">
        <f>AND(#REF!,"AAAAAH/XXp0=")</f>
        <v>#REF!</v>
      </c>
      <c r="FC16" t="e">
        <f>AND(#REF!,"AAAAAH/XXp4=")</f>
        <v>#REF!</v>
      </c>
      <c r="FD16" t="e">
        <f>AND(#REF!,"AAAAAH/XXp8=")</f>
        <v>#REF!</v>
      </c>
      <c r="FE16" t="e">
        <f>IF(#REF!,"AAAAAH/XXqA=",0)</f>
        <v>#REF!</v>
      </c>
      <c r="FF16" t="e">
        <f>AND(#REF!,"AAAAAH/XXqE=")</f>
        <v>#REF!</v>
      </c>
      <c r="FG16" t="e">
        <f>AND(#REF!,"AAAAAH/XXqI=")</f>
        <v>#REF!</v>
      </c>
      <c r="FH16" t="e">
        <f>AND(#REF!,"AAAAAH/XXqM=")</f>
        <v>#REF!</v>
      </c>
      <c r="FI16" t="e">
        <f>AND(#REF!,"AAAAAH/XXqQ=")</f>
        <v>#REF!</v>
      </c>
      <c r="FJ16" t="e">
        <f>AND(#REF!,"AAAAAH/XXqU=")</f>
        <v>#REF!</v>
      </c>
      <c r="FK16" t="e">
        <f>AND(#REF!,"AAAAAH/XXqY=")</f>
        <v>#REF!</v>
      </c>
      <c r="FL16" t="e">
        <f>AND(#REF!,"AAAAAH/XXqc=")</f>
        <v>#REF!</v>
      </c>
      <c r="FM16" t="e">
        <f>AND(#REF!,"AAAAAH/XXqg=")</f>
        <v>#REF!</v>
      </c>
      <c r="FN16" t="e">
        <f>AND(#REF!,"AAAAAH/XXqk=")</f>
        <v>#REF!</v>
      </c>
      <c r="FO16" t="e">
        <f>AND(#REF!,"AAAAAH/XXqo=")</f>
        <v>#REF!</v>
      </c>
      <c r="FP16" t="e">
        <f>AND(#REF!,"AAAAAH/XXqs=")</f>
        <v>#REF!</v>
      </c>
      <c r="FQ16" t="e">
        <f>AND(#REF!,"AAAAAH/XXqw=")</f>
        <v>#REF!</v>
      </c>
      <c r="FR16" t="e">
        <f>AND(#REF!,"AAAAAH/XXq0=")</f>
        <v>#REF!</v>
      </c>
      <c r="FS16" t="e">
        <f>AND(#REF!,"AAAAAH/XXq4=")</f>
        <v>#REF!</v>
      </c>
      <c r="FT16" t="e">
        <f>AND(#REF!,"AAAAAH/XXq8=")</f>
        <v>#REF!</v>
      </c>
      <c r="FU16" t="e">
        <f>AND(#REF!,"AAAAAH/XXrA=")</f>
        <v>#REF!</v>
      </c>
      <c r="FV16" t="e">
        <f>AND(#REF!,"AAAAAH/XXrE=")</f>
        <v>#REF!</v>
      </c>
      <c r="FW16" t="e">
        <f>AND(#REF!,"AAAAAH/XXrI=")</f>
        <v>#REF!</v>
      </c>
      <c r="FX16" t="e">
        <f>AND(#REF!,"AAAAAH/XXrM=")</f>
        <v>#REF!</v>
      </c>
      <c r="FY16" t="e">
        <f>AND(#REF!,"AAAAAH/XXrQ=")</f>
        <v>#REF!</v>
      </c>
      <c r="FZ16" t="e">
        <f>AND(#REF!,"AAAAAH/XXrU=")</f>
        <v>#REF!</v>
      </c>
      <c r="GA16" t="e">
        <f>AND(#REF!,"AAAAAH/XXrY=")</f>
        <v>#REF!</v>
      </c>
      <c r="GB16" t="e">
        <f>AND(#REF!,"AAAAAH/XXrc=")</f>
        <v>#REF!</v>
      </c>
      <c r="GC16" t="e">
        <f>AND(#REF!,"AAAAAH/XXrg=")</f>
        <v>#REF!</v>
      </c>
      <c r="GD16" t="e">
        <f>AND(#REF!,"AAAAAH/XXrk=")</f>
        <v>#REF!</v>
      </c>
      <c r="GE16" t="e">
        <f>AND(#REF!,"AAAAAH/XXro=")</f>
        <v>#REF!</v>
      </c>
      <c r="GF16" t="e">
        <f>AND(#REF!,"AAAAAH/XXrs=")</f>
        <v>#REF!</v>
      </c>
      <c r="GG16" t="e">
        <f>AND(#REF!,"AAAAAH/XXrw=")</f>
        <v>#REF!</v>
      </c>
      <c r="GH16" t="e">
        <f>AND(#REF!,"AAAAAH/XXr0=")</f>
        <v>#REF!</v>
      </c>
      <c r="GI16" t="e">
        <f>AND(#REF!,"AAAAAH/XXr4=")</f>
        <v>#REF!</v>
      </c>
      <c r="GJ16" t="e">
        <f>AND(#REF!,"AAAAAH/XXr8=")</f>
        <v>#REF!</v>
      </c>
      <c r="GK16" t="e">
        <f>AND(#REF!,"AAAAAH/XXsA=")</f>
        <v>#REF!</v>
      </c>
      <c r="GL16" t="e">
        <f>AND(#REF!,"AAAAAH/XXsE=")</f>
        <v>#REF!</v>
      </c>
      <c r="GM16" t="e">
        <f>AND(#REF!,"AAAAAH/XXsI=")</f>
        <v>#REF!</v>
      </c>
      <c r="GN16" t="e">
        <f>AND(#REF!,"AAAAAH/XXsM=")</f>
        <v>#REF!</v>
      </c>
      <c r="GO16" t="e">
        <f>IF(#REF!,"AAAAAH/XXsQ=",0)</f>
        <v>#REF!</v>
      </c>
      <c r="GP16" t="e">
        <f>AND(#REF!,"AAAAAH/XXsU=")</f>
        <v>#REF!</v>
      </c>
      <c r="GQ16" t="e">
        <f>AND(#REF!,"AAAAAH/XXsY=")</f>
        <v>#REF!</v>
      </c>
      <c r="GR16" t="e">
        <f>AND(#REF!,"AAAAAH/XXsc=")</f>
        <v>#REF!</v>
      </c>
      <c r="GS16" t="e">
        <f>AND(#REF!,"AAAAAH/XXsg=")</f>
        <v>#REF!</v>
      </c>
      <c r="GT16" t="e">
        <f>AND(#REF!,"AAAAAH/XXsk=")</f>
        <v>#REF!</v>
      </c>
      <c r="GU16" t="e">
        <f>AND(#REF!,"AAAAAH/XXso=")</f>
        <v>#REF!</v>
      </c>
      <c r="GV16" t="e">
        <f>AND(#REF!,"AAAAAH/XXss=")</f>
        <v>#REF!</v>
      </c>
      <c r="GW16" t="e">
        <f>AND(#REF!,"AAAAAH/XXsw=")</f>
        <v>#REF!</v>
      </c>
      <c r="GX16" t="e">
        <f>AND(#REF!,"AAAAAH/XXs0=")</f>
        <v>#REF!</v>
      </c>
      <c r="GY16" t="e">
        <f>AND(#REF!,"AAAAAH/XXs4=")</f>
        <v>#REF!</v>
      </c>
      <c r="GZ16" t="e">
        <f>AND(#REF!,"AAAAAH/XXs8=")</f>
        <v>#REF!</v>
      </c>
      <c r="HA16" t="e">
        <f>AND(#REF!,"AAAAAH/XXtA=")</f>
        <v>#REF!</v>
      </c>
      <c r="HB16" t="e">
        <f>AND(#REF!,"AAAAAH/XXtE=")</f>
        <v>#REF!</v>
      </c>
      <c r="HC16" t="e">
        <f>AND(#REF!,"AAAAAH/XXtI=")</f>
        <v>#REF!</v>
      </c>
      <c r="HD16" t="e">
        <f>AND(#REF!,"AAAAAH/XXtM=")</f>
        <v>#REF!</v>
      </c>
      <c r="HE16" t="e">
        <f>AND(#REF!,"AAAAAH/XXtQ=")</f>
        <v>#REF!</v>
      </c>
      <c r="HF16" t="e">
        <f>AND(#REF!,"AAAAAH/XXtU=")</f>
        <v>#REF!</v>
      </c>
      <c r="HG16" t="e">
        <f>AND(#REF!,"AAAAAH/XXtY=")</f>
        <v>#REF!</v>
      </c>
      <c r="HH16" t="e">
        <f>AND(#REF!,"AAAAAH/XXtc=")</f>
        <v>#REF!</v>
      </c>
      <c r="HI16" t="e">
        <f>AND(#REF!,"AAAAAH/XXtg=")</f>
        <v>#REF!</v>
      </c>
      <c r="HJ16" t="e">
        <f>AND(#REF!,"AAAAAH/XXtk=")</f>
        <v>#REF!</v>
      </c>
      <c r="HK16" t="e">
        <f>AND(#REF!,"AAAAAH/XXto=")</f>
        <v>#REF!</v>
      </c>
      <c r="HL16" t="e">
        <f>AND(#REF!,"AAAAAH/XXts=")</f>
        <v>#REF!</v>
      </c>
      <c r="HM16" t="e">
        <f>AND(#REF!,"AAAAAH/XXtw=")</f>
        <v>#REF!</v>
      </c>
      <c r="HN16" t="e">
        <f>AND(#REF!,"AAAAAH/XXt0=")</f>
        <v>#REF!</v>
      </c>
      <c r="HO16" t="e">
        <f>AND(#REF!,"AAAAAH/XXt4=")</f>
        <v>#REF!</v>
      </c>
      <c r="HP16" t="e">
        <f>AND(#REF!,"AAAAAH/XXt8=")</f>
        <v>#REF!</v>
      </c>
      <c r="HQ16" t="e">
        <f>AND(#REF!,"AAAAAH/XXuA=")</f>
        <v>#REF!</v>
      </c>
      <c r="HR16" t="e">
        <f>AND(#REF!,"AAAAAH/XXuE=")</f>
        <v>#REF!</v>
      </c>
      <c r="HS16" t="e">
        <f>AND(#REF!,"AAAAAH/XXuI=")</f>
        <v>#REF!</v>
      </c>
      <c r="HT16" t="e">
        <f>AND(#REF!,"AAAAAH/XXuM=")</f>
        <v>#REF!</v>
      </c>
      <c r="HU16" t="e">
        <f>AND(#REF!,"AAAAAH/XXuQ=")</f>
        <v>#REF!</v>
      </c>
      <c r="HV16" t="e">
        <f>AND(#REF!,"AAAAAH/XXuU=")</f>
        <v>#REF!</v>
      </c>
      <c r="HW16" t="e">
        <f>AND(#REF!,"AAAAAH/XXuY=")</f>
        <v>#REF!</v>
      </c>
      <c r="HX16" t="e">
        <f>AND(#REF!,"AAAAAH/XXuc=")</f>
        <v>#REF!</v>
      </c>
      <c r="HY16" t="e">
        <f>IF(#REF!,"AAAAAH/XXug=",0)</f>
        <v>#REF!</v>
      </c>
      <c r="HZ16" t="e">
        <f>AND(#REF!,"AAAAAH/XXuk=")</f>
        <v>#REF!</v>
      </c>
      <c r="IA16" t="e">
        <f>AND(#REF!,"AAAAAH/XXuo=")</f>
        <v>#REF!</v>
      </c>
      <c r="IB16" t="e">
        <f>AND(#REF!,"AAAAAH/XXus=")</f>
        <v>#REF!</v>
      </c>
      <c r="IC16" t="e">
        <f>AND(#REF!,"AAAAAH/XXuw=")</f>
        <v>#REF!</v>
      </c>
      <c r="ID16" t="e">
        <f>AND(#REF!,"AAAAAH/XXu0=")</f>
        <v>#REF!</v>
      </c>
      <c r="IE16" t="e">
        <f>AND(#REF!,"AAAAAH/XXu4=")</f>
        <v>#REF!</v>
      </c>
      <c r="IF16" t="e">
        <f>AND(#REF!,"AAAAAH/XXu8=")</f>
        <v>#REF!</v>
      </c>
      <c r="IG16" t="e">
        <f>AND(#REF!,"AAAAAH/XXvA=")</f>
        <v>#REF!</v>
      </c>
      <c r="IH16" t="e">
        <f>AND(#REF!,"AAAAAH/XXvE=")</f>
        <v>#REF!</v>
      </c>
      <c r="II16" t="e">
        <f>AND(#REF!,"AAAAAH/XXvI=")</f>
        <v>#REF!</v>
      </c>
      <c r="IJ16" t="e">
        <f>AND(#REF!,"AAAAAH/XXvM=")</f>
        <v>#REF!</v>
      </c>
      <c r="IK16" t="e">
        <f>AND(#REF!,"AAAAAH/XXvQ=")</f>
        <v>#REF!</v>
      </c>
      <c r="IL16" t="e">
        <f>AND(#REF!,"AAAAAH/XXvU=")</f>
        <v>#REF!</v>
      </c>
      <c r="IM16" t="e">
        <f>AND(#REF!,"AAAAAH/XXvY=")</f>
        <v>#REF!</v>
      </c>
      <c r="IN16" t="e">
        <f>AND(#REF!,"AAAAAH/XXvc=")</f>
        <v>#REF!</v>
      </c>
      <c r="IO16" t="e">
        <f>AND(#REF!,"AAAAAH/XXvg=")</f>
        <v>#REF!</v>
      </c>
      <c r="IP16" t="e">
        <f>AND(#REF!,"AAAAAH/XXvk=")</f>
        <v>#REF!</v>
      </c>
      <c r="IQ16" t="e">
        <f>AND(#REF!,"AAAAAH/XXvo=")</f>
        <v>#REF!</v>
      </c>
      <c r="IR16" t="e">
        <f>AND(#REF!,"AAAAAH/XXvs=")</f>
        <v>#REF!</v>
      </c>
      <c r="IS16" t="e">
        <f>AND(#REF!,"AAAAAH/XXvw=")</f>
        <v>#REF!</v>
      </c>
      <c r="IT16" t="e">
        <f>AND(#REF!,"AAAAAH/XXv0=")</f>
        <v>#REF!</v>
      </c>
      <c r="IU16" t="e">
        <f>AND(#REF!,"AAAAAH/XXv4=")</f>
        <v>#REF!</v>
      </c>
      <c r="IV16" t="e">
        <f>AND(#REF!,"AAAAAH/XXv8=")</f>
        <v>#REF!</v>
      </c>
    </row>
    <row r="17" spans="1:256">
      <c r="A17" t="e">
        <f>AND(#REF!,"AAAAAAPi3QA=")</f>
        <v>#REF!</v>
      </c>
      <c r="B17" t="e">
        <f>AND(#REF!,"AAAAAAPi3QE=")</f>
        <v>#REF!</v>
      </c>
      <c r="C17" t="e">
        <f>AND(#REF!,"AAAAAAPi3QI=")</f>
        <v>#REF!</v>
      </c>
      <c r="D17" t="e">
        <f>AND(#REF!,"AAAAAAPi3QM=")</f>
        <v>#REF!</v>
      </c>
      <c r="E17" t="e">
        <f>AND(#REF!,"AAAAAAPi3QQ=")</f>
        <v>#REF!</v>
      </c>
      <c r="F17" t="e">
        <f>AND(#REF!,"AAAAAAPi3QU=")</f>
        <v>#REF!</v>
      </c>
      <c r="G17" t="e">
        <f>AND(#REF!,"AAAAAAPi3QY=")</f>
        <v>#REF!</v>
      </c>
      <c r="H17" t="e">
        <f>AND(#REF!,"AAAAAAPi3Qc=")</f>
        <v>#REF!</v>
      </c>
      <c r="I17" t="e">
        <f>AND(#REF!,"AAAAAAPi3Qg=")</f>
        <v>#REF!</v>
      </c>
      <c r="J17" t="e">
        <f>AND(#REF!,"AAAAAAPi3Qk=")</f>
        <v>#REF!</v>
      </c>
      <c r="K17" t="e">
        <f>AND(#REF!,"AAAAAAPi3Qo=")</f>
        <v>#REF!</v>
      </c>
      <c r="L17" t="e">
        <f>AND(#REF!,"AAAAAAPi3Qs=")</f>
        <v>#REF!</v>
      </c>
      <c r="M17" t="e">
        <f>IF(#REF!,"AAAAAAPi3Qw=",0)</f>
        <v>#REF!</v>
      </c>
      <c r="N17" t="e">
        <f>AND(#REF!,"AAAAAAPi3Q0=")</f>
        <v>#REF!</v>
      </c>
      <c r="O17" t="e">
        <f>AND(#REF!,"AAAAAAPi3Q4=")</f>
        <v>#REF!</v>
      </c>
      <c r="P17" t="e">
        <f>AND(#REF!,"AAAAAAPi3Q8=")</f>
        <v>#REF!</v>
      </c>
      <c r="Q17" t="e">
        <f>AND(#REF!,"AAAAAAPi3RA=")</f>
        <v>#REF!</v>
      </c>
      <c r="R17" t="e">
        <f>AND(#REF!,"AAAAAAPi3RE=")</f>
        <v>#REF!</v>
      </c>
      <c r="S17" t="e">
        <f>AND(#REF!,"AAAAAAPi3RI=")</f>
        <v>#REF!</v>
      </c>
      <c r="T17" t="e">
        <f>AND(#REF!,"AAAAAAPi3RM=")</f>
        <v>#REF!</v>
      </c>
      <c r="U17" t="e">
        <f>AND(#REF!,"AAAAAAPi3RQ=")</f>
        <v>#REF!</v>
      </c>
      <c r="V17" t="e">
        <f>AND(#REF!,"AAAAAAPi3RU=")</f>
        <v>#REF!</v>
      </c>
      <c r="W17" t="e">
        <f>AND(#REF!,"AAAAAAPi3RY=")</f>
        <v>#REF!</v>
      </c>
      <c r="X17" t="e">
        <f>AND(#REF!,"AAAAAAPi3Rc=")</f>
        <v>#REF!</v>
      </c>
      <c r="Y17" t="e">
        <f>AND(#REF!,"AAAAAAPi3Rg=")</f>
        <v>#REF!</v>
      </c>
      <c r="Z17" t="e">
        <f>AND(#REF!,"AAAAAAPi3Rk=")</f>
        <v>#REF!</v>
      </c>
      <c r="AA17" t="e">
        <f>AND(#REF!,"AAAAAAPi3Ro=")</f>
        <v>#REF!</v>
      </c>
      <c r="AB17" t="e">
        <f>AND(#REF!,"AAAAAAPi3Rs=")</f>
        <v>#REF!</v>
      </c>
      <c r="AC17" t="e">
        <f>AND(#REF!,"AAAAAAPi3Rw=")</f>
        <v>#REF!</v>
      </c>
      <c r="AD17" t="e">
        <f>AND(#REF!,"AAAAAAPi3R0=")</f>
        <v>#REF!</v>
      </c>
      <c r="AE17" t="e">
        <f>AND(#REF!,"AAAAAAPi3R4=")</f>
        <v>#REF!</v>
      </c>
      <c r="AF17" t="e">
        <f>AND(#REF!,"AAAAAAPi3R8=")</f>
        <v>#REF!</v>
      </c>
      <c r="AG17" t="e">
        <f>AND(#REF!,"AAAAAAPi3SA=")</f>
        <v>#REF!</v>
      </c>
      <c r="AH17" t="e">
        <f>AND(#REF!,"AAAAAAPi3SE=")</f>
        <v>#REF!</v>
      </c>
      <c r="AI17" t="e">
        <f>AND(#REF!,"AAAAAAPi3SI=")</f>
        <v>#REF!</v>
      </c>
      <c r="AJ17" t="e">
        <f>AND(#REF!,"AAAAAAPi3SM=")</f>
        <v>#REF!</v>
      </c>
      <c r="AK17" t="e">
        <f>AND(#REF!,"AAAAAAPi3SQ=")</f>
        <v>#REF!</v>
      </c>
      <c r="AL17" t="e">
        <f>AND(#REF!,"AAAAAAPi3SU=")</f>
        <v>#REF!</v>
      </c>
      <c r="AM17" t="e">
        <f>AND(#REF!,"AAAAAAPi3SY=")</f>
        <v>#REF!</v>
      </c>
      <c r="AN17" t="e">
        <f>AND(#REF!,"AAAAAAPi3Sc=")</f>
        <v>#REF!</v>
      </c>
      <c r="AO17" t="e">
        <f>AND(#REF!,"AAAAAAPi3Sg=")</f>
        <v>#REF!</v>
      </c>
      <c r="AP17" t="e">
        <f>AND(#REF!,"AAAAAAPi3Sk=")</f>
        <v>#REF!</v>
      </c>
      <c r="AQ17" t="e">
        <f>AND(#REF!,"AAAAAAPi3So=")</f>
        <v>#REF!</v>
      </c>
      <c r="AR17" t="e">
        <f>AND(#REF!,"AAAAAAPi3Ss=")</f>
        <v>#REF!</v>
      </c>
      <c r="AS17" t="e">
        <f>AND(#REF!,"AAAAAAPi3Sw=")</f>
        <v>#REF!</v>
      </c>
      <c r="AT17" t="e">
        <f>AND(#REF!,"AAAAAAPi3S0=")</f>
        <v>#REF!</v>
      </c>
      <c r="AU17" t="e">
        <f>AND(#REF!,"AAAAAAPi3S4=")</f>
        <v>#REF!</v>
      </c>
      <c r="AV17" t="e">
        <f>AND(#REF!,"AAAAAAPi3S8=")</f>
        <v>#REF!</v>
      </c>
      <c r="AW17" t="e">
        <f>IF(#REF!,"AAAAAAPi3TA=",0)</f>
        <v>#REF!</v>
      </c>
      <c r="AX17" t="e">
        <f>AND(#REF!,"AAAAAAPi3TE=")</f>
        <v>#REF!</v>
      </c>
      <c r="AY17" t="e">
        <f>AND(#REF!,"AAAAAAPi3TI=")</f>
        <v>#REF!</v>
      </c>
      <c r="AZ17" t="e">
        <f>AND(#REF!,"AAAAAAPi3TM=")</f>
        <v>#REF!</v>
      </c>
      <c r="BA17" t="e">
        <f>AND(#REF!,"AAAAAAPi3TQ=")</f>
        <v>#REF!</v>
      </c>
      <c r="BB17" t="e">
        <f>AND(#REF!,"AAAAAAPi3TU=")</f>
        <v>#REF!</v>
      </c>
      <c r="BC17" t="e">
        <f>AND(#REF!,"AAAAAAPi3TY=")</f>
        <v>#REF!</v>
      </c>
      <c r="BD17" t="e">
        <f>AND(#REF!,"AAAAAAPi3Tc=")</f>
        <v>#REF!</v>
      </c>
      <c r="BE17" t="e">
        <f>AND(#REF!,"AAAAAAPi3Tg=")</f>
        <v>#REF!</v>
      </c>
      <c r="BF17" t="e">
        <f>AND(#REF!,"AAAAAAPi3Tk=")</f>
        <v>#REF!</v>
      </c>
      <c r="BG17" t="e">
        <f>AND(#REF!,"AAAAAAPi3To=")</f>
        <v>#REF!</v>
      </c>
      <c r="BH17" t="e">
        <f>AND(#REF!,"AAAAAAPi3Ts=")</f>
        <v>#REF!</v>
      </c>
      <c r="BI17" t="e">
        <f>AND(#REF!,"AAAAAAPi3Tw=")</f>
        <v>#REF!</v>
      </c>
      <c r="BJ17" t="e">
        <f>AND(#REF!,"AAAAAAPi3T0=")</f>
        <v>#REF!</v>
      </c>
      <c r="BK17" t="e">
        <f>AND(#REF!,"AAAAAAPi3T4=")</f>
        <v>#REF!</v>
      </c>
      <c r="BL17" t="e">
        <f>AND(#REF!,"AAAAAAPi3T8=")</f>
        <v>#REF!</v>
      </c>
      <c r="BM17" t="e">
        <f>AND(#REF!,"AAAAAAPi3UA=")</f>
        <v>#REF!</v>
      </c>
      <c r="BN17" t="e">
        <f>AND(#REF!,"AAAAAAPi3UE=")</f>
        <v>#REF!</v>
      </c>
      <c r="BO17" t="e">
        <f>AND(#REF!,"AAAAAAPi3UI=")</f>
        <v>#REF!</v>
      </c>
      <c r="BP17" t="e">
        <f>AND(#REF!,"AAAAAAPi3UM=")</f>
        <v>#REF!</v>
      </c>
      <c r="BQ17" t="e">
        <f>AND(#REF!,"AAAAAAPi3UQ=")</f>
        <v>#REF!</v>
      </c>
      <c r="BR17" t="e">
        <f>AND(#REF!,"AAAAAAPi3UU=")</f>
        <v>#REF!</v>
      </c>
      <c r="BS17" t="e">
        <f>AND(#REF!,"AAAAAAPi3UY=")</f>
        <v>#REF!</v>
      </c>
      <c r="BT17" t="e">
        <f>AND(#REF!,"AAAAAAPi3Uc=")</f>
        <v>#REF!</v>
      </c>
      <c r="BU17" t="e">
        <f>AND(#REF!,"AAAAAAPi3Ug=")</f>
        <v>#REF!</v>
      </c>
      <c r="BV17" t="e">
        <f>AND(#REF!,"AAAAAAPi3Uk=")</f>
        <v>#REF!</v>
      </c>
      <c r="BW17" t="e">
        <f>AND(#REF!,"AAAAAAPi3Uo=")</f>
        <v>#REF!</v>
      </c>
      <c r="BX17" t="e">
        <f>AND(#REF!,"AAAAAAPi3Us=")</f>
        <v>#REF!</v>
      </c>
      <c r="BY17" t="e">
        <f>AND(#REF!,"AAAAAAPi3Uw=")</f>
        <v>#REF!</v>
      </c>
      <c r="BZ17" t="e">
        <f>AND(#REF!,"AAAAAAPi3U0=")</f>
        <v>#REF!</v>
      </c>
      <c r="CA17" t="e">
        <f>AND(#REF!,"AAAAAAPi3U4=")</f>
        <v>#REF!</v>
      </c>
      <c r="CB17" t="e">
        <f>AND(#REF!,"AAAAAAPi3U8=")</f>
        <v>#REF!</v>
      </c>
      <c r="CC17" t="e">
        <f>AND(#REF!,"AAAAAAPi3VA=")</f>
        <v>#REF!</v>
      </c>
      <c r="CD17" t="e">
        <f>AND(#REF!,"AAAAAAPi3VE=")</f>
        <v>#REF!</v>
      </c>
      <c r="CE17" t="e">
        <f>AND(#REF!,"AAAAAAPi3VI=")</f>
        <v>#REF!</v>
      </c>
      <c r="CF17" t="e">
        <f>AND(#REF!,"AAAAAAPi3VM=")</f>
        <v>#REF!</v>
      </c>
      <c r="CG17" t="e">
        <f>IF(#REF!,"AAAAAAPi3VQ=",0)</f>
        <v>#REF!</v>
      </c>
      <c r="CH17" t="e">
        <f>AND(#REF!,"AAAAAAPi3VU=")</f>
        <v>#REF!</v>
      </c>
      <c r="CI17" t="e">
        <f>AND(#REF!,"AAAAAAPi3VY=")</f>
        <v>#REF!</v>
      </c>
      <c r="CJ17" t="e">
        <f>AND(#REF!,"AAAAAAPi3Vc=")</f>
        <v>#REF!</v>
      </c>
      <c r="CK17" t="e">
        <f>AND(#REF!,"AAAAAAPi3Vg=")</f>
        <v>#REF!</v>
      </c>
      <c r="CL17" t="e">
        <f>AND(#REF!,"AAAAAAPi3Vk=")</f>
        <v>#REF!</v>
      </c>
      <c r="CM17" t="e">
        <f>AND(#REF!,"AAAAAAPi3Vo=")</f>
        <v>#REF!</v>
      </c>
      <c r="CN17" t="e">
        <f>AND(#REF!,"AAAAAAPi3Vs=")</f>
        <v>#REF!</v>
      </c>
      <c r="CO17" t="e">
        <f>AND(#REF!,"AAAAAAPi3Vw=")</f>
        <v>#REF!</v>
      </c>
      <c r="CP17" t="e">
        <f>AND(#REF!,"AAAAAAPi3V0=")</f>
        <v>#REF!</v>
      </c>
      <c r="CQ17" t="e">
        <f>AND(#REF!,"AAAAAAPi3V4=")</f>
        <v>#REF!</v>
      </c>
      <c r="CR17" t="e">
        <f>AND(#REF!,"AAAAAAPi3V8=")</f>
        <v>#REF!</v>
      </c>
      <c r="CS17" t="e">
        <f>AND(#REF!,"AAAAAAPi3WA=")</f>
        <v>#REF!</v>
      </c>
      <c r="CT17" t="e">
        <f>AND(#REF!,"AAAAAAPi3WE=")</f>
        <v>#REF!</v>
      </c>
      <c r="CU17" t="e">
        <f>AND(#REF!,"AAAAAAPi3WI=")</f>
        <v>#REF!</v>
      </c>
      <c r="CV17" t="e">
        <f>AND(#REF!,"AAAAAAPi3WM=")</f>
        <v>#REF!</v>
      </c>
      <c r="CW17" t="e">
        <f>AND(#REF!,"AAAAAAPi3WQ=")</f>
        <v>#REF!</v>
      </c>
      <c r="CX17" t="e">
        <f>AND(#REF!,"AAAAAAPi3WU=")</f>
        <v>#REF!</v>
      </c>
      <c r="CY17" t="e">
        <f>AND(#REF!,"AAAAAAPi3WY=")</f>
        <v>#REF!</v>
      </c>
      <c r="CZ17" t="e">
        <f>AND(#REF!,"AAAAAAPi3Wc=")</f>
        <v>#REF!</v>
      </c>
      <c r="DA17" t="e">
        <f>AND(#REF!,"AAAAAAPi3Wg=")</f>
        <v>#REF!</v>
      </c>
      <c r="DB17" t="e">
        <f>AND(#REF!,"AAAAAAPi3Wk=")</f>
        <v>#REF!</v>
      </c>
      <c r="DC17" t="e">
        <f>AND(#REF!,"AAAAAAPi3Wo=")</f>
        <v>#REF!</v>
      </c>
      <c r="DD17" t="e">
        <f>AND(#REF!,"AAAAAAPi3Ws=")</f>
        <v>#REF!</v>
      </c>
      <c r="DE17" t="e">
        <f>AND(#REF!,"AAAAAAPi3Ww=")</f>
        <v>#REF!</v>
      </c>
      <c r="DF17" t="e">
        <f>AND(#REF!,"AAAAAAPi3W0=")</f>
        <v>#REF!</v>
      </c>
      <c r="DG17" t="e">
        <f>AND(#REF!,"AAAAAAPi3W4=")</f>
        <v>#REF!</v>
      </c>
      <c r="DH17" t="e">
        <f>AND(#REF!,"AAAAAAPi3W8=")</f>
        <v>#REF!</v>
      </c>
      <c r="DI17" t="e">
        <f>AND(#REF!,"AAAAAAPi3XA=")</f>
        <v>#REF!</v>
      </c>
      <c r="DJ17" t="e">
        <f>AND(#REF!,"AAAAAAPi3XE=")</f>
        <v>#REF!</v>
      </c>
      <c r="DK17" t="e">
        <f>AND(#REF!,"AAAAAAPi3XI=")</f>
        <v>#REF!</v>
      </c>
      <c r="DL17" t="e">
        <f>AND(#REF!,"AAAAAAPi3XM=")</f>
        <v>#REF!</v>
      </c>
      <c r="DM17" t="e">
        <f>AND(#REF!,"AAAAAAPi3XQ=")</f>
        <v>#REF!</v>
      </c>
      <c r="DN17" t="e">
        <f>AND(#REF!,"AAAAAAPi3XU=")</f>
        <v>#REF!</v>
      </c>
      <c r="DO17" t="e">
        <f>AND(#REF!,"AAAAAAPi3XY=")</f>
        <v>#REF!</v>
      </c>
      <c r="DP17" t="e">
        <f>AND(#REF!,"AAAAAAPi3Xc=")</f>
        <v>#REF!</v>
      </c>
      <c r="DQ17" t="e">
        <f>IF(#REF!,"AAAAAAPi3Xg=",0)</f>
        <v>#REF!</v>
      </c>
      <c r="DR17" t="e">
        <f>AND(#REF!,"AAAAAAPi3Xk=")</f>
        <v>#REF!</v>
      </c>
      <c r="DS17" t="e">
        <f>AND(#REF!,"AAAAAAPi3Xo=")</f>
        <v>#REF!</v>
      </c>
      <c r="DT17" t="e">
        <f>AND(#REF!,"AAAAAAPi3Xs=")</f>
        <v>#REF!</v>
      </c>
      <c r="DU17" t="e">
        <f>AND(#REF!,"AAAAAAPi3Xw=")</f>
        <v>#REF!</v>
      </c>
      <c r="DV17" t="e">
        <f>AND(#REF!,"AAAAAAPi3X0=")</f>
        <v>#REF!</v>
      </c>
      <c r="DW17" t="e">
        <f>AND(#REF!,"AAAAAAPi3X4=")</f>
        <v>#REF!</v>
      </c>
      <c r="DX17" t="e">
        <f>AND(#REF!,"AAAAAAPi3X8=")</f>
        <v>#REF!</v>
      </c>
      <c r="DY17" t="e">
        <f>AND(#REF!,"AAAAAAPi3YA=")</f>
        <v>#REF!</v>
      </c>
      <c r="DZ17" t="e">
        <f>AND(#REF!,"AAAAAAPi3YE=")</f>
        <v>#REF!</v>
      </c>
      <c r="EA17" t="e">
        <f>AND(#REF!,"AAAAAAPi3YI=")</f>
        <v>#REF!</v>
      </c>
      <c r="EB17" t="e">
        <f>AND(#REF!,"AAAAAAPi3YM=")</f>
        <v>#REF!</v>
      </c>
      <c r="EC17" t="e">
        <f>AND(#REF!,"AAAAAAPi3YQ=")</f>
        <v>#REF!</v>
      </c>
      <c r="ED17" t="e">
        <f>AND(#REF!,"AAAAAAPi3YU=")</f>
        <v>#REF!</v>
      </c>
      <c r="EE17" t="e">
        <f>AND(#REF!,"AAAAAAPi3YY=")</f>
        <v>#REF!</v>
      </c>
      <c r="EF17" t="e">
        <f>AND(#REF!,"AAAAAAPi3Yc=")</f>
        <v>#REF!</v>
      </c>
      <c r="EG17" t="e">
        <f>AND(#REF!,"AAAAAAPi3Yg=")</f>
        <v>#REF!</v>
      </c>
      <c r="EH17" t="e">
        <f>AND(#REF!,"AAAAAAPi3Yk=")</f>
        <v>#REF!</v>
      </c>
      <c r="EI17" t="e">
        <f>AND(#REF!,"AAAAAAPi3Yo=")</f>
        <v>#REF!</v>
      </c>
      <c r="EJ17" t="e">
        <f>AND(#REF!,"AAAAAAPi3Ys=")</f>
        <v>#REF!</v>
      </c>
      <c r="EK17" t="e">
        <f>AND(#REF!,"AAAAAAPi3Yw=")</f>
        <v>#REF!</v>
      </c>
      <c r="EL17" t="e">
        <f>AND(#REF!,"AAAAAAPi3Y0=")</f>
        <v>#REF!</v>
      </c>
      <c r="EM17" t="e">
        <f>AND(#REF!,"AAAAAAPi3Y4=")</f>
        <v>#REF!</v>
      </c>
      <c r="EN17" t="e">
        <f>AND(#REF!,"AAAAAAPi3Y8=")</f>
        <v>#REF!</v>
      </c>
      <c r="EO17" t="e">
        <f>AND(#REF!,"AAAAAAPi3ZA=")</f>
        <v>#REF!</v>
      </c>
      <c r="EP17" t="e">
        <f>AND(#REF!,"AAAAAAPi3ZE=")</f>
        <v>#REF!</v>
      </c>
      <c r="EQ17" t="e">
        <f>AND(#REF!,"AAAAAAPi3ZI=")</f>
        <v>#REF!</v>
      </c>
      <c r="ER17" t="e">
        <f>AND(#REF!,"AAAAAAPi3ZM=")</f>
        <v>#REF!</v>
      </c>
      <c r="ES17" t="e">
        <f>AND(#REF!,"AAAAAAPi3ZQ=")</f>
        <v>#REF!</v>
      </c>
      <c r="ET17" t="e">
        <f>AND(#REF!,"AAAAAAPi3ZU=")</f>
        <v>#REF!</v>
      </c>
      <c r="EU17" t="e">
        <f>AND(#REF!,"AAAAAAPi3ZY=")</f>
        <v>#REF!</v>
      </c>
      <c r="EV17" t="e">
        <f>AND(#REF!,"AAAAAAPi3Zc=")</f>
        <v>#REF!</v>
      </c>
      <c r="EW17" t="e">
        <f>AND(#REF!,"AAAAAAPi3Zg=")</f>
        <v>#REF!</v>
      </c>
      <c r="EX17" t="e">
        <f>AND(#REF!,"AAAAAAPi3Zk=")</f>
        <v>#REF!</v>
      </c>
      <c r="EY17" t="e">
        <f>AND(#REF!,"AAAAAAPi3Zo=")</f>
        <v>#REF!</v>
      </c>
      <c r="EZ17" t="e">
        <f>AND(#REF!,"AAAAAAPi3Zs=")</f>
        <v>#REF!</v>
      </c>
      <c r="FA17" t="e">
        <f>IF(#REF!,"AAAAAAPi3Zw=",0)</f>
        <v>#REF!</v>
      </c>
      <c r="FB17" t="e">
        <f>AND(#REF!,"AAAAAAPi3Z0=")</f>
        <v>#REF!</v>
      </c>
      <c r="FC17" t="e">
        <f>AND(#REF!,"AAAAAAPi3Z4=")</f>
        <v>#REF!</v>
      </c>
      <c r="FD17" t="e">
        <f>AND(#REF!,"AAAAAAPi3Z8=")</f>
        <v>#REF!</v>
      </c>
      <c r="FE17" t="e">
        <f>AND(#REF!,"AAAAAAPi3aA=")</f>
        <v>#REF!</v>
      </c>
      <c r="FF17" t="e">
        <f>AND(#REF!,"AAAAAAPi3aE=")</f>
        <v>#REF!</v>
      </c>
      <c r="FG17" t="e">
        <f>AND(#REF!,"AAAAAAPi3aI=")</f>
        <v>#REF!</v>
      </c>
      <c r="FH17" t="e">
        <f>AND(#REF!,"AAAAAAPi3aM=")</f>
        <v>#REF!</v>
      </c>
      <c r="FI17" t="e">
        <f>AND(#REF!,"AAAAAAPi3aQ=")</f>
        <v>#REF!</v>
      </c>
      <c r="FJ17" t="e">
        <f>AND(#REF!,"AAAAAAPi3aU=")</f>
        <v>#REF!</v>
      </c>
      <c r="FK17" t="e">
        <f>AND(#REF!,"AAAAAAPi3aY=")</f>
        <v>#REF!</v>
      </c>
      <c r="FL17" t="e">
        <f>AND(#REF!,"AAAAAAPi3ac=")</f>
        <v>#REF!</v>
      </c>
      <c r="FM17" t="e">
        <f>AND(#REF!,"AAAAAAPi3ag=")</f>
        <v>#REF!</v>
      </c>
      <c r="FN17" t="e">
        <f>AND(#REF!,"AAAAAAPi3ak=")</f>
        <v>#REF!</v>
      </c>
      <c r="FO17" t="e">
        <f>AND(#REF!,"AAAAAAPi3ao=")</f>
        <v>#REF!</v>
      </c>
      <c r="FP17" t="e">
        <f>AND(#REF!,"AAAAAAPi3as=")</f>
        <v>#REF!</v>
      </c>
      <c r="FQ17" t="e">
        <f>AND(#REF!,"AAAAAAPi3aw=")</f>
        <v>#REF!</v>
      </c>
      <c r="FR17" t="e">
        <f>AND(#REF!,"AAAAAAPi3a0=")</f>
        <v>#REF!</v>
      </c>
      <c r="FS17" t="e">
        <f>AND(#REF!,"AAAAAAPi3a4=")</f>
        <v>#REF!</v>
      </c>
      <c r="FT17" t="e">
        <f>AND(#REF!,"AAAAAAPi3a8=")</f>
        <v>#REF!</v>
      </c>
      <c r="FU17" t="e">
        <f>AND(#REF!,"AAAAAAPi3bA=")</f>
        <v>#REF!</v>
      </c>
      <c r="FV17" t="e">
        <f>AND(#REF!,"AAAAAAPi3bE=")</f>
        <v>#REF!</v>
      </c>
      <c r="FW17" t="e">
        <f>AND(#REF!,"AAAAAAPi3bI=")</f>
        <v>#REF!</v>
      </c>
      <c r="FX17" t="e">
        <f>AND(#REF!,"AAAAAAPi3bM=")</f>
        <v>#REF!</v>
      </c>
      <c r="FY17" t="e">
        <f>AND(#REF!,"AAAAAAPi3bQ=")</f>
        <v>#REF!</v>
      </c>
      <c r="FZ17" t="e">
        <f>AND(#REF!,"AAAAAAPi3bU=")</f>
        <v>#REF!</v>
      </c>
      <c r="GA17" t="e">
        <f>AND(#REF!,"AAAAAAPi3bY=")</f>
        <v>#REF!</v>
      </c>
      <c r="GB17" t="e">
        <f>AND(#REF!,"AAAAAAPi3bc=")</f>
        <v>#REF!</v>
      </c>
      <c r="GC17" t="e">
        <f>AND(#REF!,"AAAAAAPi3bg=")</f>
        <v>#REF!</v>
      </c>
      <c r="GD17" t="e">
        <f>AND(#REF!,"AAAAAAPi3bk=")</f>
        <v>#REF!</v>
      </c>
      <c r="GE17" t="e">
        <f>AND(#REF!,"AAAAAAPi3bo=")</f>
        <v>#REF!</v>
      </c>
      <c r="GF17" t="e">
        <f>AND(#REF!,"AAAAAAPi3bs=")</f>
        <v>#REF!</v>
      </c>
      <c r="GG17" t="e">
        <f>AND(#REF!,"AAAAAAPi3bw=")</f>
        <v>#REF!</v>
      </c>
      <c r="GH17" t="e">
        <f>AND(#REF!,"AAAAAAPi3b0=")</f>
        <v>#REF!</v>
      </c>
      <c r="GI17" t="e">
        <f>AND(#REF!,"AAAAAAPi3b4=")</f>
        <v>#REF!</v>
      </c>
      <c r="GJ17" t="e">
        <f>AND(#REF!,"AAAAAAPi3b8=")</f>
        <v>#REF!</v>
      </c>
      <c r="GK17" t="e">
        <f>IF(#REF!,"AAAAAAPi3cA=",0)</f>
        <v>#REF!</v>
      </c>
      <c r="GL17" t="e">
        <f>AND(#REF!,"AAAAAAPi3cE=")</f>
        <v>#REF!</v>
      </c>
      <c r="GM17" t="e">
        <f>AND(#REF!,"AAAAAAPi3cI=")</f>
        <v>#REF!</v>
      </c>
      <c r="GN17" t="e">
        <f>AND(#REF!,"AAAAAAPi3cM=")</f>
        <v>#REF!</v>
      </c>
      <c r="GO17" t="e">
        <f>AND(#REF!,"AAAAAAPi3cQ=")</f>
        <v>#REF!</v>
      </c>
      <c r="GP17" t="e">
        <f>AND(#REF!,"AAAAAAPi3cU=")</f>
        <v>#REF!</v>
      </c>
      <c r="GQ17" t="e">
        <f>AND(#REF!,"AAAAAAPi3cY=")</f>
        <v>#REF!</v>
      </c>
      <c r="GR17" t="e">
        <f>AND(#REF!,"AAAAAAPi3cc=")</f>
        <v>#REF!</v>
      </c>
      <c r="GS17" t="e">
        <f>AND(#REF!,"AAAAAAPi3cg=")</f>
        <v>#REF!</v>
      </c>
      <c r="GT17" t="e">
        <f>AND(#REF!,"AAAAAAPi3ck=")</f>
        <v>#REF!</v>
      </c>
      <c r="GU17" t="e">
        <f>AND(#REF!,"AAAAAAPi3co=")</f>
        <v>#REF!</v>
      </c>
      <c r="GV17" t="e">
        <f>AND(#REF!,"AAAAAAPi3cs=")</f>
        <v>#REF!</v>
      </c>
      <c r="GW17" t="e">
        <f>AND(#REF!,"AAAAAAPi3cw=")</f>
        <v>#REF!</v>
      </c>
      <c r="GX17" t="e">
        <f>AND(#REF!,"AAAAAAPi3c0=")</f>
        <v>#REF!</v>
      </c>
      <c r="GY17" t="e">
        <f>AND(#REF!,"AAAAAAPi3c4=")</f>
        <v>#REF!</v>
      </c>
      <c r="GZ17" t="e">
        <f>AND(#REF!,"AAAAAAPi3c8=")</f>
        <v>#REF!</v>
      </c>
      <c r="HA17" t="e">
        <f>AND(#REF!,"AAAAAAPi3dA=")</f>
        <v>#REF!</v>
      </c>
      <c r="HB17" t="e">
        <f>AND(#REF!,"AAAAAAPi3dE=")</f>
        <v>#REF!</v>
      </c>
      <c r="HC17" t="e">
        <f>AND(#REF!,"AAAAAAPi3dI=")</f>
        <v>#REF!</v>
      </c>
      <c r="HD17" t="e">
        <f>AND(#REF!,"AAAAAAPi3dM=")</f>
        <v>#REF!</v>
      </c>
      <c r="HE17" t="e">
        <f>AND(#REF!,"AAAAAAPi3dQ=")</f>
        <v>#REF!</v>
      </c>
      <c r="HF17" t="e">
        <f>AND(#REF!,"AAAAAAPi3dU=")</f>
        <v>#REF!</v>
      </c>
      <c r="HG17" t="e">
        <f>AND(#REF!,"AAAAAAPi3dY=")</f>
        <v>#REF!</v>
      </c>
      <c r="HH17" t="e">
        <f>AND(#REF!,"AAAAAAPi3dc=")</f>
        <v>#REF!</v>
      </c>
      <c r="HI17" t="e">
        <f>AND(#REF!,"AAAAAAPi3dg=")</f>
        <v>#REF!</v>
      </c>
      <c r="HJ17" t="e">
        <f>AND(#REF!,"AAAAAAPi3dk=")</f>
        <v>#REF!</v>
      </c>
      <c r="HK17" t="e">
        <f>AND(#REF!,"AAAAAAPi3do=")</f>
        <v>#REF!</v>
      </c>
      <c r="HL17" t="e">
        <f>AND(#REF!,"AAAAAAPi3ds=")</f>
        <v>#REF!</v>
      </c>
      <c r="HM17" t="e">
        <f>AND(#REF!,"AAAAAAPi3dw=")</f>
        <v>#REF!</v>
      </c>
      <c r="HN17" t="e">
        <f>AND(#REF!,"AAAAAAPi3d0=")</f>
        <v>#REF!</v>
      </c>
      <c r="HO17" t="e">
        <f>AND(#REF!,"AAAAAAPi3d4=")</f>
        <v>#REF!</v>
      </c>
      <c r="HP17" t="e">
        <f>AND(#REF!,"AAAAAAPi3d8=")</f>
        <v>#REF!</v>
      </c>
      <c r="HQ17" t="e">
        <f>AND(#REF!,"AAAAAAPi3eA=")</f>
        <v>#REF!</v>
      </c>
      <c r="HR17" t="e">
        <f>AND(#REF!,"AAAAAAPi3eE=")</f>
        <v>#REF!</v>
      </c>
      <c r="HS17" t="e">
        <f>AND(#REF!,"AAAAAAPi3eI=")</f>
        <v>#REF!</v>
      </c>
      <c r="HT17" t="e">
        <f>AND(#REF!,"AAAAAAPi3eM=")</f>
        <v>#REF!</v>
      </c>
      <c r="HU17" t="e">
        <f>IF(#REF!,"AAAAAAPi3eQ=",0)</f>
        <v>#REF!</v>
      </c>
      <c r="HV17" t="e">
        <f>AND(#REF!,"AAAAAAPi3eU=")</f>
        <v>#REF!</v>
      </c>
      <c r="HW17" t="e">
        <f>AND(#REF!,"AAAAAAPi3eY=")</f>
        <v>#REF!</v>
      </c>
      <c r="HX17" t="e">
        <f>AND(#REF!,"AAAAAAPi3ec=")</f>
        <v>#REF!</v>
      </c>
      <c r="HY17" t="e">
        <f>AND(#REF!,"AAAAAAPi3eg=")</f>
        <v>#REF!</v>
      </c>
      <c r="HZ17" t="e">
        <f>AND(#REF!,"AAAAAAPi3ek=")</f>
        <v>#REF!</v>
      </c>
      <c r="IA17" t="e">
        <f>AND(#REF!,"AAAAAAPi3eo=")</f>
        <v>#REF!</v>
      </c>
      <c r="IB17" t="e">
        <f>AND(#REF!,"AAAAAAPi3es=")</f>
        <v>#REF!</v>
      </c>
      <c r="IC17" t="e">
        <f>AND(#REF!,"AAAAAAPi3ew=")</f>
        <v>#REF!</v>
      </c>
      <c r="ID17" t="e">
        <f>AND(#REF!,"AAAAAAPi3e0=")</f>
        <v>#REF!</v>
      </c>
      <c r="IE17" t="e">
        <f>AND(#REF!,"AAAAAAPi3e4=")</f>
        <v>#REF!</v>
      </c>
      <c r="IF17" t="e">
        <f>AND(#REF!,"AAAAAAPi3e8=")</f>
        <v>#REF!</v>
      </c>
      <c r="IG17" t="e">
        <f>AND(#REF!,"AAAAAAPi3fA=")</f>
        <v>#REF!</v>
      </c>
      <c r="IH17" t="e">
        <f>AND(#REF!,"AAAAAAPi3fE=")</f>
        <v>#REF!</v>
      </c>
      <c r="II17" t="e">
        <f>AND(#REF!,"AAAAAAPi3fI=")</f>
        <v>#REF!</v>
      </c>
      <c r="IJ17" t="e">
        <f>AND(#REF!,"AAAAAAPi3fM=")</f>
        <v>#REF!</v>
      </c>
      <c r="IK17" t="e">
        <f>AND(#REF!,"AAAAAAPi3fQ=")</f>
        <v>#REF!</v>
      </c>
      <c r="IL17" t="e">
        <f>AND(#REF!,"AAAAAAPi3fU=")</f>
        <v>#REF!</v>
      </c>
      <c r="IM17" t="e">
        <f>AND(#REF!,"AAAAAAPi3fY=")</f>
        <v>#REF!</v>
      </c>
      <c r="IN17" t="e">
        <f>AND(#REF!,"AAAAAAPi3fc=")</f>
        <v>#REF!</v>
      </c>
      <c r="IO17" t="e">
        <f>AND(#REF!,"AAAAAAPi3fg=")</f>
        <v>#REF!</v>
      </c>
      <c r="IP17" t="e">
        <f>AND(#REF!,"AAAAAAPi3fk=")</f>
        <v>#REF!</v>
      </c>
      <c r="IQ17" t="e">
        <f>AND(#REF!,"AAAAAAPi3fo=")</f>
        <v>#REF!</v>
      </c>
      <c r="IR17" t="e">
        <f>AND(#REF!,"AAAAAAPi3fs=")</f>
        <v>#REF!</v>
      </c>
      <c r="IS17" t="e">
        <f>AND(#REF!,"AAAAAAPi3fw=")</f>
        <v>#REF!</v>
      </c>
      <c r="IT17" t="e">
        <f>AND(#REF!,"AAAAAAPi3f0=")</f>
        <v>#REF!</v>
      </c>
      <c r="IU17" t="e">
        <f>AND(#REF!,"AAAAAAPi3f4=")</f>
        <v>#REF!</v>
      </c>
      <c r="IV17" t="e">
        <f>AND(#REF!,"AAAAAAPi3f8=")</f>
        <v>#REF!</v>
      </c>
    </row>
    <row r="18" spans="1:256">
      <c r="A18" t="e">
        <f>AND(#REF!,"AAAAAFzbdAA=")</f>
        <v>#REF!</v>
      </c>
      <c r="B18" t="e">
        <f>AND(#REF!,"AAAAAFzbdAE=")</f>
        <v>#REF!</v>
      </c>
      <c r="C18" t="e">
        <f>AND(#REF!,"AAAAAFzbdAI=")</f>
        <v>#REF!</v>
      </c>
      <c r="D18" t="e">
        <f>AND(#REF!,"AAAAAFzbdAM=")</f>
        <v>#REF!</v>
      </c>
      <c r="E18" t="e">
        <f>AND(#REF!,"AAAAAFzbdAQ=")</f>
        <v>#REF!</v>
      </c>
      <c r="F18" t="e">
        <f>AND(#REF!,"AAAAAFzbdAU=")</f>
        <v>#REF!</v>
      </c>
      <c r="G18" t="e">
        <f>AND(#REF!,"AAAAAFzbdAY=")</f>
        <v>#REF!</v>
      </c>
      <c r="H18" t="e">
        <f>AND(#REF!,"AAAAAFzbdAc=")</f>
        <v>#REF!</v>
      </c>
      <c r="I18" t="e">
        <f>IF(#REF!,"AAAAAFzbdAg=",0)</f>
        <v>#REF!</v>
      </c>
      <c r="J18" t="e">
        <f>AND(#REF!,"AAAAAFzbdAk=")</f>
        <v>#REF!</v>
      </c>
      <c r="K18" t="e">
        <f>AND(#REF!,"AAAAAFzbdAo=")</f>
        <v>#REF!</v>
      </c>
      <c r="L18" t="e">
        <f>AND(#REF!,"AAAAAFzbdAs=")</f>
        <v>#REF!</v>
      </c>
      <c r="M18" t="e">
        <f>AND(#REF!,"AAAAAFzbdAw=")</f>
        <v>#REF!</v>
      </c>
      <c r="N18" t="e">
        <f>AND(#REF!,"AAAAAFzbdA0=")</f>
        <v>#REF!</v>
      </c>
      <c r="O18" t="e">
        <f>AND(#REF!,"AAAAAFzbdA4=")</f>
        <v>#REF!</v>
      </c>
      <c r="P18" t="e">
        <f>AND(#REF!,"AAAAAFzbdA8=")</f>
        <v>#REF!</v>
      </c>
      <c r="Q18" t="e">
        <f>AND(#REF!,"AAAAAFzbdBA=")</f>
        <v>#REF!</v>
      </c>
      <c r="R18" t="e">
        <f>AND(#REF!,"AAAAAFzbdBE=")</f>
        <v>#REF!</v>
      </c>
      <c r="S18" t="e">
        <f>AND(#REF!,"AAAAAFzbdBI=")</f>
        <v>#REF!</v>
      </c>
      <c r="T18" t="e">
        <f>AND(#REF!,"AAAAAFzbdBM=")</f>
        <v>#REF!</v>
      </c>
      <c r="U18" t="e">
        <f>AND(#REF!,"AAAAAFzbdBQ=")</f>
        <v>#REF!</v>
      </c>
      <c r="V18" t="e">
        <f>AND(#REF!,"AAAAAFzbdBU=")</f>
        <v>#REF!</v>
      </c>
      <c r="W18" t="e">
        <f>AND(#REF!,"AAAAAFzbdBY=")</f>
        <v>#REF!</v>
      </c>
      <c r="X18" t="e">
        <f>AND(#REF!,"AAAAAFzbdBc=")</f>
        <v>#REF!</v>
      </c>
      <c r="Y18" t="e">
        <f>AND(#REF!,"AAAAAFzbdBg=")</f>
        <v>#REF!</v>
      </c>
      <c r="Z18" t="e">
        <f>AND(#REF!,"AAAAAFzbdBk=")</f>
        <v>#REF!</v>
      </c>
      <c r="AA18" t="e">
        <f>AND(#REF!,"AAAAAFzbdBo=")</f>
        <v>#REF!</v>
      </c>
      <c r="AB18" t="e">
        <f>AND(#REF!,"AAAAAFzbdBs=")</f>
        <v>#REF!</v>
      </c>
      <c r="AC18" t="e">
        <f>AND(#REF!,"AAAAAFzbdBw=")</f>
        <v>#REF!</v>
      </c>
      <c r="AD18" t="e">
        <f>AND(#REF!,"AAAAAFzbdB0=")</f>
        <v>#REF!</v>
      </c>
      <c r="AE18" t="e">
        <f>AND(#REF!,"AAAAAFzbdB4=")</f>
        <v>#REF!</v>
      </c>
      <c r="AF18" t="e">
        <f>AND(#REF!,"AAAAAFzbdB8=")</f>
        <v>#REF!</v>
      </c>
      <c r="AG18" t="e">
        <f>AND(#REF!,"AAAAAFzbdCA=")</f>
        <v>#REF!</v>
      </c>
      <c r="AH18" t="e">
        <f>AND(#REF!,"AAAAAFzbdCE=")</f>
        <v>#REF!</v>
      </c>
      <c r="AI18" t="e">
        <f>AND(#REF!,"AAAAAFzbdCI=")</f>
        <v>#REF!</v>
      </c>
      <c r="AJ18" t="e">
        <f>AND(#REF!,"AAAAAFzbdCM=")</f>
        <v>#REF!</v>
      </c>
      <c r="AK18" t="e">
        <f>AND(#REF!,"AAAAAFzbdCQ=")</f>
        <v>#REF!</v>
      </c>
      <c r="AL18" t="e">
        <f>AND(#REF!,"AAAAAFzbdCU=")</f>
        <v>#REF!</v>
      </c>
      <c r="AM18" t="e">
        <f>AND(#REF!,"AAAAAFzbdCY=")</f>
        <v>#REF!</v>
      </c>
      <c r="AN18" t="e">
        <f>AND(#REF!,"AAAAAFzbdCc=")</f>
        <v>#REF!</v>
      </c>
      <c r="AO18" t="e">
        <f>AND(#REF!,"AAAAAFzbdCg=")</f>
        <v>#REF!</v>
      </c>
      <c r="AP18" t="e">
        <f>AND(#REF!,"AAAAAFzbdCk=")</f>
        <v>#REF!</v>
      </c>
      <c r="AQ18" t="e">
        <f>AND(#REF!,"AAAAAFzbdCo=")</f>
        <v>#REF!</v>
      </c>
      <c r="AR18" t="e">
        <f>AND(#REF!,"AAAAAFzbdCs=")</f>
        <v>#REF!</v>
      </c>
      <c r="AS18" t="e">
        <f>IF(#REF!,"AAAAAFzbdCw=",0)</f>
        <v>#REF!</v>
      </c>
      <c r="AT18" t="e">
        <f>AND(#REF!,"AAAAAFzbdC0=")</f>
        <v>#REF!</v>
      </c>
      <c r="AU18" t="e">
        <f>AND(#REF!,"AAAAAFzbdC4=")</f>
        <v>#REF!</v>
      </c>
      <c r="AV18" t="e">
        <f>AND(#REF!,"AAAAAFzbdC8=")</f>
        <v>#REF!</v>
      </c>
      <c r="AW18" t="e">
        <f>AND(#REF!,"AAAAAFzbdDA=")</f>
        <v>#REF!</v>
      </c>
      <c r="AX18" t="e">
        <f>AND(#REF!,"AAAAAFzbdDE=")</f>
        <v>#REF!</v>
      </c>
      <c r="AY18" t="e">
        <f>AND(#REF!,"AAAAAFzbdDI=")</f>
        <v>#REF!</v>
      </c>
      <c r="AZ18" t="e">
        <f>AND(#REF!,"AAAAAFzbdDM=")</f>
        <v>#REF!</v>
      </c>
      <c r="BA18" t="e">
        <f>AND(#REF!,"AAAAAFzbdDQ=")</f>
        <v>#REF!</v>
      </c>
      <c r="BB18" t="e">
        <f>AND(#REF!,"AAAAAFzbdDU=")</f>
        <v>#REF!</v>
      </c>
      <c r="BC18" t="e">
        <f>AND(#REF!,"AAAAAFzbdDY=")</f>
        <v>#REF!</v>
      </c>
      <c r="BD18" t="e">
        <f>AND(#REF!,"AAAAAFzbdDc=")</f>
        <v>#REF!</v>
      </c>
      <c r="BE18" t="e">
        <f>AND(#REF!,"AAAAAFzbdDg=")</f>
        <v>#REF!</v>
      </c>
      <c r="BF18" t="e">
        <f>AND(#REF!,"AAAAAFzbdDk=")</f>
        <v>#REF!</v>
      </c>
      <c r="BG18" t="e">
        <f>AND(#REF!,"AAAAAFzbdDo=")</f>
        <v>#REF!</v>
      </c>
      <c r="BH18" t="e">
        <f>AND(#REF!,"AAAAAFzbdDs=")</f>
        <v>#REF!</v>
      </c>
      <c r="BI18" t="e">
        <f>AND(#REF!,"AAAAAFzbdDw=")</f>
        <v>#REF!</v>
      </c>
      <c r="BJ18" t="e">
        <f>AND(#REF!,"AAAAAFzbdD0=")</f>
        <v>#REF!</v>
      </c>
      <c r="BK18" t="e">
        <f>AND(#REF!,"AAAAAFzbdD4=")</f>
        <v>#REF!</v>
      </c>
      <c r="BL18" t="e">
        <f>AND(#REF!,"AAAAAFzbdD8=")</f>
        <v>#REF!</v>
      </c>
      <c r="BM18" t="e">
        <f>AND(#REF!,"AAAAAFzbdEA=")</f>
        <v>#REF!</v>
      </c>
      <c r="BN18" t="e">
        <f>AND(#REF!,"AAAAAFzbdEE=")</f>
        <v>#REF!</v>
      </c>
      <c r="BO18" t="e">
        <f>AND(#REF!,"AAAAAFzbdEI=")</f>
        <v>#REF!</v>
      </c>
      <c r="BP18" t="e">
        <f>AND(#REF!,"AAAAAFzbdEM=")</f>
        <v>#REF!</v>
      </c>
      <c r="BQ18" t="e">
        <f>AND(#REF!,"AAAAAFzbdEQ=")</f>
        <v>#REF!</v>
      </c>
      <c r="BR18" t="e">
        <f>AND(#REF!,"AAAAAFzbdEU=")</f>
        <v>#REF!</v>
      </c>
      <c r="BS18" t="e">
        <f>AND(#REF!,"AAAAAFzbdEY=")</f>
        <v>#REF!</v>
      </c>
      <c r="BT18" t="e">
        <f>AND(#REF!,"AAAAAFzbdEc=")</f>
        <v>#REF!</v>
      </c>
      <c r="BU18" t="e">
        <f>AND(#REF!,"AAAAAFzbdEg=")</f>
        <v>#REF!</v>
      </c>
      <c r="BV18" t="e">
        <f>AND(#REF!,"AAAAAFzbdEk=")</f>
        <v>#REF!</v>
      </c>
      <c r="BW18" t="e">
        <f>AND(#REF!,"AAAAAFzbdEo=")</f>
        <v>#REF!</v>
      </c>
      <c r="BX18" t="e">
        <f>AND(#REF!,"AAAAAFzbdEs=")</f>
        <v>#REF!</v>
      </c>
      <c r="BY18" t="e">
        <f>AND(#REF!,"AAAAAFzbdEw=")</f>
        <v>#REF!</v>
      </c>
      <c r="BZ18" t="e">
        <f>AND(#REF!,"AAAAAFzbdE0=")</f>
        <v>#REF!</v>
      </c>
      <c r="CA18" t="e">
        <f>AND(#REF!,"AAAAAFzbdE4=")</f>
        <v>#REF!</v>
      </c>
      <c r="CB18" t="e">
        <f>AND(#REF!,"AAAAAFzbdE8=")</f>
        <v>#REF!</v>
      </c>
      <c r="CC18" t="e">
        <f>IF(#REF!,"AAAAAFzbdFA=",0)</f>
        <v>#REF!</v>
      </c>
      <c r="CD18" t="e">
        <f>IF(#REF!,"AAAAAFzbdFE=",0)</f>
        <v>#REF!</v>
      </c>
      <c r="CE18" t="e">
        <f>IF(#REF!,"AAAAAFzbdFI=",0)</f>
        <v>#REF!</v>
      </c>
      <c r="CF18" t="e">
        <f>IF(#REF!,"AAAAAFzbdFM=",0)</f>
        <v>#REF!</v>
      </c>
      <c r="CG18" t="e">
        <f>IF(#REF!,"AAAAAFzbdFQ=",0)</f>
        <v>#REF!</v>
      </c>
      <c r="CH18" t="e">
        <f>IF(#REF!,"AAAAAFzbdFU=",0)</f>
        <v>#REF!</v>
      </c>
      <c r="CI18" t="e">
        <f>IF(#REF!,"AAAAAFzbdFY=",0)</f>
        <v>#REF!</v>
      </c>
      <c r="CJ18" t="e">
        <f>IF(#REF!,"AAAAAFzbdFc=",0)</f>
        <v>#REF!</v>
      </c>
      <c r="CK18" t="e">
        <f>IF(#REF!,"AAAAAFzbdFg=",0)</f>
        <v>#REF!</v>
      </c>
      <c r="CL18" t="e">
        <f>IF(#REF!,"AAAAAFzbdFk=",0)</f>
        <v>#REF!</v>
      </c>
      <c r="CM18" t="e">
        <f>IF(#REF!,"AAAAAFzbdFo=",0)</f>
        <v>#REF!</v>
      </c>
      <c r="CN18" t="e">
        <f>IF(#REF!,"AAAAAFzbdFs=",0)</f>
        <v>#REF!</v>
      </c>
      <c r="CO18" t="e">
        <f>IF(#REF!,"AAAAAFzbdFw=",0)</f>
        <v>#REF!</v>
      </c>
      <c r="CP18" t="e">
        <f>IF(#REF!,"AAAAAFzbdF0=",0)</f>
        <v>#REF!</v>
      </c>
      <c r="CQ18" t="e">
        <f>IF(#REF!,"AAAAAFzbdF4=",0)</f>
        <v>#REF!</v>
      </c>
      <c r="CR18" t="e">
        <f>IF(#REF!,"AAAAAFzbdF8=",0)</f>
        <v>#REF!</v>
      </c>
      <c r="CS18" t="e">
        <f>IF(#REF!,"AAAAAFzbdGA=",0)</f>
        <v>#REF!</v>
      </c>
      <c r="CT18" t="e">
        <f>IF(#REF!,"AAAAAFzbdGE=",0)</f>
        <v>#REF!</v>
      </c>
      <c r="CU18" t="e">
        <f>IF(#REF!,"AAAAAFzbdGI=",0)</f>
        <v>#REF!</v>
      </c>
      <c r="CV18" t="e">
        <f>IF(#REF!,"AAAAAFzbdGM=",0)</f>
        <v>#REF!</v>
      </c>
      <c r="CW18" t="e">
        <f>IF(#REF!,"AAAAAFzbdGQ=",0)</f>
        <v>#REF!</v>
      </c>
      <c r="CX18" t="e">
        <f>IF(#REF!,"AAAAAFzbdGU=",0)</f>
        <v>#REF!</v>
      </c>
      <c r="CY18" t="e">
        <f>IF(#REF!,"AAAAAFzbdGY=",0)</f>
        <v>#REF!</v>
      </c>
      <c r="CZ18" t="e">
        <f>IF(#REF!,"AAAAAFzbdGc=",0)</f>
        <v>#REF!</v>
      </c>
      <c r="DA18" t="e">
        <f>IF(#REF!,"AAAAAFzbdGg=",0)</f>
        <v>#REF!</v>
      </c>
      <c r="DB18" t="e">
        <f>IF(#REF!,"AAAAAFzbdGk=",0)</f>
        <v>#REF!</v>
      </c>
      <c r="DC18" t="e">
        <f>IF(#REF!,"AAAAAFzbdGo=",0)</f>
        <v>#REF!</v>
      </c>
      <c r="DD18" t="e">
        <f>IF(#REF!,"AAAAAFzbdGs=",0)</f>
        <v>#REF!</v>
      </c>
      <c r="DE18" t="e">
        <f>IF(#REF!,"AAAAAFzbdGw=",0)</f>
        <v>#REF!</v>
      </c>
      <c r="DF18" t="e">
        <f>IF(#REF!,"AAAAAFzbdG0=",0)</f>
        <v>#REF!</v>
      </c>
      <c r="DG18" t="e">
        <f>IF(#REF!,"AAAAAFzbdG4=",0)</f>
        <v>#REF!</v>
      </c>
      <c r="DH18" t="e">
        <f>IF(#REF!,"AAAAAFzbdG8=",0)</f>
        <v>#REF!</v>
      </c>
      <c r="DI18" t="e">
        <f>IF(#REF!,"AAAAAFzbdHA=",0)</f>
        <v>#REF!</v>
      </c>
      <c r="DJ18" t="e">
        <f>IF(#REF!,"AAAAAFzbdHE=",0)</f>
        <v>#REF!</v>
      </c>
      <c r="DK18" t="e">
        <f>IF(#REF!,"AAAAAFzbdHI=",0)</f>
        <v>#REF!</v>
      </c>
      <c r="DL18" t="e">
        <f>IF(#REF!,"AAAAAFzbdHM=",0)</f>
        <v>#REF!</v>
      </c>
      <c r="DM18" t="e">
        <f>IF(#REF!,"AAAAAFzbdHQ=",0)</f>
        <v>#REF!</v>
      </c>
      <c r="DN18" t="e">
        <f>IF(#REF!,"AAAAAFzbdHU=",0)</f>
        <v>#REF!</v>
      </c>
      <c r="DO18" t="e">
        <f>IF(#REF!,"AAAAAFzbdHY=",0)</f>
        <v>#REF!</v>
      </c>
      <c r="DP18" t="e">
        <f>IF(#REF!,"AAAAAFzbdHc=",0)</f>
        <v>#REF!</v>
      </c>
      <c r="DQ18" t="e">
        <f>IF(#REF!,"AAAAAFzbdHg=",0)</f>
        <v>#REF!</v>
      </c>
      <c r="DR18" t="e">
        <f>IF(#REF!,"AAAAAFzbdHk=",0)</f>
        <v>#REF!</v>
      </c>
      <c r="DS18" t="e">
        <f>IF(#REF!,"AAAAAFzbdHo=",0)</f>
        <v>#REF!</v>
      </c>
      <c r="DT18" t="e">
        <f>IF(#REF!,"AAAAAFzbdHs=",0)</f>
        <v>#REF!</v>
      </c>
      <c r="DU18" t="e">
        <f>IF(#REF!,"AAAAAFzbdHw=",0)</f>
        <v>#REF!</v>
      </c>
      <c r="DV18" t="e">
        <f>IF(#REF!,"AAAAAFzbdH0=",0)</f>
        <v>#REF!</v>
      </c>
      <c r="DW18" t="e">
        <f>IF(#REF!,"AAAAAFzbdH4=",0)</f>
        <v>#REF!</v>
      </c>
      <c r="DX18" t="e">
        <f>IF(#REF!,"AAAAAFzbdH8=",0)</f>
        <v>#REF!</v>
      </c>
      <c r="DY18" t="e">
        <f>IF(#REF!,"AAAAAFzbdIA=",0)</f>
        <v>#REF!</v>
      </c>
      <c r="DZ18" t="e">
        <f>IF(#REF!,"AAAAAFzbdIE=",0)</f>
        <v>#REF!</v>
      </c>
      <c r="EA18" t="e">
        <f>IF(#REF!,"AAAAAFzbdII=",0)</f>
        <v>#REF!</v>
      </c>
      <c r="EB18" t="e">
        <f>IF(#REF!,"AAAAAFzbdIM=",0)</f>
        <v>#REF!</v>
      </c>
      <c r="EC18" t="e">
        <f>IF(#REF!,"AAAAAFzbdIQ=",0)</f>
        <v>#REF!</v>
      </c>
      <c r="ED18" t="e">
        <f>IF(#REF!,"AAAAAFzbdIU=",0)</f>
        <v>#REF!</v>
      </c>
      <c r="EE18" t="e">
        <f>IF(#REF!,"AAAAAFzbdIY=",0)</f>
        <v>#REF!</v>
      </c>
      <c r="EF18" t="e">
        <f>IF(#REF!,"AAAAAFzbdIc=",0)</f>
        <v>#REF!</v>
      </c>
      <c r="EG18" t="e">
        <f>IF(#REF!,"AAAAAFzbdIg=",0)</f>
        <v>#REF!</v>
      </c>
      <c r="EH18" t="e">
        <f>AND(#REF!,"AAAAAFzbdIk=")</f>
        <v>#REF!</v>
      </c>
      <c r="EI18" t="e">
        <f>AND(#REF!,"AAAAAFzbdIo=")</f>
        <v>#REF!</v>
      </c>
      <c r="EJ18" t="e">
        <f>AND(#REF!,"AAAAAFzbdIs=")</f>
        <v>#REF!</v>
      </c>
      <c r="EK18" t="e">
        <f>AND(#REF!,"AAAAAFzbdIw=")</f>
        <v>#REF!</v>
      </c>
      <c r="EL18" t="e">
        <f>AND(#REF!,"AAAAAFzbdI0=")</f>
        <v>#REF!</v>
      </c>
      <c r="EM18" t="e">
        <f>AND(#REF!,"AAAAAFzbdI4=")</f>
        <v>#REF!</v>
      </c>
      <c r="EN18" t="e">
        <f>AND(#REF!,"AAAAAFzbdI8=")</f>
        <v>#REF!</v>
      </c>
      <c r="EO18" t="e">
        <f>AND(#REF!,"AAAAAFzbdJA=")</f>
        <v>#REF!</v>
      </c>
      <c r="EP18" t="e">
        <f>AND(#REF!,"AAAAAFzbdJE=")</f>
        <v>#REF!</v>
      </c>
      <c r="EQ18" t="e">
        <f>AND(#REF!,"AAAAAFzbdJI=")</f>
        <v>#REF!</v>
      </c>
      <c r="ER18" t="e">
        <f>AND(#REF!,"AAAAAFzbdJM=")</f>
        <v>#REF!</v>
      </c>
      <c r="ES18" t="e">
        <f>AND(#REF!,"AAAAAFzbdJQ=")</f>
        <v>#REF!</v>
      </c>
      <c r="ET18" t="e">
        <f>AND(#REF!,"AAAAAFzbdJU=")</f>
        <v>#REF!</v>
      </c>
      <c r="EU18" t="e">
        <f>AND(#REF!,"AAAAAFzbdJY=")</f>
        <v>#REF!</v>
      </c>
      <c r="EV18" t="e">
        <f>AND(#REF!,"AAAAAFzbdJc=")</f>
        <v>#REF!</v>
      </c>
      <c r="EW18" t="e">
        <f>AND(#REF!,"AAAAAFzbdJg=")</f>
        <v>#REF!</v>
      </c>
      <c r="EX18" t="e">
        <f>AND(#REF!,"AAAAAFzbdJk=")</f>
        <v>#REF!</v>
      </c>
      <c r="EY18" t="e">
        <f>AND(#REF!,"AAAAAFzbdJo=")</f>
        <v>#REF!</v>
      </c>
      <c r="EZ18" t="e">
        <f>AND(#REF!,"AAAAAFzbdJs=")</f>
        <v>#REF!</v>
      </c>
      <c r="FA18" t="e">
        <f>AND(#REF!,"AAAAAFzbdJw=")</f>
        <v>#REF!</v>
      </c>
      <c r="FB18" t="e">
        <f>AND(#REF!,"AAAAAFzbdJ0=")</f>
        <v>#REF!</v>
      </c>
      <c r="FC18" t="e">
        <f>AND(#REF!,"AAAAAFzbdJ4=")</f>
        <v>#REF!</v>
      </c>
      <c r="FD18" t="e">
        <f>AND(#REF!,"AAAAAFzbdJ8=")</f>
        <v>#REF!</v>
      </c>
      <c r="FE18" t="e">
        <f>AND(#REF!,"AAAAAFzbdKA=")</f>
        <v>#REF!</v>
      </c>
      <c r="FF18" t="e">
        <f>AND(#REF!,"AAAAAFzbdKE=")</f>
        <v>#REF!</v>
      </c>
      <c r="FG18" t="e">
        <f>AND(#REF!,"AAAAAFzbdKI=")</f>
        <v>#REF!</v>
      </c>
      <c r="FH18" t="e">
        <f>AND(#REF!,"AAAAAFzbdKM=")</f>
        <v>#REF!</v>
      </c>
      <c r="FI18" t="e">
        <f>AND(#REF!,"AAAAAFzbdKQ=")</f>
        <v>#REF!</v>
      </c>
      <c r="FJ18" t="e">
        <f>AND(#REF!,"AAAAAFzbdKU=")</f>
        <v>#REF!</v>
      </c>
      <c r="FK18" t="e">
        <f>AND(#REF!,"AAAAAFzbdKY=")</f>
        <v>#REF!</v>
      </c>
      <c r="FL18" t="e">
        <f>AND(#REF!,"AAAAAFzbdKc=")</f>
        <v>#REF!</v>
      </c>
      <c r="FM18" t="e">
        <f>AND(#REF!,"AAAAAFzbdKg=")</f>
        <v>#REF!</v>
      </c>
      <c r="FN18" t="e">
        <f>AND(#REF!,"AAAAAFzbdKk=")</f>
        <v>#REF!</v>
      </c>
      <c r="FO18" t="e">
        <f>AND(#REF!,"AAAAAFzbdKo=")</f>
        <v>#REF!</v>
      </c>
      <c r="FP18" t="e">
        <f>AND(#REF!,"AAAAAFzbdKs=")</f>
        <v>#REF!</v>
      </c>
      <c r="FQ18" t="e">
        <f>IF(#REF!,"AAAAAFzbdKw=",0)</f>
        <v>#REF!</v>
      </c>
      <c r="FR18" t="e">
        <f>AND(#REF!,"AAAAAFzbdK0=")</f>
        <v>#REF!</v>
      </c>
      <c r="FS18" t="e">
        <f>AND(#REF!,"AAAAAFzbdK4=")</f>
        <v>#REF!</v>
      </c>
      <c r="FT18" t="e">
        <f>AND(#REF!,"AAAAAFzbdK8=")</f>
        <v>#REF!</v>
      </c>
      <c r="FU18" t="e">
        <f>AND(#REF!,"AAAAAFzbdLA=")</f>
        <v>#REF!</v>
      </c>
      <c r="FV18" t="e">
        <f>AND(#REF!,"AAAAAFzbdLE=")</f>
        <v>#REF!</v>
      </c>
      <c r="FW18" t="e">
        <f>AND(#REF!,"AAAAAFzbdLI=")</f>
        <v>#REF!</v>
      </c>
      <c r="FX18" t="e">
        <f>AND(#REF!,"AAAAAFzbdLM=")</f>
        <v>#REF!</v>
      </c>
      <c r="FY18" t="e">
        <f>AND(#REF!,"AAAAAFzbdLQ=")</f>
        <v>#REF!</v>
      </c>
      <c r="FZ18" t="e">
        <f>AND(#REF!,"AAAAAFzbdLU=")</f>
        <v>#REF!</v>
      </c>
      <c r="GA18" t="e">
        <f>AND(#REF!,"AAAAAFzbdLY=")</f>
        <v>#REF!</v>
      </c>
      <c r="GB18" t="e">
        <f>AND(#REF!,"AAAAAFzbdLc=")</f>
        <v>#REF!</v>
      </c>
      <c r="GC18" t="e">
        <f>AND(#REF!,"AAAAAFzbdLg=")</f>
        <v>#REF!</v>
      </c>
      <c r="GD18" t="e">
        <f>AND(#REF!,"AAAAAFzbdLk=")</f>
        <v>#REF!</v>
      </c>
      <c r="GE18" t="e">
        <f>AND(#REF!,"AAAAAFzbdLo=")</f>
        <v>#REF!</v>
      </c>
      <c r="GF18" t="e">
        <f>AND(#REF!,"AAAAAFzbdLs=")</f>
        <v>#REF!</v>
      </c>
      <c r="GG18" t="e">
        <f>AND(#REF!,"AAAAAFzbdLw=")</f>
        <v>#REF!</v>
      </c>
      <c r="GH18" t="e">
        <f>AND(#REF!,"AAAAAFzbdL0=")</f>
        <v>#REF!</v>
      </c>
      <c r="GI18" t="e">
        <f>AND(#REF!,"AAAAAFzbdL4=")</f>
        <v>#REF!</v>
      </c>
      <c r="GJ18" t="e">
        <f>AND(#REF!,"AAAAAFzbdL8=")</f>
        <v>#REF!</v>
      </c>
      <c r="GK18" t="e">
        <f>AND(#REF!,"AAAAAFzbdMA=")</f>
        <v>#REF!</v>
      </c>
      <c r="GL18" t="e">
        <f>AND(#REF!,"AAAAAFzbdME=")</f>
        <v>#REF!</v>
      </c>
      <c r="GM18" t="e">
        <f>AND(#REF!,"AAAAAFzbdMI=")</f>
        <v>#REF!</v>
      </c>
      <c r="GN18" t="e">
        <f>AND(#REF!,"AAAAAFzbdMM=")</f>
        <v>#REF!</v>
      </c>
      <c r="GO18" t="e">
        <f>AND(#REF!,"AAAAAFzbdMQ=")</f>
        <v>#REF!</v>
      </c>
      <c r="GP18" t="e">
        <f>AND(#REF!,"AAAAAFzbdMU=")</f>
        <v>#REF!</v>
      </c>
      <c r="GQ18" t="e">
        <f>AND(#REF!,"AAAAAFzbdMY=")</f>
        <v>#REF!</v>
      </c>
      <c r="GR18" t="e">
        <f>AND(#REF!,"AAAAAFzbdMc=")</f>
        <v>#REF!</v>
      </c>
      <c r="GS18" t="e">
        <f>AND(#REF!,"AAAAAFzbdMg=")</f>
        <v>#REF!</v>
      </c>
      <c r="GT18" t="e">
        <f>AND(#REF!,"AAAAAFzbdMk=")</f>
        <v>#REF!</v>
      </c>
      <c r="GU18" t="e">
        <f>AND(#REF!,"AAAAAFzbdMo=")</f>
        <v>#REF!</v>
      </c>
      <c r="GV18" t="e">
        <f>AND(#REF!,"AAAAAFzbdMs=")</f>
        <v>#REF!</v>
      </c>
      <c r="GW18" t="e">
        <f>AND(#REF!,"AAAAAFzbdMw=")</f>
        <v>#REF!</v>
      </c>
      <c r="GX18" t="e">
        <f>AND(#REF!,"AAAAAFzbdM0=")</f>
        <v>#REF!</v>
      </c>
      <c r="GY18" t="e">
        <f>AND(#REF!,"AAAAAFzbdM4=")</f>
        <v>#REF!</v>
      </c>
      <c r="GZ18" t="e">
        <f>AND(#REF!,"AAAAAFzbdM8=")</f>
        <v>#REF!</v>
      </c>
      <c r="HA18" t="e">
        <f>IF(#REF!,"AAAAAFzbdNA=",0)</f>
        <v>#REF!</v>
      </c>
      <c r="HB18" t="e">
        <f>AND(#REF!,"AAAAAFzbdNE=")</f>
        <v>#REF!</v>
      </c>
      <c r="HC18" t="e">
        <f>AND(#REF!,"AAAAAFzbdNI=")</f>
        <v>#REF!</v>
      </c>
      <c r="HD18" t="e">
        <f>AND(#REF!,"AAAAAFzbdNM=")</f>
        <v>#REF!</v>
      </c>
      <c r="HE18" t="e">
        <f>AND(#REF!,"AAAAAFzbdNQ=")</f>
        <v>#REF!</v>
      </c>
      <c r="HF18" t="e">
        <f>AND(#REF!,"AAAAAFzbdNU=")</f>
        <v>#REF!</v>
      </c>
      <c r="HG18" t="e">
        <f>AND(#REF!,"AAAAAFzbdNY=")</f>
        <v>#REF!</v>
      </c>
      <c r="HH18" t="e">
        <f>AND(#REF!,"AAAAAFzbdNc=")</f>
        <v>#REF!</v>
      </c>
      <c r="HI18" t="e">
        <f>AND(#REF!,"AAAAAFzbdNg=")</f>
        <v>#REF!</v>
      </c>
      <c r="HJ18" t="e">
        <f>AND(#REF!,"AAAAAFzbdNk=")</f>
        <v>#REF!</v>
      </c>
      <c r="HK18" t="e">
        <f>AND(#REF!,"AAAAAFzbdNo=")</f>
        <v>#REF!</v>
      </c>
      <c r="HL18" t="e">
        <f>AND(#REF!,"AAAAAFzbdNs=")</f>
        <v>#REF!</v>
      </c>
      <c r="HM18" t="e">
        <f>AND(#REF!,"AAAAAFzbdNw=")</f>
        <v>#REF!</v>
      </c>
      <c r="HN18" t="e">
        <f>AND(#REF!,"AAAAAFzbdN0=")</f>
        <v>#REF!</v>
      </c>
      <c r="HO18" t="e">
        <f>AND(#REF!,"AAAAAFzbdN4=")</f>
        <v>#REF!</v>
      </c>
      <c r="HP18" t="e">
        <f>AND(#REF!,"AAAAAFzbdN8=")</f>
        <v>#REF!</v>
      </c>
      <c r="HQ18" t="e">
        <f>AND(#REF!,"AAAAAFzbdOA=")</f>
        <v>#REF!</v>
      </c>
      <c r="HR18" t="e">
        <f>AND(#REF!,"AAAAAFzbdOE=")</f>
        <v>#REF!</v>
      </c>
      <c r="HS18" t="e">
        <f>AND(#REF!,"AAAAAFzbdOI=")</f>
        <v>#REF!</v>
      </c>
      <c r="HT18" t="e">
        <f>AND(#REF!,"AAAAAFzbdOM=")</f>
        <v>#REF!</v>
      </c>
      <c r="HU18" t="e">
        <f>AND(#REF!,"AAAAAFzbdOQ=")</f>
        <v>#REF!</v>
      </c>
      <c r="HV18" t="e">
        <f>AND(#REF!,"AAAAAFzbdOU=")</f>
        <v>#REF!</v>
      </c>
      <c r="HW18" t="e">
        <f>AND(#REF!,"AAAAAFzbdOY=")</f>
        <v>#REF!</v>
      </c>
      <c r="HX18" t="e">
        <f>AND(#REF!,"AAAAAFzbdOc=")</f>
        <v>#REF!</v>
      </c>
      <c r="HY18" t="e">
        <f>AND(#REF!,"AAAAAFzbdOg=")</f>
        <v>#REF!</v>
      </c>
      <c r="HZ18" t="e">
        <f>AND(#REF!,"AAAAAFzbdOk=")</f>
        <v>#REF!</v>
      </c>
      <c r="IA18" t="e">
        <f>AND(#REF!,"AAAAAFzbdOo=")</f>
        <v>#REF!</v>
      </c>
      <c r="IB18" t="e">
        <f>AND(#REF!,"AAAAAFzbdOs=")</f>
        <v>#REF!</v>
      </c>
      <c r="IC18" t="e">
        <f>AND(#REF!,"AAAAAFzbdOw=")</f>
        <v>#REF!</v>
      </c>
      <c r="ID18" t="e">
        <f>AND(#REF!,"AAAAAFzbdO0=")</f>
        <v>#REF!</v>
      </c>
      <c r="IE18" t="e">
        <f>AND(#REF!,"AAAAAFzbdO4=")</f>
        <v>#REF!</v>
      </c>
      <c r="IF18" t="e">
        <f>AND(#REF!,"AAAAAFzbdO8=")</f>
        <v>#REF!</v>
      </c>
      <c r="IG18" t="e">
        <f>AND(#REF!,"AAAAAFzbdPA=")</f>
        <v>#REF!</v>
      </c>
      <c r="IH18" t="e">
        <f>AND(#REF!,"AAAAAFzbdPE=")</f>
        <v>#REF!</v>
      </c>
      <c r="II18" t="e">
        <f>AND(#REF!,"AAAAAFzbdPI=")</f>
        <v>#REF!</v>
      </c>
      <c r="IJ18" t="e">
        <f>AND(#REF!,"AAAAAFzbdPM=")</f>
        <v>#REF!</v>
      </c>
      <c r="IK18" t="e">
        <f>IF(#REF!,"AAAAAFzbdPQ=",0)</f>
        <v>#REF!</v>
      </c>
      <c r="IL18" t="e">
        <f>AND(#REF!,"AAAAAFzbdPU=")</f>
        <v>#REF!</v>
      </c>
      <c r="IM18" t="e">
        <f>AND(#REF!,"AAAAAFzbdPY=")</f>
        <v>#REF!</v>
      </c>
      <c r="IN18" t="e">
        <f>AND(#REF!,"AAAAAFzbdPc=")</f>
        <v>#REF!</v>
      </c>
      <c r="IO18" t="e">
        <f>AND(#REF!,"AAAAAFzbdPg=")</f>
        <v>#REF!</v>
      </c>
      <c r="IP18" t="e">
        <f>AND(#REF!,"AAAAAFzbdPk=")</f>
        <v>#REF!</v>
      </c>
      <c r="IQ18" t="e">
        <f>AND(#REF!,"AAAAAFzbdPo=")</f>
        <v>#REF!</v>
      </c>
      <c r="IR18" t="e">
        <f>AND(#REF!,"AAAAAFzbdPs=")</f>
        <v>#REF!</v>
      </c>
      <c r="IS18" t="e">
        <f>AND(#REF!,"AAAAAFzbdPw=")</f>
        <v>#REF!</v>
      </c>
      <c r="IT18" t="e">
        <f>AND(#REF!,"AAAAAFzbdP0=")</f>
        <v>#REF!</v>
      </c>
      <c r="IU18" t="e">
        <f>AND(#REF!,"AAAAAFzbdP4=")</f>
        <v>#REF!</v>
      </c>
      <c r="IV18" t="e">
        <f>AND(#REF!,"AAAAAFzbdP8=")</f>
        <v>#REF!</v>
      </c>
    </row>
    <row r="19" spans="1:256">
      <c r="A19" t="e">
        <f>AND(#REF!,"AAAAAHlc/gA=")</f>
        <v>#REF!</v>
      </c>
      <c r="B19" t="e">
        <f>AND(#REF!,"AAAAAHlc/gE=")</f>
        <v>#REF!</v>
      </c>
      <c r="C19" t="e">
        <f>AND(#REF!,"AAAAAHlc/gI=")</f>
        <v>#REF!</v>
      </c>
      <c r="D19" t="e">
        <f>AND(#REF!,"AAAAAHlc/gM=")</f>
        <v>#REF!</v>
      </c>
      <c r="E19" t="e">
        <f>AND(#REF!,"AAAAAHlc/gQ=")</f>
        <v>#REF!</v>
      </c>
      <c r="F19" t="e">
        <f>AND(#REF!,"AAAAAHlc/gU=")</f>
        <v>#REF!</v>
      </c>
      <c r="G19" t="e">
        <f>AND(#REF!,"AAAAAHlc/gY=")</f>
        <v>#REF!</v>
      </c>
      <c r="H19" t="e">
        <f>AND(#REF!,"AAAAAHlc/gc=")</f>
        <v>#REF!</v>
      </c>
      <c r="I19" t="e">
        <f>AND(#REF!,"AAAAAHlc/gg=")</f>
        <v>#REF!</v>
      </c>
      <c r="J19" t="e">
        <f>AND(#REF!,"AAAAAHlc/gk=")</f>
        <v>#REF!</v>
      </c>
      <c r="K19" t="e">
        <f>AND(#REF!,"AAAAAHlc/go=")</f>
        <v>#REF!</v>
      </c>
      <c r="L19" t="e">
        <f>AND(#REF!,"AAAAAHlc/gs=")</f>
        <v>#REF!</v>
      </c>
      <c r="M19" t="e">
        <f>AND(#REF!,"AAAAAHlc/gw=")</f>
        <v>#REF!</v>
      </c>
      <c r="N19" t="e">
        <f>AND(#REF!,"AAAAAHlc/g0=")</f>
        <v>#REF!</v>
      </c>
      <c r="O19" t="e">
        <f>AND(#REF!,"AAAAAHlc/g4=")</f>
        <v>#REF!</v>
      </c>
      <c r="P19" t="e">
        <f>AND(#REF!,"AAAAAHlc/g8=")</f>
        <v>#REF!</v>
      </c>
      <c r="Q19" t="e">
        <f>AND(#REF!,"AAAAAHlc/hA=")</f>
        <v>#REF!</v>
      </c>
      <c r="R19" t="e">
        <f>AND(#REF!,"AAAAAHlc/hE=")</f>
        <v>#REF!</v>
      </c>
      <c r="S19" t="e">
        <f>AND(#REF!,"AAAAAHlc/hI=")</f>
        <v>#REF!</v>
      </c>
      <c r="T19" t="e">
        <f>AND(#REF!,"AAAAAHlc/hM=")</f>
        <v>#REF!</v>
      </c>
      <c r="U19" t="e">
        <f>AND(#REF!,"AAAAAHlc/hQ=")</f>
        <v>#REF!</v>
      </c>
      <c r="V19" t="e">
        <f>AND(#REF!,"AAAAAHlc/hU=")</f>
        <v>#REF!</v>
      </c>
      <c r="W19" t="e">
        <f>AND(#REF!,"AAAAAHlc/hY=")</f>
        <v>#REF!</v>
      </c>
      <c r="X19" t="e">
        <f>AND(#REF!,"AAAAAHlc/hc=")</f>
        <v>#REF!</v>
      </c>
      <c r="Y19" t="e">
        <f>IF(#REF!,"AAAAAHlc/hg=",0)</f>
        <v>#REF!</v>
      </c>
      <c r="Z19" t="e">
        <f>AND(#REF!,"AAAAAHlc/hk=")</f>
        <v>#REF!</v>
      </c>
      <c r="AA19" t="e">
        <f>AND(#REF!,"AAAAAHlc/ho=")</f>
        <v>#REF!</v>
      </c>
      <c r="AB19" t="e">
        <f>AND(#REF!,"AAAAAHlc/hs=")</f>
        <v>#REF!</v>
      </c>
      <c r="AC19" t="e">
        <f>AND(#REF!,"AAAAAHlc/hw=")</f>
        <v>#REF!</v>
      </c>
      <c r="AD19" t="e">
        <f>AND(#REF!,"AAAAAHlc/h0=")</f>
        <v>#REF!</v>
      </c>
      <c r="AE19" t="e">
        <f>AND(#REF!,"AAAAAHlc/h4=")</f>
        <v>#REF!</v>
      </c>
      <c r="AF19" t="e">
        <f>AND(#REF!,"AAAAAHlc/h8=")</f>
        <v>#REF!</v>
      </c>
      <c r="AG19" t="e">
        <f>AND(#REF!,"AAAAAHlc/iA=")</f>
        <v>#REF!</v>
      </c>
      <c r="AH19" t="e">
        <f>AND(#REF!,"AAAAAHlc/iE=")</f>
        <v>#REF!</v>
      </c>
      <c r="AI19" t="e">
        <f>AND(#REF!,"AAAAAHlc/iI=")</f>
        <v>#REF!</v>
      </c>
      <c r="AJ19" t="e">
        <f>AND(#REF!,"AAAAAHlc/iM=")</f>
        <v>#REF!</v>
      </c>
      <c r="AK19" t="e">
        <f>AND(#REF!,"AAAAAHlc/iQ=")</f>
        <v>#REF!</v>
      </c>
      <c r="AL19" t="e">
        <f>AND(#REF!,"AAAAAHlc/iU=")</f>
        <v>#REF!</v>
      </c>
      <c r="AM19" t="e">
        <f>AND(#REF!,"AAAAAHlc/iY=")</f>
        <v>#REF!</v>
      </c>
      <c r="AN19" t="e">
        <f>AND(#REF!,"AAAAAHlc/ic=")</f>
        <v>#REF!</v>
      </c>
      <c r="AO19" t="e">
        <f>AND(#REF!,"AAAAAHlc/ig=")</f>
        <v>#REF!</v>
      </c>
      <c r="AP19" t="e">
        <f>AND(#REF!,"AAAAAHlc/ik=")</f>
        <v>#REF!</v>
      </c>
      <c r="AQ19" t="e">
        <f>AND(#REF!,"AAAAAHlc/io=")</f>
        <v>#REF!</v>
      </c>
      <c r="AR19" t="e">
        <f>AND(#REF!,"AAAAAHlc/is=")</f>
        <v>#REF!</v>
      </c>
      <c r="AS19" t="e">
        <f>AND(#REF!,"AAAAAHlc/iw=")</f>
        <v>#REF!</v>
      </c>
      <c r="AT19" t="e">
        <f>AND(#REF!,"AAAAAHlc/i0=")</f>
        <v>#REF!</v>
      </c>
      <c r="AU19" t="e">
        <f>AND(#REF!,"AAAAAHlc/i4=")</f>
        <v>#REF!</v>
      </c>
      <c r="AV19" t="e">
        <f>AND(#REF!,"AAAAAHlc/i8=")</f>
        <v>#REF!</v>
      </c>
      <c r="AW19" t="e">
        <f>AND(#REF!,"AAAAAHlc/jA=")</f>
        <v>#REF!</v>
      </c>
      <c r="AX19" t="e">
        <f>AND(#REF!,"AAAAAHlc/jE=")</f>
        <v>#REF!</v>
      </c>
      <c r="AY19" t="e">
        <f>AND(#REF!,"AAAAAHlc/jI=")</f>
        <v>#REF!</v>
      </c>
      <c r="AZ19" t="e">
        <f>AND(#REF!,"AAAAAHlc/jM=")</f>
        <v>#REF!</v>
      </c>
      <c r="BA19" t="e">
        <f>AND(#REF!,"AAAAAHlc/jQ=")</f>
        <v>#REF!</v>
      </c>
      <c r="BB19" t="e">
        <f>AND(#REF!,"AAAAAHlc/jU=")</f>
        <v>#REF!</v>
      </c>
      <c r="BC19" t="e">
        <f>AND(#REF!,"AAAAAHlc/jY=")</f>
        <v>#REF!</v>
      </c>
      <c r="BD19" t="e">
        <f>AND(#REF!,"AAAAAHlc/jc=")</f>
        <v>#REF!</v>
      </c>
      <c r="BE19" t="e">
        <f>AND(#REF!,"AAAAAHlc/jg=")</f>
        <v>#REF!</v>
      </c>
      <c r="BF19" t="e">
        <f>AND(#REF!,"AAAAAHlc/jk=")</f>
        <v>#REF!</v>
      </c>
      <c r="BG19" t="e">
        <f>AND(#REF!,"AAAAAHlc/jo=")</f>
        <v>#REF!</v>
      </c>
      <c r="BH19" t="e">
        <f>AND(#REF!,"AAAAAHlc/js=")</f>
        <v>#REF!</v>
      </c>
      <c r="BI19" t="e">
        <f>IF(#REF!,"AAAAAHlc/jw=",0)</f>
        <v>#REF!</v>
      </c>
      <c r="BJ19" t="e">
        <f>AND(#REF!,"AAAAAHlc/j0=")</f>
        <v>#REF!</v>
      </c>
      <c r="BK19" t="e">
        <f>AND(#REF!,"AAAAAHlc/j4=")</f>
        <v>#REF!</v>
      </c>
      <c r="BL19" t="e">
        <f>AND(#REF!,"AAAAAHlc/j8=")</f>
        <v>#REF!</v>
      </c>
      <c r="BM19" t="e">
        <f>AND(#REF!,"AAAAAHlc/kA=")</f>
        <v>#REF!</v>
      </c>
      <c r="BN19" t="e">
        <f>AND(#REF!,"AAAAAHlc/kE=")</f>
        <v>#REF!</v>
      </c>
      <c r="BO19" t="e">
        <f>AND(#REF!,"AAAAAHlc/kI=")</f>
        <v>#REF!</v>
      </c>
      <c r="BP19" t="e">
        <f>AND(#REF!,"AAAAAHlc/kM=")</f>
        <v>#REF!</v>
      </c>
      <c r="BQ19" t="e">
        <f>AND(#REF!,"AAAAAHlc/kQ=")</f>
        <v>#REF!</v>
      </c>
      <c r="BR19" t="e">
        <f>AND(#REF!,"AAAAAHlc/kU=")</f>
        <v>#REF!</v>
      </c>
      <c r="BS19" t="e">
        <f>AND(#REF!,"AAAAAHlc/kY=")</f>
        <v>#REF!</v>
      </c>
      <c r="BT19" t="e">
        <f>AND(#REF!,"AAAAAHlc/kc=")</f>
        <v>#REF!</v>
      </c>
      <c r="BU19" t="e">
        <f>AND(#REF!,"AAAAAHlc/kg=")</f>
        <v>#REF!</v>
      </c>
      <c r="BV19" t="e">
        <f>AND(#REF!,"AAAAAHlc/kk=")</f>
        <v>#REF!</v>
      </c>
      <c r="BW19" t="e">
        <f>AND(#REF!,"AAAAAHlc/ko=")</f>
        <v>#REF!</v>
      </c>
      <c r="BX19" t="e">
        <f>AND(#REF!,"AAAAAHlc/ks=")</f>
        <v>#REF!</v>
      </c>
      <c r="BY19" t="e">
        <f>AND(#REF!,"AAAAAHlc/kw=")</f>
        <v>#REF!</v>
      </c>
      <c r="BZ19" t="e">
        <f>AND(#REF!,"AAAAAHlc/k0=")</f>
        <v>#REF!</v>
      </c>
      <c r="CA19" t="e">
        <f>AND(#REF!,"AAAAAHlc/k4=")</f>
        <v>#REF!</v>
      </c>
      <c r="CB19" t="e">
        <f>AND(#REF!,"AAAAAHlc/k8=")</f>
        <v>#REF!</v>
      </c>
      <c r="CC19" t="e">
        <f>AND(#REF!,"AAAAAHlc/lA=")</f>
        <v>#REF!</v>
      </c>
      <c r="CD19" t="e">
        <f>AND(#REF!,"AAAAAHlc/lE=")</f>
        <v>#REF!</v>
      </c>
      <c r="CE19" t="e">
        <f>AND(#REF!,"AAAAAHlc/lI=")</f>
        <v>#REF!</v>
      </c>
      <c r="CF19" t="e">
        <f>AND(#REF!,"AAAAAHlc/lM=")</f>
        <v>#REF!</v>
      </c>
      <c r="CG19" t="e">
        <f>AND(#REF!,"AAAAAHlc/lQ=")</f>
        <v>#REF!</v>
      </c>
      <c r="CH19" t="e">
        <f>AND(#REF!,"AAAAAHlc/lU=")</f>
        <v>#REF!</v>
      </c>
      <c r="CI19" t="e">
        <f>AND(#REF!,"AAAAAHlc/lY=")</f>
        <v>#REF!</v>
      </c>
      <c r="CJ19" t="e">
        <f>AND(#REF!,"AAAAAHlc/lc=")</f>
        <v>#REF!</v>
      </c>
      <c r="CK19" t="e">
        <f>AND(#REF!,"AAAAAHlc/lg=")</f>
        <v>#REF!</v>
      </c>
      <c r="CL19" t="e">
        <f>AND(#REF!,"AAAAAHlc/lk=")</f>
        <v>#REF!</v>
      </c>
      <c r="CM19" t="e">
        <f>AND(#REF!,"AAAAAHlc/lo=")</f>
        <v>#REF!</v>
      </c>
      <c r="CN19" t="e">
        <f>AND(#REF!,"AAAAAHlc/ls=")</f>
        <v>#REF!</v>
      </c>
      <c r="CO19" t="e">
        <f>AND(#REF!,"AAAAAHlc/lw=")</f>
        <v>#REF!</v>
      </c>
      <c r="CP19" t="e">
        <f>AND(#REF!,"AAAAAHlc/l0=")</f>
        <v>#REF!</v>
      </c>
      <c r="CQ19" t="e">
        <f>AND(#REF!,"AAAAAHlc/l4=")</f>
        <v>#REF!</v>
      </c>
      <c r="CR19" t="e">
        <f>AND(#REF!,"AAAAAHlc/l8=")</f>
        <v>#REF!</v>
      </c>
      <c r="CS19" t="e">
        <f>IF(#REF!,"AAAAAHlc/mA=",0)</f>
        <v>#REF!</v>
      </c>
      <c r="CT19" t="e">
        <f>AND(#REF!,"AAAAAHlc/mE=")</f>
        <v>#REF!</v>
      </c>
      <c r="CU19" t="e">
        <f>AND(#REF!,"AAAAAHlc/mI=")</f>
        <v>#REF!</v>
      </c>
      <c r="CV19" t="e">
        <f>AND(#REF!,"AAAAAHlc/mM=")</f>
        <v>#REF!</v>
      </c>
      <c r="CW19" t="e">
        <f>AND(#REF!,"AAAAAHlc/mQ=")</f>
        <v>#REF!</v>
      </c>
      <c r="CX19" t="e">
        <f>AND(#REF!,"AAAAAHlc/mU=")</f>
        <v>#REF!</v>
      </c>
      <c r="CY19" t="e">
        <f>AND(#REF!,"AAAAAHlc/mY=")</f>
        <v>#REF!</v>
      </c>
      <c r="CZ19" t="e">
        <f>AND(#REF!,"AAAAAHlc/mc=")</f>
        <v>#REF!</v>
      </c>
      <c r="DA19" t="e">
        <f>AND(#REF!,"AAAAAHlc/mg=")</f>
        <v>#REF!</v>
      </c>
      <c r="DB19" t="e">
        <f>AND(#REF!,"AAAAAHlc/mk=")</f>
        <v>#REF!</v>
      </c>
      <c r="DC19" t="e">
        <f>AND(#REF!,"AAAAAHlc/mo=")</f>
        <v>#REF!</v>
      </c>
      <c r="DD19" t="e">
        <f>AND(#REF!,"AAAAAHlc/ms=")</f>
        <v>#REF!</v>
      </c>
      <c r="DE19" t="e">
        <f>AND(#REF!,"AAAAAHlc/mw=")</f>
        <v>#REF!</v>
      </c>
      <c r="DF19" t="e">
        <f>AND(#REF!,"AAAAAHlc/m0=")</f>
        <v>#REF!</v>
      </c>
      <c r="DG19" t="e">
        <f>AND(#REF!,"AAAAAHlc/m4=")</f>
        <v>#REF!</v>
      </c>
      <c r="DH19" t="e">
        <f>AND(#REF!,"AAAAAHlc/m8=")</f>
        <v>#REF!</v>
      </c>
      <c r="DI19" t="e">
        <f>AND(#REF!,"AAAAAHlc/nA=")</f>
        <v>#REF!</v>
      </c>
      <c r="DJ19" t="e">
        <f>AND(#REF!,"AAAAAHlc/nE=")</f>
        <v>#REF!</v>
      </c>
      <c r="DK19" t="e">
        <f>AND(#REF!,"AAAAAHlc/nI=")</f>
        <v>#REF!</v>
      </c>
      <c r="DL19" t="e">
        <f>AND(#REF!,"AAAAAHlc/nM=")</f>
        <v>#REF!</v>
      </c>
      <c r="DM19" t="e">
        <f>AND(#REF!,"AAAAAHlc/nQ=")</f>
        <v>#REF!</v>
      </c>
      <c r="DN19" t="e">
        <f>AND(#REF!,"AAAAAHlc/nU=")</f>
        <v>#REF!</v>
      </c>
      <c r="DO19" t="e">
        <f>AND(#REF!,"AAAAAHlc/nY=")</f>
        <v>#REF!</v>
      </c>
      <c r="DP19" t="e">
        <f>AND(#REF!,"AAAAAHlc/nc=")</f>
        <v>#REF!</v>
      </c>
      <c r="DQ19" t="e">
        <f>AND(#REF!,"AAAAAHlc/ng=")</f>
        <v>#REF!</v>
      </c>
      <c r="DR19" t="e">
        <f>AND(#REF!,"AAAAAHlc/nk=")</f>
        <v>#REF!</v>
      </c>
      <c r="DS19" t="e">
        <f>AND(#REF!,"AAAAAHlc/no=")</f>
        <v>#REF!</v>
      </c>
      <c r="DT19" t="e">
        <f>AND(#REF!,"AAAAAHlc/ns=")</f>
        <v>#REF!</v>
      </c>
      <c r="DU19" t="e">
        <f>AND(#REF!,"AAAAAHlc/nw=")</f>
        <v>#REF!</v>
      </c>
      <c r="DV19" t="e">
        <f>AND(#REF!,"AAAAAHlc/n0=")</f>
        <v>#REF!</v>
      </c>
      <c r="DW19" t="e">
        <f>AND(#REF!,"AAAAAHlc/n4=")</f>
        <v>#REF!</v>
      </c>
      <c r="DX19" t="e">
        <f>AND(#REF!,"AAAAAHlc/n8=")</f>
        <v>#REF!</v>
      </c>
      <c r="DY19" t="e">
        <f>AND(#REF!,"AAAAAHlc/oA=")</f>
        <v>#REF!</v>
      </c>
      <c r="DZ19" t="e">
        <f>AND(#REF!,"AAAAAHlc/oE=")</f>
        <v>#REF!</v>
      </c>
      <c r="EA19" t="e">
        <f>AND(#REF!,"AAAAAHlc/oI=")</f>
        <v>#REF!</v>
      </c>
      <c r="EB19" t="e">
        <f>AND(#REF!,"AAAAAHlc/oM=")</f>
        <v>#REF!</v>
      </c>
      <c r="EC19" t="e">
        <f>IF(#REF!,"AAAAAHlc/oQ=",0)</f>
        <v>#REF!</v>
      </c>
      <c r="ED19" t="e">
        <f>AND(#REF!,"AAAAAHlc/oU=")</f>
        <v>#REF!</v>
      </c>
      <c r="EE19" t="e">
        <f>AND(#REF!,"AAAAAHlc/oY=")</f>
        <v>#REF!</v>
      </c>
      <c r="EF19" t="e">
        <f>AND(#REF!,"AAAAAHlc/oc=")</f>
        <v>#REF!</v>
      </c>
      <c r="EG19" t="e">
        <f>AND(#REF!,"AAAAAHlc/og=")</f>
        <v>#REF!</v>
      </c>
      <c r="EH19" t="e">
        <f>AND(#REF!,"AAAAAHlc/ok=")</f>
        <v>#REF!</v>
      </c>
      <c r="EI19" t="e">
        <f>AND(#REF!,"AAAAAHlc/oo=")</f>
        <v>#REF!</v>
      </c>
      <c r="EJ19" t="e">
        <f>AND(#REF!,"AAAAAHlc/os=")</f>
        <v>#REF!</v>
      </c>
      <c r="EK19" t="e">
        <f>AND(#REF!,"AAAAAHlc/ow=")</f>
        <v>#REF!</v>
      </c>
      <c r="EL19" t="e">
        <f>AND(#REF!,"AAAAAHlc/o0=")</f>
        <v>#REF!</v>
      </c>
      <c r="EM19" t="e">
        <f>AND(#REF!,"AAAAAHlc/o4=")</f>
        <v>#REF!</v>
      </c>
      <c r="EN19" t="e">
        <f>AND(#REF!,"AAAAAHlc/o8=")</f>
        <v>#REF!</v>
      </c>
      <c r="EO19" t="e">
        <f>AND(#REF!,"AAAAAHlc/pA=")</f>
        <v>#REF!</v>
      </c>
      <c r="EP19" t="e">
        <f>AND(#REF!,"AAAAAHlc/pE=")</f>
        <v>#REF!</v>
      </c>
      <c r="EQ19" t="e">
        <f>AND(#REF!,"AAAAAHlc/pI=")</f>
        <v>#REF!</v>
      </c>
      <c r="ER19" t="e">
        <f>AND(#REF!,"AAAAAHlc/pM=")</f>
        <v>#REF!</v>
      </c>
      <c r="ES19" t="e">
        <f>AND(#REF!,"AAAAAHlc/pQ=")</f>
        <v>#REF!</v>
      </c>
      <c r="ET19" t="e">
        <f>AND(#REF!,"AAAAAHlc/pU=")</f>
        <v>#REF!</v>
      </c>
      <c r="EU19" t="e">
        <f>AND(#REF!,"AAAAAHlc/pY=")</f>
        <v>#REF!</v>
      </c>
      <c r="EV19" t="e">
        <f>AND(#REF!,"AAAAAHlc/pc=")</f>
        <v>#REF!</v>
      </c>
      <c r="EW19" t="e">
        <f>AND(#REF!,"AAAAAHlc/pg=")</f>
        <v>#REF!</v>
      </c>
      <c r="EX19" t="e">
        <f>AND(#REF!,"AAAAAHlc/pk=")</f>
        <v>#REF!</v>
      </c>
      <c r="EY19" t="e">
        <f>AND(#REF!,"AAAAAHlc/po=")</f>
        <v>#REF!</v>
      </c>
      <c r="EZ19" t="e">
        <f>AND(#REF!,"AAAAAHlc/ps=")</f>
        <v>#REF!</v>
      </c>
      <c r="FA19" t="e">
        <f>AND(#REF!,"AAAAAHlc/pw=")</f>
        <v>#REF!</v>
      </c>
      <c r="FB19" t="e">
        <f>AND(#REF!,"AAAAAHlc/p0=")</f>
        <v>#REF!</v>
      </c>
      <c r="FC19" t="e">
        <f>AND(#REF!,"AAAAAHlc/p4=")</f>
        <v>#REF!</v>
      </c>
      <c r="FD19" t="e">
        <f>AND(#REF!,"AAAAAHlc/p8=")</f>
        <v>#REF!</v>
      </c>
      <c r="FE19" t="e">
        <f>AND(#REF!,"AAAAAHlc/qA=")</f>
        <v>#REF!</v>
      </c>
      <c r="FF19" t="e">
        <f>AND(#REF!,"AAAAAHlc/qE=")</f>
        <v>#REF!</v>
      </c>
      <c r="FG19" t="e">
        <f>AND(#REF!,"AAAAAHlc/qI=")</f>
        <v>#REF!</v>
      </c>
      <c r="FH19" t="e">
        <f>AND(#REF!,"AAAAAHlc/qM=")</f>
        <v>#REF!</v>
      </c>
      <c r="FI19" t="e">
        <f>AND(#REF!,"AAAAAHlc/qQ=")</f>
        <v>#REF!</v>
      </c>
      <c r="FJ19" t="e">
        <f>AND(#REF!,"AAAAAHlc/qU=")</f>
        <v>#REF!</v>
      </c>
      <c r="FK19" t="e">
        <f>AND(#REF!,"AAAAAHlc/qY=")</f>
        <v>#REF!</v>
      </c>
      <c r="FL19" t="e">
        <f>AND(#REF!,"AAAAAHlc/qc=")</f>
        <v>#REF!</v>
      </c>
      <c r="FM19" t="e">
        <f>IF(#REF!,"AAAAAHlc/qg=",0)</f>
        <v>#REF!</v>
      </c>
      <c r="FN19" t="e">
        <f>AND(#REF!,"AAAAAHlc/qk=")</f>
        <v>#REF!</v>
      </c>
      <c r="FO19" t="e">
        <f>AND(#REF!,"AAAAAHlc/qo=")</f>
        <v>#REF!</v>
      </c>
      <c r="FP19" t="e">
        <f>AND(#REF!,"AAAAAHlc/qs=")</f>
        <v>#REF!</v>
      </c>
      <c r="FQ19" t="e">
        <f>AND(#REF!,"AAAAAHlc/qw=")</f>
        <v>#REF!</v>
      </c>
      <c r="FR19" t="e">
        <f>AND(#REF!,"AAAAAHlc/q0=")</f>
        <v>#REF!</v>
      </c>
      <c r="FS19" t="e">
        <f>AND(#REF!,"AAAAAHlc/q4=")</f>
        <v>#REF!</v>
      </c>
      <c r="FT19" t="e">
        <f>AND(#REF!,"AAAAAHlc/q8=")</f>
        <v>#REF!</v>
      </c>
      <c r="FU19" t="e">
        <f>AND(#REF!,"AAAAAHlc/rA=")</f>
        <v>#REF!</v>
      </c>
      <c r="FV19" t="e">
        <f>AND(#REF!,"AAAAAHlc/rE=")</f>
        <v>#REF!</v>
      </c>
      <c r="FW19" t="e">
        <f>AND(#REF!,"AAAAAHlc/rI=")</f>
        <v>#REF!</v>
      </c>
      <c r="FX19" t="e">
        <f>AND(#REF!,"AAAAAHlc/rM=")</f>
        <v>#REF!</v>
      </c>
      <c r="FY19" t="e">
        <f>AND(#REF!,"AAAAAHlc/rQ=")</f>
        <v>#REF!</v>
      </c>
      <c r="FZ19" t="e">
        <f>AND(#REF!,"AAAAAHlc/rU=")</f>
        <v>#REF!</v>
      </c>
      <c r="GA19" t="e">
        <f>AND(#REF!,"AAAAAHlc/rY=")</f>
        <v>#REF!</v>
      </c>
      <c r="GB19" t="e">
        <f>AND(#REF!,"AAAAAHlc/rc=")</f>
        <v>#REF!</v>
      </c>
      <c r="GC19" t="e">
        <f>AND(#REF!,"AAAAAHlc/rg=")</f>
        <v>#REF!</v>
      </c>
      <c r="GD19" t="e">
        <f>AND(#REF!,"AAAAAHlc/rk=")</f>
        <v>#REF!</v>
      </c>
      <c r="GE19" t="e">
        <f>AND(#REF!,"AAAAAHlc/ro=")</f>
        <v>#REF!</v>
      </c>
      <c r="GF19" t="e">
        <f>AND(#REF!,"AAAAAHlc/rs=")</f>
        <v>#REF!</v>
      </c>
      <c r="GG19" t="e">
        <f>AND(#REF!,"AAAAAHlc/rw=")</f>
        <v>#REF!</v>
      </c>
      <c r="GH19" t="e">
        <f>AND(#REF!,"AAAAAHlc/r0=")</f>
        <v>#REF!</v>
      </c>
      <c r="GI19" t="e">
        <f>AND(#REF!,"AAAAAHlc/r4=")</f>
        <v>#REF!</v>
      </c>
      <c r="GJ19" t="e">
        <f>AND(#REF!,"AAAAAHlc/r8=")</f>
        <v>#REF!</v>
      </c>
      <c r="GK19" t="e">
        <f>AND(#REF!,"AAAAAHlc/sA=")</f>
        <v>#REF!</v>
      </c>
      <c r="GL19" t="e">
        <f>AND(#REF!,"AAAAAHlc/sE=")</f>
        <v>#REF!</v>
      </c>
      <c r="GM19" t="e">
        <f>AND(#REF!,"AAAAAHlc/sI=")</f>
        <v>#REF!</v>
      </c>
      <c r="GN19" t="e">
        <f>AND(#REF!,"AAAAAHlc/sM=")</f>
        <v>#REF!</v>
      </c>
      <c r="GO19" t="e">
        <f>AND(#REF!,"AAAAAHlc/sQ=")</f>
        <v>#REF!</v>
      </c>
      <c r="GP19" t="e">
        <f>AND(#REF!,"AAAAAHlc/sU=")</f>
        <v>#REF!</v>
      </c>
      <c r="GQ19" t="e">
        <f>AND(#REF!,"AAAAAHlc/sY=")</f>
        <v>#REF!</v>
      </c>
      <c r="GR19" t="e">
        <f>AND(#REF!,"AAAAAHlc/sc=")</f>
        <v>#REF!</v>
      </c>
      <c r="GS19" t="e">
        <f>AND(#REF!,"AAAAAHlc/sg=")</f>
        <v>#REF!</v>
      </c>
      <c r="GT19" t="e">
        <f>AND(#REF!,"AAAAAHlc/sk=")</f>
        <v>#REF!</v>
      </c>
      <c r="GU19" t="e">
        <f>AND(#REF!,"AAAAAHlc/so=")</f>
        <v>#REF!</v>
      </c>
      <c r="GV19" t="e">
        <f>AND(#REF!,"AAAAAHlc/ss=")</f>
        <v>#REF!</v>
      </c>
      <c r="GW19" t="e">
        <f>IF(#REF!,"AAAAAHlc/sw=",0)</f>
        <v>#REF!</v>
      </c>
      <c r="GX19" t="e">
        <f>AND(#REF!,"AAAAAHlc/s0=")</f>
        <v>#REF!</v>
      </c>
      <c r="GY19" t="e">
        <f>AND(#REF!,"AAAAAHlc/s4=")</f>
        <v>#REF!</v>
      </c>
      <c r="GZ19" t="e">
        <f>AND(#REF!,"AAAAAHlc/s8=")</f>
        <v>#REF!</v>
      </c>
      <c r="HA19" t="e">
        <f>AND(#REF!,"AAAAAHlc/tA=")</f>
        <v>#REF!</v>
      </c>
      <c r="HB19" t="e">
        <f>AND(#REF!,"AAAAAHlc/tE=")</f>
        <v>#REF!</v>
      </c>
      <c r="HC19" t="e">
        <f>AND(#REF!,"AAAAAHlc/tI=")</f>
        <v>#REF!</v>
      </c>
      <c r="HD19" t="e">
        <f>AND(#REF!,"AAAAAHlc/tM=")</f>
        <v>#REF!</v>
      </c>
      <c r="HE19" t="e">
        <f>AND(#REF!,"AAAAAHlc/tQ=")</f>
        <v>#REF!</v>
      </c>
      <c r="HF19" t="e">
        <f>AND(#REF!,"AAAAAHlc/tU=")</f>
        <v>#REF!</v>
      </c>
      <c r="HG19" t="e">
        <f>AND(#REF!,"AAAAAHlc/tY=")</f>
        <v>#REF!</v>
      </c>
      <c r="HH19" t="e">
        <f>AND(#REF!,"AAAAAHlc/tc=")</f>
        <v>#REF!</v>
      </c>
      <c r="HI19" t="e">
        <f>AND(#REF!,"AAAAAHlc/tg=")</f>
        <v>#REF!</v>
      </c>
      <c r="HJ19" t="e">
        <f>AND(#REF!,"AAAAAHlc/tk=")</f>
        <v>#REF!</v>
      </c>
      <c r="HK19" t="e">
        <f>AND(#REF!,"AAAAAHlc/to=")</f>
        <v>#REF!</v>
      </c>
      <c r="HL19" t="e">
        <f>AND(#REF!,"AAAAAHlc/ts=")</f>
        <v>#REF!</v>
      </c>
      <c r="HM19" t="e">
        <f>AND(#REF!,"AAAAAHlc/tw=")</f>
        <v>#REF!</v>
      </c>
      <c r="HN19" t="e">
        <f>AND(#REF!,"AAAAAHlc/t0=")</f>
        <v>#REF!</v>
      </c>
      <c r="HO19" t="e">
        <f>AND(#REF!,"AAAAAHlc/t4=")</f>
        <v>#REF!</v>
      </c>
      <c r="HP19" t="e">
        <f>AND(#REF!,"AAAAAHlc/t8=")</f>
        <v>#REF!</v>
      </c>
      <c r="HQ19" t="e">
        <f>AND(#REF!,"AAAAAHlc/uA=")</f>
        <v>#REF!</v>
      </c>
      <c r="HR19" t="e">
        <f>AND(#REF!,"AAAAAHlc/uE=")</f>
        <v>#REF!</v>
      </c>
      <c r="HS19" t="e">
        <f>AND(#REF!,"AAAAAHlc/uI=")</f>
        <v>#REF!</v>
      </c>
      <c r="HT19" t="e">
        <f>AND(#REF!,"AAAAAHlc/uM=")</f>
        <v>#REF!</v>
      </c>
      <c r="HU19" t="e">
        <f>AND(#REF!,"AAAAAHlc/uQ=")</f>
        <v>#REF!</v>
      </c>
      <c r="HV19" t="e">
        <f>AND(#REF!,"AAAAAHlc/uU=")</f>
        <v>#REF!</v>
      </c>
      <c r="HW19" t="e">
        <f>AND(#REF!,"AAAAAHlc/uY=")</f>
        <v>#REF!</v>
      </c>
      <c r="HX19" t="e">
        <f>AND(#REF!,"AAAAAHlc/uc=")</f>
        <v>#REF!</v>
      </c>
      <c r="HY19" t="e">
        <f>AND(#REF!,"AAAAAHlc/ug=")</f>
        <v>#REF!</v>
      </c>
      <c r="HZ19" t="e">
        <f>AND(#REF!,"AAAAAHlc/uk=")</f>
        <v>#REF!</v>
      </c>
      <c r="IA19" t="e">
        <f>AND(#REF!,"AAAAAHlc/uo=")</f>
        <v>#REF!</v>
      </c>
      <c r="IB19" t="e">
        <f>AND(#REF!,"AAAAAHlc/us=")</f>
        <v>#REF!</v>
      </c>
      <c r="IC19" t="e">
        <f>AND(#REF!,"AAAAAHlc/uw=")</f>
        <v>#REF!</v>
      </c>
      <c r="ID19" t="e">
        <f>AND(#REF!,"AAAAAHlc/u0=")</f>
        <v>#REF!</v>
      </c>
      <c r="IE19" t="e">
        <f>AND(#REF!,"AAAAAHlc/u4=")</f>
        <v>#REF!</v>
      </c>
      <c r="IF19" t="e">
        <f>AND(#REF!,"AAAAAHlc/u8=")</f>
        <v>#REF!</v>
      </c>
      <c r="IG19" t="e">
        <f>IF(#REF!,"AAAAAHlc/vA=",0)</f>
        <v>#REF!</v>
      </c>
      <c r="IH19" t="e">
        <f>AND(#REF!,"AAAAAHlc/vE=")</f>
        <v>#REF!</v>
      </c>
      <c r="II19" t="e">
        <f>AND(#REF!,"AAAAAHlc/vI=")</f>
        <v>#REF!</v>
      </c>
      <c r="IJ19" t="e">
        <f>AND(#REF!,"AAAAAHlc/vM=")</f>
        <v>#REF!</v>
      </c>
      <c r="IK19" t="e">
        <f>AND(#REF!,"AAAAAHlc/vQ=")</f>
        <v>#REF!</v>
      </c>
      <c r="IL19" t="e">
        <f>AND(#REF!,"AAAAAHlc/vU=")</f>
        <v>#REF!</v>
      </c>
      <c r="IM19" t="e">
        <f>AND(#REF!,"AAAAAHlc/vY=")</f>
        <v>#REF!</v>
      </c>
      <c r="IN19" t="e">
        <f>AND(#REF!,"AAAAAHlc/vc=")</f>
        <v>#REF!</v>
      </c>
      <c r="IO19" t="e">
        <f>AND(#REF!,"AAAAAHlc/vg=")</f>
        <v>#REF!</v>
      </c>
      <c r="IP19" t="e">
        <f>AND(#REF!,"AAAAAHlc/vk=")</f>
        <v>#REF!</v>
      </c>
      <c r="IQ19" t="e">
        <f>AND(#REF!,"AAAAAHlc/vo=")</f>
        <v>#REF!</v>
      </c>
      <c r="IR19" t="e">
        <f>AND(#REF!,"AAAAAHlc/vs=")</f>
        <v>#REF!</v>
      </c>
      <c r="IS19" t="e">
        <f>AND(#REF!,"AAAAAHlc/vw=")</f>
        <v>#REF!</v>
      </c>
      <c r="IT19" t="e">
        <f>AND(#REF!,"AAAAAHlc/v0=")</f>
        <v>#REF!</v>
      </c>
      <c r="IU19" t="e">
        <f>AND(#REF!,"AAAAAHlc/v4=")</f>
        <v>#REF!</v>
      </c>
      <c r="IV19" t="e">
        <f>AND(#REF!,"AAAAAHlc/v8=")</f>
        <v>#REF!</v>
      </c>
    </row>
    <row r="20" spans="1:256">
      <c r="A20" t="e">
        <f>AND(#REF!,"AAAAAGe3cQA=")</f>
        <v>#REF!</v>
      </c>
      <c r="B20" t="e">
        <f>AND(#REF!,"AAAAAGe3cQE=")</f>
        <v>#REF!</v>
      </c>
      <c r="C20" t="e">
        <f>AND(#REF!,"AAAAAGe3cQI=")</f>
        <v>#REF!</v>
      </c>
      <c r="D20" t="e">
        <f>AND(#REF!,"AAAAAGe3cQM=")</f>
        <v>#REF!</v>
      </c>
      <c r="E20" t="e">
        <f>AND(#REF!,"AAAAAGe3cQQ=")</f>
        <v>#REF!</v>
      </c>
      <c r="F20" t="e">
        <f>AND(#REF!,"AAAAAGe3cQU=")</f>
        <v>#REF!</v>
      </c>
      <c r="G20" t="e">
        <f>AND(#REF!,"AAAAAGe3cQY=")</f>
        <v>#REF!</v>
      </c>
      <c r="H20" t="e">
        <f>AND(#REF!,"AAAAAGe3cQc=")</f>
        <v>#REF!</v>
      </c>
      <c r="I20" t="e">
        <f>AND(#REF!,"AAAAAGe3cQg=")</f>
        <v>#REF!</v>
      </c>
      <c r="J20" t="e">
        <f>AND(#REF!,"AAAAAGe3cQk=")</f>
        <v>#REF!</v>
      </c>
      <c r="K20" t="e">
        <f>AND(#REF!,"AAAAAGe3cQo=")</f>
        <v>#REF!</v>
      </c>
      <c r="L20" t="e">
        <f>AND(#REF!,"AAAAAGe3cQs=")</f>
        <v>#REF!</v>
      </c>
      <c r="M20" t="e">
        <f>AND(#REF!,"AAAAAGe3cQw=")</f>
        <v>#REF!</v>
      </c>
      <c r="N20" t="e">
        <f>AND(#REF!,"AAAAAGe3cQ0=")</f>
        <v>#REF!</v>
      </c>
      <c r="O20" t="e">
        <f>AND(#REF!,"AAAAAGe3cQ4=")</f>
        <v>#REF!</v>
      </c>
      <c r="P20" t="e">
        <f>AND(#REF!,"AAAAAGe3cQ8=")</f>
        <v>#REF!</v>
      </c>
      <c r="Q20" t="e">
        <f>AND(#REF!,"AAAAAGe3cRA=")</f>
        <v>#REF!</v>
      </c>
      <c r="R20" t="e">
        <f>AND(#REF!,"AAAAAGe3cRE=")</f>
        <v>#REF!</v>
      </c>
      <c r="S20" t="e">
        <f>AND(#REF!,"AAAAAGe3cRI=")</f>
        <v>#REF!</v>
      </c>
      <c r="T20" t="e">
        <f>AND(#REF!,"AAAAAGe3cRM=")</f>
        <v>#REF!</v>
      </c>
      <c r="U20" t="e">
        <f>IF(#REF!,"AAAAAGe3cRQ=",0)</f>
        <v>#REF!</v>
      </c>
      <c r="V20" t="e">
        <f>AND(#REF!,"AAAAAGe3cRU=")</f>
        <v>#REF!</v>
      </c>
      <c r="W20" t="e">
        <f>AND(#REF!,"AAAAAGe3cRY=")</f>
        <v>#REF!</v>
      </c>
      <c r="X20" t="e">
        <f>AND(#REF!,"AAAAAGe3cRc=")</f>
        <v>#REF!</v>
      </c>
      <c r="Y20" t="e">
        <f>AND(#REF!,"AAAAAGe3cRg=")</f>
        <v>#REF!</v>
      </c>
      <c r="Z20" t="e">
        <f>AND(#REF!,"AAAAAGe3cRk=")</f>
        <v>#REF!</v>
      </c>
      <c r="AA20" t="e">
        <f>AND(#REF!,"AAAAAGe3cRo=")</f>
        <v>#REF!</v>
      </c>
      <c r="AB20" t="e">
        <f>AND(#REF!,"AAAAAGe3cRs=")</f>
        <v>#REF!</v>
      </c>
      <c r="AC20" t="e">
        <f>AND(#REF!,"AAAAAGe3cRw=")</f>
        <v>#REF!</v>
      </c>
      <c r="AD20" t="e">
        <f>AND(#REF!,"AAAAAGe3cR0=")</f>
        <v>#REF!</v>
      </c>
      <c r="AE20" t="e">
        <f>AND(#REF!,"AAAAAGe3cR4=")</f>
        <v>#REF!</v>
      </c>
      <c r="AF20" t="e">
        <f>AND(#REF!,"AAAAAGe3cR8=")</f>
        <v>#REF!</v>
      </c>
      <c r="AG20" t="e">
        <f>AND(#REF!,"AAAAAGe3cSA=")</f>
        <v>#REF!</v>
      </c>
      <c r="AH20" t="e">
        <f>AND(#REF!,"AAAAAGe3cSE=")</f>
        <v>#REF!</v>
      </c>
      <c r="AI20" t="e">
        <f>AND(#REF!,"AAAAAGe3cSI=")</f>
        <v>#REF!</v>
      </c>
      <c r="AJ20" t="e">
        <f>AND(#REF!,"AAAAAGe3cSM=")</f>
        <v>#REF!</v>
      </c>
      <c r="AK20" t="e">
        <f>AND(#REF!,"AAAAAGe3cSQ=")</f>
        <v>#REF!</v>
      </c>
      <c r="AL20" t="e">
        <f>AND(#REF!,"AAAAAGe3cSU=")</f>
        <v>#REF!</v>
      </c>
      <c r="AM20" t="e">
        <f>AND(#REF!,"AAAAAGe3cSY=")</f>
        <v>#REF!</v>
      </c>
      <c r="AN20" t="e">
        <f>AND(#REF!,"AAAAAGe3cSc=")</f>
        <v>#REF!</v>
      </c>
      <c r="AO20" t="e">
        <f>AND(#REF!,"AAAAAGe3cSg=")</f>
        <v>#REF!</v>
      </c>
      <c r="AP20" t="e">
        <f>AND(#REF!,"AAAAAGe3cSk=")</f>
        <v>#REF!</v>
      </c>
      <c r="AQ20" t="e">
        <f>AND(#REF!,"AAAAAGe3cSo=")</f>
        <v>#REF!</v>
      </c>
      <c r="AR20" t="e">
        <f>AND(#REF!,"AAAAAGe3cSs=")</f>
        <v>#REF!</v>
      </c>
      <c r="AS20" t="e">
        <f>AND(#REF!,"AAAAAGe3cSw=")</f>
        <v>#REF!</v>
      </c>
      <c r="AT20" t="e">
        <f>AND(#REF!,"AAAAAGe3cS0=")</f>
        <v>#REF!</v>
      </c>
      <c r="AU20" t="e">
        <f>AND(#REF!,"AAAAAGe3cS4=")</f>
        <v>#REF!</v>
      </c>
      <c r="AV20" t="e">
        <f>AND(#REF!,"AAAAAGe3cS8=")</f>
        <v>#REF!</v>
      </c>
      <c r="AW20" t="e">
        <f>AND(#REF!,"AAAAAGe3cTA=")</f>
        <v>#REF!</v>
      </c>
      <c r="AX20" t="e">
        <f>AND(#REF!,"AAAAAGe3cTE=")</f>
        <v>#REF!</v>
      </c>
      <c r="AY20" t="e">
        <f>AND(#REF!,"AAAAAGe3cTI=")</f>
        <v>#REF!</v>
      </c>
      <c r="AZ20" t="e">
        <f>AND(#REF!,"AAAAAGe3cTM=")</f>
        <v>#REF!</v>
      </c>
      <c r="BA20" t="e">
        <f>AND(#REF!,"AAAAAGe3cTQ=")</f>
        <v>#REF!</v>
      </c>
      <c r="BB20" t="e">
        <f>AND(#REF!,"AAAAAGe3cTU=")</f>
        <v>#REF!</v>
      </c>
      <c r="BC20" t="e">
        <f>AND(#REF!,"AAAAAGe3cTY=")</f>
        <v>#REF!</v>
      </c>
      <c r="BD20" t="e">
        <f>AND(#REF!,"AAAAAGe3cTc=")</f>
        <v>#REF!</v>
      </c>
      <c r="BE20" t="e">
        <f>IF(#REF!,"AAAAAGe3cTg=",0)</f>
        <v>#REF!</v>
      </c>
      <c r="BF20" t="e">
        <f>AND(#REF!,"AAAAAGe3cTk=")</f>
        <v>#REF!</v>
      </c>
      <c r="BG20" t="e">
        <f>AND(#REF!,"AAAAAGe3cTo=")</f>
        <v>#REF!</v>
      </c>
      <c r="BH20" t="e">
        <f>AND(#REF!,"AAAAAGe3cTs=")</f>
        <v>#REF!</v>
      </c>
      <c r="BI20" t="e">
        <f>AND(#REF!,"AAAAAGe3cTw=")</f>
        <v>#REF!</v>
      </c>
      <c r="BJ20" t="e">
        <f>AND(#REF!,"AAAAAGe3cT0=")</f>
        <v>#REF!</v>
      </c>
      <c r="BK20" t="e">
        <f>AND(#REF!,"AAAAAGe3cT4=")</f>
        <v>#REF!</v>
      </c>
      <c r="BL20" t="e">
        <f>AND(#REF!,"AAAAAGe3cT8=")</f>
        <v>#REF!</v>
      </c>
      <c r="BM20" t="e">
        <f>AND(#REF!,"AAAAAGe3cUA=")</f>
        <v>#REF!</v>
      </c>
      <c r="BN20" t="e">
        <f>AND(#REF!,"AAAAAGe3cUE=")</f>
        <v>#REF!</v>
      </c>
      <c r="BO20" t="e">
        <f>AND(#REF!,"AAAAAGe3cUI=")</f>
        <v>#REF!</v>
      </c>
      <c r="BP20" t="e">
        <f>AND(#REF!,"AAAAAGe3cUM=")</f>
        <v>#REF!</v>
      </c>
      <c r="BQ20" t="e">
        <f>AND(#REF!,"AAAAAGe3cUQ=")</f>
        <v>#REF!</v>
      </c>
      <c r="BR20" t="e">
        <f>AND(#REF!,"AAAAAGe3cUU=")</f>
        <v>#REF!</v>
      </c>
      <c r="BS20" t="e">
        <f>AND(#REF!,"AAAAAGe3cUY=")</f>
        <v>#REF!</v>
      </c>
      <c r="BT20" t="e">
        <f>AND(#REF!,"AAAAAGe3cUc=")</f>
        <v>#REF!</v>
      </c>
      <c r="BU20" t="e">
        <f>AND(#REF!,"AAAAAGe3cUg=")</f>
        <v>#REF!</v>
      </c>
      <c r="BV20" t="e">
        <f>AND(#REF!,"AAAAAGe3cUk=")</f>
        <v>#REF!</v>
      </c>
      <c r="BW20" t="e">
        <f>AND(#REF!,"AAAAAGe3cUo=")</f>
        <v>#REF!</v>
      </c>
      <c r="BX20" t="e">
        <f>AND(#REF!,"AAAAAGe3cUs=")</f>
        <v>#REF!</v>
      </c>
      <c r="BY20" t="e">
        <f>AND(#REF!,"AAAAAGe3cUw=")</f>
        <v>#REF!</v>
      </c>
      <c r="BZ20" t="e">
        <f>AND(#REF!,"AAAAAGe3cU0=")</f>
        <v>#REF!</v>
      </c>
      <c r="CA20" t="e">
        <f>AND(#REF!,"AAAAAGe3cU4=")</f>
        <v>#REF!</v>
      </c>
      <c r="CB20" t="e">
        <f>AND(#REF!,"AAAAAGe3cU8=")</f>
        <v>#REF!</v>
      </c>
      <c r="CC20" t="e">
        <f>AND(#REF!,"AAAAAGe3cVA=")</f>
        <v>#REF!</v>
      </c>
      <c r="CD20" t="e">
        <f>AND(#REF!,"AAAAAGe3cVE=")</f>
        <v>#REF!</v>
      </c>
      <c r="CE20" t="e">
        <f>AND(#REF!,"AAAAAGe3cVI=")</f>
        <v>#REF!</v>
      </c>
      <c r="CF20" t="e">
        <f>AND(#REF!,"AAAAAGe3cVM=")</f>
        <v>#REF!</v>
      </c>
      <c r="CG20" t="e">
        <f>AND(#REF!,"AAAAAGe3cVQ=")</f>
        <v>#REF!</v>
      </c>
      <c r="CH20" t="e">
        <f>AND(#REF!,"AAAAAGe3cVU=")</f>
        <v>#REF!</v>
      </c>
      <c r="CI20" t="e">
        <f>AND(#REF!,"AAAAAGe3cVY=")</f>
        <v>#REF!</v>
      </c>
      <c r="CJ20" t="e">
        <f>AND(#REF!,"AAAAAGe3cVc=")</f>
        <v>#REF!</v>
      </c>
      <c r="CK20" t="e">
        <f>AND(#REF!,"AAAAAGe3cVg=")</f>
        <v>#REF!</v>
      </c>
      <c r="CL20" t="e">
        <f>AND(#REF!,"AAAAAGe3cVk=")</f>
        <v>#REF!</v>
      </c>
      <c r="CM20" t="e">
        <f>AND(#REF!,"AAAAAGe3cVo=")</f>
        <v>#REF!</v>
      </c>
      <c r="CN20" t="e">
        <f>AND(#REF!,"AAAAAGe3cVs=")</f>
        <v>#REF!</v>
      </c>
      <c r="CO20" t="e">
        <f>IF(#REF!,"AAAAAGe3cVw=",0)</f>
        <v>#REF!</v>
      </c>
      <c r="CP20" t="e">
        <f>AND(#REF!,"AAAAAGe3cV0=")</f>
        <v>#REF!</v>
      </c>
      <c r="CQ20" t="e">
        <f>AND(#REF!,"AAAAAGe3cV4=")</f>
        <v>#REF!</v>
      </c>
      <c r="CR20" t="e">
        <f>AND(#REF!,"AAAAAGe3cV8=")</f>
        <v>#REF!</v>
      </c>
      <c r="CS20" t="e">
        <f>AND(#REF!,"AAAAAGe3cWA=")</f>
        <v>#REF!</v>
      </c>
      <c r="CT20" t="e">
        <f>AND(#REF!,"AAAAAGe3cWE=")</f>
        <v>#REF!</v>
      </c>
      <c r="CU20" t="e">
        <f>AND(#REF!,"AAAAAGe3cWI=")</f>
        <v>#REF!</v>
      </c>
      <c r="CV20" t="e">
        <f>AND(#REF!,"AAAAAGe3cWM=")</f>
        <v>#REF!</v>
      </c>
      <c r="CW20" t="e">
        <f>AND(#REF!,"AAAAAGe3cWQ=")</f>
        <v>#REF!</v>
      </c>
      <c r="CX20" t="e">
        <f>AND(#REF!,"AAAAAGe3cWU=")</f>
        <v>#REF!</v>
      </c>
      <c r="CY20" t="e">
        <f>AND(#REF!,"AAAAAGe3cWY=")</f>
        <v>#REF!</v>
      </c>
      <c r="CZ20" t="e">
        <f>AND(#REF!,"AAAAAGe3cWc=")</f>
        <v>#REF!</v>
      </c>
      <c r="DA20" t="e">
        <f>AND(#REF!,"AAAAAGe3cWg=")</f>
        <v>#REF!</v>
      </c>
      <c r="DB20" t="e">
        <f>AND(#REF!,"AAAAAGe3cWk=")</f>
        <v>#REF!</v>
      </c>
      <c r="DC20" t="e">
        <f>AND(#REF!,"AAAAAGe3cWo=")</f>
        <v>#REF!</v>
      </c>
      <c r="DD20" t="e">
        <f>AND(#REF!,"AAAAAGe3cWs=")</f>
        <v>#REF!</v>
      </c>
      <c r="DE20" t="e">
        <f>AND(#REF!,"AAAAAGe3cWw=")</f>
        <v>#REF!</v>
      </c>
      <c r="DF20" t="e">
        <f>AND(#REF!,"AAAAAGe3cW0=")</f>
        <v>#REF!</v>
      </c>
      <c r="DG20" t="e">
        <f>AND(#REF!,"AAAAAGe3cW4=")</f>
        <v>#REF!</v>
      </c>
      <c r="DH20" t="e">
        <f>AND(#REF!,"AAAAAGe3cW8=")</f>
        <v>#REF!</v>
      </c>
      <c r="DI20" t="e">
        <f>AND(#REF!,"AAAAAGe3cXA=")</f>
        <v>#REF!</v>
      </c>
      <c r="DJ20" t="e">
        <f>AND(#REF!,"AAAAAGe3cXE=")</f>
        <v>#REF!</v>
      </c>
      <c r="DK20" t="e">
        <f>AND(#REF!,"AAAAAGe3cXI=")</f>
        <v>#REF!</v>
      </c>
      <c r="DL20" t="e">
        <f>AND(#REF!,"AAAAAGe3cXM=")</f>
        <v>#REF!</v>
      </c>
      <c r="DM20" t="e">
        <f>AND(#REF!,"AAAAAGe3cXQ=")</f>
        <v>#REF!</v>
      </c>
      <c r="DN20" t="e">
        <f>AND(#REF!,"AAAAAGe3cXU=")</f>
        <v>#REF!</v>
      </c>
      <c r="DO20" t="e">
        <f>AND(#REF!,"AAAAAGe3cXY=")</f>
        <v>#REF!</v>
      </c>
      <c r="DP20" t="e">
        <f>AND(#REF!,"AAAAAGe3cXc=")</f>
        <v>#REF!</v>
      </c>
      <c r="DQ20" t="e">
        <f>AND(#REF!,"AAAAAGe3cXg=")</f>
        <v>#REF!</v>
      </c>
      <c r="DR20" t="e">
        <f>AND(#REF!,"AAAAAGe3cXk=")</f>
        <v>#REF!</v>
      </c>
      <c r="DS20" t="e">
        <f>AND(#REF!,"AAAAAGe3cXo=")</f>
        <v>#REF!</v>
      </c>
      <c r="DT20" t="e">
        <f>AND(#REF!,"AAAAAGe3cXs=")</f>
        <v>#REF!</v>
      </c>
      <c r="DU20" t="e">
        <f>AND(#REF!,"AAAAAGe3cXw=")</f>
        <v>#REF!</v>
      </c>
      <c r="DV20" t="e">
        <f>AND(#REF!,"AAAAAGe3cX0=")</f>
        <v>#REF!</v>
      </c>
      <c r="DW20" t="e">
        <f>AND(#REF!,"AAAAAGe3cX4=")</f>
        <v>#REF!</v>
      </c>
      <c r="DX20" t="e">
        <f>AND(#REF!,"AAAAAGe3cX8=")</f>
        <v>#REF!</v>
      </c>
      <c r="DY20" t="e">
        <f>IF(#REF!,"AAAAAGe3cYA=",0)</f>
        <v>#REF!</v>
      </c>
      <c r="DZ20" t="e">
        <f>AND(#REF!,"AAAAAGe3cYE=")</f>
        <v>#REF!</v>
      </c>
      <c r="EA20" t="e">
        <f>AND(#REF!,"AAAAAGe3cYI=")</f>
        <v>#REF!</v>
      </c>
      <c r="EB20" t="e">
        <f>AND(#REF!,"AAAAAGe3cYM=")</f>
        <v>#REF!</v>
      </c>
      <c r="EC20" t="e">
        <f>AND(#REF!,"AAAAAGe3cYQ=")</f>
        <v>#REF!</v>
      </c>
      <c r="ED20" t="e">
        <f>AND(#REF!,"AAAAAGe3cYU=")</f>
        <v>#REF!</v>
      </c>
      <c r="EE20" t="e">
        <f>AND(#REF!,"AAAAAGe3cYY=")</f>
        <v>#REF!</v>
      </c>
      <c r="EF20" t="e">
        <f>AND(#REF!,"AAAAAGe3cYc=")</f>
        <v>#REF!</v>
      </c>
      <c r="EG20" t="e">
        <f>AND(#REF!,"AAAAAGe3cYg=")</f>
        <v>#REF!</v>
      </c>
      <c r="EH20" t="e">
        <f>AND(#REF!,"AAAAAGe3cYk=")</f>
        <v>#REF!</v>
      </c>
      <c r="EI20" t="e">
        <f>AND(#REF!,"AAAAAGe3cYo=")</f>
        <v>#REF!</v>
      </c>
      <c r="EJ20" t="e">
        <f>AND(#REF!,"AAAAAGe3cYs=")</f>
        <v>#REF!</v>
      </c>
      <c r="EK20" t="e">
        <f>AND(#REF!,"AAAAAGe3cYw=")</f>
        <v>#REF!</v>
      </c>
      <c r="EL20" t="e">
        <f>AND(#REF!,"AAAAAGe3cY0=")</f>
        <v>#REF!</v>
      </c>
      <c r="EM20" t="e">
        <f>AND(#REF!,"AAAAAGe3cY4=")</f>
        <v>#REF!</v>
      </c>
      <c r="EN20" t="e">
        <f>AND(#REF!,"AAAAAGe3cY8=")</f>
        <v>#REF!</v>
      </c>
      <c r="EO20" t="e">
        <f>AND(#REF!,"AAAAAGe3cZA=")</f>
        <v>#REF!</v>
      </c>
      <c r="EP20" t="e">
        <f>AND(#REF!,"AAAAAGe3cZE=")</f>
        <v>#REF!</v>
      </c>
      <c r="EQ20" t="e">
        <f>AND(#REF!,"AAAAAGe3cZI=")</f>
        <v>#REF!</v>
      </c>
      <c r="ER20" t="e">
        <f>AND(#REF!,"AAAAAGe3cZM=")</f>
        <v>#REF!</v>
      </c>
      <c r="ES20" t="e">
        <f>AND(#REF!,"AAAAAGe3cZQ=")</f>
        <v>#REF!</v>
      </c>
      <c r="ET20" t="e">
        <f>AND(#REF!,"AAAAAGe3cZU=")</f>
        <v>#REF!</v>
      </c>
      <c r="EU20" t="e">
        <f>AND(#REF!,"AAAAAGe3cZY=")</f>
        <v>#REF!</v>
      </c>
      <c r="EV20" t="e">
        <f>AND(#REF!,"AAAAAGe3cZc=")</f>
        <v>#REF!</v>
      </c>
      <c r="EW20" t="e">
        <f>AND(#REF!,"AAAAAGe3cZg=")</f>
        <v>#REF!</v>
      </c>
      <c r="EX20" t="e">
        <f>AND(#REF!,"AAAAAGe3cZk=")</f>
        <v>#REF!</v>
      </c>
      <c r="EY20" t="e">
        <f>AND(#REF!,"AAAAAGe3cZo=")</f>
        <v>#REF!</v>
      </c>
      <c r="EZ20" t="e">
        <f>AND(#REF!,"AAAAAGe3cZs=")</f>
        <v>#REF!</v>
      </c>
      <c r="FA20" t="e">
        <f>AND(#REF!,"AAAAAGe3cZw=")</f>
        <v>#REF!</v>
      </c>
      <c r="FB20" t="e">
        <f>AND(#REF!,"AAAAAGe3cZ0=")</f>
        <v>#REF!</v>
      </c>
      <c r="FC20" t="e">
        <f>AND(#REF!,"AAAAAGe3cZ4=")</f>
        <v>#REF!</v>
      </c>
      <c r="FD20" t="e">
        <f>AND(#REF!,"AAAAAGe3cZ8=")</f>
        <v>#REF!</v>
      </c>
      <c r="FE20" t="e">
        <f>AND(#REF!,"AAAAAGe3caA=")</f>
        <v>#REF!</v>
      </c>
      <c r="FF20" t="e">
        <f>AND(#REF!,"AAAAAGe3caE=")</f>
        <v>#REF!</v>
      </c>
      <c r="FG20" t="e">
        <f>AND(#REF!,"AAAAAGe3caI=")</f>
        <v>#REF!</v>
      </c>
      <c r="FH20" t="e">
        <f>AND(#REF!,"AAAAAGe3caM=")</f>
        <v>#REF!</v>
      </c>
      <c r="FI20" t="e">
        <f>IF(#REF!,"AAAAAGe3caQ=",0)</f>
        <v>#REF!</v>
      </c>
      <c r="FJ20" t="e">
        <f>AND(#REF!,"AAAAAGe3caU=")</f>
        <v>#REF!</v>
      </c>
      <c r="FK20" t="e">
        <f>AND(#REF!,"AAAAAGe3caY=")</f>
        <v>#REF!</v>
      </c>
      <c r="FL20" t="e">
        <f>AND(#REF!,"AAAAAGe3cac=")</f>
        <v>#REF!</v>
      </c>
      <c r="FM20" t="e">
        <f>AND(#REF!,"AAAAAGe3cag=")</f>
        <v>#REF!</v>
      </c>
      <c r="FN20" t="e">
        <f>AND(#REF!,"AAAAAGe3cak=")</f>
        <v>#REF!</v>
      </c>
      <c r="FO20" t="e">
        <f>AND(#REF!,"AAAAAGe3cao=")</f>
        <v>#REF!</v>
      </c>
      <c r="FP20" t="e">
        <f>AND(#REF!,"AAAAAGe3cas=")</f>
        <v>#REF!</v>
      </c>
      <c r="FQ20" t="e">
        <f>AND(#REF!,"AAAAAGe3caw=")</f>
        <v>#REF!</v>
      </c>
      <c r="FR20" t="e">
        <f>AND(#REF!,"AAAAAGe3ca0=")</f>
        <v>#REF!</v>
      </c>
      <c r="FS20" t="e">
        <f>AND(#REF!,"AAAAAGe3ca4=")</f>
        <v>#REF!</v>
      </c>
      <c r="FT20" t="e">
        <f>AND(#REF!,"AAAAAGe3ca8=")</f>
        <v>#REF!</v>
      </c>
      <c r="FU20" t="e">
        <f>AND(#REF!,"AAAAAGe3cbA=")</f>
        <v>#REF!</v>
      </c>
      <c r="FV20" t="e">
        <f>AND(#REF!,"AAAAAGe3cbE=")</f>
        <v>#REF!</v>
      </c>
      <c r="FW20" t="e">
        <f>AND(#REF!,"AAAAAGe3cbI=")</f>
        <v>#REF!</v>
      </c>
      <c r="FX20" t="e">
        <f>AND(#REF!,"AAAAAGe3cbM=")</f>
        <v>#REF!</v>
      </c>
      <c r="FY20" t="e">
        <f>AND(#REF!,"AAAAAGe3cbQ=")</f>
        <v>#REF!</v>
      </c>
      <c r="FZ20" t="e">
        <f>AND(#REF!,"AAAAAGe3cbU=")</f>
        <v>#REF!</v>
      </c>
      <c r="GA20" t="e">
        <f>AND(#REF!,"AAAAAGe3cbY=")</f>
        <v>#REF!</v>
      </c>
      <c r="GB20" t="e">
        <f>AND(#REF!,"AAAAAGe3cbc=")</f>
        <v>#REF!</v>
      </c>
      <c r="GC20" t="e">
        <f>AND(#REF!,"AAAAAGe3cbg=")</f>
        <v>#REF!</v>
      </c>
      <c r="GD20" t="e">
        <f>AND(#REF!,"AAAAAGe3cbk=")</f>
        <v>#REF!</v>
      </c>
      <c r="GE20" t="e">
        <f>AND(#REF!,"AAAAAGe3cbo=")</f>
        <v>#REF!</v>
      </c>
      <c r="GF20" t="e">
        <f>AND(#REF!,"AAAAAGe3cbs=")</f>
        <v>#REF!</v>
      </c>
      <c r="GG20" t="e">
        <f>AND(#REF!,"AAAAAGe3cbw=")</f>
        <v>#REF!</v>
      </c>
      <c r="GH20" t="e">
        <f>AND(#REF!,"AAAAAGe3cb0=")</f>
        <v>#REF!</v>
      </c>
      <c r="GI20" t="e">
        <f>AND(#REF!,"AAAAAGe3cb4=")</f>
        <v>#REF!</v>
      </c>
      <c r="GJ20" t="e">
        <f>AND(#REF!,"AAAAAGe3cb8=")</f>
        <v>#REF!</v>
      </c>
      <c r="GK20" t="e">
        <f>AND(#REF!,"AAAAAGe3ccA=")</f>
        <v>#REF!</v>
      </c>
      <c r="GL20" t="e">
        <f>AND(#REF!,"AAAAAGe3ccE=")</f>
        <v>#REF!</v>
      </c>
      <c r="GM20" t="e">
        <f>AND(#REF!,"AAAAAGe3ccI=")</f>
        <v>#REF!</v>
      </c>
      <c r="GN20" t="e">
        <f>AND(#REF!,"AAAAAGe3ccM=")</f>
        <v>#REF!</v>
      </c>
      <c r="GO20" t="e">
        <f>AND(#REF!,"AAAAAGe3ccQ=")</f>
        <v>#REF!</v>
      </c>
      <c r="GP20" t="e">
        <f>AND(#REF!,"AAAAAGe3ccU=")</f>
        <v>#REF!</v>
      </c>
      <c r="GQ20" t="e">
        <f>AND(#REF!,"AAAAAGe3ccY=")</f>
        <v>#REF!</v>
      </c>
      <c r="GR20" t="e">
        <f>AND(#REF!,"AAAAAGe3ccc=")</f>
        <v>#REF!</v>
      </c>
      <c r="GS20" t="e">
        <f>IF(#REF!,"AAAAAGe3ccg=",0)</f>
        <v>#REF!</v>
      </c>
      <c r="GT20" t="e">
        <f>AND(#REF!,"AAAAAGe3cck=")</f>
        <v>#REF!</v>
      </c>
      <c r="GU20" t="e">
        <f>AND(#REF!,"AAAAAGe3cco=")</f>
        <v>#REF!</v>
      </c>
      <c r="GV20" t="e">
        <f>AND(#REF!,"AAAAAGe3ccs=")</f>
        <v>#REF!</v>
      </c>
      <c r="GW20" t="e">
        <f>AND(#REF!,"AAAAAGe3ccw=")</f>
        <v>#REF!</v>
      </c>
      <c r="GX20" t="e">
        <f>AND(#REF!,"AAAAAGe3cc0=")</f>
        <v>#REF!</v>
      </c>
      <c r="GY20" t="e">
        <f>AND(#REF!,"AAAAAGe3cc4=")</f>
        <v>#REF!</v>
      </c>
      <c r="GZ20" t="e">
        <f>AND(#REF!,"AAAAAGe3cc8=")</f>
        <v>#REF!</v>
      </c>
      <c r="HA20" t="e">
        <f>AND(#REF!,"AAAAAGe3cdA=")</f>
        <v>#REF!</v>
      </c>
      <c r="HB20" t="e">
        <f>AND(#REF!,"AAAAAGe3cdE=")</f>
        <v>#REF!</v>
      </c>
      <c r="HC20" t="e">
        <f>AND(#REF!,"AAAAAGe3cdI=")</f>
        <v>#REF!</v>
      </c>
      <c r="HD20" t="e">
        <f>AND(#REF!,"AAAAAGe3cdM=")</f>
        <v>#REF!</v>
      </c>
      <c r="HE20" t="e">
        <f>AND(#REF!,"AAAAAGe3cdQ=")</f>
        <v>#REF!</v>
      </c>
      <c r="HF20" t="e">
        <f>AND(#REF!,"AAAAAGe3cdU=")</f>
        <v>#REF!</v>
      </c>
      <c r="HG20" t="e">
        <f>AND(#REF!,"AAAAAGe3cdY=")</f>
        <v>#REF!</v>
      </c>
      <c r="HH20" t="e">
        <f>AND(#REF!,"AAAAAGe3cdc=")</f>
        <v>#REF!</v>
      </c>
      <c r="HI20" t="e">
        <f>AND(#REF!,"AAAAAGe3cdg=")</f>
        <v>#REF!</v>
      </c>
      <c r="HJ20" t="e">
        <f>AND(#REF!,"AAAAAGe3cdk=")</f>
        <v>#REF!</v>
      </c>
      <c r="HK20" t="e">
        <f>AND(#REF!,"AAAAAGe3cdo=")</f>
        <v>#REF!</v>
      </c>
      <c r="HL20" t="e">
        <f>AND(#REF!,"AAAAAGe3cds=")</f>
        <v>#REF!</v>
      </c>
      <c r="HM20" t="e">
        <f>AND(#REF!,"AAAAAGe3cdw=")</f>
        <v>#REF!</v>
      </c>
      <c r="HN20" t="e">
        <f>AND(#REF!,"AAAAAGe3cd0=")</f>
        <v>#REF!</v>
      </c>
      <c r="HO20" t="e">
        <f>AND(#REF!,"AAAAAGe3cd4=")</f>
        <v>#REF!</v>
      </c>
      <c r="HP20" t="e">
        <f>AND(#REF!,"AAAAAGe3cd8=")</f>
        <v>#REF!</v>
      </c>
      <c r="HQ20" t="e">
        <f>AND(#REF!,"AAAAAGe3ceA=")</f>
        <v>#REF!</v>
      </c>
      <c r="HR20" t="e">
        <f>AND(#REF!,"AAAAAGe3ceE=")</f>
        <v>#REF!</v>
      </c>
      <c r="HS20" t="e">
        <f>AND(#REF!,"AAAAAGe3ceI=")</f>
        <v>#REF!</v>
      </c>
      <c r="HT20" t="e">
        <f>AND(#REF!,"AAAAAGe3ceM=")</f>
        <v>#REF!</v>
      </c>
      <c r="HU20" t="e">
        <f>AND(#REF!,"AAAAAGe3ceQ=")</f>
        <v>#REF!</v>
      </c>
      <c r="HV20" t="e">
        <f>AND(#REF!,"AAAAAGe3ceU=")</f>
        <v>#REF!</v>
      </c>
      <c r="HW20" t="e">
        <f>AND(#REF!,"AAAAAGe3ceY=")</f>
        <v>#REF!</v>
      </c>
      <c r="HX20" t="e">
        <f>AND(#REF!,"AAAAAGe3cec=")</f>
        <v>#REF!</v>
      </c>
      <c r="HY20" t="e">
        <f>AND(#REF!,"AAAAAGe3ceg=")</f>
        <v>#REF!</v>
      </c>
      <c r="HZ20" t="e">
        <f>AND(#REF!,"AAAAAGe3cek=")</f>
        <v>#REF!</v>
      </c>
      <c r="IA20" t="e">
        <f>AND(#REF!,"AAAAAGe3ceo=")</f>
        <v>#REF!</v>
      </c>
      <c r="IB20" t="e">
        <f>AND(#REF!,"AAAAAGe3ces=")</f>
        <v>#REF!</v>
      </c>
      <c r="IC20" t="e">
        <f>IF(#REF!,"AAAAAGe3cew=",0)</f>
        <v>#REF!</v>
      </c>
      <c r="ID20" t="e">
        <f>AND(#REF!,"AAAAAGe3ce0=")</f>
        <v>#REF!</v>
      </c>
      <c r="IE20" t="e">
        <f>AND(#REF!,"AAAAAGe3ce4=")</f>
        <v>#REF!</v>
      </c>
      <c r="IF20" t="e">
        <f>AND(#REF!,"AAAAAGe3ce8=")</f>
        <v>#REF!</v>
      </c>
      <c r="IG20" t="e">
        <f>AND(#REF!,"AAAAAGe3cfA=")</f>
        <v>#REF!</v>
      </c>
      <c r="IH20" t="e">
        <f>AND(#REF!,"AAAAAGe3cfE=")</f>
        <v>#REF!</v>
      </c>
      <c r="II20" t="e">
        <f>AND(#REF!,"AAAAAGe3cfI=")</f>
        <v>#REF!</v>
      </c>
      <c r="IJ20" t="e">
        <f>AND(#REF!,"AAAAAGe3cfM=")</f>
        <v>#REF!</v>
      </c>
      <c r="IK20" t="e">
        <f>AND(#REF!,"AAAAAGe3cfQ=")</f>
        <v>#REF!</v>
      </c>
      <c r="IL20" t="e">
        <f>AND(#REF!,"AAAAAGe3cfU=")</f>
        <v>#REF!</v>
      </c>
      <c r="IM20" t="e">
        <f>AND(#REF!,"AAAAAGe3cfY=")</f>
        <v>#REF!</v>
      </c>
      <c r="IN20" t="e">
        <f>AND(#REF!,"AAAAAGe3cfc=")</f>
        <v>#REF!</v>
      </c>
      <c r="IO20" t="e">
        <f>AND(#REF!,"AAAAAGe3cfg=")</f>
        <v>#REF!</v>
      </c>
      <c r="IP20" t="e">
        <f>AND(#REF!,"AAAAAGe3cfk=")</f>
        <v>#REF!</v>
      </c>
      <c r="IQ20" t="e">
        <f>AND(#REF!,"AAAAAGe3cfo=")</f>
        <v>#REF!</v>
      </c>
      <c r="IR20" t="e">
        <f>AND(#REF!,"AAAAAGe3cfs=")</f>
        <v>#REF!</v>
      </c>
      <c r="IS20" t="e">
        <f>AND(#REF!,"AAAAAGe3cfw=")</f>
        <v>#REF!</v>
      </c>
      <c r="IT20" t="e">
        <f>AND(#REF!,"AAAAAGe3cf0=")</f>
        <v>#REF!</v>
      </c>
      <c r="IU20" t="e">
        <f>AND(#REF!,"AAAAAGe3cf4=")</f>
        <v>#REF!</v>
      </c>
      <c r="IV20" t="e">
        <f>AND(#REF!,"AAAAAGe3cf8=")</f>
        <v>#REF!</v>
      </c>
    </row>
    <row r="21" spans="1:256">
      <c r="A21" t="e">
        <f>AND(#REF!,"AAAAAHP//wA=")</f>
        <v>#REF!</v>
      </c>
      <c r="B21" t="e">
        <f>AND(#REF!,"AAAAAHP//wE=")</f>
        <v>#REF!</v>
      </c>
      <c r="C21" t="e">
        <f>AND(#REF!,"AAAAAHP//wI=")</f>
        <v>#REF!</v>
      </c>
      <c r="D21" t="e">
        <f>AND(#REF!,"AAAAAHP//wM=")</f>
        <v>#REF!</v>
      </c>
      <c r="E21" t="e">
        <f>AND(#REF!,"AAAAAHP//wQ=")</f>
        <v>#REF!</v>
      </c>
      <c r="F21" t="e">
        <f>AND(#REF!,"AAAAAHP//wU=")</f>
        <v>#REF!</v>
      </c>
      <c r="G21" t="e">
        <f>AND(#REF!,"AAAAAHP//wY=")</f>
        <v>#REF!</v>
      </c>
      <c r="H21" t="e">
        <f>AND(#REF!,"AAAAAHP//wc=")</f>
        <v>#REF!</v>
      </c>
      <c r="I21" t="e">
        <f>AND(#REF!,"AAAAAHP//wg=")</f>
        <v>#REF!</v>
      </c>
      <c r="J21" t="e">
        <f>AND(#REF!,"AAAAAHP//wk=")</f>
        <v>#REF!</v>
      </c>
      <c r="K21" t="e">
        <f>AND(#REF!,"AAAAAHP//wo=")</f>
        <v>#REF!</v>
      </c>
      <c r="L21" t="e">
        <f>AND(#REF!,"AAAAAHP//ws=")</f>
        <v>#REF!</v>
      </c>
      <c r="M21" t="e">
        <f>AND(#REF!,"AAAAAHP//ww=")</f>
        <v>#REF!</v>
      </c>
      <c r="N21" t="e">
        <f>AND(#REF!,"AAAAAHP//w0=")</f>
        <v>#REF!</v>
      </c>
      <c r="O21" t="e">
        <f>AND(#REF!,"AAAAAHP//w4=")</f>
        <v>#REF!</v>
      </c>
      <c r="P21" t="e">
        <f>AND(#REF!,"AAAAAHP//w8=")</f>
        <v>#REF!</v>
      </c>
      <c r="Q21" t="e">
        <f>IF(#REF!,"AAAAAHP//xA=",0)</f>
        <v>#REF!</v>
      </c>
      <c r="R21" t="e">
        <f>AND(#REF!,"AAAAAHP//xE=")</f>
        <v>#REF!</v>
      </c>
      <c r="S21" t="e">
        <f>AND(#REF!,"AAAAAHP//xI=")</f>
        <v>#REF!</v>
      </c>
      <c r="T21" t="e">
        <f>AND(#REF!,"AAAAAHP//xM=")</f>
        <v>#REF!</v>
      </c>
      <c r="U21" t="e">
        <f>AND(#REF!,"AAAAAHP//xQ=")</f>
        <v>#REF!</v>
      </c>
      <c r="V21" t="e">
        <f>AND(#REF!,"AAAAAHP//xU=")</f>
        <v>#REF!</v>
      </c>
      <c r="W21" t="e">
        <f>AND(#REF!,"AAAAAHP//xY=")</f>
        <v>#REF!</v>
      </c>
      <c r="X21" t="e">
        <f>AND(#REF!,"AAAAAHP//xc=")</f>
        <v>#REF!</v>
      </c>
      <c r="Y21" t="e">
        <f>AND(#REF!,"AAAAAHP//xg=")</f>
        <v>#REF!</v>
      </c>
      <c r="Z21" t="e">
        <f>AND(#REF!,"AAAAAHP//xk=")</f>
        <v>#REF!</v>
      </c>
      <c r="AA21" t="e">
        <f>AND(#REF!,"AAAAAHP//xo=")</f>
        <v>#REF!</v>
      </c>
      <c r="AB21" t="e">
        <f>AND(#REF!,"AAAAAHP//xs=")</f>
        <v>#REF!</v>
      </c>
      <c r="AC21" t="e">
        <f>AND(#REF!,"AAAAAHP//xw=")</f>
        <v>#REF!</v>
      </c>
      <c r="AD21" t="e">
        <f>AND(#REF!,"AAAAAHP//x0=")</f>
        <v>#REF!</v>
      </c>
      <c r="AE21" t="e">
        <f>AND(#REF!,"AAAAAHP//x4=")</f>
        <v>#REF!</v>
      </c>
      <c r="AF21" t="e">
        <f>AND(#REF!,"AAAAAHP//x8=")</f>
        <v>#REF!</v>
      </c>
      <c r="AG21" t="e">
        <f>AND(#REF!,"AAAAAHP//yA=")</f>
        <v>#REF!</v>
      </c>
      <c r="AH21" t="e">
        <f>AND(#REF!,"AAAAAHP//yE=")</f>
        <v>#REF!</v>
      </c>
      <c r="AI21" t="e">
        <f>AND(#REF!,"AAAAAHP//yI=")</f>
        <v>#REF!</v>
      </c>
      <c r="AJ21" t="e">
        <f>AND(#REF!,"AAAAAHP//yM=")</f>
        <v>#REF!</v>
      </c>
      <c r="AK21" t="e">
        <f>AND(#REF!,"AAAAAHP//yQ=")</f>
        <v>#REF!</v>
      </c>
      <c r="AL21" t="e">
        <f>AND(#REF!,"AAAAAHP//yU=")</f>
        <v>#REF!</v>
      </c>
      <c r="AM21" t="e">
        <f>AND(#REF!,"AAAAAHP//yY=")</f>
        <v>#REF!</v>
      </c>
      <c r="AN21" t="e">
        <f>AND(#REF!,"AAAAAHP//yc=")</f>
        <v>#REF!</v>
      </c>
      <c r="AO21" t="e">
        <f>AND(#REF!,"AAAAAHP//yg=")</f>
        <v>#REF!</v>
      </c>
      <c r="AP21" t="e">
        <f>AND(#REF!,"AAAAAHP//yk=")</f>
        <v>#REF!</v>
      </c>
      <c r="AQ21" t="e">
        <f>AND(#REF!,"AAAAAHP//yo=")</f>
        <v>#REF!</v>
      </c>
      <c r="AR21" t="e">
        <f>AND(#REF!,"AAAAAHP//ys=")</f>
        <v>#REF!</v>
      </c>
      <c r="AS21" t="e">
        <f>AND(#REF!,"AAAAAHP//yw=")</f>
        <v>#REF!</v>
      </c>
      <c r="AT21" t="e">
        <f>AND(#REF!,"AAAAAHP//y0=")</f>
        <v>#REF!</v>
      </c>
      <c r="AU21" t="e">
        <f>AND(#REF!,"AAAAAHP//y4=")</f>
        <v>#REF!</v>
      </c>
      <c r="AV21" t="e">
        <f>AND(#REF!,"AAAAAHP//y8=")</f>
        <v>#REF!</v>
      </c>
      <c r="AW21" t="e">
        <f>AND(#REF!,"AAAAAHP//zA=")</f>
        <v>#REF!</v>
      </c>
      <c r="AX21" t="e">
        <f>AND(#REF!,"AAAAAHP//zE=")</f>
        <v>#REF!</v>
      </c>
      <c r="AY21" t="e">
        <f>AND(#REF!,"AAAAAHP//zI=")</f>
        <v>#REF!</v>
      </c>
      <c r="AZ21" t="e">
        <f>AND(#REF!,"AAAAAHP//zM=")</f>
        <v>#REF!</v>
      </c>
      <c r="BA21" t="e">
        <f>IF(#REF!,"AAAAAHP//zQ=",0)</f>
        <v>#REF!</v>
      </c>
      <c r="BB21" t="e">
        <f>AND(#REF!,"AAAAAHP//zU=")</f>
        <v>#REF!</v>
      </c>
      <c r="BC21" t="e">
        <f>AND(#REF!,"AAAAAHP//zY=")</f>
        <v>#REF!</v>
      </c>
      <c r="BD21" t="e">
        <f>AND(#REF!,"AAAAAHP//zc=")</f>
        <v>#REF!</v>
      </c>
      <c r="BE21" t="e">
        <f>AND(#REF!,"AAAAAHP//zg=")</f>
        <v>#REF!</v>
      </c>
      <c r="BF21" t="e">
        <f>AND(#REF!,"AAAAAHP//zk=")</f>
        <v>#REF!</v>
      </c>
      <c r="BG21" t="e">
        <f>AND(#REF!,"AAAAAHP//zo=")</f>
        <v>#REF!</v>
      </c>
      <c r="BH21" t="e">
        <f>AND(#REF!,"AAAAAHP//zs=")</f>
        <v>#REF!</v>
      </c>
      <c r="BI21" t="e">
        <f>AND(#REF!,"AAAAAHP//zw=")</f>
        <v>#REF!</v>
      </c>
      <c r="BJ21" t="e">
        <f>AND(#REF!,"AAAAAHP//z0=")</f>
        <v>#REF!</v>
      </c>
      <c r="BK21" t="e">
        <f>AND(#REF!,"AAAAAHP//z4=")</f>
        <v>#REF!</v>
      </c>
      <c r="BL21" t="e">
        <f>AND(#REF!,"AAAAAHP//z8=")</f>
        <v>#REF!</v>
      </c>
      <c r="BM21" t="e">
        <f>AND(#REF!,"AAAAAHP//0A=")</f>
        <v>#REF!</v>
      </c>
      <c r="BN21" t="e">
        <f>AND(#REF!,"AAAAAHP//0E=")</f>
        <v>#REF!</v>
      </c>
      <c r="BO21" t="e">
        <f>AND(#REF!,"AAAAAHP//0I=")</f>
        <v>#REF!</v>
      </c>
      <c r="BP21" t="e">
        <f>AND(#REF!,"AAAAAHP//0M=")</f>
        <v>#REF!</v>
      </c>
      <c r="BQ21" t="e">
        <f>AND(#REF!,"AAAAAHP//0Q=")</f>
        <v>#REF!</v>
      </c>
      <c r="BR21" t="e">
        <f>AND(#REF!,"AAAAAHP//0U=")</f>
        <v>#REF!</v>
      </c>
      <c r="BS21" t="e">
        <f>AND(#REF!,"AAAAAHP//0Y=")</f>
        <v>#REF!</v>
      </c>
      <c r="BT21" t="e">
        <f>AND(#REF!,"AAAAAHP//0c=")</f>
        <v>#REF!</v>
      </c>
      <c r="BU21" t="e">
        <f>AND(#REF!,"AAAAAHP//0g=")</f>
        <v>#REF!</v>
      </c>
      <c r="BV21" t="e">
        <f>AND(#REF!,"AAAAAHP//0k=")</f>
        <v>#REF!</v>
      </c>
      <c r="BW21" t="e">
        <f>AND(#REF!,"AAAAAHP//0o=")</f>
        <v>#REF!</v>
      </c>
      <c r="BX21" t="e">
        <f>AND(#REF!,"AAAAAHP//0s=")</f>
        <v>#REF!</v>
      </c>
      <c r="BY21" t="e">
        <f>AND(#REF!,"AAAAAHP//0w=")</f>
        <v>#REF!</v>
      </c>
      <c r="BZ21" t="e">
        <f>AND(#REF!,"AAAAAHP//00=")</f>
        <v>#REF!</v>
      </c>
      <c r="CA21" t="e">
        <f>AND(#REF!,"AAAAAHP//04=")</f>
        <v>#REF!</v>
      </c>
      <c r="CB21" t="e">
        <f>AND(#REF!,"AAAAAHP//08=")</f>
        <v>#REF!</v>
      </c>
      <c r="CC21" t="e">
        <f>AND(#REF!,"AAAAAHP//1A=")</f>
        <v>#REF!</v>
      </c>
      <c r="CD21" t="e">
        <f>AND(#REF!,"AAAAAHP//1E=")</f>
        <v>#REF!</v>
      </c>
      <c r="CE21" t="e">
        <f>AND(#REF!,"AAAAAHP//1I=")</f>
        <v>#REF!</v>
      </c>
      <c r="CF21" t="e">
        <f>AND(#REF!,"AAAAAHP//1M=")</f>
        <v>#REF!</v>
      </c>
      <c r="CG21" t="e">
        <f>AND(#REF!,"AAAAAHP//1Q=")</f>
        <v>#REF!</v>
      </c>
      <c r="CH21" t="e">
        <f>AND(#REF!,"AAAAAHP//1U=")</f>
        <v>#REF!</v>
      </c>
      <c r="CI21" t="e">
        <f>AND(#REF!,"AAAAAHP//1Y=")</f>
        <v>#REF!</v>
      </c>
      <c r="CJ21" t="e">
        <f>AND(#REF!,"AAAAAHP//1c=")</f>
        <v>#REF!</v>
      </c>
      <c r="CK21" t="e">
        <f>IF(#REF!,"AAAAAHP//1g=",0)</f>
        <v>#REF!</v>
      </c>
      <c r="CL21" t="e">
        <f>AND(#REF!,"AAAAAHP//1k=")</f>
        <v>#REF!</v>
      </c>
      <c r="CM21" t="e">
        <f>AND(#REF!,"AAAAAHP//1o=")</f>
        <v>#REF!</v>
      </c>
      <c r="CN21" t="e">
        <f>AND(#REF!,"AAAAAHP//1s=")</f>
        <v>#REF!</v>
      </c>
      <c r="CO21" t="e">
        <f>AND(#REF!,"AAAAAHP//1w=")</f>
        <v>#REF!</v>
      </c>
      <c r="CP21" t="e">
        <f>AND(#REF!,"AAAAAHP//10=")</f>
        <v>#REF!</v>
      </c>
      <c r="CQ21" t="e">
        <f>AND(#REF!,"AAAAAHP//14=")</f>
        <v>#REF!</v>
      </c>
      <c r="CR21" t="e">
        <f>AND(#REF!,"AAAAAHP//18=")</f>
        <v>#REF!</v>
      </c>
      <c r="CS21" t="e">
        <f>AND(#REF!,"AAAAAHP//2A=")</f>
        <v>#REF!</v>
      </c>
      <c r="CT21" t="e">
        <f>AND(#REF!,"AAAAAHP//2E=")</f>
        <v>#REF!</v>
      </c>
      <c r="CU21" t="e">
        <f>AND(#REF!,"AAAAAHP//2I=")</f>
        <v>#REF!</v>
      </c>
      <c r="CV21" t="e">
        <f>AND(#REF!,"AAAAAHP//2M=")</f>
        <v>#REF!</v>
      </c>
      <c r="CW21" t="e">
        <f>AND(#REF!,"AAAAAHP//2Q=")</f>
        <v>#REF!</v>
      </c>
      <c r="CX21" t="e">
        <f>AND(#REF!,"AAAAAHP//2U=")</f>
        <v>#REF!</v>
      </c>
      <c r="CY21" t="e">
        <f>AND(#REF!,"AAAAAHP//2Y=")</f>
        <v>#REF!</v>
      </c>
      <c r="CZ21" t="e">
        <f>AND(#REF!,"AAAAAHP//2c=")</f>
        <v>#REF!</v>
      </c>
      <c r="DA21" t="e">
        <f>AND(#REF!,"AAAAAHP//2g=")</f>
        <v>#REF!</v>
      </c>
      <c r="DB21" t="e">
        <f>AND(#REF!,"AAAAAHP//2k=")</f>
        <v>#REF!</v>
      </c>
      <c r="DC21" t="e">
        <f>AND(#REF!,"AAAAAHP//2o=")</f>
        <v>#REF!</v>
      </c>
      <c r="DD21" t="e">
        <f>AND(#REF!,"AAAAAHP//2s=")</f>
        <v>#REF!</v>
      </c>
      <c r="DE21" t="e">
        <f>AND(#REF!,"AAAAAHP//2w=")</f>
        <v>#REF!</v>
      </c>
      <c r="DF21" t="e">
        <f>AND(#REF!,"AAAAAHP//20=")</f>
        <v>#REF!</v>
      </c>
      <c r="DG21" t="e">
        <f>AND(#REF!,"AAAAAHP//24=")</f>
        <v>#REF!</v>
      </c>
      <c r="DH21" t="e">
        <f>AND(#REF!,"AAAAAHP//28=")</f>
        <v>#REF!</v>
      </c>
      <c r="DI21" t="e">
        <f>AND(#REF!,"AAAAAHP//3A=")</f>
        <v>#REF!</v>
      </c>
      <c r="DJ21" t="e">
        <f>AND(#REF!,"AAAAAHP//3E=")</f>
        <v>#REF!</v>
      </c>
      <c r="DK21" t="e">
        <f>AND(#REF!,"AAAAAHP//3I=")</f>
        <v>#REF!</v>
      </c>
      <c r="DL21" t="e">
        <f>AND(#REF!,"AAAAAHP//3M=")</f>
        <v>#REF!</v>
      </c>
      <c r="DM21" t="e">
        <f>AND(#REF!,"AAAAAHP//3Q=")</f>
        <v>#REF!</v>
      </c>
      <c r="DN21" t="e">
        <f>AND(#REF!,"AAAAAHP//3U=")</f>
        <v>#REF!</v>
      </c>
      <c r="DO21" t="e">
        <f>AND(#REF!,"AAAAAHP//3Y=")</f>
        <v>#REF!</v>
      </c>
      <c r="DP21" t="e">
        <f>AND(#REF!,"AAAAAHP//3c=")</f>
        <v>#REF!</v>
      </c>
      <c r="DQ21" t="e">
        <f>AND(#REF!,"AAAAAHP//3g=")</f>
        <v>#REF!</v>
      </c>
      <c r="DR21" t="e">
        <f>AND(#REF!,"AAAAAHP//3k=")</f>
        <v>#REF!</v>
      </c>
      <c r="DS21" t="e">
        <f>AND(#REF!,"AAAAAHP//3o=")</f>
        <v>#REF!</v>
      </c>
      <c r="DT21" t="e">
        <f>AND(#REF!,"AAAAAHP//3s=")</f>
        <v>#REF!</v>
      </c>
      <c r="DU21" t="e">
        <f>IF(#REF!,"AAAAAHP//3w=",0)</f>
        <v>#REF!</v>
      </c>
      <c r="DV21" t="e">
        <f>AND(#REF!,"AAAAAHP//30=")</f>
        <v>#REF!</v>
      </c>
      <c r="DW21" t="e">
        <f>AND(#REF!,"AAAAAHP//34=")</f>
        <v>#REF!</v>
      </c>
      <c r="DX21" t="e">
        <f>AND(#REF!,"AAAAAHP//38=")</f>
        <v>#REF!</v>
      </c>
      <c r="DY21" t="e">
        <f>AND(#REF!,"AAAAAHP//4A=")</f>
        <v>#REF!</v>
      </c>
      <c r="DZ21" t="e">
        <f>AND(#REF!,"AAAAAHP//4E=")</f>
        <v>#REF!</v>
      </c>
      <c r="EA21" t="e">
        <f>AND(#REF!,"AAAAAHP//4I=")</f>
        <v>#REF!</v>
      </c>
      <c r="EB21" t="e">
        <f>AND(#REF!,"AAAAAHP//4M=")</f>
        <v>#REF!</v>
      </c>
      <c r="EC21" t="e">
        <f>AND(#REF!,"AAAAAHP//4Q=")</f>
        <v>#REF!</v>
      </c>
      <c r="ED21" t="e">
        <f>AND(#REF!,"AAAAAHP//4U=")</f>
        <v>#REF!</v>
      </c>
      <c r="EE21" t="e">
        <f>AND(#REF!,"AAAAAHP//4Y=")</f>
        <v>#REF!</v>
      </c>
      <c r="EF21" t="e">
        <f>AND(#REF!,"AAAAAHP//4c=")</f>
        <v>#REF!</v>
      </c>
      <c r="EG21" t="e">
        <f>AND(#REF!,"AAAAAHP//4g=")</f>
        <v>#REF!</v>
      </c>
      <c r="EH21" t="e">
        <f>AND(#REF!,"AAAAAHP//4k=")</f>
        <v>#REF!</v>
      </c>
      <c r="EI21" t="e">
        <f>AND(#REF!,"AAAAAHP//4o=")</f>
        <v>#REF!</v>
      </c>
      <c r="EJ21" t="e">
        <f>AND(#REF!,"AAAAAHP//4s=")</f>
        <v>#REF!</v>
      </c>
      <c r="EK21" t="e">
        <f>AND(#REF!,"AAAAAHP//4w=")</f>
        <v>#REF!</v>
      </c>
      <c r="EL21" t="e">
        <f>AND(#REF!,"AAAAAHP//40=")</f>
        <v>#REF!</v>
      </c>
      <c r="EM21" t="e">
        <f>AND(#REF!,"AAAAAHP//44=")</f>
        <v>#REF!</v>
      </c>
      <c r="EN21" t="e">
        <f>AND(#REF!,"AAAAAHP//48=")</f>
        <v>#REF!</v>
      </c>
      <c r="EO21" t="e">
        <f>AND(#REF!,"AAAAAHP//5A=")</f>
        <v>#REF!</v>
      </c>
      <c r="EP21" t="e">
        <f>AND(#REF!,"AAAAAHP//5E=")</f>
        <v>#REF!</v>
      </c>
      <c r="EQ21" t="e">
        <f>AND(#REF!,"AAAAAHP//5I=")</f>
        <v>#REF!</v>
      </c>
      <c r="ER21" t="e">
        <f>AND(#REF!,"AAAAAHP//5M=")</f>
        <v>#REF!</v>
      </c>
      <c r="ES21" t="e">
        <f>AND(#REF!,"AAAAAHP//5Q=")</f>
        <v>#REF!</v>
      </c>
      <c r="ET21" t="e">
        <f>AND(#REF!,"AAAAAHP//5U=")</f>
        <v>#REF!</v>
      </c>
      <c r="EU21" t="e">
        <f>AND(#REF!,"AAAAAHP//5Y=")</f>
        <v>#REF!</v>
      </c>
      <c r="EV21" t="e">
        <f>AND(#REF!,"AAAAAHP//5c=")</f>
        <v>#REF!</v>
      </c>
      <c r="EW21" t="e">
        <f>AND(#REF!,"AAAAAHP//5g=")</f>
        <v>#REF!</v>
      </c>
      <c r="EX21" t="e">
        <f>AND(#REF!,"AAAAAHP//5k=")</f>
        <v>#REF!</v>
      </c>
      <c r="EY21" t="e">
        <f>AND(#REF!,"AAAAAHP//5o=")</f>
        <v>#REF!</v>
      </c>
      <c r="EZ21" t="e">
        <f>AND(#REF!,"AAAAAHP//5s=")</f>
        <v>#REF!</v>
      </c>
      <c r="FA21" t="e">
        <f>AND(#REF!,"AAAAAHP//5w=")</f>
        <v>#REF!</v>
      </c>
      <c r="FB21" t="e">
        <f>AND(#REF!,"AAAAAHP//50=")</f>
        <v>#REF!</v>
      </c>
      <c r="FC21" t="e">
        <f>AND(#REF!,"AAAAAHP//54=")</f>
        <v>#REF!</v>
      </c>
      <c r="FD21" t="e">
        <f>AND(#REF!,"AAAAAHP//58=")</f>
        <v>#REF!</v>
      </c>
      <c r="FE21" t="e">
        <f>IF(#REF!,"AAAAAHP//6A=",0)</f>
        <v>#REF!</v>
      </c>
      <c r="FF21" t="e">
        <f>AND(#REF!,"AAAAAHP//6E=")</f>
        <v>#REF!</v>
      </c>
      <c r="FG21" t="e">
        <f>AND(#REF!,"AAAAAHP//6I=")</f>
        <v>#REF!</v>
      </c>
      <c r="FH21" t="e">
        <f>AND(#REF!,"AAAAAHP//6M=")</f>
        <v>#REF!</v>
      </c>
      <c r="FI21" t="e">
        <f>AND(#REF!,"AAAAAHP//6Q=")</f>
        <v>#REF!</v>
      </c>
      <c r="FJ21" t="e">
        <f>AND(#REF!,"AAAAAHP//6U=")</f>
        <v>#REF!</v>
      </c>
      <c r="FK21" t="e">
        <f>AND(#REF!,"AAAAAHP//6Y=")</f>
        <v>#REF!</v>
      </c>
      <c r="FL21" t="e">
        <f>AND(#REF!,"AAAAAHP//6c=")</f>
        <v>#REF!</v>
      </c>
      <c r="FM21" t="e">
        <f>AND(#REF!,"AAAAAHP//6g=")</f>
        <v>#REF!</v>
      </c>
      <c r="FN21" t="e">
        <f>AND(#REF!,"AAAAAHP//6k=")</f>
        <v>#REF!</v>
      </c>
      <c r="FO21" t="e">
        <f>AND(#REF!,"AAAAAHP//6o=")</f>
        <v>#REF!</v>
      </c>
      <c r="FP21" t="e">
        <f>AND(#REF!,"AAAAAHP//6s=")</f>
        <v>#REF!</v>
      </c>
      <c r="FQ21" t="e">
        <f>AND(#REF!,"AAAAAHP//6w=")</f>
        <v>#REF!</v>
      </c>
      <c r="FR21" t="e">
        <f>AND(#REF!,"AAAAAHP//60=")</f>
        <v>#REF!</v>
      </c>
      <c r="FS21" t="e">
        <f>AND(#REF!,"AAAAAHP//64=")</f>
        <v>#REF!</v>
      </c>
      <c r="FT21" t="e">
        <f>AND(#REF!,"AAAAAHP//68=")</f>
        <v>#REF!</v>
      </c>
      <c r="FU21" t="e">
        <f>AND(#REF!,"AAAAAHP//7A=")</f>
        <v>#REF!</v>
      </c>
      <c r="FV21" t="e">
        <f>AND(#REF!,"AAAAAHP//7E=")</f>
        <v>#REF!</v>
      </c>
      <c r="FW21" t="e">
        <f>AND(#REF!,"AAAAAHP//7I=")</f>
        <v>#REF!</v>
      </c>
      <c r="FX21" t="e">
        <f>AND(#REF!,"AAAAAHP//7M=")</f>
        <v>#REF!</v>
      </c>
      <c r="FY21" t="e">
        <f>AND(#REF!,"AAAAAHP//7Q=")</f>
        <v>#REF!</v>
      </c>
      <c r="FZ21" t="e">
        <f>AND(#REF!,"AAAAAHP//7U=")</f>
        <v>#REF!</v>
      </c>
      <c r="GA21" t="e">
        <f>AND(#REF!,"AAAAAHP//7Y=")</f>
        <v>#REF!</v>
      </c>
      <c r="GB21" t="e">
        <f>AND(#REF!,"AAAAAHP//7c=")</f>
        <v>#REF!</v>
      </c>
      <c r="GC21" t="e">
        <f>AND(#REF!,"AAAAAHP//7g=")</f>
        <v>#REF!</v>
      </c>
      <c r="GD21" t="e">
        <f>AND(#REF!,"AAAAAHP//7k=")</f>
        <v>#REF!</v>
      </c>
      <c r="GE21" t="e">
        <f>AND(#REF!,"AAAAAHP//7o=")</f>
        <v>#REF!</v>
      </c>
      <c r="GF21" t="e">
        <f>AND(#REF!,"AAAAAHP//7s=")</f>
        <v>#REF!</v>
      </c>
      <c r="GG21" t="e">
        <f>AND(#REF!,"AAAAAHP//7w=")</f>
        <v>#REF!</v>
      </c>
      <c r="GH21" t="e">
        <f>AND(#REF!,"AAAAAHP//70=")</f>
        <v>#REF!</v>
      </c>
      <c r="GI21" t="e">
        <f>AND(#REF!,"AAAAAHP//74=")</f>
        <v>#REF!</v>
      </c>
      <c r="GJ21" t="e">
        <f>AND(#REF!,"AAAAAHP//78=")</f>
        <v>#REF!</v>
      </c>
      <c r="GK21" t="e">
        <f>AND(#REF!,"AAAAAHP//8A=")</f>
        <v>#REF!</v>
      </c>
      <c r="GL21" t="e">
        <f>AND(#REF!,"AAAAAHP//8E=")</f>
        <v>#REF!</v>
      </c>
      <c r="GM21" t="e">
        <f>AND(#REF!,"AAAAAHP//8I=")</f>
        <v>#REF!</v>
      </c>
      <c r="GN21" t="e">
        <f>AND(#REF!,"AAAAAHP//8M=")</f>
        <v>#REF!</v>
      </c>
      <c r="GO21" t="e">
        <f>IF(#REF!,"AAAAAHP//8Q=",0)</f>
        <v>#REF!</v>
      </c>
      <c r="GP21" t="e">
        <f>AND(#REF!,"AAAAAHP//8U=")</f>
        <v>#REF!</v>
      </c>
      <c r="GQ21" t="e">
        <f>AND(#REF!,"AAAAAHP//8Y=")</f>
        <v>#REF!</v>
      </c>
      <c r="GR21" t="e">
        <f>AND(#REF!,"AAAAAHP//8c=")</f>
        <v>#REF!</v>
      </c>
      <c r="GS21" t="e">
        <f>AND(#REF!,"AAAAAHP//8g=")</f>
        <v>#REF!</v>
      </c>
      <c r="GT21" t="e">
        <f>AND(#REF!,"AAAAAHP//8k=")</f>
        <v>#REF!</v>
      </c>
      <c r="GU21" t="e">
        <f>AND(#REF!,"AAAAAHP//8o=")</f>
        <v>#REF!</v>
      </c>
      <c r="GV21" t="e">
        <f>AND(#REF!,"AAAAAHP//8s=")</f>
        <v>#REF!</v>
      </c>
      <c r="GW21" t="e">
        <f>AND(#REF!,"AAAAAHP//8w=")</f>
        <v>#REF!</v>
      </c>
      <c r="GX21" t="e">
        <f>AND(#REF!,"AAAAAHP//80=")</f>
        <v>#REF!</v>
      </c>
      <c r="GY21" t="e">
        <f>AND(#REF!,"AAAAAHP//84=")</f>
        <v>#REF!</v>
      </c>
      <c r="GZ21" t="e">
        <f>AND(#REF!,"AAAAAHP//88=")</f>
        <v>#REF!</v>
      </c>
      <c r="HA21" t="e">
        <f>AND(#REF!,"AAAAAHP//9A=")</f>
        <v>#REF!</v>
      </c>
      <c r="HB21" t="e">
        <f>AND(#REF!,"AAAAAHP//9E=")</f>
        <v>#REF!</v>
      </c>
      <c r="HC21" t="e">
        <f>AND(#REF!,"AAAAAHP//9I=")</f>
        <v>#REF!</v>
      </c>
      <c r="HD21" t="e">
        <f>AND(#REF!,"AAAAAHP//9M=")</f>
        <v>#REF!</v>
      </c>
      <c r="HE21" t="e">
        <f>AND(#REF!,"AAAAAHP//9Q=")</f>
        <v>#REF!</v>
      </c>
      <c r="HF21" t="e">
        <f>AND(#REF!,"AAAAAHP//9U=")</f>
        <v>#REF!</v>
      </c>
      <c r="HG21" t="e">
        <f>AND(#REF!,"AAAAAHP//9Y=")</f>
        <v>#REF!</v>
      </c>
      <c r="HH21" t="e">
        <f>AND(#REF!,"AAAAAHP//9c=")</f>
        <v>#REF!</v>
      </c>
      <c r="HI21" t="e">
        <f>AND(#REF!,"AAAAAHP//9g=")</f>
        <v>#REF!</v>
      </c>
      <c r="HJ21" t="e">
        <f>AND(#REF!,"AAAAAHP//9k=")</f>
        <v>#REF!</v>
      </c>
      <c r="HK21" t="e">
        <f>AND(#REF!,"AAAAAHP//9o=")</f>
        <v>#REF!</v>
      </c>
      <c r="HL21" t="e">
        <f>AND(#REF!,"AAAAAHP//9s=")</f>
        <v>#REF!</v>
      </c>
      <c r="HM21" t="e">
        <f>AND(#REF!,"AAAAAHP//9w=")</f>
        <v>#REF!</v>
      </c>
      <c r="HN21" t="e">
        <f>AND(#REF!,"AAAAAHP//90=")</f>
        <v>#REF!</v>
      </c>
      <c r="HO21" t="e">
        <f>AND(#REF!,"AAAAAHP//94=")</f>
        <v>#REF!</v>
      </c>
      <c r="HP21" t="e">
        <f>AND(#REF!,"AAAAAHP//98=")</f>
        <v>#REF!</v>
      </c>
      <c r="HQ21" t="e">
        <f>AND(#REF!,"AAAAAHP//+A=")</f>
        <v>#REF!</v>
      </c>
      <c r="HR21" t="e">
        <f>AND(#REF!,"AAAAAHP//+E=")</f>
        <v>#REF!</v>
      </c>
      <c r="HS21" t="e">
        <f>AND(#REF!,"AAAAAHP//+I=")</f>
        <v>#REF!</v>
      </c>
      <c r="HT21" t="e">
        <f>AND(#REF!,"AAAAAHP//+M=")</f>
        <v>#REF!</v>
      </c>
      <c r="HU21" t="e">
        <f>AND(#REF!,"AAAAAHP//+Q=")</f>
        <v>#REF!</v>
      </c>
      <c r="HV21" t="e">
        <f>AND(#REF!,"AAAAAHP//+U=")</f>
        <v>#REF!</v>
      </c>
      <c r="HW21" t="e">
        <f>AND(#REF!,"AAAAAHP//+Y=")</f>
        <v>#REF!</v>
      </c>
      <c r="HX21" t="e">
        <f>AND(#REF!,"AAAAAHP//+c=")</f>
        <v>#REF!</v>
      </c>
      <c r="HY21" t="e">
        <f>IF(#REF!,"AAAAAHP//+g=",0)</f>
        <v>#REF!</v>
      </c>
      <c r="HZ21" t="e">
        <f>AND(#REF!,"AAAAAHP//+k=")</f>
        <v>#REF!</v>
      </c>
      <c r="IA21" t="e">
        <f>AND(#REF!,"AAAAAHP//+o=")</f>
        <v>#REF!</v>
      </c>
      <c r="IB21" t="e">
        <f>AND(#REF!,"AAAAAHP//+s=")</f>
        <v>#REF!</v>
      </c>
      <c r="IC21" t="e">
        <f>AND(#REF!,"AAAAAHP//+w=")</f>
        <v>#REF!</v>
      </c>
      <c r="ID21" t="e">
        <f>AND(#REF!,"AAAAAHP//+0=")</f>
        <v>#REF!</v>
      </c>
      <c r="IE21" t="e">
        <f>AND(#REF!,"AAAAAHP//+4=")</f>
        <v>#REF!</v>
      </c>
      <c r="IF21" t="e">
        <f>AND(#REF!,"AAAAAHP//+8=")</f>
        <v>#REF!</v>
      </c>
      <c r="IG21" t="e">
        <f>AND(#REF!,"AAAAAHP///A=")</f>
        <v>#REF!</v>
      </c>
      <c r="IH21" t="e">
        <f>AND(#REF!,"AAAAAHP///E=")</f>
        <v>#REF!</v>
      </c>
      <c r="II21" t="e">
        <f>AND(#REF!,"AAAAAHP///I=")</f>
        <v>#REF!</v>
      </c>
      <c r="IJ21" t="e">
        <f>AND(#REF!,"AAAAAHP///M=")</f>
        <v>#REF!</v>
      </c>
      <c r="IK21" t="e">
        <f>AND(#REF!,"AAAAAHP///Q=")</f>
        <v>#REF!</v>
      </c>
      <c r="IL21" t="e">
        <f>AND(#REF!,"AAAAAHP///U=")</f>
        <v>#REF!</v>
      </c>
      <c r="IM21" t="e">
        <f>AND(#REF!,"AAAAAHP///Y=")</f>
        <v>#REF!</v>
      </c>
      <c r="IN21" t="e">
        <f>AND(#REF!,"AAAAAHP///c=")</f>
        <v>#REF!</v>
      </c>
      <c r="IO21" t="e">
        <f>AND(#REF!,"AAAAAHP///g=")</f>
        <v>#REF!</v>
      </c>
      <c r="IP21" t="e">
        <f>AND(#REF!,"AAAAAHP///k=")</f>
        <v>#REF!</v>
      </c>
      <c r="IQ21" t="e">
        <f>AND(#REF!,"AAAAAHP///o=")</f>
        <v>#REF!</v>
      </c>
      <c r="IR21" t="e">
        <f>AND(#REF!,"AAAAAHP///s=")</f>
        <v>#REF!</v>
      </c>
      <c r="IS21" t="e">
        <f>AND(#REF!,"AAAAAHP///w=")</f>
        <v>#REF!</v>
      </c>
      <c r="IT21" t="e">
        <f>AND(#REF!,"AAAAAHP///0=")</f>
        <v>#REF!</v>
      </c>
      <c r="IU21" t="e">
        <f>AND(#REF!,"AAAAAHP///4=")</f>
        <v>#REF!</v>
      </c>
      <c r="IV21" t="e">
        <f>AND(#REF!,"AAAAAHP///8=")</f>
        <v>#REF!</v>
      </c>
    </row>
    <row r="22" spans="1:256">
      <c r="A22" t="e">
        <f>AND(#REF!,"AAAAAG996gA=")</f>
        <v>#REF!</v>
      </c>
      <c r="B22" t="e">
        <f>AND(#REF!,"AAAAAG996gE=")</f>
        <v>#REF!</v>
      </c>
      <c r="C22" t="e">
        <f>AND(#REF!,"AAAAAG996gI=")</f>
        <v>#REF!</v>
      </c>
      <c r="D22" t="e">
        <f>AND(#REF!,"AAAAAG996gM=")</f>
        <v>#REF!</v>
      </c>
      <c r="E22" t="e">
        <f>AND(#REF!,"AAAAAG996gQ=")</f>
        <v>#REF!</v>
      </c>
      <c r="F22" t="e">
        <f>AND(#REF!,"AAAAAG996gU=")</f>
        <v>#REF!</v>
      </c>
      <c r="G22" t="e">
        <f>AND(#REF!,"AAAAAG996gY=")</f>
        <v>#REF!</v>
      </c>
      <c r="H22" t="e">
        <f>AND(#REF!,"AAAAAG996gc=")</f>
        <v>#REF!</v>
      </c>
      <c r="I22" t="e">
        <f>AND(#REF!,"AAAAAG996gg=")</f>
        <v>#REF!</v>
      </c>
      <c r="J22" t="e">
        <f>AND(#REF!,"AAAAAG996gk=")</f>
        <v>#REF!</v>
      </c>
      <c r="K22" t="e">
        <f>AND(#REF!,"AAAAAG996go=")</f>
        <v>#REF!</v>
      </c>
      <c r="L22" t="e">
        <f>AND(#REF!,"AAAAAG996gs=")</f>
        <v>#REF!</v>
      </c>
      <c r="M22" t="e">
        <f>IF(#REF!,"AAAAAG996gw=",0)</f>
        <v>#REF!</v>
      </c>
      <c r="N22" t="e">
        <f>AND(#REF!,"AAAAAG996g0=")</f>
        <v>#REF!</v>
      </c>
      <c r="O22" t="e">
        <f>AND(#REF!,"AAAAAG996g4=")</f>
        <v>#REF!</v>
      </c>
      <c r="P22" t="e">
        <f>AND(#REF!,"AAAAAG996g8=")</f>
        <v>#REF!</v>
      </c>
      <c r="Q22" t="e">
        <f>AND(#REF!,"AAAAAG996hA=")</f>
        <v>#REF!</v>
      </c>
      <c r="R22" t="e">
        <f>AND(#REF!,"AAAAAG996hE=")</f>
        <v>#REF!</v>
      </c>
      <c r="S22" t="e">
        <f>AND(#REF!,"AAAAAG996hI=")</f>
        <v>#REF!</v>
      </c>
      <c r="T22" t="e">
        <f>AND(#REF!,"AAAAAG996hM=")</f>
        <v>#REF!</v>
      </c>
      <c r="U22" t="e">
        <f>AND(#REF!,"AAAAAG996hQ=")</f>
        <v>#REF!</v>
      </c>
      <c r="V22" t="e">
        <f>AND(#REF!,"AAAAAG996hU=")</f>
        <v>#REF!</v>
      </c>
      <c r="W22" t="e">
        <f>AND(#REF!,"AAAAAG996hY=")</f>
        <v>#REF!</v>
      </c>
      <c r="X22" t="e">
        <f>AND(#REF!,"AAAAAG996hc=")</f>
        <v>#REF!</v>
      </c>
      <c r="Y22" t="e">
        <f>AND(#REF!,"AAAAAG996hg=")</f>
        <v>#REF!</v>
      </c>
      <c r="Z22" t="e">
        <f>AND(#REF!,"AAAAAG996hk=")</f>
        <v>#REF!</v>
      </c>
      <c r="AA22" t="e">
        <f>AND(#REF!,"AAAAAG996ho=")</f>
        <v>#REF!</v>
      </c>
      <c r="AB22" t="e">
        <f>AND(#REF!,"AAAAAG996hs=")</f>
        <v>#REF!</v>
      </c>
      <c r="AC22" t="e">
        <f>AND(#REF!,"AAAAAG996hw=")</f>
        <v>#REF!</v>
      </c>
      <c r="AD22" t="e">
        <f>AND(#REF!,"AAAAAG996h0=")</f>
        <v>#REF!</v>
      </c>
      <c r="AE22" t="e">
        <f>AND(#REF!,"AAAAAG996h4=")</f>
        <v>#REF!</v>
      </c>
      <c r="AF22" t="e">
        <f>AND(#REF!,"AAAAAG996h8=")</f>
        <v>#REF!</v>
      </c>
      <c r="AG22" t="e">
        <f>AND(#REF!,"AAAAAG996iA=")</f>
        <v>#REF!</v>
      </c>
      <c r="AH22" t="e">
        <f>AND(#REF!,"AAAAAG996iE=")</f>
        <v>#REF!</v>
      </c>
      <c r="AI22" t="e">
        <f>AND(#REF!,"AAAAAG996iI=")</f>
        <v>#REF!</v>
      </c>
      <c r="AJ22" t="e">
        <f>AND(#REF!,"AAAAAG996iM=")</f>
        <v>#REF!</v>
      </c>
      <c r="AK22" t="e">
        <f>AND(#REF!,"AAAAAG996iQ=")</f>
        <v>#REF!</v>
      </c>
      <c r="AL22" t="e">
        <f>AND(#REF!,"AAAAAG996iU=")</f>
        <v>#REF!</v>
      </c>
      <c r="AM22" t="e">
        <f>AND(#REF!,"AAAAAG996iY=")</f>
        <v>#REF!</v>
      </c>
      <c r="AN22" t="e">
        <f>AND(#REF!,"AAAAAG996ic=")</f>
        <v>#REF!</v>
      </c>
      <c r="AO22" t="e">
        <f>AND(#REF!,"AAAAAG996ig=")</f>
        <v>#REF!</v>
      </c>
      <c r="AP22" t="e">
        <f>AND(#REF!,"AAAAAG996ik=")</f>
        <v>#REF!</v>
      </c>
      <c r="AQ22" t="e">
        <f>AND(#REF!,"AAAAAG996io=")</f>
        <v>#REF!</v>
      </c>
      <c r="AR22" t="e">
        <f>AND(#REF!,"AAAAAG996is=")</f>
        <v>#REF!</v>
      </c>
      <c r="AS22" t="e">
        <f>AND(#REF!,"AAAAAG996iw=")</f>
        <v>#REF!</v>
      </c>
      <c r="AT22" t="e">
        <f>AND(#REF!,"AAAAAG996i0=")</f>
        <v>#REF!</v>
      </c>
      <c r="AU22" t="e">
        <f>AND(#REF!,"AAAAAG996i4=")</f>
        <v>#REF!</v>
      </c>
      <c r="AV22" t="e">
        <f>AND(#REF!,"AAAAAG996i8=")</f>
        <v>#REF!</v>
      </c>
      <c r="AW22" t="e">
        <f>IF(#REF!,"AAAAAG996jA=",0)</f>
        <v>#REF!</v>
      </c>
      <c r="AX22" t="e">
        <f>AND(#REF!,"AAAAAG996jE=")</f>
        <v>#REF!</v>
      </c>
      <c r="AY22" t="e">
        <f>AND(#REF!,"AAAAAG996jI=")</f>
        <v>#REF!</v>
      </c>
      <c r="AZ22" t="e">
        <f>AND(#REF!,"AAAAAG996jM=")</f>
        <v>#REF!</v>
      </c>
      <c r="BA22" t="e">
        <f>AND(#REF!,"AAAAAG996jQ=")</f>
        <v>#REF!</v>
      </c>
      <c r="BB22" t="e">
        <f>AND(#REF!,"AAAAAG996jU=")</f>
        <v>#REF!</v>
      </c>
      <c r="BC22" t="e">
        <f>AND(#REF!,"AAAAAG996jY=")</f>
        <v>#REF!</v>
      </c>
      <c r="BD22" t="e">
        <f>AND(#REF!,"AAAAAG996jc=")</f>
        <v>#REF!</v>
      </c>
      <c r="BE22" t="e">
        <f>AND(#REF!,"AAAAAG996jg=")</f>
        <v>#REF!</v>
      </c>
      <c r="BF22" t="e">
        <f>AND(#REF!,"AAAAAG996jk=")</f>
        <v>#REF!</v>
      </c>
      <c r="BG22" t="e">
        <f>AND(#REF!,"AAAAAG996jo=")</f>
        <v>#REF!</v>
      </c>
      <c r="BH22" t="e">
        <f>AND(#REF!,"AAAAAG996js=")</f>
        <v>#REF!</v>
      </c>
      <c r="BI22" t="e">
        <f>AND(#REF!,"AAAAAG996jw=")</f>
        <v>#REF!</v>
      </c>
      <c r="BJ22" t="e">
        <f>AND(#REF!,"AAAAAG996j0=")</f>
        <v>#REF!</v>
      </c>
      <c r="BK22" t="e">
        <f>AND(#REF!,"AAAAAG996j4=")</f>
        <v>#REF!</v>
      </c>
      <c r="BL22" t="e">
        <f>AND(#REF!,"AAAAAG996j8=")</f>
        <v>#REF!</v>
      </c>
      <c r="BM22" t="e">
        <f>AND(#REF!,"AAAAAG996kA=")</f>
        <v>#REF!</v>
      </c>
      <c r="BN22" t="e">
        <f>AND(#REF!,"AAAAAG996kE=")</f>
        <v>#REF!</v>
      </c>
      <c r="BO22" t="e">
        <f>AND(#REF!,"AAAAAG996kI=")</f>
        <v>#REF!</v>
      </c>
      <c r="BP22" t="e">
        <f>AND(#REF!,"AAAAAG996kM=")</f>
        <v>#REF!</v>
      </c>
      <c r="BQ22" t="e">
        <f>AND(#REF!,"AAAAAG996kQ=")</f>
        <v>#REF!</v>
      </c>
      <c r="BR22" t="e">
        <f>AND(#REF!,"AAAAAG996kU=")</f>
        <v>#REF!</v>
      </c>
      <c r="BS22" t="e">
        <f>AND(#REF!,"AAAAAG996kY=")</f>
        <v>#REF!</v>
      </c>
      <c r="BT22" t="e">
        <f>AND(#REF!,"AAAAAG996kc=")</f>
        <v>#REF!</v>
      </c>
      <c r="BU22" t="e">
        <f>AND(#REF!,"AAAAAG996kg=")</f>
        <v>#REF!</v>
      </c>
      <c r="BV22" t="e">
        <f>AND(#REF!,"AAAAAG996kk=")</f>
        <v>#REF!</v>
      </c>
      <c r="BW22" t="e">
        <f>AND(#REF!,"AAAAAG996ko=")</f>
        <v>#REF!</v>
      </c>
      <c r="BX22" t="e">
        <f>AND(#REF!,"AAAAAG996ks=")</f>
        <v>#REF!</v>
      </c>
      <c r="BY22" t="e">
        <f>AND(#REF!,"AAAAAG996kw=")</f>
        <v>#REF!</v>
      </c>
      <c r="BZ22" t="e">
        <f>AND(#REF!,"AAAAAG996k0=")</f>
        <v>#REF!</v>
      </c>
      <c r="CA22" t="e">
        <f>AND(#REF!,"AAAAAG996k4=")</f>
        <v>#REF!</v>
      </c>
      <c r="CB22" t="e">
        <f>AND(#REF!,"AAAAAG996k8=")</f>
        <v>#REF!</v>
      </c>
      <c r="CC22" t="e">
        <f>AND(#REF!,"AAAAAG996lA=")</f>
        <v>#REF!</v>
      </c>
      <c r="CD22" t="e">
        <f>AND(#REF!,"AAAAAG996lE=")</f>
        <v>#REF!</v>
      </c>
      <c r="CE22" t="e">
        <f>AND(#REF!,"AAAAAG996lI=")</f>
        <v>#REF!</v>
      </c>
      <c r="CF22" t="e">
        <f>AND(#REF!,"AAAAAG996lM=")</f>
        <v>#REF!</v>
      </c>
      <c r="CG22" t="e">
        <f>IF(#REF!,"AAAAAG996lQ=",0)</f>
        <v>#REF!</v>
      </c>
      <c r="CH22" t="e">
        <f>AND(#REF!,"AAAAAG996lU=")</f>
        <v>#REF!</v>
      </c>
      <c r="CI22" t="e">
        <f>AND(#REF!,"AAAAAG996lY=")</f>
        <v>#REF!</v>
      </c>
      <c r="CJ22" t="e">
        <f>AND(#REF!,"AAAAAG996lc=")</f>
        <v>#REF!</v>
      </c>
      <c r="CK22" t="e">
        <f>AND(#REF!,"AAAAAG996lg=")</f>
        <v>#REF!</v>
      </c>
      <c r="CL22" t="e">
        <f>AND(#REF!,"AAAAAG996lk=")</f>
        <v>#REF!</v>
      </c>
      <c r="CM22" t="e">
        <f>AND(#REF!,"AAAAAG996lo=")</f>
        <v>#REF!</v>
      </c>
      <c r="CN22" t="e">
        <f>AND(#REF!,"AAAAAG996ls=")</f>
        <v>#REF!</v>
      </c>
      <c r="CO22" t="e">
        <f>AND(#REF!,"AAAAAG996lw=")</f>
        <v>#REF!</v>
      </c>
      <c r="CP22" t="e">
        <f>AND(#REF!,"AAAAAG996l0=")</f>
        <v>#REF!</v>
      </c>
      <c r="CQ22" t="e">
        <f>AND(#REF!,"AAAAAG996l4=")</f>
        <v>#REF!</v>
      </c>
      <c r="CR22" t="e">
        <f>AND(#REF!,"AAAAAG996l8=")</f>
        <v>#REF!</v>
      </c>
      <c r="CS22" t="e">
        <f>AND(#REF!,"AAAAAG996mA=")</f>
        <v>#REF!</v>
      </c>
      <c r="CT22" t="e">
        <f>AND(#REF!,"AAAAAG996mE=")</f>
        <v>#REF!</v>
      </c>
      <c r="CU22" t="e">
        <f>AND(#REF!,"AAAAAG996mI=")</f>
        <v>#REF!</v>
      </c>
      <c r="CV22" t="e">
        <f>AND(#REF!,"AAAAAG996mM=")</f>
        <v>#REF!</v>
      </c>
      <c r="CW22" t="e">
        <f>AND(#REF!,"AAAAAG996mQ=")</f>
        <v>#REF!</v>
      </c>
      <c r="CX22" t="e">
        <f>AND(#REF!,"AAAAAG996mU=")</f>
        <v>#REF!</v>
      </c>
      <c r="CY22" t="e">
        <f>AND(#REF!,"AAAAAG996mY=")</f>
        <v>#REF!</v>
      </c>
      <c r="CZ22" t="e">
        <f>AND(#REF!,"AAAAAG996mc=")</f>
        <v>#REF!</v>
      </c>
      <c r="DA22" t="e">
        <f>AND(#REF!,"AAAAAG996mg=")</f>
        <v>#REF!</v>
      </c>
      <c r="DB22" t="e">
        <f>AND(#REF!,"AAAAAG996mk=")</f>
        <v>#REF!</v>
      </c>
      <c r="DC22" t="e">
        <f>AND(#REF!,"AAAAAG996mo=")</f>
        <v>#REF!</v>
      </c>
      <c r="DD22" t="e">
        <f>AND(#REF!,"AAAAAG996ms=")</f>
        <v>#REF!</v>
      </c>
      <c r="DE22" t="e">
        <f>AND(#REF!,"AAAAAG996mw=")</f>
        <v>#REF!</v>
      </c>
      <c r="DF22" t="e">
        <f>AND(#REF!,"AAAAAG996m0=")</f>
        <v>#REF!</v>
      </c>
      <c r="DG22" t="e">
        <f>AND(#REF!,"AAAAAG996m4=")</f>
        <v>#REF!</v>
      </c>
      <c r="DH22" t="e">
        <f>AND(#REF!,"AAAAAG996m8=")</f>
        <v>#REF!</v>
      </c>
      <c r="DI22" t="e">
        <f>AND(#REF!,"AAAAAG996nA=")</f>
        <v>#REF!</v>
      </c>
      <c r="DJ22" t="e">
        <f>AND(#REF!,"AAAAAG996nE=")</f>
        <v>#REF!</v>
      </c>
      <c r="DK22" t="e">
        <f>AND(#REF!,"AAAAAG996nI=")</f>
        <v>#REF!</v>
      </c>
      <c r="DL22" t="e">
        <f>AND(#REF!,"AAAAAG996nM=")</f>
        <v>#REF!</v>
      </c>
      <c r="DM22" t="e">
        <f>AND(#REF!,"AAAAAG996nQ=")</f>
        <v>#REF!</v>
      </c>
      <c r="DN22" t="e">
        <f>AND(#REF!,"AAAAAG996nU=")</f>
        <v>#REF!</v>
      </c>
      <c r="DO22" t="e">
        <f>AND(#REF!,"AAAAAG996nY=")</f>
        <v>#REF!</v>
      </c>
      <c r="DP22" t="e">
        <f>AND(#REF!,"AAAAAG996nc=")</f>
        <v>#REF!</v>
      </c>
      <c r="DQ22" t="e">
        <f>IF(#REF!,"AAAAAG996ng=",0)</f>
        <v>#REF!</v>
      </c>
      <c r="DR22" t="e">
        <f>AND(#REF!,"AAAAAG996nk=")</f>
        <v>#REF!</v>
      </c>
      <c r="DS22" t="e">
        <f>AND(#REF!,"AAAAAG996no=")</f>
        <v>#REF!</v>
      </c>
      <c r="DT22" t="e">
        <f>AND(#REF!,"AAAAAG996ns=")</f>
        <v>#REF!</v>
      </c>
      <c r="DU22" t="e">
        <f>AND(#REF!,"AAAAAG996nw=")</f>
        <v>#REF!</v>
      </c>
      <c r="DV22" t="e">
        <f>AND(#REF!,"AAAAAG996n0=")</f>
        <v>#REF!</v>
      </c>
      <c r="DW22" t="e">
        <f>AND(#REF!,"AAAAAG996n4=")</f>
        <v>#REF!</v>
      </c>
      <c r="DX22" t="e">
        <f>AND(#REF!,"AAAAAG996n8=")</f>
        <v>#REF!</v>
      </c>
      <c r="DY22" t="e">
        <f>AND(#REF!,"AAAAAG996oA=")</f>
        <v>#REF!</v>
      </c>
      <c r="DZ22" t="e">
        <f>AND(#REF!,"AAAAAG996oE=")</f>
        <v>#REF!</v>
      </c>
      <c r="EA22" t="e">
        <f>AND(#REF!,"AAAAAG996oI=")</f>
        <v>#REF!</v>
      </c>
      <c r="EB22" t="e">
        <f>AND(#REF!,"AAAAAG996oM=")</f>
        <v>#REF!</v>
      </c>
      <c r="EC22" t="e">
        <f>AND(#REF!,"AAAAAG996oQ=")</f>
        <v>#REF!</v>
      </c>
      <c r="ED22" t="e">
        <f>AND(#REF!,"AAAAAG996oU=")</f>
        <v>#REF!</v>
      </c>
      <c r="EE22" t="e">
        <f>AND(#REF!,"AAAAAG996oY=")</f>
        <v>#REF!</v>
      </c>
      <c r="EF22" t="e">
        <f>AND(#REF!,"AAAAAG996oc=")</f>
        <v>#REF!</v>
      </c>
      <c r="EG22" t="e">
        <f>AND(#REF!,"AAAAAG996og=")</f>
        <v>#REF!</v>
      </c>
      <c r="EH22" t="e">
        <f>AND(#REF!,"AAAAAG996ok=")</f>
        <v>#REF!</v>
      </c>
      <c r="EI22" t="e">
        <f>AND(#REF!,"AAAAAG996oo=")</f>
        <v>#REF!</v>
      </c>
      <c r="EJ22" t="e">
        <f>AND(#REF!,"AAAAAG996os=")</f>
        <v>#REF!</v>
      </c>
      <c r="EK22" t="e">
        <f>AND(#REF!,"AAAAAG996ow=")</f>
        <v>#REF!</v>
      </c>
      <c r="EL22" t="e">
        <f>AND(#REF!,"AAAAAG996o0=")</f>
        <v>#REF!</v>
      </c>
      <c r="EM22" t="e">
        <f>AND(#REF!,"AAAAAG996o4=")</f>
        <v>#REF!</v>
      </c>
      <c r="EN22" t="e">
        <f>AND(#REF!,"AAAAAG996o8=")</f>
        <v>#REF!</v>
      </c>
      <c r="EO22" t="e">
        <f>AND(#REF!,"AAAAAG996pA=")</f>
        <v>#REF!</v>
      </c>
      <c r="EP22" t="e">
        <f>AND(#REF!,"AAAAAG996pE=")</f>
        <v>#REF!</v>
      </c>
      <c r="EQ22" t="e">
        <f>AND(#REF!,"AAAAAG996pI=")</f>
        <v>#REF!</v>
      </c>
      <c r="ER22" t="e">
        <f>AND(#REF!,"AAAAAG996pM=")</f>
        <v>#REF!</v>
      </c>
      <c r="ES22" t="e">
        <f>AND(#REF!,"AAAAAG996pQ=")</f>
        <v>#REF!</v>
      </c>
      <c r="ET22" t="e">
        <f>AND(#REF!,"AAAAAG996pU=")</f>
        <v>#REF!</v>
      </c>
      <c r="EU22" t="e">
        <f>AND(#REF!,"AAAAAG996pY=")</f>
        <v>#REF!</v>
      </c>
      <c r="EV22" t="e">
        <f>AND(#REF!,"AAAAAG996pc=")</f>
        <v>#REF!</v>
      </c>
      <c r="EW22" t="e">
        <f>AND(#REF!,"AAAAAG996pg=")</f>
        <v>#REF!</v>
      </c>
      <c r="EX22" t="e">
        <f>AND(#REF!,"AAAAAG996pk=")</f>
        <v>#REF!</v>
      </c>
      <c r="EY22" t="e">
        <f>AND(#REF!,"AAAAAG996po=")</f>
        <v>#REF!</v>
      </c>
      <c r="EZ22" t="e">
        <f>AND(#REF!,"AAAAAG996ps=")</f>
        <v>#REF!</v>
      </c>
      <c r="FA22" t="e">
        <f>IF(#REF!,"AAAAAG996pw=",0)</f>
        <v>#REF!</v>
      </c>
      <c r="FB22" t="e">
        <f>AND(#REF!,"AAAAAG996p0=")</f>
        <v>#REF!</v>
      </c>
      <c r="FC22" t="e">
        <f>AND(#REF!,"AAAAAG996p4=")</f>
        <v>#REF!</v>
      </c>
      <c r="FD22" t="e">
        <f>AND(#REF!,"AAAAAG996p8=")</f>
        <v>#REF!</v>
      </c>
      <c r="FE22" t="e">
        <f>AND(#REF!,"AAAAAG996qA=")</f>
        <v>#REF!</v>
      </c>
      <c r="FF22" t="e">
        <f>AND(#REF!,"AAAAAG996qE=")</f>
        <v>#REF!</v>
      </c>
      <c r="FG22" t="e">
        <f>AND(#REF!,"AAAAAG996qI=")</f>
        <v>#REF!</v>
      </c>
      <c r="FH22" t="e">
        <f>AND(#REF!,"AAAAAG996qM=")</f>
        <v>#REF!</v>
      </c>
      <c r="FI22" t="e">
        <f>AND(#REF!,"AAAAAG996qQ=")</f>
        <v>#REF!</v>
      </c>
      <c r="FJ22" t="e">
        <f>AND(#REF!,"AAAAAG996qU=")</f>
        <v>#REF!</v>
      </c>
      <c r="FK22" t="e">
        <f>AND(#REF!,"AAAAAG996qY=")</f>
        <v>#REF!</v>
      </c>
      <c r="FL22" t="e">
        <f>AND(#REF!,"AAAAAG996qc=")</f>
        <v>#REF!</v>
      </c>
      <c r="FM22" t="e">
        <f>AND(#REF!,"AAAAAG996qg=")</f>
        <v>#REF!</v>
      </c>
      <c r="FN22" t="e">
        <f>AND(#REF!,"AAAAAG996qk=")</f>
        <v>#REF!</v>
      </c>
      <c r="FO22" t="e">
        <f>AND(#REF!,"AAAAAG996qo=")</f>
        <v>#REF!</v>
      </c>
      <c r="FP22" t="e">
        <f>AND(#REF!,"AAAAAG996qs=")</f>
        <v>#REF!</v>
      </c>
      <c r="FQ22" t="e">
        <f>AND(#REF!,"AAAAAG996qw=")</f>
        <v>#REF!</v>
      </c>
      <c r="FR22" t="e">
        <f>AND(#REF!,"AAAAAG996q0=")</f>
        <v>#REF!</v>
      </c>
      <c r="FS22" t="e">
        <f>AND(#REF!,"AAAAAG996q4=")</f>
        <v>#REF!</v>
      </c>
      <c r="FT22" t="e">
        <f>AND(#REF!,"AAAAAG996q8=")</f>
        <v>#REF!</v>
      </c>
      <c r="FU22" t="e">
        <f>AND(#REF!,"AAAAAG996rA=")</f>
        <v>#REF!</v>
      </c>
      <c r="FV22" t="e">
        <f>AND(#REF!,"AAAAAG996rE=")</f>
        <v>#REF!</v>
      </c>
      <c r="FW22" t="e">
        <f>AND(#REF!,"AAAAAG996rI=")</f>
        <v>#REF!</v>
      </c>
      <c r="FX22" t="e">
        <f>AND(#REF!,"AAAAAG996rM=")</f>
        <v>#REF!</v>
      </c>
      <c r="FY22" t="e">
        <f>AND(#REF!,"AAAAAG996rQ=")</f>
        <v>#REF!</v>
      </c>
      <c r="FZ22" t="e">
        <f>AND(#REF!,"AAAAAG996rU=")</f>
        <v>#REF!</v>
      </c>
      <c r="GA22" t="e">
        <f>AND(#REF!,"AAAAAG996rY=")</f>
        <v>#REF!</v>
      </c>
      <c r="GB22" t="e">
        <f>AND(#REF!,"AAAAAG996rc=")</f>
        <v>#REF!</v>
      </c>
      <c r="GC22" t="e">
        <f>AND(#REF!,"AAAAAG996rg=")</f>
        <v>#REF!</v>
      </c>
      <c r="GD22" t="e">
        <f>AND(#REF!,"AAAAAG996rk=")</f>
        <v>#REF!</v>
      </c>
      <c r="GE22" t="e">
        <f>AND(#REF!,"AAAAAG996ro=")</f>
        <v>#REF!</v>
      </c>
      <c r="GF22" t="e">
        <f>AND(#REF!,"AAAAAG996rs=")</f>
        <v>#REF!</v>
      </c>
      <c r="GG22" t="e">
        <f>AND(#REF!,"AAAAAG996rw=")</f>
        <v>#REF!</v>
      </c>
      <c r="GH22" t="e">
        <f>AND(#REF!,"AAAAAG996r0=")</f>
        <v>#REF!</v>
      </c>
      <c r="GI22" t="e">
        <f>AND(#REF!,"AAAAAG996r4=")</f>
        <v>#REF!</v>
      </c>
      <c r="GJ22" t="e">
        <f>AND(#REF!,"AAAAAG996r8=")</f>
        <v>#REF!</v>
      </c>
      <c r="GK22" t="e">
        <f>IF(#REF!,"AAAAAG996sA=",0)</f>
        <v>#REF!</v>
      </c>
      <c r="GL22" t="e">
        <f>AND(#REF!,"AAAAAG996sE=")</f>
        <v>#REF!</v>
      </c>
      <c r="GM22" t="e">
        <f>AND(#REF!,"AAAAAG996sI=")</f>
        <v>#REF!</v>
      </c>
      <c r="GN22" t="e">
        <f>AND(#REF!,"AAAAAG996sM=")</f>
        <v>#REF!</v>
      </c>
      <c r="GO22" t="e">
        <f>AND(#REF!,"AAAAAG996sQ=")</f>
        <v>#REF!</v>
      </c>
      <c r="GP22" t="e">
        <f>AND(#REF!,"AAAAAG996sU=")</f>
        <v>#REF!</v>
      </c>
      <c r="GQ22" t="e">
        <f>AND(#REF!,"AAAAAG996sY=")</f>
        <v>#REF!</v>
      </c>
      <c r="GR22" t="e">
        <f>AND(#REF!,"AAAAAG996sc=")</f>
        <v>#REF!</v>
      </c>
      <c r="GS22" t="e">
        <f>AND(#REF!,"AAAAAG996sg=")</f>
        <v>#REF!</v>
      </c>
      <c r="GT22" t="e">
        <f>AND(#REF!,"AAAAAG996sk=")</f>
        <v>#REF!</v>
      </c>
      <c r="GU22" t="e">
        <f>AND(#REF!,"AAAAAG996so=")</f>
        <v>#REF!</v>
      </c>
      <c r="GV22" t="e">
        <f>AND(#REF!,"AAAAAG996ss=")</f>
        <v>#REF!</v>
      </c>
      <c r="GW22" t="e">
        <f>AND(#REF!,"AAAAAG996sw=")</f>
        <v>#REF!</v>
      </c>
      <c r="GX22" t="e">
        <f>AND(#REF!,"AAAAAG996s0=")</f>
        <v>#REF!</v>
      </c>
      <c r="GY22" t="e">
        <f>AND(#REF!,"AAAAAG996s4=")</f>
        <v>#REF!</v>
      </c>
      <c r="GZ22" t="e">
        <f>AND(#REF!,"AAAAAG996s8=")</f>
        <v>#REF!</v>
      </c>
      <c r="HA22" t="e">
        <f>AND(#REF!,"AAAAAG996tA=")</f>
        <v>#REF!</v>
      </c>
      <c r="HB22" t="e">
        <f>AND(#REF!,"AAAAAG996tE=")</f>
        <v>#REF!</v>
      </c>
      <c r="HC22" t="e">
        <f>AND(#REF!,"AAAAAG996tI=")</f>
        <v>#REF!</v>
      </c>
      <c r="HD22" t="e">
        <f>AND(#REF!,"AAAAAG996tM=")</f>
        <v>#REF!</v>
      </c>
      <c r="HE22" t="e">
        <f>AND(#REF!,"AAAAAG996tQ=")</f>
        <v>#REF!</v>
      </c>
      <c r="HF22" t="e">
        <f>AND(#REF!,"AAAAAG996tU=")</f>
        <v>#REF!</v>
      </c>
      <c r="HG22" t="e">
        <f>AND(#REF!,"AAAAAG996tY=")</f>
        <v>#REF!</v>
      </c>
      <c r="HH22" t="e">
        <f>AND(#REF!,"AAAAAG996tc=")</f>
        <v>#REF!</v>
      </c>
      <c r="HI22" t="e">
        <f>AND(#REF!,"AAAAAG996tg=")</f>
        <v>#REF!</v>
      </c>
      <c r="HJ22" t="e">
        <f>AND(#REF!,"AAAAAG996tk=")</f>
        <v>#REF!</v>
      </c>
      <c r="HK22" t="e">
        <f>AND(#REF!,"AAAAAG996to=")</f>
        <v>#REF!</v>
      </c>
      <c r="HL22" t="e">
        <f>AND(#REF!,"AAAAAG996ts=")</f>
        <v>#REF!</v>
      </c>
      <c r="HM22" t="e">
        <f>AND(#REF!,"AAAAAG996tw=")</f>
        <v>#REF!</v>
      </c>
      <c r="HN22" t="e">
        <f>AND(#REF!,"AAAAAG996t0=")</f>
        <v>#REF!</v>
      </c>
      <c r="HO22" t="e">
        <f>AND(#REF!,"AAAAAG996t4=")</f>
        <v>#REF!</v>
      </c>
      <c r="HP22" t="e">
        <f>AND(#REF!,"AAAAAG996t8=")</f>
        <v>#REF!</v>
      </c>
      <c r="HQ22" t="e">
        <f>AND(#REF!,"AAAAAG996uA=")</f>
        <v>#REF!</v>
      </c>
      <c r="HR22" t="e">
        <f>AND(#REF!,"AAAAAG996uE=")</f>
        <v>#REF!</v>
      </c>
      <c r="HS22" t="e">
        <f>AND(#REF!,"AAAAAG996uI=")</f>
        <v>#REF!</v>
      </c>
      <c r="HT22" t="e">
        <f>AND(#REF!,"AAAAAG996uM=")</f>
        <v>#REF!</v>
      </c>
      <c r="HU22" t="e">
        <f>IF(#REF!,"AAAAAG996uQ=",0)</f>
        <v>#REF!</v>
      </c>
      <c r="HV22" t="e">
        <f>AND(#REF!,"AAAAAG996uU=")</f>
        <v>#REF!</v>
      </c>
      <c r="HW22" t="e">
        <f>AND(#REF!,"AAAAAG996uY=")</f>
        <v>#REF!</v>
      </c>
      <c r="HX22" t="e">
        <f>AND(#REF!,"AAAAAG996uc=")</f>
        <v>#REF!</v>
      </c>
      <c r="HY22" t="e">
        <f>AND(#REF!,"AAAAAG996ug=")</f>
        <v>#REF!</v>
      </c>
      <c r="HZ22" t="e">
        <f>AND(#REF!,"AAAAAG996uk=")</f>
        <v>#REF!</v>
      </c>
      <c r="IA22" t="e">
        <f>AND(#REF!,"AAAAAG996uo=")</f>
        <v>#REF!</v>
      </c>
      <c r="IB22" t="e">
        <f>AND(#REF!,"AAAAAG996us=")</f>
        <v>#REF!</v>
      </c>
      <c r="IC22" t="e">
        <f>AND(#REF!,"AAAAAG996uw=")</f>
        <v>#REF!</v>
      </c>
      <c r="ID22" t="e">
        <f>AND(#REF!,"AAAAAG996u0=")</f>
        <v>#REF!</v>
      </c>
      <c r="IE22" t="e">
        <f>AND(#REF!,"AAAAAG996u4=")</f>
        <v>#REF!</v>
      </c>
      <c r="IF22" t="e">
        <f>AND(#REF!,"AAAAAG996u8=")</f>
        <v>#REF!</v>
      </c>
      <c r="IG22" t="e">
        <f>AND(#REF!,"AAAAAG996vA=")</f>
        <v>#REF!</v>
      </c>
      <c r="IH22" t="e">
        <f>AND(#REF!,"AAAAAG996vE=")</f>
        <v>#REF!</v>
      </c>
      <c r="II22" t="e">
        <f>AND(#REF!,"AAAAAG996vI=")</f>
        <v>#REF!</v>
      </c>
      <c r="IJ22" t="e">
        <f>AND(#REF!,"AAAAAG996vM=")</f>
        <v>#REF!</v>
      </c>
      <c r="IK22" t="e">
        <f>AND(#REF!,"AAAAAG996vQ=")</f>
        <v>#REF!</v>
      </c>
      <c r="IL22" t="e">
        <f>AND(#REF!,"AAAAAG996vU=")</f>
        <v>#REF!</v>
      </c>
      <c r="IM22" t="e">
        <f>AND(#REF!,"AAAAAG996vY=")</f>
        <v>#REF!</v>
      </c>
      <c r="IN22" t="e">
        <f>AND(#REF!,"AAAAAG996vc=")</f>
        <v>#REF!</v>
      </c>
      <c r="IO22" t="e">
        <f>AND(#REF!,"AAAAAG996vg=")</f>
        <v>#REF!</v>
      </c>
      <c r="IP22" t="e">
        <f>AND(#REF!,"AAAAAG996vk=")</f>
        <v>#REF!</v>
      </c>
      <c r="IQ22" t="e">
        <f>AND(#REF!,"AAAAAG996vo=")</f>
        <v>#REF!</v>
      </c>
      <c r="IR22" t="e">
        <f>AND(#REF!,"AAAAAG996vs=")</f>
        <v>#REF!</v>
      </c>
      <c r="IS22" t="e">
        <f>AND(#REF!,"AAAAAG996vw=")</f>
        <v>#REF!</v>
      </c>
      <c r="IT22" t="e">
        <f>AND(#REF!,"AAAAAG996v0=")</f>
        <v>#REF!</v>
      </c>
      <c r="IU22" t="e">
        <f>AND(#REF!,"AAAAAG996v4=")</f>
        <v>#REF!</v>
      </c>
      <c r="IV22" t="e">
        <f>AND(#REF!,"AAAAAG996v8=")</f>
        <v>#REF!</v>
      </c>
    </row>
    <row r="23" spans="1:256">
      <c r="A23" t="e">
        <f>AND(#REF!,"AAAAAH17tAA=")</f>
        <v>#REF!</v>
      </c>
      <c r="B23" t="e">
        <f>AND(#REF!,"AAAAAH17tAE=")</f>
        <v>#REF!</v>
      </c>
      <c r="C23" t="e">
        <f>AND(#REF!,"AAAAAH17tAI=")</f>
        <v>#REF!</v>
      </c>
      <c r="D23" t="e">
        <f>AND(#REF!,"AAAAAH17tAM=")</f>
        <v>#REF!</v>
      </c>
      <c r="E23" t="e">
        <f>AND(#REF!,"AAAAAH17tAQ=")</f>
        <v>#REF!</v>
      </c>
      <c r="F23" t="e">
        <f>AND(#REF!,"AAAAAH17tAU=")</f>
        <v>#REF!</v>
      </c>
      <c r="G23" t="e">
        <f>AND(#REF!,"AAAAAH17tAY=")</f>
        <v>#REF!</v>
      </c>
      <c r="H23" t="e">
        <f>AND(#REF!,"AAAAAH17tAc=")</f>
        <v>#REF!</v>
      </c>
      <c r="I23" t="e">
        <f>IF(#REF!,"AAAAAH17tAg=",0)</f>
        <v>#REF!</v>
      </c>
      <c r="J23" t="e">
        <f>AND(#REF!,"AAAAAH17tAk=")</f>
        <v>#REF!</v>
      </c>
      <c r="K23" t="e">
        <f>AND(#REF!,"AAAAAH17tAo=")</f>
        <v>#REF!</v>
      </c>
      <c r="L23" t="e">
        <f>AND(#REF!,"AAAAAH17tAs=")</f>
        <v>#REF!</v>
      </c>
      <c r="M23" t="e">
        <f>AND(#REF!,"AAAAAH17tAw=")</f>
        <v>#REF!</v>
      </c>
      <c r="N23" t="e">
        <f>AND(#REF!,"AAAAAH17tA0=")</f>
        <v>#REF!</v>
      </c>
      <c r="O23" t="e">
        <f>AND(#REF!,"AAAAAH17tA4=")</f>
        <v>#REF!</v>
      </c>
      <c r="P23" t="e">
        <f>AND(#REF!,"AAAAAH17tA8=")</f>
        <v>#REF!</v>
      </c>
      <c r="Q23" t="e">
        <f>AND(#REF!,"AAAAAH17tBA=")</f>
        <v>#REF!</v>
      </c>
      <c r="R23" t="e">
        <f>AND(#REF!,"AAAAAH17tBE=")</f>
        <v>#REF!</v>
      </c>
      <c r="S23" t="e">
        <f>AND(#REF!,"AAAAAH17tBI=")</f>
        <v>#REF!</v>
      </c>
      <c r="T23" t="e">
        <f>AND(#REF!,"AAAAAH17tBM=")</f>
        <v>#REF!</v>
      </c>
      <c r="U23" t="e">
        <f>AND(#REF!,"AAAAAH17tBQ=")</f>
        <v>#REF!</v>
      </c>
      <c r="V23" t="e">
        <f>AND(#REF!,"AAAAAH17tBU=")</f>
        <v>#REF!</v>
      </c>
      <c r="W23" t="e">
        <f>AND(#REF!,"AAAAAH17tBY=")</f>
        <v>#REF!</v>
      </c>
      <c r="X23" t="e">
        <f>AND(#REF!,"AAAAAH17tBc=")</f>
        <v>#REF!</v>
      </c>
      <c r="Y23" t="e">
        <f>AND(#REF!,"AAAAAH17tBg=")</f>
        <v>#REF!</v>
      </c>
      <c r="Z23" t="e">
        <f>AND(#REF!,"AAAAAH17tBk=")</f>
        <v>#REF!</v>
      </c>
      <c r="AA23" t="e">
        <f>AND(#REF!,"AAAAAH17tBo=")</f>
        <v>#REF!</v>
      </c>
      <c r="AB23" t="e">
        <f>AND(#REF!,"AAAAAH17tBs=")</f>
        <v>#REF!</v>
      </c>
      <c r="AC23" t="e">
        <f>AND(#REF!,"AAAAAH17tBw=")</f>
        <v>#REF!</v>
      </c>
      <c r="AD23" t="e">
        <f>AND(#REF!,"AAAAAH17tB0=")</f>
        <v>#REF!</v>
      </c>
      <c r="AE23" t="e">
        <f>AND(#REF!,"AAAAAH17tB4=")</f>
        <v>#REF!</v>
      </c>
      <c r="AF23" t="e">
        <f>AND(#REF!,"AAAAAH17tB8=")</f>
        <v>#REF!</v>
      </c>
      <c r="AG23" t="e">
        <f>AND(#REF!,"AAAAAH17tCA=")</f>
        <v>#REF!</v>
      </c>
      <c r="AH23" t="e">
        <f>AND(#REF!,"AAAAAH17tCE=")</f>
        <v>#REF!</v>
      </c>
      <c r="AI23" t="e">
        <f>AND(#REF!,"AAAAAH17tCI=")</f>
        <v>#REF!</v>
      </c>
      <c r="AJ23" t="e">
        <f>AND(#REF!,"AAAAAH17tCM=")</f>
        <v>#REF!</v>
      </c>
      <c r="AK23" t="e">
        <f>AND(#REF!,"AAAAAH17tCQ=")</f>
        <v>#REF!</v>
      </c>
      <c r="AL23" t="e">
        <f>AND(#REF!,"AAAAAH17tCU=")</f>
        <v>#REF!</v>
      </c>
      <c r="AM23" t="e">
        <f>AND(#REF!,"AAAAAH17tCY=")</f>
        <v>#REF!</v>
      </c>
      <c r="AN23" t="e">
        <f>AND(#REF!,"AAAAAH17tCc=")</f>
        <v>#REF!</v>
      </c>
      <c r="AO23" t="e">
        <f>AND(#REF!,"AAAAAH17tCg=")</f>
        <v>#REF!</v>
      </c>
      <c r="AP23" t="e">
        <f>AND(#REF!,"AAAAAH17tCk=")</f>
        <v>#REF!</v>
      </c>
      <c r="AQ23" t="e">
        <f>AND(#REF!,"AAAAAH17tCo=")</f>
        <v>#REF!</v>
      </c>
      <c r="AR23" t="e">
        <f>AND(#REF!,"AAAAAH17tCs=")</f>
        <v>#REF!</v>
      </c>
      <c r="AS23" t="e">
        <f>IF(#REF!,"AAAAAH17tCw=",0)</f>
        <v>#REF!</v>
      </c>
      <c r="AT23" t="e">
        <f>AND(#REF!,"AAAAAH17tC0=")</f>
        <v>#REF!</v>
      </c>
      <c r="AU23" t="e">
        <f>AND(#REF!,"AAAAAH17tC4=")</f>
        <v>#REF!</v>
      </c>
      <c r="AV23" t="e">
        <f>AND(#REF!,"AAAAAH17tC8=")</f>
        <v>#REF!</v>
      </c>
      <c r="AW23" t="e">
        <f>AND(#REF!,"AAAAAH17tDA=")</f>
        <v>#REF!</v>
      </c>
      <c r="AX23" t="e">
        <f>AND(#REF!,"AAAAAH17tDE=")</f>
        <v>#REF!</v>
      </c>
      <c r="AY23" t="e">
        <f>AND(#REF!,"AAAAAH17tDI=")</f>
        <v>#REF!</v>
      </c>
      <c r="AZ23" t="e">
        <f>AND(#REF!,"AAAAAH17tDM=")</f>
        <v>#REF!</v>
      </c>
      <c r="BA23" t="e">
        <f>AND(#REF!,"AAAAAH17tDQ=")</f>
        <v>#REF!</v>
      </c>
      <c r="BB23" t="e">
        <f>AND(#REF!,"AAAAAH17tDU=")</f>
        <v>#REF!</v>
      </c>
      <c r="BC23" t="e">
        <f>AND(#REF!,"AAAAAH17tDY=")</f>
        <v>#REF!</v>
      </c>
      <c r="BD23" t="e">
        <f>AND(#REF!,"AAAAAH17tDc=")</f>
        <v>#REF!</v>
      </c>
      <c r="BE23" t="e">
        <f>AND(#REF!,"AAAAAH17tDg=")</f>
        <v>#REF!</v>
      </c>
      <c r="BF23" t="e">
        <f>AND(#REF!,"AAAAAH17tDk=")</f>
        <v>#REF!</v>
      </c>
      <c r="BG23" t="e">
        <f>AND(#REF!,"AAAAAH17tDo=")</f>
        <v>#REF!</v>
      </c>
      <c r="BH23" t="e">
        <f>AND(#REF!,"AAAAAH17tDs=")</f>
        <v>#REF!</v>
      </c>
      <c r="BI23" t="e">
        <f>AND(#REF!,"AAAAAH17tDw=")</f>
        <v>#REF!</v>
      </c>
      <c r="BJ23" t="e">
        <f>AND(#REF!,"AAAAAH17tD0=")</f>
        <v>#REF!</v>
      </c>
      <c r="BK23" t="e">
        <f>AND(#REF!,"AAAAAH17tD4=")</f>
        <v>#REF!</v>
      </c>
      <c r="BL23" t="e">
        <f>AND(#REF!,"AAAAAH17tD8=")</f>
        <v>#REF!</v>
      </c>
      <c r="BM23" t="e">
        <f>AND(#REF!,"AAAAAH17tEA=")</f>
        <v>#REF!</v>
      </c>
      <c r="BN23" t="e">
        <f>AND(#REF!,"AAAAAH17tEE=")</f>
        <v>#REF!</v>
      </c>
      <c r="BO23" t="e">
        <f>AND(#REF!,"AAAAAH17tEI=")</f>
        <v>#REF!</v>
      </c>
      <c r="BP23" t="e">
        <f>AND(#REF!,"AAAAAH17tEM=")</f>
        <v>#REF!</v>
      </c>
      <c r="BQ23" t="e">
        <f>AND(#REF!,"AAAAAH17tEQ=")</f>
        <v>#REF!</v>
      </c>
      <c r="BR23" t="e">
        <f>AND(#REF!,"AAAAAH17tEU=")</f>
        <v>#REF!</v>
      </c>
      <c r="BS23" t="e">
        <f>AND(#REF!,"AAAAAH17tEY=")</f>
        <v>#REF!</v>
      </c>
      <c r="BT23" t="e">
        <f>AND(#REF!,"AAAAAH17tEc=")</f>
        <v>#REF!</v>
      </c>
      <c r="BU23" t="e">
        <f>AND(#REF!,"AAAAAH17tEg=")</f>
        <v>#REF!</v>
      </c>
      <c r="BV23" t="e">
        <f>AND(#REF!,"AAAAAH17tEk=")</f>
        <v>#REF!</v>
      </c>
      <c r="BW23" t="e">
        <f>AND(#REF!,"AAAAAH17tEo=")</f>
        <v>#REF!</v>
      </c>
      <c r="BX23" t="e">
        <f>AND(#REF!,"AAAAAH17tEs=")</f>
        <v>#REF!</v>
      </c>
      <c r="BY23" t="e">
        <f>AND(#REF!,"AAAAAH17tEw=")</f>
        <v>#REF!</v>
      </c>
      <c r="BZ23" t="e">
        <f>AND(#REF!,"AAAAAH17tE0=")</f>
        <v>#REF!</v>
      </c>
      <c r="CA23" t="e">
        <f>AND(#REF!,"AAAAAH17tE4=")</f>
        <v>#REF!</v>
      </c>
      <c r="CB23" t="e">
        <f>AND(#REF!,"AAAAAH17tE8=")</f>
        <v>#REF!</v>
      </c>
      <c r="CC23" t="e">
        <f>IF(#REF!,"AAAAAH17tFA=",0)</f>
        <v>#REF!</v>
      </c>
      <c r="CD23" t="e">
        <f>AND(#REF!,"AAAAAH17tFE=")</f>
        <v>#REF!</v>
      </c>
      <c r="CE23" t="e">
        <f>AND(#REF!,"AAAAAH17tFI=")</f>
        <v>#REF!</v>
      </c>
      <c r="CF23" t="e">
        <f>AND(#REF!,"AAAAAH17tFM=")</f>
        <v>#REF!</v>
      </c>
      <c r="CG23" t="e">
        <f>AND(#REF!,"AAAAAH17tFQ=")</f>
        <v>#REF!</v>
      </c>
      <c r="CH23" t="e">
        <f>AND(#REF!,"AAAAAH17tFU=")</f>
        <v>#REF!</v>
      </c>
      <c r="CI23" t="e">
        <f>AND(#REF!,"AAAAAH17tFY=")</f>
        <v>#REF!</v>
      </c>
      <c r="CJ23" t="e">
        <f>AND(#REF!,"AAAAAH17tFc=")</f>
        <v>#REF!</v>
      </c>
      <c r="CK23" t="e">
        <f>AND(#REF!,"AAAAAH17tFg=")</f>
        <v>#REF!</v>
      </c>
      <c r="CL23" t="e">
        <f>AND(#REF!,"AAAAAH17tFk=")</f>
        <v>#REF!</v>
      </c>
      <c r="CM23" t="e">
        <f>AND(#REF!,"AAAAAH17tFo=")</f>
        <v>#REF!</v>
      </c>
      <c r="CN23" t="e">
        <f>AND(#REF!,"AAAAAH17tFs=")</f>
        <v>#REF!</v>
      </c>
      <c r="CO23" t="e">
        <f>AND(#REF!,"AAAAAH17tFw=")</f>
        <v>#REF!</v>
      </c>
      <c r="CP23" t="e">
        <f>AND(#REF!,"AAAAAH17tF0=")</f>
        <v>#REF!</v>
      </c>
      <c r="CQ23" t="e">
        <f>AND(#REF!,"AAAAAH17tF4=")</f>
        <v>#REF!</v>
      </c>
      <c r="CR23" t="e">
        <f>AND(#REF!,"AAAAAH17tF8=")</f>
        <v>#REF!</v>
      </c>
      <c r="CS23" t="e">
        <f>AND(#REF!,"AAAAAH17tGA=")</f>
        <v>#REF!</v>
      </c>
      <c r="CT23" t="e">
        <f>AND(#REF!,"AAAAAH17tGE=")</f>
        <v>#REF!</v>
      </c>
      <c r="CU23" t="e">
        <f>AND(#REF!,"AAAAAH17tGI=")</f>
        <v>#REF!</v>
      </c>
      <c r="CV23" t="e">
        <f>AND(#REF!,"AAAAAH17tGM=")</f>
        <v>#REF!</v>
      </c>
      <c r="CW23" t="e">
        <f>AND(#REF!,"AAAAAH17tGQ=")</f>
        <v>#REF!</v>
      </c>
      <c r="CX23" t="e">
        <f>AND(#REF!,"AAAAAH17tGU=")</f>
        <v>#REF!</v>
      </c>
      <c r="CY23" t="e">
        <f>AND(#REF!,"AAAAAH17tGY=")</f>
        <v>#REF!</v>
      </c>
      <c r="CZ23" t="e">
        <f>AND(#REF!,"AAAAAH17tGc=")</f>
        <v>#REF!</v>
      </c>
      <c r="DA23" t="e">
        <f>AND(#REF!,"AAAAAH17tGg=")</f>
        <v>#REF!</v>
      </c>
      <c r="DB23" t="e">
        <f>AND(#REF!,"AAAAAH17tGk=")</f>
        <v>#REF!</v>
      </c>
      <c r="DC23" t="e">
        <f>AND(#REF!,"AAAAAH17tGo=")</f>
        <v>#REF!</v>
      </c>
      <c r="DD23" t="e">
        <f>AND(#REF!,"AAAAAH17tGs=")</f>
        <v>#REF!</v>
      </c>
      <c r="DE23" t="e">
        <f>AND(#REF!,"AAAAAH17tGw=")</f>
        <v>#REF!</v>
      </c>
      <c r="DF23" t="e">
        <f>AND(#REF!,"AAAAAH17tG0=")</f>
        <v>#REF!</v>
      </c>
      <c r="DG23" t="e">
        <f>AND(#REF!,"AAAAAH17tG4=")</f>
        <v>#REF!</v>
      </c>
      <c r="DH23" t="e">
        <f>AND(#REF!,"AAAAAH17tG8=")</f>
        <v>#REF!</v>
      </c>
      <c r="DI23" t="e">
        <f>AND(#REF!,"AAAAAH17tHA=")</f>
        <v>#REF!</v>
      </c>
      <c r="DJ23" t="e">
        <f>AND(#REF!,"AAAAAH17tHE=")</f>
        <v>#REF!</v>
      </c>
      <c r="DK23" t="e">
        <f>AND(#REF!,"AAAAAH17tHI=")</f>
        <v>#REF!</v>
      </c>
      <c r="DL23" t="e">
        <f>AND(#REF!,"AAAAAH17tHM=")</f>
        <v>#REF!</v>
      </c>
      <c r="DM23" t="e">
        <f>IF(#REF!,"AAAAAH17tHQ=",0)</f>
        <v>#REF!</v>
      </c>
      <c r="DN23" t="e">
        <f>AND(#REF!,"AAAAAH17tHU=")</f>
        <v>#REF!</v>
      </c>
      <c r="DO23" t="e">
        <f>AND(#REF!,"AAAAAH17tHY=")</f>
        <v>#REF!</v>
      </c>
      <c r="DP23" t="e">
        <f>AND(#REF!,"AAAAAH17tHc=")</f>
        <v>#REF!</v>
      </c>
      <c r="DQ23" t="e">
        <f>AND(#REF!,"AAAAAH17tHg=")</f>
        <v>#REF!</v>
      </c>
      <c r="DR23" t="e">
        <f>AND(#REF!,"AAAAAH17tHk=")</f>
        <v>#REF!</v>
      </c>
      <c r="DS23" t="e">
        <f>AND(#REF!,"AAAAAH17tHo=")</f>
        <v>#REF!</v>
      </c>
      <c r="DT23" t="e">
        <f>AND(#REF!,"AAAAAH17tHs=")</f>
        <v>#REF!</v>
      </c>
      <c r="DU23" t="e">
        <f>AND(#REF!,"AAAAAH17tHw=")</f>
        <v>#REF!</v>
      </c>
      <c r="DV23" t="e">
        <f>AND(#REF!,"AAAAAH17tH0=")</f>
        <v>#REF!</v>
      </c>
      <c r="DW23" t="e">
        <f>AND(#REF!,"AAAAAH17tH4=")</f>
        <v>#REF!</v>
      </c>
      <c r="DX23" t="e">
        <f>AND(#REF!,"AAAAAH17tH8=")</f>
        <v>#REF!</v>
      </c>
      <c r="DY23" t="e">
        <f>AND(#REF!,"AAAAAH17tIA=")</f>
        <v>#REF!</v>
      </c>
      <c r="DZ23" t="e">
        <f>AND(#REF!,"AAAAAH17tIE=")</f>
        <v>#REF!</v>
      </c>
      <c r="EA23" t="e">
        <f>AND(#REF!,"AAAAAH17tII=")</f>
        <v>#REF!</v>
      </c>
      <c r="EB23" t="e">
        <f>AND(#REF!,"AAAAAH17tIM=")</f>
        <v>#REF!</v>
      </c>
      <c r="EC23" t="e">
        <f>AND(#REF!,"AAAAAH17tIQ=")</f>
        <v>#REF!</v>
      </c>
      <c r="ED23" t="e">
        <f>AND(#REF!,"AAAAAH17tIU=")</f>
        <v>#REF!</v>
      </c>
      <c r="EE23" t="e">
        <f>AND(#REF!,"AAAAAH17tIY=")</f>
        <v>#REF!</v>
      </c>
      <c r="EF23" t="e">
        <f>AND(#REF!,"AAAAAH17tIc=")</f>
        <v>#REF!</v>
      </c>
      <c r="EG23" t="e">
        <f>AND(#REF!,"AAAAAH17tIg=")</f>
        <v>#REF!</v>
      </c>
      <c r="EH23" t="e">
        <f>AND(#REF!,"AAAAAH17tIk=")</f>
        <v>#REF!</v>
      </c>
      <c r="EI23" t="e">
        <f>AND(#REF!,"AAAAAH17tIo=")</f>
        <v>#REF!</v>
      </c>
      <c r="EJ23" t="e">
        <f>AND(#REF!,"AAAAAH17tIs=")</f>
        <v>#REF!</v>
      </c>
      <c r="EK23" t="e">
        <f>AND(#REF!,"AAAAAH17tIw=")</f>
        <v>#REF!</v>
      </c>
      <c r="EL23" t="e">
        <f>AND(#REF!,"AAAAAH17tI0=")</f>
        <v>#REF!</v>
      </c>
      <c r="EM23" t="e">
        <f>AND(#REF!,"AAAAAH17tI4=")</f>
        <v>#REF!</v>
      </c>
      <c r="EN23" t="e">
        <f>AND(#REF!,"AAAAAH17tI8=")</f>
        <v>#REF!</v>
      </c>
      <c r="EO23" t="e">
        <f>AND(#REF!,"AAAAAH17tJA=")</f>
        <v>#REF!</v>
      </c>
      <c r="EP23" t="e">
        <f>AND(#REF!,"AAAAAH17tJE=")</f>
        <v>#REF!</v>
      </c>
      <c r="EQ23" t="e">
        <f>AND(#REF!,"AAAAAH17tJI=")</f>
        <v>#REF!</v>
      </c>
      <c r="ER23" t="e">
        <f>AND(#REF!,"AAAAAH17tJM=")</f>
        <v>#REF!</v>
      </c>
      <c r="ES23" t="e">
        <f>AND(#REF!,"AAAAAH17tJQ=")</f>
        <v>#REF!</v>
      </c>
      <c r="ET23" t="e">
        <f>AND(#REF!,"AAAAAH17tJU=")</f>
        <v>#REF!</v>
      </c>
      <c r="EU23" t="e">
        <f>AND(#REF!,"AAAAAH17tJY=")</f>
        <v>#REF!</v>
      </c>
      <c r="EV23" t="e">
        <f>AND(#REF!,"AAAAAH17tJc=")</f>
        <v>#REF!</v>
      </c>
      <c r="EW23" t="e">
        <f>IF(#REF!,"AAAAAH17tJg=",0)</f>
        <v>#REF!</v>
      </c>
      <c r="EX23" t="e">
        <f>AND(#REF!,"AAAAAH17tJk=")</f>
        <v>#REF!</v>
      </c>
      <c r="EY23" t="e">
        <f>AND(#REF!,"AAAAAH17tJo=")</f>
        <v>#REF!</v>
      </c>
      <c r="EZ23" t="e">
        <f>AND(#REF!,"AAAAAH17tJs=")</f>
        <v>#REF!</v>
      </c>
      <c r="FA23" t="e">
        <f>AND(#REF!,"AAAAAH17tJw=")</f>
        <v>#REF!</v>
      </c>
      <c r="FB23" t="e">
        <f>AND(#REF!,"AAAAAH17tJ0=")</f>
        <v>#REF!</v>
      </c>
      <c r="FC23" t="e">
        <f>AND(#REF!,"AAAAAH17tJ4=")</f>
        <v>#REF!</v>
      </c>
      <c r="FD23" t="e">
        <f>AND(#REF!,"AAAAAH17tJ8=")</f>
        <v>#REF!</v>
      </c>
      <c r="FE23" t="e">
        <f>AND(#REF!,"AAAAAH17tKA=")</f>
        <v>#REF!</v>
      </c>
      <c r="FF23" t="e">
        <f>AND(#REF!,"AAAAAH17tKE=")</f>
        <v>#REF!</v>
      </c>
      <c r="FG23" t="e">
        <f>AND(#REF!,"AAAAAH17tKI=")</f>
        <v>#REF!</v>
      </c>
      <c r="FH23" t="e">
        <f>AND(#REF!,"AAAAAH17tKM=")</f>
        <v>#REF!</v>
      </c>
      <c r="FI23" t="e">
        <f>AND(#REF!,"AAAAAH17tKQ=")</f>
        <v>#REF!</v>
      </c>
      <c r="FJ23" t="e">
        <f>AND(#REF!,"AAAAAH17tKU=")</f>
        <v>#REF!</v>
      </c>
      <c r="FK23" t="e">
        <f>AND(#REF!,"AAAAAH17tKY=")</f>
        <v>#REF!</v>
      </c>
      <c r="FL23" t="e">
        <f>AND(#REF!,"AAAAAH17tKc=")</f>
        <v>#REF!</v>
      </c>
      <c r="FM23" t="e">
        <f>AND(#REF!,"AAAAAH17tKg=")</f>
        <v>#REF!</v>
      </c>
      <c r="FN23" t="e">
        <f>AND(#REF!,"AAAAAH17tKk=")</f>
        <v>#REF!</v>
      </c>
      <c r="FO23" t="e">
        <f>AND(#REF!,"AAAAAH17tKo=")</f>
        <v>#REF!</v>
      </c>
      <c r="FP23" t="e">
        <f>AND(#REF!,"AAAAAH17tKs=")</f>
        <v>#REF!</v>
      </c>
      <c r="FQ23" t="e">
        <f>AND(#REF!,"AAAAAH17tKw=")</f>
        <v>#REF!</v>
      </c>
      <c r="FR23" t="e">
        <f>AND(#REF!,"AAAAAH17tK0=")</f>
        <v>#REF!</v>
      </c>
      <c r="FS23" t="e">
        <f>AND(#REF!,"AAAAAH17tK4=")</f>
        <v>#REF!</v>
      </c>
      <c r="FT23" t="e">
        <f>AND(#REF!,"AAAAAH17tK8=")</f>
        <v>#REF!</v>
      </c>
      <c r="FU23" t="e">
        <f>AND(#REF!,"AAAAAH17tLA=")</f>
        <v>#REF!</v>
      </c>
      <c r="FV23" t="e">
        <f>AND(#REF!,"AAAAAH17tLE=")</f>
        <v>#REF!</v>
      </c>
      <c r="FW23" t="e">
        <f>AND(#REF!,"AAAAAH17tLI=")</f>
        <v>#REF!</v>
      </c>
      <c r="FX23" t="e">
        <f>AND(#REF!,"AAAAAH17tLM=")</f>
        <v>#REF!</v>
      </c>
      <c r="FY23" t="e">
        <f>AND(#REF!,"AAAAAH17tLQ=")</f>
        <v>#REF!</v>
      </c>
      <c r="FZ23" t="e">
        <f>AND(#REF!,"AAAAAH17tLU=")</f>
        <v>#REF!</v>
      </c>
      <c r="GA23" t="e">
        <f>AND(#REF!,"AAAAAH17tLY=")</f>
        <v>#REF!</v>
      </c>
      <c r="GB23" t="e">
        <f>AND(#REF!,"AAAAAH17tLc=")</f>
        <v>#REF!</v>
      </c>
      <c r="GC23" t="e">
        <f>AND(#REF!,"AAAAAH17tLg=")</f>
        <v>#REF!</v>
      </c>
      <c r="GD23" t="e">
        <f>AND(#REF!,"AAAAAH17tLk=")</f>
        <v>#REF!</v>
      </c>
      <c r="GE23" t="e">
        <f>AND(#REF!,"AAAAAH17tLo=")</f>
        <v>#REF!</v>
      </c>
      <c r="GF23" t="e">
        <f>AND(#REF!,"AAAAAH17tLs=")</f>
        <v>#REF!</v>
      </c>
      <c r="GG23" t="e">
        <f>IF(#REF!,"AAAAAH17tLw=",0)</f>
        <v>#REF!</v>
      </c>
      <c r="GH23" t="e">
        <f>AND(#REF!,"AAAAAH17tL0=")</f>
        <v>#REF!</v>
      </c>
      <c r="GI23" t="e">
        <f>AND(#REF!,"AAAAAH17tL4=")</f>
        <v>#REF!</v>
      </c>
      <c r="GJ23" t="e">
        <f>AND(#REF!,"AAAAAH17tL8=")</f>
        <v>#REF!</v>
      </c>
      <c r="GK23" t="e">
        <f>AND(#REF!,"AAAAAH17tMA=")</f>
        <v>#REF!</v>
      </c>
      <c r="GL23" t="e">
        <f>AND(#REF!,"AAAAAH17tME=")</f>
        <v>#REF!</v>
      </c>
      <c r="GM23" t="e">
        <f>AND(#REF!,"AAAAAH17tMI=")</f>
        <v>#REF!</v>
      </c>
      <c r="GN23" t="e">
        <f>AND(#REF!,"AAAAAH17tMM=")</f>
        <v>#REF!</v>
      </c>
      <c r="GO23" t="e">
        <f>AND(#REF!,"AAAAAH17tMQ=")</f>
        <v>#REF!</v>
      </c>
      <c r="GP23" t="e">
        <f>AND(#REF!,"AAAAAH17tMU=")</f>
        <v>#REF!</v>
      </c>
      <c r="GQ23" t="e">
        <f>AND(#REF!,"AAAAAH17tMY=")</f>
        <v>#REF!</v>
      </c>
      <c r="GR23" t="e">
        <f>AND(#REF!,"AAAAAH17tMc=")</f>
        <v>#REF!</v>
      </c>
      <c r="GS23" t="e">
        <f>AND(#REF!,"AAAAAH17tMg=")</f>
        <v>#REF!</v>
      </c>
      <c r="GT23" t="e">
        <f>AND(#REF!,"AAAAAH17tMk=")</f>
        <v>#REF!</v>
      </c>
      <c r="GU23" t="e">
        <f>AND(#REF!,"AAAAAH17tMo=")</f>
        <v>#REF!</v>
      </c>
      <c r="GV23" t="e">
        <f>AND(#REF!,"AAAAAH17tMs=")</f>
        <v>#REF!</v>
      </c>
      <c r="GW23" t="e">
        <f>AND(#REF!,"AAAAAH17tMw=")</f>
        <v>#REF!</v>
      </c>
      <c r="GX23" t="e">
        <f>AND(#REF!,"AAAAAH17tM0=")</f>
        <v>#REF!</v>
      </c>
      <c r="GY23" t="e">
        <f>AND(#REF!,"AAAAAH17tM4=")</f>
        <v>#REF!</v>
      </c>
      <c r="GZ23" t="e">
        <f>AND(#REF!,"AAAAAH17tM8=")</f>
        <v>#REF!</v>
      </c>
      <c r="HA23" t="e">
        <f>AND(#REF!,"AAAAAH17tNA=")</f>
        <v>#REF!</v>
      </c>
      <c r="HB23" t="e">
        <f>AND(#REF!,"AAAAAH17tNE=")</f>
        <v>#REF!</v>
      </c>
      <c r="HC23" t="e">
        <f>AND(#REF!,"AAAAAH17tNI=")</f>
        <v>#REF!</v>
      </c>
      <c r="HD23" t="e">
        <f>AND(#REF!,"AAAAAH17tNM=")</f>
        <v>#REF!</v>
      </c>
      <c r="HE23" t="e">
        <f>AND(#REF!,"AAAAAH17tNQ=")</f>
        <v>#REF!</v>
      </c>
      <c r="HF23" t="e">
        <f>AND(#REF!,"AAAAAH17tNU=")</f>
        <v>#REF!</v>
      </c>
      <c r="HG23" t="e">
        <f>AND(#REF!,"AAAAAH17tNY=")</f>
        <v>#REF!</v>
      </c>
      <c r="HH23" t="e">
        <f>AND(#REF!,"AAAAAH17tNc=")</f>
        <v>#REF!</v>
      </c>
      <c r="HI23" t="e">
        <f>AND(#REF!,"AAAAAH17tNg=")</f>
        <v>#REF!</v>
      </c>
      <c r="HJ23" t="e">
        <f>AND(#REF!,"AAAAAH17tNk=")</f>
        <v>#REF!</v>
      </c>
      <c r="HK23" t="e">
        <f>AND(#REF!,"AAAAAH17tNo=")</f>
        <v>#REF!</v>
      </c>
      <c r="HL23" t="e">
        <f>AND(#REF!,"AAAAAH17tNs=")</f>
        <v>#REF!</v>
      </c>
      <c r="HM23" t="e">
        <f>AND(#REF!,"AAAAAH17tNw=")</f>
        <v>#REF!</v>
      </c>
      <c r="HN23" t="e">
        <f>AND(#REF!,"AAAAAH17tN0=")</f>
        <v>#REF!</v>
      </c>
      <c r="HO23" t="e">
        <f>AND(#REF!,"AAAAAH17tN4=")</f>
        <v>#REF!</v>
      </c>
      <c r="HP23" t="e">
        <f>AND(#REF!,"AAAAAH17tN8=")</f>
        <v>#REF!</v>
      </c>
      <c r="HQ23" t="e">
        <f>IF(#REF!,"AAAAAH17tOA=",0)</f>
        <v>#REF!</v>
      </c>
      <c r="HR23" t="e">
        <f>AND(#REF!,"AAAAAH17tOE=")</f>
        <v>#REF!</v>
      </c>
      <c r="HS23" t="e">
        <f>AND(#REF!,"AAAAAH17tOI=")</f>
        <v>#REF!</v>
      </c>
      <c r="HT23" t="e">
        <f>AND(#REF!,"AAAAAH17tOM=")</f>
        <v>#REF!</v>
      </c>
      <c r="HU23" t="e">
        <f>AND(#REF!,"AAAAAH17tOQ=")</f>
        <v>#REF!</v>
      </c>
      <c r="HV23" t="e">
        <f>AND(#REF!,"AAAAAH17tOU=")</f>
        <v>#REF!</v>
      </c>
      <c r="HW23" t="e">
        <f>AND(#REF!,"AAAAAH17tOY=")</f>
        <v>#REF!</v>
      </c>
      <c r="HX23" t="e">
        <f>AND(#REF!,"AAAAAH17tOc=")</f>
        <v>#REF!</v>
      </c>
      <c r="HY23" t="e">
        <f>AND(#REF!,"AAAAAH17tOg=")</f>
        <v>#REF!</v>
      </c>
      <c r="HZ23" t="e">
        <f>AND(#REF!,"AAAAAH17tOk=")</f>
        <v>#REF!</v>
      </c>
      <c r="IA23" t="e">
        <f>AND(#REF!,"AAAAAH17tOo=")</f>
        <v>#REF!</v>
      </c>
      <c r="IB23" t="e">
        <f>AND(#REF!,"AAAAAH17tOs=")</f>
        <v>#REF!</v>
      </c>
      <c r="IC23" t="e">
        <f>AND(#REF!,"AAAAAH17tOw=")</f>
        <v>#REF!</v>
      </c>
      <c r="ID23" t="e">
        <f>AND(#REF!,"AAAAAH17tO0=")</f>
        <v>#REF!</v>
      </c>
      <c r="IE23" t="e">
        <f>AND(#REF!,"AAAAAH17tO4=")</f>
        <v>#REF!</v>
      </c>
      <c r="IF23" t="e">
        <f>AND(#REF!,"AAAAAH17tO8=")</f>
        <v>#REF!</v>
      </c>
      <c r="IG23" t="e">
        <f>AND(#REF!,"AAAAAH17tPA=")</f>
        <v>#REF!</v>
      </c>
      <c r="IH23" t="e">
        <f>AND(#REF!,"AAAAAH17tPE=")</f>
        <v>#REF!</v>
      </c>
      <c r="II23" t="e">
        <f>AND(#REF!,"AAAAAH17tPI=")</f>
        <v>#REF!</v>
      </c>
      <c r="IJ23" t="e">
        <f>AND(#REF!,"AAAAAH17tPM=")</f>
        <v>#REF!</v>
      </c>
      <c r="IK23" t="e">
        <f>AND(#REF!,"AAAAAH17tPQ=")</f>
        <v>#REF!</v>
      </c>
      <c r="IL23" t="e">
        <f>AND(#REF!,"AAAAAH17tPU=")</f>
        <v>#REF!</v>
      </c>
      <c r="IM23" t="e">
        <f>AND(#REF!,"AAAAAH17tPY=")</f>
        <v>#REF!</v>
      </c>
      <c r="IN23" t="e">
        <f>AND(#REF!,"AAAAAH17tPc=")</f>
        <v>#REF!</v>
      </c>
      <c r="IO23" t="e">
        <f>AND(#REF!,"AAAAAH17tPg=")</f>
        <v>#REF!</v>
      </c>
      <c r="IP23" t="e">
        <f>AND(#REF!,"AAAAAH17tPk=")</f>
        <v>#REF!</v>
      </c>
      <c r="IQ23" t="e">
        <f>AND(#REF!,"AAAAAH17tPo=")</f>
        <v>#REF!</v>
      </c>
      <c r="IR23" t="e">
        <f>AND(#REF!,"AAAAAH17tPs=")</f>
        <v>#REF!</v>
      </c>
      <c r="IS23" t="e">
        <f>AND(#REF!,"AAAAAH17tPw=")</f>
        <v>#REF!</v>
      </c>
      <c r="IT23" t="e">
        <f>AND(#REF!,"AAAAAH17tP0=")</f>
        <v>#REF!</v>
      </c>
      <c r="IU23" t="e">
        <f>AND(#REF!,"AAAAAH17tP4=")</f>
        <v>#REF!</v>
      </c>
      <c r="IV23" t="e">
        <f>AND(#REF!,"AAAAAH17tP8=")</f>
        <v>#REF!</v>
      </c>
    </row>
    <row r="24" spans="1:256">
      <c r="A24" t="e">
        <f>AND(#REF!,"AAAAADul/QA=")</f>
        <v>#REF!</v>
      </c>
      <c r="B24" t="e">
        <f>AND(#REF!,"AAAAADul/QE=")</f>
        <v>#REF!</v>
      </c>
      <c r="C24" t="e">
        <f>AND(#REF!,"AAAAADul/QI=")</f>
        <v>#REF!</v>
      </c>
      <c r="D24" t="e">
        <f>AND(#REF!,"AAAAADul/QM=")</f>
        <v>#REF!</v>
      </c>
      <c r="E24" t="e">
        <f>IF(#REF!,"AAAAADul/QQ=",0)</f>
        <v>#REF!</v>
      </c>
      <c r="F24" t="e">
        <f>AND(#REF!,"AAAAADul/QU=")</f>
        <v>#REF!</v>
      </c>
      <c r="G24" t="e">
        <f>AND(#REF!,"AAAAADul/QY=")</f>
        <v>#REF!</v>
      </c>
      <c r="H24" t="e">
        <f>AND(#REF!,"AAAAADul/Qc=")</f>
        <v>#REF!</v>
      </c>
      <c r="I24" t="e">
        <f>AND(#REF!,"AAAAADul/Qg=")</f>
        <v>#REF!</v>
      </c>
      <c r="J24" t="e">
        <f>AND(#REF!,"AAAAADul/Qk=")</f>
        <v>#REF!</v>
      </c>
      <c r="K24" t="e">
        <f>AND(#REF!,"AAAAADul/Qo=")</f>
        <v>#REF!</v>
      </c>
      <c r="L24" t="e">
        <f>AND(#REF!,"AAAAADul/Qs=")</f>
        <v>#REF!</v>
      </c>
      <c r="M24" t="e">
        <f>AND(#REF!,"AAAAADul/Qw=")</f>
        <v>#REF!</v>
      </c>
      <c r="N24" t="e">
        <f>AND(#REF!,"AAAAADul/Q0=")</f>
        <v>#REF!</v>
      </c>
      <c r="O24" t="e">
        <f>AND(#REF!,"AAAAADul/Q4=")</f>
        <v>#REF!</v>
      </c>
      <c r="P24" t="e">
        <f>AND(#REF!,"AAAAADul/Q8=")</f>
        <v>#REF!</v>
      </c>
      <c r="Q24" t="e">
        <f>AND(#REF!,"AAAAADul/RA=")</f>
        <v>#REF!</v>
      </c>
      <c r="R24" t="e">
        <f>AND(#REF!,"AAAAADul/RE=")</f>
        <v>#REF!</v>
      </c>
      <c r="S24" t="e">
        <f>AND(#REF!,"AAAAADul/RI=")</f>
        <v>#REF!</v>
      </c>
      <c r="T24" t="e">
        <f>AND(#REF!,"AAAAADul/RM=")</f>
        <v>#REF!</v>
      </c>
      <c r="U24" t="e">
        <f>AND(#REF!,"AAAAADul/RQ=")</f>
        <v>#REF!</v>
      </c>
      <c r="V24" t="e">
        <f>AND(#REF!,"AAAAADul/RU=")</f>
        <v>#REF!</v>
      </c>
      <c r="W24" t="e">
        <f>AND(#REF!,"AAAAADul/RY=")</f>
        <v>#REF!</v>
      </c>
      <c r="X24" t="e">
        <f>AND(#REF!,"AAAAADul/Rc=")</f>
        <v>#REF!</v>
      </c>
      <c r="Y24" t="e">
        <f>AND(#REF!,"AAAAADul/Rg=")</f>
        <v>#REF!</v>
      </c>
      <c r="Z24" t="e">
        <f>AND(#REF!,"AAAAADul/Rk=")</f>
        <v>#REF!</v>
      </c>
      <c r="AA24" t="e">
        <f>AND(#REF!,"AAAAADul/Ro=")</f>
        <v>#REF!</v>
      </c>
      <c r="AB24" t="e">
        <f>AND(#REF!,"AAAAADul/Rs=")</f>
        <v>#REF!</v>
      </c>
      <c r="AC24" t="e">
        <f>AND(#REF!,"AAAAADul/Rw=")</f>
        <v>#REF!</v>
      </c>
      <c r="AD24" t="e">
        <f>AND(#REF!,"AAAAADul/R0=")</f>
        <v>#REF!</v>
      </c>
      <c r="AE24" t="e">
        <f>AND(#REF!,"AAAAADul/R4=")</f>
        <v>#REF!</v>
      </c>
      <c r="AF24" t="e">
        <f>AND(#REF!,"AAAAADul/R8=")</f>
        <v>#REF!</v>
      </c>
      <c r="AG24" t="e">
        <f>AND(#REF!,"AAAAADul/SA=")</f>
        <v>#REF!</v>
      </c>
      <c r="AH24" t="e">
        <f>AND(#REF!,"AAAAADul/SE=")</f>
        <v>#REF!</v>
      </c>
      <c r="AI24" t="e">
        <f>AND(#REF!,"AAAAADul/SI=")</f>
        <v>#REF!</v>
      </c>
      <c r="AJ24" t="e">
        <f>AND(#REF!,"AAAAADul/SM=")</f>
        <v>#REF!</v>
      </c>
      <c r="AK24" t="e">
        <f>AND(#REF!,"AAAAADul/SQ=")</f>
        <v>#REF!</v>
      </c>
      <c r="AL24" t="e">
        <f>AND(#REF!,"AAAAADul/SU=")</f>
        <v>#REF!</v>
      </c>
      <c r="AM24" t="e">
        <f>AND(#REF!,"AAAAADul/SY=")</f>
        <v>#REF!</v>
      </c>
      <c r="AN24" t="e">
        <f>AND(#REF!,"AAAAADul/Sc=")</f>
        <v>#REF!</v>
      </c>
      <c r="AO24" t="e">
        <f>IF(#REF!,"AAAAADul/Sg=",0)</f>
        <v>#REF!</v>
      </c>
      <c r="AP24" t="e">
        <f>AND(#REF!,"AAAAADul/Sk=")</f>
        <v>#REF!</v>
      </c>
      <c r="AQ24" t="e">
        <f>AND(#REF!,"AAAAADul/So=")</f>
        <v>#REF!</v>
      </c>
      <c r="AR24" t="e">
        <f>AND(#REF!,"AAAAADul/Ss=")</f>
        <v>#REF!</v>
      </c>
      <c r="AS24" t="e">
        <f>AND(#REF!,"AAAAADul/Sw=")</f>
        <v>#REF!</v>
      </c>
      <c r="AT24" t="e">
        <f>AND(#REF!,"AAAAADul/S0=")</f>
        <v>#REF!</v>
      </c>
      <c r="AU24" t="e">
        <f>AND(#REF!,"AAAAADul/S4=")</f>
        <v>#REF!</v>
      </c>
      <c r="AV24" t="e">
        <f>AND(#REF!,"AAAAADul/S8=")</f>
        <v>#REF!</v>
      </c>
      <c r="AW24" t="e">
        <f>AND(#REF!,"AAAAADul/TA=")</f>
        <v>#REF!</v>
      </c>
      <c r="AX24" t="e">
        <f>AND(#REF!,"AAAAADul/TE=")</f>
        <v>#REF!</v>
      </c>
      <c r="AY24" t="e">
        <f>AND(#REF!,"AAAAADul/TI=")</f>
        <v>#REF!</v>
      </c>
      <c r="AZ24" t="e">
        <f>AND(#REF!,"AAAAADul/TM=")</f>
        <v>#REF!</v>
      </c>
      <c r="BA24" t="e">
        <f>AND(#REF!,"AAAAADul/TQ=")</f>
        <v>#REF!</v>
      </c>
      <c r="BB24" t="e">
        <f>AND(#REF!,"AAAAADul/TU=")</f>
        <v>#REF!</v>
      </c>
      <c r="BC24" t="e">
        <f>AND(#REF!,"AAAAADul/TY=")</f>
        <v>#REF!</v>
      </c>
      <c r="BD24" t="e">
        <f>AND(#REF!,"AAAAADul/Tc=")</f>
        <v>#REF!</v>
      </c>
      <c r="BE24" t="e">
        <f>AND(#REF!,"AAAAADul/Tg=")</f>
        <v>#REF!</v>
      </c>
      <c r="BF24" t="e">
        <f>AND(#REF!,"AAAAADul/Tk=")</f>
        <v>#REF!</v>
      </c>
      <c r="BG24" t="e">
        <f>AND(#REF!,"AAAAADul/To=")</f>
        <v>#REF!</v>
      </c>
      <c r="BH24" t="e">
        <f>AND(#REF!,"AAAAADul/Ts=")</f>
        <v>#REF!</v>
      </c>
      <c r="BI24" t="e">
        <f>AND(#REF!,"AAAAADul/Tw=")</f>
        <v>#REF!</v>
      </c>
      <c r="BJ24" t="e">
        <f>AND(#REF!,"AAAAADul/T0=")</f>
        <v>#REF!</v>
      </c>
      <c r="BK24" t="e">
        <f>AND(#REF!,"AAAAADul/T4=")</f>
        <v>#REF!</v>
      </c>
      <c r="BL24" t="e">
        <f>AND(#REF!,"AAAAADul/T8=")</f>
        <v>#REF!</v>
      </c>
      <c r="BM24" t="e">
        <f>AND(#REF!,"AAAAADul/UA=")</f>
        <v>#REF!</v>
      </c>
      <c r="BN24" t="e">
        <f>AND(#REF!,"AAAAADul/UE=")</f>
        <v>#REF!</v>
      </c>
      <c r="BO24" t="e">
        <f>AND(#REF!,"AAAAADul/UI=")</f>
        <v>#REF!</v>
      </c>
      <c r="BP24" t="e">
        <f>AND(#REF!,"AAAAADul/UM=")</f>
        <v>#REF!</v>
      </c>
      <c r="BQ24" t="e">
        <f>AND(#REF!,"AAAAADul/UQ=")</f>
        <v>#REF!</v>
      </c>
      <c r="BR24" t="e">
        <f>AND(#REF!,"AAAAADul/UU=")</f>
        <v>#REF!</v>
      </c>
      <c r="BS24" t="e">
        <f>AND(#REF!,"AAAAADul/UY=")</f>
        <v>#REF!</v>
      </c>
      <c r="BT24" t="e">
        <f>AND(#REF!,"AAAAADul/Uc=")</f>
        <v>#REF!</v>
      </c>
      <c r="BU24" t="e">
        <f>AND(#REF!,"AAAAADul/Ug=")</f>
        <v>#REF!</v>
      </c>
      <c r="BV24" t="e">
        <f>AND(#REF!,"AAAAADul/Uk=")</f>
        <v>#REF!</v>
      </c>
      <c r="BW24" t="e">
        <f>AND(#REF!,"AAAAADul/Uo=")</f>
        <v>#REF!</v>
      </c>
      <c r="BX24" t="e">
        <f>AND(#REF!,"AAAAADul/Us=")</f>
        <v>#REF!</v>
      </c>
      <c r="BY24" t="e">
        <f>IF(#REF!,"AAAAADul/Uw=",0)</f>
        <v>#REF!</v>
      </c>
      <c r="BZ24" t="e">
        <f>AND(#REF!,"AAAAADul/U0=")</f>
        <v>#REF!</v>
      </c>
      <c r="CA24" t="e">
        <f>AND(#REF!,"AAAAADul/U4=")</f>
        <v>#REF!</v>
      </c>
      <c r="CB24" t="e">
        <f>AND(#REF!,"AAAAADul/U8=")</f>
        <v>#REF!</v>
      </c>
      <c r="CC24" t="e">
        <f>AND(#REF!,"AAAAADul/VA=")</f>
        <v>#REF!</v>
      </c>
      <c r="CD24" t="e">
        <f>AND(#REF!,"AAAAADul/VE=")</f>
        <v>#REF!</v>
      </c>
      <c r="CE24" t="e">
        <f>AND(#REF!,"AAAAADul/VI=")</f>
        <v>#REF!</v>
      </c>
      <c r="CF24" t="e">
        <f>AND(#REF!,"AAAAADul/VM=")</f>
        <v>#REF!</v>
      </c>
      <c r="CG24" t="e">
        <f>AND(#REF!,"AAAAADul/VQ=")</f>
        <v>#REF!</v>
      </c>
      <c r="CH24" t="e">
        <f>AND(#REF!,"AAAAADul/VU=")</f>
        <v>#REF!</v>
      </c>
      <c r="CI24" t="e">
        <f>AND(#REF!,"AAAAADul/VY=")</f>
        <v>#REF!</v>
      </c>
      <c r="CJ24" t="e">
        <f>AND(#REF!,"AAAAADul/Vc=")</f>
        <v>#REF!</v>
      </c>
      <c r="CK24" t="e">
        <f>AND(#REF!,"AAAAADul/Vg=")</f>
        <v>#REF!</v>
      </c>
      <c r="CL24" t="e">
        <f>AND(#REF!,"AAAAADul/Vk=")</f>
        <v>#REF!</v>
      </c>
      <c r="CM24" t="e">
        <f>AND(#REF!,"AAAAADul/Vo=")</f>
        <v>#REF!</v>
      </c>
      <c r="CN24" t="e">
        <f>AND(#REF!,"AAAAADul/Vs=")</f>
        <v>#REF!</v>
      </c>
      <c r="CO24" t="e">
        <f>AND(#REF!,"AAAAADul/Vw=")</f>
        <v>#REF!</v>
      </c>
      <c r="CP24" t="e">
        <f>AND(#REF!,"AAAAADul/V0=")</f>
        <v>#REF!</v>
      </c>
      <c r="CQ24" t="e">
        <f>AND(#REF!,"AAAAADul/V4=")</f>
        <v>#REF!</v>
      </c>
      <c r="CR24" t="e">
        <f>AND(#REF!,"AAAAADul/V8=")</f>
        <v>#REF!</v>
      </c>
      <c r="CS24" t="e">
        <f>AND(#REF!,"AAAAADul/WA=")</f>
        <v>#REF!</v>
      </c>
      <c r="CT24" t="e">
        <f>AND(#REF!,"AAAAADul/WE=")</f>
        <v>#REF!</v>
      </c>
      <c r="CU24" t="e">
        <f>AND(#REF!,"AAAAADul/WI=")</f>
        <v>#REF!</v>
      </c>
      <c r="CV24" t="e">
        <f>AND(#REF!,"AAAAADul/WM=")</f>
        <v>#REF!</v>
      </c>
      <c r="CW24" t="e">
        <f>AND(#REF!,"AAAAADul/WQ=")</f>
        <v>#REF!</v>
      </c>
      <c r="CX24" t="e">
        <f>AND(#REF!,"AAAAADul/WU=")</f>
        <v>#REF!</v>
      </c>
      <c r="CY24" t="e">
        <f>AND(#REF!,"AAAAADul/WY=")</f>
        <v>#REF!</v>
      </c>
      <c r="CZ24" t="e">
        <f>AND(#REF!,"AAAAADul/Wc=")</f>
        <v>#REF!</v>
      </c>
      <c r="DA24" t="e">
        <f>AND(#REF!,"AAAAADul/Wg=")</f>
        <v>#REF!</v>
      </c>
      <c r="DB24" t="e">
        <f>AND(#REF!,"AAAAADul/Wk=")</f>
        <v>#REF!</v>
      </c>
      <c r="DC24" t="e">
        <f>AND(#REF!,"AAAAADul/Wo=")</f>
        <v>#REF!</v>
      </c>
      <c r="DD24" t="e">
        <f>AND(#REF!,"AAAAADul/Ws=")</f>
        <v>#REF!</v>
      </c>
      <c r="DE24" t="e">
        <f>AND(#REF!,"AAAAADul/Ww=")</f>
        <v>#REF!</v>
      </c>
      <c r="DF24" t="e">
        <f>AND(#REF!,"AAAAADul/W0=")</f>
        <v>#REF!</v>
      </c>
      <c r="DG24" t="e">
        <f>AND(#REF!,"AAAAADul/W4=")</f>
        <v>#REF!</v>
      </c>
      <c r="DH24" t="e">
        <f>AND(#REF!,"AAAAADul/W8=")</f>
        <v>#REF!</v>
      </c>
      <c r="DI24" t="e">
        <f>IF(#REF!,"AAAAADul/XA=",0)</f>
        <v>#REF!</v>
      </c>
      <c r="DJ24" t="e">
        <f>AND(#REF!,"AAAAADul/XE=")</f>
        <v>#REF!</v>
      </c>
      <c r="DK24" t="e">
        <f>AND(#REF!,"AAAAADul/XI=")</f>
        <v>#REF!</v>
      </c>
      <c r="DL24" t="e">
        <f>AND(#REF!,"AAAAADul/XM=")</f>
        <v>#REF!</v>
      </c>
      <c r="DM24" t="e">
        <f>AND(#REF!,"AAAAADul/XQ=")</f>
        <v>#REF!</v>
      </c>
      <c r="DN24" t="e">
        <f>AND(#REF!,"AAAAADul/XU=")</f>
        <v>#REF!</v>
      </c>
      <c r="DO24" t="e">
        <f>AND(#REF!,"AAAAADul/XY=")</f>
        <v>#REF!</v>
      </c>
      <c r="DP24" t="e">
        <f>AND(#REF!,"AAAAADul/Xc=")</f>
        <v>#REF!</v>
      </c>
      <c r="DQ24" t="e">
        <f>AND(#REF!,"AAAAADul/Xg=")</f>
        <v>#REF!</v>
      </c>
      <c r="DR24" t="e">
        <f>AND(#REF!,"AAAAADul/Xk=")</f>
        <v>#REF!</v>
      </c>
      <c r="DS24" t="e">
        <f>AND(#REF!,"AAAAADul/Xo=")</f>
        <v>#REF!</v>
      </c>
      <c r="DT24" t="e">
        <f>AND(#REF!,"AAAAADul/Xs=")</f>
        <v>#REF!</v>
      </c>
      <c r="DU24" t="e">
        <f>AND(#REF!,"AAAAADul/Xw=")</f>
        <v>#REF!</v>
      </c>
      <c r="DV24" t="e">
        <f>AND(#REF!,"AAAAADul/X0=")</f>
        <v>#REF!</v>
      </c>
      <c r="DW24" t="e">
        <f>AND(#REF!,"AAAAADul/X4=")</f>
        <v>#REF!</v>
      </c>
      <c r="DX24" t="e">
        <f>AND(#REF!,"AAAAADul/X8=")</f>
        <v>#REF!</v>
      </c>
      <c r="DY24" t="e">
        <f>AND(#REF!,"AAAAADul/YA=")</f>
        <v>#REF!</v>
      </c>
      <c r="DZ24" t="e">
        <f>AND(#REF!,"AAAAADul/YE=")</f>
        <v>#REF!</v>
      </c>
      <c r="EA24" t="e">
        <f>AND(#REF!,"AAAAADul/YI=")</f>
        <v>#REF!</v>
      </c>
      <c r="EB24" t="e">
        <f>AND(#REF!,"AAAAADul/YM=")</f>
        <v>#REF!</v>
      </c>
      <c r="EC24" t="e">
        <f>AND(#REF!,"AAAAADul/YQ=")</f>
        <v>#REF!</v>
      </c>
      <c r="ED24" t="e">
        <f>AND(#REF!,"AAAAADul/YU=")</f>
        <v>#REF!</v>
      </c>
      <c r="EE24" t="e">
        <f>AND(#REF!,"AAAAADul/YY=")</f>
        <v>#REF!</v>
      </c>
      <c r="EF24" t="e">
        <f>AND(#REF!,"AAAAADul/Yc=")</f>
        <v>#REF!</v>
      </c>
      <c r="EG24" t="e">
        <f>AND(#REF!,"AAAAADul/Yg=")</f>
        <v>#REF!</v>
      </c>
      <c r="EH24" t="e">
        <f>AND(#REF!,"AAAAADul/Yk=")</f>
        <v>#REF!</v>
      </c>
      <c r="EI24" t="e">
        <f>AND(#REF!,"AAAAADul/Yo=")</f>
        <v>#REF!</v>
      </c>
      <c r="EJ24" t="e">
        <f>AND(#REF!,"AAAAADul/Ys=")</f>
        <v>#REF!</v>
      </c>
      <c r="EK24" t="e">
        <f>AND(#REF!,"AAAAADul/Yw=")</f>
        <v>#REF!</v>
      </c>
      <c r="EL24" t="e">
        <f>AND(#REF!,"AAAAADul/Y0=")</f>
        <v>#REF!</v>
      </c>
      <c r="EM24" t="e">
        <f>AND(#REF!,"AAAAADul/Y4=")</f>
        <v>#REF!</v>
      </c>
      <c r="EN24" t="e">
        <f>AND(#REF!,"AAAAADul/Y8=")</f>
        <v>#REF!</v>
      </c>
      <c r="EO24" t="e">
        <f>AND(#REF!,"AAAAADul/ZA=")</f>
        <v>#REF!</v>
      </c>
      <c r="EP24" t="e">
        <f>AND(#REF!,"AAAAADul/ZE=")</f>
        <v>#REF!</v>
      </c>
      <c r="EQ24" t="e">
        <f>AND(#REF!,"AAAAADul/ZI=")</f>
        <v>#REF!</v>
      </c>
      <c r="ER24" t="e">
        <f>AND(#REF!,"AAAAADul/ZM=")</f>
        <v>#REF!</v>
      </c>
      <c r="ES24" t="e">
        <f>IF(#REF!,"AAAAADul/ZQ=",0)</f>
        <v>#REF!</v>
      </c>
      <c r="ET24" t="e">
        <f>AND(#REF!,"AAAAADul/ZU=")</f>
        <v>#REF!</v>
      </c>
      <c r="EU24" t="e">
        <f>AND(#REF!,"AAAAADul/ZY=")</f>
        <v>#REF!</v>
      </c>
      <c r="EV24" t="e">
        <f>AND(#REF!,"AAAAADul/Zc=")</f>
        <v>#REF!</v>
      </c>
      <c r="EW24" t="e">
        <f>AND(#REF!,"AAAAADul/Zg=")</f>
        <v>#REF!</v>
      </c>
      <c r="EX24" t="e">
        <f>AND(#REF!,"AAAAADul/Zk=")</f>
        <v>#REF!</v>
      </c>
      <c r="EY24" t="e">
        <f>AND(#REF!,"AAAAADul/Zo=")</f>
        <v>#REF!</v>
      </c>
      <c r="EZ24" t="e">
        <f>AND(#REF!,"AAAAADul/Zs=")</f>
        <v>#REF!</v>
      </c>
      <c r="FA24" t="e">
        <f>AND(#REF!,"AAAAADul/Zw=")</f>
        <v>#REF!</v>
      </c>
      <c r="FB24" t="e">
        <f>AND(#REF!,"AAAAADul/Z0=")</f>
        <v>#REF!</v>
      </c>
      <c r="FC24" t="e">
        <f>AND(#REF!,"AAAAADul/Z4=")</f>
        <v>#REF!</v>
      </c>
      <c r="FD24" t="e">
        <f>AND(#REF!,"AAAAADul/Z8=")</f>
        <v>#REF!</v>
      </c>
      <c r="FE24" t="e">
        <f>AND(#REF!,"AAAAADul/aA=")</f>
        <v>#REF!</v>
      </c>
      <c r="FF24" t="e">
        <f>AND(#REF!,"AAAAADul/aE=")</f>
        <v>#REF!</v>
      </c>
      <c r="FG24" t="e">
        <f>AND(#REF!,"AAAAADul/aI=")</f>
        <v>#REF!</v>
      </c>
      <c r="FH24" t="e">
        <f>AND(#REF!,"AAAAADul/aM=")</f>
        <v>#REF!</v>
      </c>
      <c r="FI24" t="e">
        <f>AND(#REF!,"AAAAADul/aQ=")</f>
        <v>#REF!</v>
      </c>
      <c r="FJ24" t="e">
        <f>AND(#REF!,"AAAAADul/aU=")</f>
        <v>#REF!</v>
      </c>
      <c r="FK24" t="e">
        <f>AND(#REF!,"AAAAADul/aY=")</f>
        <v>#REF!</v>
      </c>
      <c r="FL24" t="e">
        <f>AND(#REF!,"AAAAADul/ac=")</f>
        <v>#REF!</v>
      </c>
      <c r="FM24" t="e">
        <f>AND(#REF!,"AAAAADul/ag=")</f>
        <v>#REF!</v>
      </c>
      <c r="FN24" t="e">
        <f>AND(#REF!,"AAAAADul/ak=")</f>
        <v>#REF!</v>
      </c>
      <c r="FO24" t="e">
        <f>AND(#REF!,"AAAAADul/ao=")</f>
        <v>#REF!</v>
      </c>
      <c r="FP24" t="e">
        <f>AND(#REF!,"AAAAADul/as=")</f>
        <v>#REF!</v>
      </c>
      <c r="FQ24" t="e">
        <f>AND(#REF!,"AAAAADul/aw=")</f>
        <v>#REF!</v>
      </c>
      <c r="FR24" t="e">
        <f>AND(#REF!,"AAAAADul/a0=")</f>
        <v>#REF!</v>
      </c>
      <c r="FS24" t="e">
        <f>AND(#REF!,"AAAAADul/a4=")</f>
        <v>#REF!</v>
      </c>
      <c r="FT24" t="e">
        <f>AND(#REF!,"AAAAADul/a8=")</f>
        <v>#REF!</v>
      </c>
      <c r="FU24" t="e">
        <f>AND(#REF!,"AAAAADul/bA=")</f>
        <v>#REF!</v>
      </c>
      <c r="FV24" t="e">
        <f>AND(#REF!,"AAAAADul/bE=")</f>
        <v>#REF!</v>
      </c>
      <c r="FW24" t="e">
        <f>AND(#REF!,"AAAAADul/bI=")</f>
        <v>#REF!</v>
      </c>
      <c r="FX24" t="e">
        <f>AND(#REF!,"AAAAADul/bM=")</f>
        <v>#REF!</v>
      </c>
      <c r="FY24" t="e">
        <f>AND(#REF!,"AAAAADul/bQ=")</f>
        <v>#REF!</v>
      </c>
      <c r="FZ24" t="e">
        <f>AND(#REF!,"AAAAADul/bU=")</f>
        <v>#REF!</v>
      </c>
      <c r="GA24" t="e">
        <f>AND(#REF!,"AAAAADul/bY=")</f>
        <v>#REF!</v>
      </c>
      <c r="GB24" t="e">
        <f>AND(#REF!,"AAAAADul/bc=")</f>
        <v>#REF!</v>
      </c>
      <c r="GC24" t="e">
        <f>IF(#REF!,"AAAAADul/bg=",0)</f>
        <v>#REF!</v>
      </c>
      <c r="GD24" t="e">
        <f>AND(#REF!,"AAAAADul/bk=")</f>
        <v>#REF!</v>
      </c>
      <c r="GE24" t="e">
        <f>AND(#REF!,"AAAAADul/bo=")</f>
        <v>#REF!</v>
      </c>
      <c r="GF24" t="e">
        <f>AND(#REF!,"AAAAADul/bs=")</f>
        <v>#REF!</v>
      </c>
      <c r="GG24" t="e">
        <f>AND(#REF!,"AAAAADul/bw=")</f>
        <v>#REF!</v>
      </c>
      <c r="GH24" t="e">
        <f>AND(#REF!,"AAAAADul/b0=")</f>
        <v>#REF!</v>
      </c>
      <c r="GI24" t="e">
        <f>AND(#REF!,"AAAAADul/b4=")</f>
        <v>#REF!</v>
      </c>
      <c r="GJ24" t="e">
        <f>AND(#REF!,"AAAAADul/b8=")</f>
        <v>#REF!</v>
      </c>
      <c r="GK24" t="e">
        <f>AND(#REF!,"AAAAADul/cA=")</f>
        <v>#REF!</v>
      </c>
      <c r="GL24" t="e">
        <f>AND(#REF!,"AAAAADul/cE=")</f>
        <v>#REF!</v>
      </c>
      <c r="GM24" t="e">
        <f>AND(#REF!,"AAAAADul/cI=")</f>
        <v>#REF!</v>
      </c>
      <c r="GN24" t="e">
        <f>AND(#REF!,"AAAAADul/cM=")</f>
        <v>#REF!</v>
      </c>
      <c r="GO24" t="e">
        <f>AND(#REF!,"AAAAADul/cQ=")</f>
        <v>#REF!</v>
      </c>
      <c r="GP24" t="e">
        <f>AND(#REF!,"AAAAADul/cU=")</f>
        <v>#REF!</v>
      </c>
      <c r="GQ24" t="e">
        <f>AND(#REF!,"AAAAADul/cY=")</f>
        <v>#REF!</v>
      </c>
      <c r="GR24" t="e">
        <f>AND(#REF!,"AAAAADul/cc=")</f>
        <v>#REF!</v>
      </c>
      <c r="GS24" t="e">
        <f>AND(#REF!,"AAAAADul/cg=")</f>
        <v>#REF!</v>
      </c>
      <c r="GT24" t="e">
        <f>AND(#REF!,"AAAAADul/ck=")</f>
        <v>#REF!</v>
      </c>
      <c r="GU24" t="e">
        <f>AND(#REF!,"AAAAADul/co=")</f>
        <v>#REF!</v>
      </c>
      <c r="GV24" t="e">
        <f>AND(#REF!,"AAAAADul/cs=")</f>
        <v>#REF!</v>
      </c>
      <c r="GW24" t="e">
        <f>AND(#REF!,"AAAAADul/cw=")</f>
        <v>#REF!</v>
      </c>
      <c r="GX24" t="e">
        <f>AND(#REF!,"AAAAADul/c0=")</f>
        <v>#REF!</v>
      </c>
      <c r="GY24" t="e">
        <f>AND(#REF!,"AAAAADul/c4=")</f>
        <v>#REF!</v>
      </c>
      <c r="GZ24" t="e">
        <f>AND(#REF!,"AAAAADul/c8=")</f>
        <v>#REF!</v>
      </c>
      <c r="HA24" t="e">
        <f>AND(#REF!,"AAAAADul/dA=")</f>
        <v>#REF!</v>
      </c>
      <c r="HB24" t="e">
        <f>AND(#REF!,"AAAAADul/dE=")</f>
        <v>#REF!</v>
      </c>
      <c r="HC24" t="e">
        <f>AND(#REF!,"AAAAADul/dI=")</f>
        <v>#REF!</v>
      </c>
      <c r="HD24" t="e">
        <f>AND(#REF!,"AAAAADul/dM=")</f>
        <v>#REF!</v>
      </c>
      <c r="HE24" t="e">
        <f>AND(#REF!,"AAAAADul/dQ=")</f>
        <v>#REF!</v>
      </c>
      <c r="HF24" t="e">
        <f>AND(#REF!,"AAAAADul/dU=")</f>
        <v>#REF!</v>
      </c>
      <c r="HG24" t="e">
        <f>AND(#REF!,"AAAAADul/dY=")</f>
        <v>#REF!</v>
      </c>
      <c r="HH24" t="e">
        <f>AND(#REF!,"AAAAADul/dc=")</f>
        <v>#REF!</v>
      </c>
      <c r="HI24" t="e">
        <f>AND(#REF!,"AAAAADul/dg=")</f>
        <v>#REF!</v>
      </c>
      <c r="HJ24" t="e">
        <f>AND(#REF!,"AAAAADul/dk=")</f>
        <v>#REF!</v>
      </c>
      <c r="HK24" t="e">
        <f>AND(#REF!,"AAAAADul/do=")</f>
        <v>#REF!</v>
      </c>
      <c r="HL24" t="e">
        <f>AND(#REF!,"AAAAADul/ds=")</f>
        <v>#REF!</v>
      </c>
      <c r="HM24" t="e">
        <f>IF(#REF!,"AAAAADul/dw=",0)</f>
        <v>#REF!</v>
      </c>
      <c r="HN24" t="e">
        <f>AND(#REF!,"AAAAADul/d0=")</f>
        <v>#REF!</v>
      </c>
      <c r="HO24" t="e">
        <f>AND(#REF!,"AAAAADul/d4=")</f>
        <v>#REF!</v>
      </c>
      <c r="HP24" t="e">
        <f>AND(#REF!,"AAAAADul/d8=")</f>
        <v>#REF!</v>
      </c>
      <c r="HQ24" t="e">
        <f>AND(#REF!,"AAAAADul/eA=")</f>
        <v>#REF!</v>
      </c>
      <c r="HR24" t="e">
        <f>AND(#REF!,"AAAAADul/eE=")</f>
        <v>#REF!</v>
      </c>
      <c r="HS24" t="e">
        <f>AND(#REF!,"AAAAADul/eI=")</f>
        <v>#REF!</v>
      </c>
      <c r="HT24" t="e">
        <f>AND(#REF!,"AAAAADul/eM=")</f>
        <v>#REF!</v>
      </c>
      <c r="HU24" t="e">
        <f>AND(#REF!,"AAAAADul/eQ=")</f>
        <v>#REF!</v>
      </c>
      <c r="HV24" t="e">
        <f>AND(#REF!,"AAAAADul/eU=")</f>
        <v>#REF!</v>
      </c>
      <c r="HW24" t="e">
        <f>AND(#REF!,"AAAAADul/eY=")</f>
        <v>#REF!</v>
      </c>
      <c r="HX24" t="e">
        <f>AND(#REF!,"AAAAADul/ec=")</f>
        <v>#REF!</v>
      </c>
      <c r="HY24" t="e">
        <f>AND(#REF!,"AAAAADul/eg=")</f>
        <v>#REF!</v>
      </c>
      <c r="HZ24" t="e">
        <f>AND(#REF!,"AAAAADul/ek=")</f>
        <v>#REF!</v>
      </c>
      <c r="IA24" t="e">
        <f>AND(#REF!,"AAAAADul/eo=")</f>
        <v>#REF!</v>
      </c>
      <c r="IB24" t="e">
        <f>AND(#REF!,"AAAAADul/es=")</f>
        <v>#REF!</v>
      </c>
      <c r="IC24" t="e">
        <f>AND(#REF!,"AAAAADul/ew=")</f>
        <v>#REF!</v>
      </c>
      <c r="ID24" t="e">
        <f>AND(#REF!,"AAAAADul/e0=")</f>
        <v>#REF!</v>
      </c>
      <c r="IE24" t="e">
        <f>AND(#REF!,"AAAAADul/e4=")</f>
        <v>#REF!</v>
      </c>
      <c r="IF24" t="e">
        <f>AND(#REF!,"AAAAADul/e8=")</f>
        <v>#REF!</v>
      </c>
      <c r="IG24" t="e">
        <f>AND(#REF!,"AAAAADul/fA=")</f>
        <v>#REF!</v>
      </c>
      <c r="IH24" t="e">
        <f>AND(#REF!,"AAAAADul/fE=")</f>
        <v>#REF!</v>
      </c>
      <c r="II24" t="e">
        <f>AND(#REF!,"AAAAADul/fI=")</f>
        <v>#REF!</v>
      </c>
      <c r="IJ24" t="e">
        <f>AND(#REF!,"AAAAADul/fM=")</f>
        <v>#REF!</v>
      </c>
      <c r="IK24" t="e">
        <f>AND(#REF!,"AAAAADul/fQ=")</f>
        <v>#REF!</v>
      </c>
      <c r="IL24" t="e">
        <f>AND(#REF!,"AAAAADul/fU=")</f>
        <v>#REF!</v>
      </c>
      <c r="IM24" t="e">
        <f>AND(#REF!,"AAAAADul/fY=")</f>
        <v>#REF!</v>
      </c>
      <c r="IN24" t="e">
        <f>AND(#REF!,"AAAAADul/fc=")</f>
        <v>#REF!</v>
      </c>
      <c r="IO24" t="e">
        <f>AND(#REF!,"AAAAADul/fg=")</f>
        <v>#REF!</v>
      </c>
      <c r="IP24" t="e">
        <f>AND(#REF!,"AAAAADul/fk=")</f>
        <v>#REF!</v>
      </c>
      <c r="IQ24" t="e">
        <f>AND(#REF!,"AAAAADul/fo=")</f>
        <v>#REF!</v>
      </c>
      <c r="IR24" t="e">
        <f>AND(#REF!,"AAAAADul/fs=")</f>
        <v>#REF!</v>
      </c>
      <c r="IS24" t="e">
        <f>AND(#REF!,"AAAAADul/fw=")</f>
        <v>#REF!</v>
      </c>
      <c r="IT24" t="e">
        <f>AND(#REF!,"AAAAADul/f0=")</f>
        <v>#REF!</v>
      </c>
      <c r="IU24" t="e">
        <f>AND(#REF!,"AAAAADul/f4=")</f>
        <v>#REF!</v>
      </c>
      <c r="IV24" t="e">
        <f>AND(#REF!,"AAAAADul/f8=")</f>
        <v>#REF!</v>
      </c>
    </row>
    <row r="25" spans="1:256">
      <c r="A25" t="e">
        <f>IF(#REF!,"AAAAAFd7jgA=",0)</f>
        <v>#REF!</v>
      </c>
      <c r="B25" t="e">
        <f>AND(#REF!,"AAAAAFd7jgE=")</f>
        <v>#REF!</v>
      </c>
      <c r="C25" t="e">
        <f>AND(#REF!,"AAAAAFd7jgI=")</f>
        <v>#REF!</v>
      </c>
      <c r="D25" t="e">
        <f>AND(#REF!,"AAAAAFd7jgM=")</f>
        <v>#REF!</v>
      </c>
      <c r="E25" t="e">
        <f>AND(#REF!,"AAAAAFd7jgQ=")</f>
        <v>#REF!</v>
      </c>
      <c r="F25" t="e">
        <f>AND(#REF!,"AAAAAFd7jgU=")</f>
        <v>#REF!</v>
      </c>
      <c r="G25" t="e">
        <f>AND(#REF!,"AAAAAFd7jgY=")</f>
        <v>#REF!</v>
      </c>
      <c r="H25" t="e">
        <f>AND(#REF!,"AAAAAFd7jgc=")</f>
        <v>#REF!</v>
      </c>
      <c r="I25" t="e">
        <f>AND(#REF!,"AAAAAFd7jgg=")</f>
        <v>#REF!</v>
      </c>
      <c r="J25" t="e">
        <f>AND(#REF!,"AAAAAFd7jgk=")</f>
        <v>#REF!</v>
      </c>
      <c r="K25" t="e">
        <f>AND(#REF!,"AAAAAFd7jgo=")</f>
        <v>#REF!</v>
      </c>
      <c r="L25" t="e">
        <f>AND(#REF!,"AAAAAFd7jgs=")</f>
        <v>#REF!</v>
      </c>
      <c r="M25" t="e">
        <f>AND(#REF!,"AAAAAFd7jgw=")</f>
        <v>#REF!</v>
      </c>
      <c r="N25" t="e">
        <f>AND(#REF!,"AAAAAFd7jg0=")</f>
        <v>#REF!</v>
      </c>
      <c r="O25" t="e">
        <f>AND(#REF!,"AAAAAFd7jg4=")</f>
        <v>#REF!</v>
      </c>
      <c r="P25" t="e">
        <f>AND(#REF!,"AAAAAFd7jg8=")</f>
        <v>#REF!</v>
      </c>
      <c r="Q25" t="e">
        <f>AND(#REF!,"AAAAAFd7jhA=")</f>
        <v>#REF!</v>
      </c>
      <c r="R25" t="e">
        <f>AND(#REF!,"AAAAAFd7jhE=")</f>
        <v>#REF!</v>
      </c>
      <c r="S25" t="e">
        <f>AND(#REF!,"AAAAAFd7jhI=")</f>
        <v>#REF!</v>
      </c>
      <c r="T25" t="e">
        <f>AND(#REF!,"AAAAAFd7jhM=")</f>
        <v>#REF!</v>
      </c>
      <c r="U25" t="e">
        <f>AND(#REF!,"AAAAAFd7jhQ=")</f>
        <v>#REF!</v>
      </c>
      <c r="V25" t="e">
        <f>AND(#REF!,"AAAAAFd7jhU=")</f>
        <v>#REF!</v>
      </c>
      <c r="W25" t="e">
        <f>AND(#REF!,"AAAAAFd7jhY=")</f>
        <v>#REF!</v>
      </c>
      <c r="X25" t="e">
        <f>AND(#REF!,"AAAAAFd7jhc=")</f>
        <v>#REF!</v>
      </c>
      <c r="Y25" t="e">
        <f>AND(#REF!,"AAAAAFd7jhg=")</f>
        <v>#REF!</v>
      </c>
      <c r="Z25" t="e">
        <f>AND(#REF!,"AAAAAFd7jhk=")</f>
        <v>#REF!</v>
      </c>
      <c r="AA25" t="e">
        <f>AND(#REF!,"AAAAAFd7jho=")</f>
        <v>#REF!</v>
      </c>
      <c r="AB25" t="e">
        <f>AND(#REF!,"AAAAAFd7jhs=")</f>
        <v>#REF!</v>
      </c>
      <c r="AC25" t="e">
        <f>AND(#REF!,"AAAAAFd7jhw=")</f>
        <v>#REF!</v>
      </c>
      <c r="AD25" t="e">
        <f>AND(#REF!,"AAAAAFd7jh0=")</f>
        <v>#REF!</v>
      </c>
      <c r="AE25" t="e">
        <f>AND(#REF!,"AAAAAFd7jh4=")</f>
        <v>#REF!</v>
      </c>
      <c r="AF25" t="e">
        <f>AND(#REF!,"AAAAAFd7jh8=")</f>
        <v>#REF!</v>
      </c>
      <c r="AG25" t="e">
        <f>AND(#REF!,"AAAAAFd7jiA=")</f>
        <v>#REF!</v>
      </c>
      <c r="AH25" t="e">
        <f>AND(#REF!,"AAAAAFd7jiE=")</f>
        <v>#REF!</v>
      </c>
      <c r="AI25" t="e">
        <f>AND(#REF!,"AAAAAFd7jiI=")</f>
        <v>#REF!</v>
      </c>
      <c r="AJ25" t="e">
        <f>AND(#REF!,"AAAAAFd7jiM=")</f>
        <v>#REF!</v>
      </c>
      <c r="AK25" t="e">
        <f>IF(#REF!,"AAAAAFd7jiQ=",0)</f>
        <v>#REF!</v>
      </c>
      <c r="AL25" t="e">
        <f>AND(#REF!,"AAAAAFd7jiU=")</f>
        <v>#REF!</v>
      </c>
      <c r="AM25" t="e">
        <f>AND(#REF!,"AAAAAFd7jiY=")</f>
        <v>#REF!</v>
      </c>
      <c r="AN25" t="e">
        <f>AND(#REF!,"AAAAAFd7jic=")</f>
        <v>#REF!</v>
      </c>
      <c r="AO25" t="e">
        <f>AND(#REF!,"AAAAAFd7jig=")</f>
        <v>#REF!</v>
      </c>
      <c r="AP25" t="e">
        <f>AND(#REF!,"AAAAAFd7jik=")</f>
        <v>#REF!</v>
      </c>
      <c r="AQ25" t="e">
        <f>AND(#REF!,"AAAAAFd7jio=")</f>
        <v>#REF!</v>
      </c>
      <c r="AR25" t="e">
        <f>AND(#REF!,"AAAAAFd7jis=")</f>
        <v>#REF!</v>
      </c>
      <c r="AS25" t="e">
        <f>AND(#REF!,"AAAAAFd7jiw=")</f>
        <v>#REF!</v>
      </c>
      <c r="AT25" t="e">
        <f>AND(#REF!,"AAAAAFd7ji0=")</f>
        <v>#REF!</v>
      </c>
      <c r="AU25" t="e">
        <f>AND(#REF!,"AAAAAFd7ji4=")</f>
        <v>#REF!</v>
      </c>
      <c r="AV25" t="e">
        <f>AND(#REF!,"AAAAAFd7ji8=")</f>
        <v>#REF!</v>
      </c>
      <c r="AW25" t="e">
        <f>AND(#REF!,"AAAAAFd7jjA=")</f>
        <v>#REF!</v>
      </c>
      <c r="AX25" t="e">
        <f>AND(#REF!,"AAAAAFd7jjE=")</f>
        <v>#REF!</v>
      </c>
      <c r="AY25" t="e">
        <f>AND(#REF!,"AAAAAFd7jjI=")</f>
        <v>#REF!</v>
      </c>
      <c r="AZ25" t="e">
        <f>AND(#REF!,"AAAAAFd7jjM=")</f>
        <v>#REF!</v>
      </c>
      <c r="BA25" t="e">
        <f>AND(#REF!,"AAAAAFd7jjQ=")</f>
        <v>#REF!</v>
      </c>
      <c r="BB25" t="e">
        <f>AND(#REF!,"AAAAAFd7jjU=")</f>
        <v>#REF!</v>
      </c>
      <c r="BC25" t="e">
        <f>AND(#REF!,"AAAAAFd7jjY=")</f>
        <v>#REF!</v>
      </c>
      <c r="BD25" t="e">
        <f>AND(#REF!,"AAAAAFd7jjc=")</f>
        <v>#REF!</v>
      </c>
      <c r="BE25" t="e">
        <f>AND(#REF!,"AAAAAFd7jjg=")</f>
        <v>#REF!</v>
      </c>
      <c r="BF25" t="e">
        <f>AND(#REF!,"AAAAAFd7jjk=")</f>
        <v>#REF!</v>
      </c>
      <c r="BG25" t="e">
        <f>AND(#REF!,"AAAAAFd7jjo=")</f>
        <v>#REF!</v>
      </c>
      <c r="BH25" t="e">
        <f>AND(#REF!,"AAAAAFd7jjs=")</f>
        <v>#REF!</v>
      </c>
      <c r="BI25" t="e">
        <f>AND(#REF!,"AAAAAFd7jjw=")</f>
        <v>#REF!</v>
      </c>
      <c r="BJ25" t="e">
        <f>AND(#REF!,"AAAAAFd7jj0=")</f>
        <v>#REF!</v>
      </c>
      <c r="BK25" t="e">
        <f>AND(#REF!,"AAAAAFd7jj4=")</f>
        <v>#REF!</v>
      </c>
      <c r="BL25" t="e">
        <f>AND(#REF!,"AAAAAFd7jj8=")</f>
        <v>#REF!</v>
      </c>
      <c r="BM25" t="e">
        <f>AND(#REF!,"AAAAAFd7jkA=")</f>
        <v>#REF!</v>
      </c>
      <c r="BN25" t="e">
        <f>AND(#REF!,"AAAAAFd7jkE=")</f>
        <v>#REF!</v>
      </c>
      <c r="BO25" t="e">
        <f>AND(#REF!,"AAAAAFd7jkI=")</f>
        <v>#REF!</v>
      </c>
      <c r="BP25" t="e">
        <f>AND(#REF!,"AAAAAFd7jkM=")</f>
        <v>#REF!</v>
      </c>
      <c r="BQ25" t="e">
        <f>AND(#REF!,"AAAAAFd7jkQ=")</f>
        <v>#REF!</v>
      </c>
      <c r="BR25" t="e">
        <f>AND(#REF!,"AAAAAFd7jkU=")</f>
        <v>#REF!</v>
      </c>
      <c r="BS25" t="e">
        <f>AND(#REF!,"AAAAAFd7jkY=")</f>
        <v>#REF!</v>
      </c>
      <c r="BT25" t="e">
        <f>AND(#REF!,"AAAAAFd7jkc=")</f>
        <v>#REF!</v>
      </c>
      <c r="BU25" t="e">
        <f>IF(#REF!,"AAAAAFd7jkg=",0)</f>
        <v>#REF!</v>
      </c>
      <c r="BV25" t="e">
        <f>AND(#REF!,"AAAAAFd7jkk=")</f>
        <v>#REF!</v>
      </c>
      <c r="BW25" t="e">
        <f>AND(#REF!,"AAAAAFd7jko=")</f>
        <v>#REF!</v>
      </c>
      <c r="BX25" t="e">
        <f>AND(#REF!,"AAAAAFd7jks=")</f>
        <v>#REF!</v>
      </c>
      <c r="BY25" t="e">
        <f>AND(#REF!,"AAAAAFd7jkw=")</f>
        <v>#REF!</v>
      </c>
      <c r="BZ25" t="e">
        <f>AND(#REF!,"AAAAAFd7jk0=")</f>
        <v>#REF!</v>
      </c>
      <c r="CA25" t="e">
        <f>AND(#REF!,"AAAAAFd7jk4=")</f>
        <v>#REF!</v>
      </c>
      <c r="CB25" t="e">
        <f>AND(#REF!,"AAAAAFd7jk8=")</f>
        <v>#REF!</v>
      </c>
      <c r="CC25" t="e">
        <f>AND(#REF!,"AAAAAFd7jlA=")</f>
        <v>#REF!</v>
      </c>
      <c r="CD25" t="e">
        <f>AND(#REF!,"AAAAAFd7jlE=")</f>
        <v>#REF!</v>
      </c>
      <c r="CE25" t="e">
        <f>AND(#REF!,"AAAAAFd7jlI=")</f>
        <v>#REF!</v>
      </c>
      <c r="CF25" t="e">
        <f>AND(#REF!,"AAAAAFd7jlM=")</f>
        <v>#REF!</v>
      </c>
      <c r="CG25" t="e">
        <f>AND(#REF!,"AAAAAFd7jlQ=")</f>
        <v>#REF!</v>
      </c>
      <c r="CH25" t="e">
        <f>AND(#REF!,"AAAAAFd7jlU=")</f>
        <v>#REF!</v>
      </c>
      <c r="CI25" t="e">
        <f>AND(#REF!,"AAAAAFd7jlY=")</f>
        <v>#REF!</v>
      </c>
      <c r="CJ25" t="e">
        <f>AND(#REF!,"AAAAAFd7jlc=")</f>
        <v>#REF!</v>
      </c>
      <c r="CK25" t="e">
        <f>AND(#REF!,"AAAAAFd7jlg=")</f>
        <v>#REF!</v>
      </c>
      <c r="CL25" t="e">
        <f>AND(#REF!,"AAAAAFd7jlk=")</f>
        <v>#REF!</v>
      </c>
      <c r="CM25" t="e">
        <f>AND(#REF!,"AAAAAFd7jlo=")</f>
        <v>#REF!</v>
      </c>
      <c r="CN25" t="e">
        <f>AND(#REF!,"AAAAAFd7jls=")</f>
        <v>#REF!</v>
      </c>
      <c r="CO25" t="e">
        <f>AND(#REF!,"AAAAAFd7jlw=")</f>
        <v>#REF!</v>
      </c>
      <c r="CP25" t="e">
        <f>AND(#REF!,"AAAAAFd7jl0=")</f>
        <v>#REF!</v>
      </c>
      <c r="CQ25" t="e">
        <f>AND(#REF!,"AAAAAFd7jl4=")</f>
        <v>#REF!</v>
      </c>
      <c r="CR25" t="e">
        <f>AND(#REF!,"AAAAAFd7jl8=")</f>
        <v>#REF!</v>
      </c>
      <c r="CS25" t="e">
        <f>AND(#REF!,"AAAAAFd7jmA=")</f>
        <v>#REF!</v>
      </c>
      <c r="CT25" t="e">
        <f>AND(#REF!,"AAAAAFd7jmE=")</f>
        <v>#REF!</v>
      </c>
      <c r="CU25" t="e">
        <f>AND(#REF!,"AAAAAFd7jmI=")</f>
        <v>#REF!</v>
      </c>
      <c r="CV25" t="e">
        <f>AND(#REF!,"AAAAAFd7jmM=")</f>
        <v>#REF!</v>
      </c>
      <c r="CW25" t="e">
        <f>AND(#REF!,"AAAAAFd7jmQ=")</f>
        <v>#REF!</v>
      </c>
      <c r="CX25" t="e">
        <f>AND(#REF!,"AAAAAFd7jmU=")</f>
        <v>#REF!</v>
      </c>
      <c r="CY25" t="e">
        <f>AND(#REF!,"AAAAAFd7jmY=")</f>
        <v>#REF!</v>
      </c>
      <c r="CZ25" t="e">
        <f>AND(#REF!,"AAAAAFd7jmc=")</f>
        <v>#REF!</v>
      </c>
      <c r="DA25" t="e">
        <f>AND(#REF!,"AAAAAFd7jmg=")</f>
        <v>#REF!</v>
      </c>
      <c r="DB25" t="e">
        <f>AND(#REF!,"AAAAAFd7jmk=")</f>
        <v>#REF!</v>
      </c>
      <c r="DC25" t="e">
        <f>AND(#REF!,"AAAAAFd7jmo=")</f>
        <v>#REF!</v>
      </c>
      <c r="DD25" t="e">
        <f>AND(#REF!,"AAAAAFd7jms=")</f>
        <v>#REF!</v>
      </c>
      <c r="DE25" t="e">
        <f>IF(#REF!,"AAAAAFd7jmw=",0)</f>
        <v>#REF!</v>
      </c>
      <c r="DF25" t="e">
        <f>AND(#REF!,"AAAAAFd7jm0=")</f>
        <v>#REF!</v>
      </c>
      <c r="DG25" t="e">
        <f>AND(#REF!,"AAAAAFd7jm4=")</f>
        <v>#REF!</v>
      </c>
      <c r="DH25" t="e">
        <f>AND(#REF!,"AAAAAFd7jm8=")</f>
        <v>#REF!</v>
      </c>
      <c r="DI25" t="e">
        <f>AND(#REF!,"AAAAAFd7jnA=")</f>
        <v>#REF!</v>
      </c>
      <c r="DJ25" t="e">
        <f>AND(#REF!,"AAAAAFd7jnE=")</f>
        <v>#REF!</v>
      </c>
      <c r="DK25" t="e">
        <f>AND(#REF!,"AAAAAFd7jnI=")</f>
        <v>#REF!</v>
      </c>
      <c r="DL25" t="e">
        <f>AND(#REF!,"AAAAAFd7jnM=")</f>
        <v>#REF!</v>
      </c>
      <c r="DM25" t="e">
        <f>AND(#REF!,"AAAAAFd7jnQ=")</f>
        <v>#REF!</v>
      </c>
      <c r="DN25" t="e">
        <f>AND(#REF!,"AAAAAFd7jnU=")</f>
        <v>#REF!</v>
      </c>
      <c r="DO25" t="e">
        <f>AND(#REF!,"AAAAAFd7jnY=")</f>
        <v>#REF!</v>
      </c>
      <c r="DP25" t="e">
        <f>AND(#REF!,"AAAAAFd7jnc=")</f>
        <v>#REF!</v>
      </c>
      <c r="DQ25" t="e">
        <f>AND(#REF!,"AAAAAFd7jng=")</f>
        <v>#REF!</v>
      </c>
      <c r="DR25" t="e">
        <f>AND(#REF!,"AAAAAFd7jnk=")</f>
        <v>#REF!</v>
      </c>
      <c r="DS25" t="e">
        <f>AND(#REF!,"AAAAAFd7jno=")</f>
        <v>#REF!</v>
      </c>
      <c r="DT25" t="e">
        <f>AND(#REF!,"AAAAAFd7jns=")</f>
        <v>#REF!</v>
      </c>
      <c r="DU25" t="e">
        <f>AND(#REF!,"AAAAAFd7jnw=")</f>
        <v>#REF!</v>
      </c>
      <c r="DV25" t="e">
        <f>AND(#REF!,"AAAAAFd7jn0=")</f>
        <v>#REF!</v>
      </c>
      <c r="DW25" t="e">
        <f>AND(#REF!,"AAAAAFd7jn4=")</f>
        <v>#REF!</v>
      </c>
      <c r="DX25" t="e">
        <f>AND(#REF!,"AAAAAFd7jn8=")</f>
        <v>#REF!</v>
      </c>
      <c r="DY25" t="e">
        <f>AND(#REF!,"AAAAAFd7joA=")</f>
        <v>#REF!</v>
      </c>
      <c r="DZ25" t="e">
        <f>AND(#REF!,"AAAAAFd7joE=")</f>
        <v>#REF!</v>
      </c>
      <c r="EA25" t="e">
        <f>AND(#REF!,"AAAAAFd7joI=")</f>
        <v>#REF!</v>
      </c>
      <c r="EB25" t="e">
        <f>AND(#REF!,"AAAAAFd7joM=")</f>
        <v>#REF!</v>
      </c>
      <c r="EC25" t="e">
        <f>AND(#REF!,"AAAAAFd7joQ=")</f>
        <v>#REF!</v>
      </c>
      <c r="ED25" t="e">
        <f>AND(#REF!,"AAAAAFd7joU=")</f>
        <v>#REF!</v>
      </c>
      <c r="EE25" t="e">
        <f>AND(#REF!,"AAAAAFd7joY=")</f>
        <v>#REF!</v>
      </c>
      <c r="EF25" t="e">
        <f>AND(#REF!,"AAAAAFd7joc=")</f>
        <v>#REF!</v>
      </c>
      <c r="EG25" t="e">
        <f>AND(#REF!,"AAAAAFd7jog=")</f>
        <v>#REF!</v>
      </c>
      <c r="EH25" t="e">
        <f>AND(#REF!,"AAAAAFd7jok=")</f>
        <v>#REF!</v>
      </c>
      <c r="EI25" t="e">
        <f>AND(#REF!,"AAAAAFd7joo=")</f>
        <v>#REF!</v>
      </c>
      <c r="EJ25" t="e">
        <f>AND(#REF!,"AAAAAFd7jos=")</f>
        <v>#REF!</v>
      </c>
      <c r="EK25" t="e">
        <f>AND(#REF!,"AAAAAFd7jow=")</f>
        <v>#REF!</v>
      </c>
      <c r="EL25" t="e">
        <f>AND(#REF!,"AAAAAFd7jo0=")</f>
        <v>#REF!</v>
      </c>
      <c r="EM25" t="e">
        <f>AND(#REF!,"AAAAAFd7jo4=")</f>
        <v>#REF!</v>
      </c>
      <c r="EN25" t="e">
        <f>AND(#REF!,"AAAAAFd7jo8=")</f>
        <v>#REF!</v>
      </c>
      <c r="EO25" t="e">
        <f>IF(#REF!,"AAAAAFd7jpA=",0)</f>
        <v>#REF!</v>
      </c>
      <c r="EP25" t="e">
        <f>IF(#REF!,"AAAAAFd7jpE=",0)</f>
        <v>#REF!</v>
      </c>
      <c r="EQ25" t="e">
        <f>IF(#REF!,"AAAAAFd7jpI=",0)</f>
        <v>#REF!</v>
      </c>
      <c r="ER25" t="e">
        <f>IF(#REF!,"AAAAAFd7jpM=",0)</f>
        <v>#REF!</v>
      </c>
      <c r="ES25" t="e">
        <f>IF(#REF!,"AAAAAFd7jpQ=",0)</f>
        <v>#REF!</v>
      </c>
      <c r="ET25" t="e">
        <f>IF(#REF!,"AAAAAFd7jpU=",0)</f>
        <v>#REF!</v>
      </c>
      <c r="EU25" t="e">
        <f>IF(#REF!,"AAAAAFd7jpY=",0)</f>
        <v>#REF!</v>
      </c>
      <c r="EV25" t="e">
        <f>IF(#REF!,"AAAAAFd7jpc=",0)</f>
        <v>#REF!</v>
      </c>
      <c r="EW25" t="e">
        <f>IF(#REF!,"AAAAAFd7jpg=",0)</f>
        <v>#REF!</v>
      </c>
      <c r="EX25" t="e">
        <f>IF(#REF!,"AAAAAFd7jpk=",0)</f>
        <v>#REF!</v>
      </c>
      <c r="EY25" t="e">
        <f>IF(#REF!,"AAAAAFd7jpo=",0)</f>
        <v>#REF!</v>
      </c>
      <c r="EZ25" t="e">
        <f>IF(#REF!,"AAAAAFd7jps=",0)</f>
        <v>#REF!</v>
      </c>
      <c r="FA25" t="e">
        <f>IF(#REF!,"AAAAAFd7jpw=",0)</f>
        <v>#REF!</v>
      </c>
      <c r="FB25" t="e">
        <f>IF(#REF!,"AAAAAFd7jp0=",0)</f>
        <v>#REF!</v>
      </c>
      <c r="FC25" t="e">
        <f>IF(#REF!,"AAAAAFd7jp4=",0)</f>
        <v>#REF!</v>
      </c>
      <c r="FD25" t="e">
        <f>IF(#REF!,"AAAAAFd7jp8=",0)</f>
        <v>#REF!</v>
      </c>
      <c r="FE25" t="e">
        <f>IF(#REF!,"AAAAAFd7jqA=",0)</f>
        <v>#REF!</v>
      </c>
      <c r="FF25" t="e">
        <f>IF(#REF!,"AAAAAFd7jqE=",0)</f>
        <v>#REF!</v>
      </c>
      <c r="FG25" t="e">
        <f>IF(#REF!,"AAAAAFd7jqI=",0)</f>
        <v>#REF!</v>
      </c>
      <c r="FH25" t="e">
        <f>IF(#REF!,"AAAAAFd7jqM=",0)</f>
        <v>#REF!</v>
      </c>
      <c r="FI25" t="e">
        <f>IF(#REF!,"AAAAAFd7jqQ=",0)</f>
        <v>#REF!</v>
      </c>
      <c r="FJ25" t="e">
        <f>IF(#REF!,"AAAAAFd7jqU=",0)</f>
        <v>#REF!</v>
      </c>
      <c r="FK25" t="e">
        <f>IF(#REF!,"AAAAAFd7jqY=",0)</f>
        <v>#REF!</v>
      </c>
      <c r="FL25" t="e">
        <f>IF(#REF!,"AAAAAFd7jqc=",0)</f>
        <v>#REF!</v>
      </c>
      <c r="FM25" t="e">
        <f>IF(#REF!,"AAAAAFd7jqg=",0)</f>
        <v>#REF!</v>
      </c>
      <c r="FN25" t="e">
        <f>IF(#REF!,"AAAAAFd7jqk=",0)</f>
        <v>#REF!</v>
      </c>
      <c r="FO25" t="e">
        <f>IF(#REF!,"AAAAAFd7jqo=",0)</f>
        <v>#REF!</v>
      </c>
      <c r="FP25" t="e">
        <f>IF(#REF!,"AAAAAFd7jqs=",0)</f>
        <v>#REF!</v>
      </c>
      <c r="FQ25" t="e">
        <f>IF(#REF!,"AAAAAFd7jqw=",0)</f>
        <v>#REF!</v>
      </c>
      <c r="FR25" t="e">
        <f>IF(#REF!,"AAAAAFd7jq0=",0)</f>
        <v>#REF!</v>
      </c>
      <c r="FS25" t="e">
        <f>IF(#REF!,"AAAAAFd7jq4=",0)</f>
        <v>#REF!</v>
      </c>
      <c r="FT25" t="e">
        <f>IF(#REF!,"AAAAAFd7jq8=",0)</f>
        <v>#REF!</v>
      </c>
      <c r="FU25" t="e">
        <f>IF(#REF!,"AAAAAFd7jrA=",0)</f>
        <v>#REF!</v>
      </c>
      <c r="FV25" t="e">
        <f>IF(#REF!,"AAAAAFd7jrE=",0)</f>
        <v>#REF!</v>
      </c>
      <c r="FW25" t="e">
        <f>IF(#REF!,"AAAAAFd7jrI=",0)</f>
        <v>#REF!</v>
      </c>
      <c r="FX25" t="e">
        <f>IF(#REF!,"AAAAAFd7jrM=",0)</f>
        <v>#REF!</v>
      </c>
      <c r="FY25" t="e">
        <f>IF(#REF!,"AAAAAFd7jrQ=",0)</f>
        <v>#REF!</v>
      </c>
      <c r="FZ25" t="e">
        <f>IF(#REF!,"AAAAAFd7jrU=",0)</f>
        <v>#REF!</v>
      </c>
      <c r="GA25" t="e">
        <f>IF(#REF!,"AAAAAFd7jrY=",0)</f>
        <v>#REF!</v>
      </c>
      <c r="GB25" t="e">
        <f>IF(#REF!,"AAAAAFd7jrc=",0)</f>
        <v>#REF!</v>
      </c>
      <c r="GC25" t="e">
        <f>IF(#REF!,"AAAAAFd7jrg=",0)</f>
        <v>#REF!</v>
      </c>
      <c r="GD25" t="e">
        <f>IF(#REF!,"AAAAAFd7jrk=",0)</f>
        <v>#REF!</v>
      </c>
      <c r="GE25" t="e">
        <f>IF(#REF!,"AAAAAFd7jro=",0)</f>
        <v>#REF!</v>
      </c>
      <c r="GF25" t="e">
        <f>IF(#REF!,"AAAAAFd7jrs=",0)</f>
        <v>#REF!</v>
      </c>
      <c r="GG25" t="e">
        <f>IF(#REF!,"AAAAAFd7jrw=",0)</f>
        <v>#REF!</v>
      </c>
      <c r="GH25" t="e">
        <f>IF(#REF!,"AAAAAFd7jr0=",0)</f>
        <v>#REF!</v>
      </c>
      <c r="GI25" t="e">
        <f>IF(#REF!,"AAAAAFd7jr4=",0)</f>
        <v>#REF!</v>
      </c>
      <c r="GJ25" t="e">
        <f>IF(#REF!,"AAAAAFd7jr8=",0)</f>
        <v>#REF!</v>
      </c>
      <c r="GK25" t="e">
        <f>IF(#REF!,"AAAAAFd7jsA=",0)</f>
        <v>#REF!</v>
      </c>
      <c r="GL25" t="e">
        <f>IF(#REF!,"AAAAAFd7jsE=",0)</f>
        <v>#REF!</v>
      </c>
      <c r="GM25" t="e">
        <f>IF(#REF!,"AAAAAFd7jsI=",0)</f>
        <v>#REF!</v>
      </c>
      <c r="GN25" t="e">
        <f>IF(#REF!,"AAAAAFd7jsM=",0)</f>
        <v>#REF!</v>
      </c>
      <c r="GO25" t="e">
        <f>IF(#REF!,"AAAAAFd7jsQ=",0)</f>
        <v>#REF!</v>
      </c>
      <c r="GP25" t="e">
        <f>IF(#REF!,"AAAAAFd7jsU=",0)</f>
        <v>#REF!</v>
      </c>
      <c r="GQ25" t="e">
        <f>IF(#REF!,"AAAAAFd7jsY=",0)</f>
        <v>#REF!</v>
      </c>
      <c r="GR25" t="e">
        <f>IF(#REF!,"AAAAAFd7jsc=",0)</f>
        <v>#REF!</v>
      </c>
      <c r="GS25" t="e">
        <f>IF(#REF!,"AAAAAFd7jsg=",0)</f>
        <v>#REF!</v>
      </c>
      <c r="GT25" t="e">
        <f>AND(#REF!,"AAAAAFd7jsk=")</f>
        <v>#REF!</v>
      </c>
      <c r="GU25" t="e">
        <f>AND(#REF!,"AAAAAFd7jso=")</f>
        <v>#REF!</v>
      </c>
      <c r="GV25" t="e">
        <f>AND(#REF!,"AAAAAFd7jss=")</f>
        <v>#REF!</v>
      </c>
      <c r="GW25" t="e">
        <f>AND(#REF!,"AAAAAFd7jsw=")</f>
        <v>#REF!</v>
      </c>
      <c r="GX25" t="e">
        <f>AND(#REF!,"AAAAAFd7js0=")</f>
        <v>#REF!</v>
      </c>
      <c r="GY25" t="e">
        <f>AND(#REF!,"AAAAAFd7js4=")</f>
        <v>#REF!</v>
      </c>
      <c r="GZ25" t="e">
        <f>AND(#REF!,"AAAAAFd7js8=")</f>
        <v>#REF!</v>
      </c>
      <c r="HA25" t="e">
        <f>AND(#REF!,"AAAAAFd7jtA=")</f>
        <v>#REF!</v>
      </c>
      <c r="HB25" t="e">
        <f>AND(#REF!,"AAAAAFd7jtE=")</f>
        <v>#REF!</v>
      </c>
      <c r="HC25" t="e">
        <f>AND(#REF!,"AAAAAFd7jtI=")</f>
        <v>#REF!</v>
      </c>
      <c r="HD25" t="e">
        <f>AND(#REF!,"AAAAAFd7jtM=")</f>
        <v>#REF!</v>
      </c>
      <c r="HE25" t="e">
        <f>AND(#REF!,"AAAAAFd7jtQ=")</f>
        <v>#REF!</v>
      </c>
      <c r="HF25" t="e">
        <f>AND(#REF!,"AAAAAFd7jtU=")</f>
        <v>#REF!</v>
      </c>
      <c r="HG25" t="e">
        <f>AND(#REF!,"AAAAAFd7jtY=")</f>
        <v>#REF!</v>
      </c>
      <c r="HH25" t="e">
        <f>AND(#REF!,"AAAAAFd7jtc=")</f>
        <v>#REF!</v>
      </c>
      <c r="HI25" t="e">
        <f>AND(#REF!,"AAAAAFd7jtg=")</f>
        <v>#REF!</v>
      </c>
      <c r="HJ25" t="e">
        <f>AND(#REF!,"AAAAAFd7jtk=")</f>
        <v>#REF!</v>
      </c>
      <c r="HK25" t="e">
        <f>AND(#REF!,"AAAAAFd7jto=")</f>
        <v>#REF!</v>
      </c>
      <c r="HL25" t="e">
        <f>AND(#REF!,"AAAAAFd7jts=")</f>
        <v>#REF!</v>
      </c>
      <c r="HM25" t="e">
        <f>AND(#REF!,"AAAAAFd7jtw=")</f>
        <v>#REF!</v>
      </c>
      <c r="HN25" t="e">
        <f>AND(#REF!,"AAAAAFd7jt0=")</f>
        <v>#REF!</v>
      </c>
      <c r="HO25" t="e">
        <f>AND(#REF!,"AAAAAFd7jt4=")</f>
        <v>#REF!</v>
      </c>
      <c r="HP25" t="e">
        <f>AND(#REF!,"AAAAAFd7jt8=")</f>
        <v>#REF!</v>
      </c>
      <c r="HQ25" t="e">
        <f>AND(#REF!,"AAAAAFd7juA=")</f>
        <v>#REF!</v>
      </c>
      <c r="HR25" t="e">
        <f>AND(#REF!,"AAAAAFd7juE=")</f>
        <v>#REF!</v>
      </c>
      <c r="HS25" t="e">
        <f>AND(#REF!,"AAAAAFd7juI=")</f>
        <v>#REF!</v>
      </c>
      <c r="HT25" t="e">
        <f>AND(#REF!,"AAAAAFd7juM=")</f>
        <v>#REF!</v>
      </c>
      <c r="HU25" t="e">
        <f>AND(#REF!,"AAAAAFd7juQ=")</f>
        <v>#REF!</v>
      </c>
      <c r="HV25" t="e">
        <f>AND(#REF!,"AAAAAFd7juU=")</f>
        <v>#REF!</v>
      </c>
      <c r="HW25" t="e">
        <f>AND(#REF!,"AAAAAFd7juY=")</f>
        <v>#REF!</v>
      </c>
      <c r="HX25" t="e">
        <f>AND(#REF!,"AAAAAFd7juc=")</f>
        <v>#REF!</v>
      </c>
      <c r="HY25" t="e">
        <f>AND(#REF!,"AAAAAFd7jug=")</f>
        <v>#REF!</v>
      </c>
      <c r="HZ25" t="e">
        <f>AND(#REF!,"AAAAAFd7juk=")</f>
        <v>#REF!</v>
      </c>
      <c r="IA25" t="e">
        <f>AND(#REF!,"AAAAAFd7juo=")</f>
        <v>#REF!</v>
      </c>
      <c r="IB25" t="e">
        <f>AND(#REF!,"AAAAAFd7jus=")</f>
        <v>#REF!</v>
      </c>
      <c r="IC25" t="e">
        <f>IF(#REF!,"AAAAAFd7juw=",0)</f>
        <v>#REF!</v>
      </c>
      <c r="ID25" t="e">
        <f>AND(#REF!,"AAAAAFd7ju0=")</f>
        <v>#REF!</v>
      </c>
      <c r="IE25" t="e">
        <f>AND(#REF!,"AAAAAFd7ju4=")</f>
        <v>#REF!</v>
      </c>
      <c r="IF25" t="e">
        <f>AND(#REF!,"AAAAAFd7ju8=")</f>
        <v>#REF!</v>
      </c>
      <c r="IG25" t="e">
        <f>AND(#REF!,"AAAAAFd7jvA=")</f>
        <v>#REF!</v>
      </c>
      <c r="IH25" t="e">
        <f>AND(#REF!,"AAAAAFd7jvE=")</f>
        <v>#REF!</v>
      </c>
      <c r="II25" t="e">
        <f>AND(#REF!,"AAAAAFd7jvI=")</f>
        <v>#REF!</v>
      </c>
      <c r="IJ25" t="e">
        <f>AND(#REF!,"AAAAAFd7jvM=")</f>
        <v>#REF!</v>
      </c>
      <c r="IK25" t="e">
        <f>AND(#REF!,"AAAAAFd7jvQ=")</f>
        <v>#REF!</v>
      </c>
      <c r="IL25" t="e">
        <f>AND(#REF!,"AAAAAFd7jvU=")</f>
        <v>#REF!</v>
      </c>
      <c r="IM25" t="e">
        <f>AND(#REF!,"AAAAAFd7jvY=")</f>
        <v>#REF!</v>
      </c>
      <c r="IN25" t="e">
        <f>AND(#REF!,"AAAAAFd7jvc=")</f>
        <v>#REF!</v>
      </c>
      <c r="IO25" t="e">
        <f>AND(#REF!,"AAAAAFd7jvg=")</f>
        <v>#REF!</v>
      </c>
      <c r="IP25" t="e">
        <f>AND(#REF!,"AAAAAFd7jvk=")</f>
        <v>#REF!</v>
      </c>
      <c r="IQ25" t="e">
        <f>AND(#REF!,"AAAAAFd7jvo=")</f>
        <v>#REF!</v>
      </c>
      <c r="IR25" t="e">
        <f>AND(#REF!,"AAAAAFd7jvs=")</f>
        <v>#REF!</v>
      </c>
      <c r="IS25" t="e">
        <f>AND(#REF!,"AAAAAFd7jvw=")</f>
        <v>#REF!</v>
      </c>
      <c r="IT25" t="e">
        <f>AND(#REF!,"AAAAAFd7jv0=")</f>
        <v>#REF!</v>
      </c>
      <c r="IU25" t="e">
        <f>AND(#REF!,"AAAAAFd7jv4=")</f>
        <v>#REF!</v>
      </c>
      <c r="IV25" t="e">
        <f>AND(#REF!,"AAAAAFd7jv8=")</f>
        <v>#REF!</v>
      </c>
    </row>
    <row r="26" spans="1:256">
      <c r="A26" t="e">
        <f>AND(#REF!,"AAAAAFe9bgA=")</f>
        <v>#REF!</v>
      </c>
      <c r="B26" t="e">
        <f>AND(#REF!,"AAAAAFe9bgE=")</f>
        <v>#REF!</v>
      </c>
      <c r="C26" t="e">
        <f>AND(#REF!,"AAAAAFe9bgI=")</f>
        <v>#REF!</v>
      </c>
      <c r="D26" t="e">
        <f>AND(#REF!,"AAAAAFe9bgM=")</f>
        <v>#REF!</v>
      </c>
      <c r="E26" t="e">
        <f>AND(#REF!,"AAAAAFe9bgQ=")</f>
        <v>#REF!</v>
      </c>
      <c r="F26" t="e">
        <f>AND(#REF!,"AAAAAFe9bgU=")</f>
        <v>#REF!</v>
      </c>
      <c r="G26" t="e">
        <f>AND(#REF!,"AAAAAFe9bgY=")</f>
        <v>#REF!</v>
      </c>
      <c r="H26" t="e">
        <f>AND(#REF!,"AAAAAFe9bgc=")</f>
        <v>#REF!</v>
      </c>
      <c r="I26" t="e">
        <f>AND(#REF!,"AAAAAFe9bgg=")</f>
        <v>#REF!</v>
      </c>
      <c r="J26" t="e">
        <f>AND(#REF!,"AAAAAFe9bgk=")</f>
        <v>#REF!</v>
      </c>
      <c r="K26" t="e">
        <f>AND(#REF!,"AAAAAFe9bgo=")</f>
        <v>#REF!</v>
      </c>
      <c r="L26" t="e">
        <f>AND(#REF!,"AAAAAFe9bgs=")</f>
        <v>#REF!</v>
      </c>
      <c r="M26" t="e">
        <f>AND(#REF!,"AAAAAFe9bgw=")</f>
        <v>#REF!</v>
      </c>
      <c r="N26" t="e">
        <f>AND(#REF!,"AAAAAFe9bg0=")</f>
        <v>#REF!</v>
      </c>
      <c r="O26" t="e">
        <f>AND(#REF!,"AAAAAFe9bg4=")</f>
        <v>#REF!</v>
      </c>
      <c r="P26" t="e">
        <f>AND(#REF!,"AAAAAFe9bg8=")</f>
        <v>#REF!</v>
      </c>
      <c r="Q26" t="e">
        <f>IF(#REF!,"AAAAAFe9bhA=",0)</f>
        <v>#REF!</v>
      </c>
      <c r="R26" t="e">
        <f>AND(#REF!,"AAAAAFe9bhE=")</f>
        <v>#REF!</v>
      </c>
      <c r="S26" t="e">
        <f>AND(#REF!,"AAAAAFe9bhI=")</f>
        <v>#REF!</v>
      </c>
      <c r="T26" t="e">
        <f>AND(#REF!,"AAAAAFe9bhM=")</f>
        <v>#REF!</v>
      </c>
      <c r="U26" t="e">
        <f>AND(#REF!,"AAAAAFe9bhQ=")</f>
        <v>#REF!</v>
      </c>
      <c r="V26" t="e">
        <f>AND(#REF!,"AAAAAFe9bhU=")</f>
        <v>#REF!</v>
      </c>
      <c r="W26" t="e">
        <f>AND(#REF!,"AAAAAFe9bhY=")</f>
        <v>#REF!</v>
      </c>
      <c r="X26" t="e">
        <f>AND(#REF!,"AAAAAFe9bhc=")</f>
        <v>#REF!</v>
      </c>
      <c r="Y26" t="e">
        <f>AND(#REF!,"AAAAAFe9bhg=")</f>
        <v>#REF!</v>
      </c>
      <c r="Z26" t="e">
        <f>AND(#REF!,"AAAAAFe9bhk=")</f>
        <v>#REF!</v>
      </c>
      <c r="AA26" t="e">
        <f>AND(#REF!,"AAAAAFe9bho=")</f>
        <v>#REF!</v>
      </c>
      <c r="AB26" t="e">
        <f>AND(#REF!,"AAAAAFe9bhs=")</f>
        <v>#REF!</v>
      </c>
      <c r="AC26" t="e">
        <f>AND(#REF!,"AAAAAFe9bhw=")</f>
        <v>#REF!</v>
      </c>
      <c r="AD26" t="e">
        <f>AND(#REF!,"AAAAAFe9bh0=")</f>
        <v>#REF!</v>
      </c>
      <c r="AE26" t="e">
        <f>AND(#REF!,"AAAAAFe9bh4=")</f>
        <v>#REF!</v>
      </c>
      <c r="AF26" t="e">
        <f>AND(#REF!,"AAAAAFe9bh8=")</f>
        <v>#REF!</v>
      </c>
      <c r="AG26" t="e">
        <f>AND(#REF!,"AAAAAFe9biA=")</f>
        <v>#REF!</v>
      </c>
      <c r="AH26" t="e">
        <f>AND(#REF!,"AAAAAFe9biE=")</f>
        <v>#REF!</v>
      </c>
      <c r="AI26" t="e">
        <f>AND(#REF!,"AAAAAFe9biI=")</f>
        <v>#REF!</v>
      </c>
      <c r="AJ26" t="e">
        <f>AND(#REF!,"AAAAAFe9biM=")</f>
        <v>#REF!</v>
      </c>
      <c r="AK26" t="e">
        <f>AND(#REF!,"AAAAAFe9biQ=")</f>
        <v>#REF!</v>
      </c>
      <c r="AL26" t="e">
        <f>AND(#REF!,"AAAAAFe9biU=")</f>
        <v>#REF!</v>
      </c>
      <c r="AM26" t="e">
        <f>AND(#REF!,"AAAAAFe9biY=")</f>
        <v>#REF!</v>
      </c>
      <c r="AN26" t="e">
        <f>AND(#REF!,"AAAAAFe9bic=")</f>
        <v>#REF!</v>
      </c>
      <c r="AO26" t="e">
        <f>AND(#REF!,"AAAAAFe9big=")</f>
        <v>#REF!</v>
      </c>
      <c r="AP26" t="e">
        <f>AND(#REF!,"AAAAAFe9bik=")</f>
        <v>#REF!</v>
      </c>
      <c r="AQ26" t="e">
        <f>AND(#REF!,"AAAAAFe9bio=")</f>
        <v>#REF!</v>
      </c>
      <c r="AR26" t="e">
        <f>AND(#REF!,"AAAAAFe9bis=")</f>
        <v>#REF!</v>
      </c>
      <c r="AS26" t="e">
        <f>AND(#REF!,"AAAAAFe9biw=")</f>
        <v>#REF!</v>
      </c>
      <c r="AT26" t="e">
        <f>AND(#REF!,"AAAAAFe9bi0=")</f>
        <v>#REF!</v>
      </c>
      <c r="AU26" t="e">
        <f>AND(#REF!,"AAAAAFe9bi4=")</f>
        <v>#REF!</v>
      </c>
      <c r="AV26" t="e">
        <f>AND(#REF!,"AAAAAFe9bi8=")</f>
        <v>#REF!</v>
      </c>
      <c r="AW26" t="e">
        <f>AND(#REF!,"AAAAAFe9bjA=")</f>
        <v>#REF!</v>
      </c>
      <c r="AX26" t="e">
        <f>AND(#REF!,"AAAAAFe9bjE=")</f>
        <v>#REF!</v>
      </c>
      <c r="AY26" t="e">
        <f>AND(#REF!,"AAAAAFe9bjI=")</f>
        <v>#REF!</v>
      </c>
      <c r="AZ26" t="e">
        <f>AND(#REF!,"AAAAAFe9bjM=")</f>
        <v>#REF!</v>
      </c>
      <c r="BA26" t="e">
        <f>IF(#REF!,"AAAAAFe9bjQ=",0)</f>
        <v>#REF!</v>
      </c>
      <c r="BB26" t="e">
        <f>AND(#REF!,"AAAAAFe9bjU=")</f>
        <v>#REF!</v>
      </c>
      <c r="BC26" t="e">
        <f>AND(#REF!,"AAAAAFe9bjY=")</f>
        <v>#REF!</v>
      </c>
      <c r="BD26" t="e">
        <f>AND(#REF!,"AAAAAFe9bjc=")</f>
        <v>#REF!</v>
      </c>
      <c r="BE26" t="e">
        <f>AND(#REF!,"AAAAAFe9bjg=")</f>
        <v>#REF!</v>
      </c>
      <c r="BF26" t="e">
        <f>AND(#REF!,"AAAAAFe9bjk=")</f>
        <v>#REF!</v>
      </c>
      <c r="BG26" t="e">
        <f>AND(#REF!,"AAAAAFe9bjo=")</f>
        <v>#REF!</v>
      </c>
      <c r="BH26" t="e">
        <f>AND(#REF!,"AAAAAFe9bjs=")</f>
        <v>#REF!</v>
      </c>
      <c r="BI26" t="e">
        <f>AND(#REF!,"AAAAAFe9bjw=")</f>
        <v>#REF!</v>
      </c>
      <c r="BJ26" t="e">
        <f>AND(#REF!,"AAAAAFe9bj0=")</f>
        <v>#REF!</v>
      </c>
      <c r="BK26" t="e">
        <f>AND(#REF!,"AAAAAFe9bj4=")</f>
        <v>#REF!</v>
      </c>
      <c r="BL26" t="e">
        <f>AND(#REF!,"AAAAAFe9bj8=")</f>
        <v>#REF!</v>
      </c>
      <c r="BM26" t="e">
        <f>AND(#REF!,"AAAAAFe9bkA=")</f>
        <v>#REF!</v>
      </c>
      <c r="BN26" t="e">
        <f>AND(#REF!,"AAAAAFe9bkE=")</f>
        <v>#REF!</v>
      </c>
      <c r="BO26" t="e">
        <f>AND(#REF!,"AAAAAFe9bkI=")</f>
        <v>#REF!</v>
      </c>
      <c r="BP26" t="e">
        <f>AND(#REF!,"AAAAAFe9bkM=")</f>
        <v>#REF!</v>
      </c>
      <c r="BQ26" t="e">
        <f>AND(#REF!,"AAAAAFe9bkQ=")</f>
        <v>#REF!</v>
      </c>
      <c r="BR26" t="e">
        <f>AND(#REF!,"AAAAAFe9bkU=")</f>
        <v>#REF!</v>
      </c>
      <c r="BS26" t="e">
        <f>AND(#REF!,"AAAAAFe9bkY=")</f>
        <v>#REF!</v>
      </c>
      <c r="BT26" t="e">
        <f>AND(#REF!,"AAAAAFe9bkc=")</f>
        <v>#REF!</v>
      </c>
      <c r="BU26" t="e">
        <f>AND(#REF!,"AAAAAFe9bkg=")</f>
        <v>#REF!</v>
      </c>
      <c r="BV26" t="e">
        <f>AND(#REF!,"AAAAAFe9bkk=")</f>
        <v>#REF!</v>
      </c>
      <c r="BW26" t="e">
        <f>AND(#REF!,"AAAAAFe9bko=")</f>
        <v>#REF!</v>
      </c>
      <c r="BX26" t="e">
        <f>AND(#REF!,"AAAAAFe9bks=")</f>
        <v>#REF!</v>
      </c>
      <c r="BY26" t="e">
        <f>AND(#REF!,"AAAAAFe9bkw=")</f>
        <v>#REF!</v>
      </c>
      <c r="BZ26" t="e">
        <f>AND(#REF!,"AAAAAFe9bk0=")</f>
        <v>#REF!</v>
      </c>
      <c r="CA26" t="e">
        <f>AND(#REF!,"AAAAAFe9bk4=")</f>
        <v>#REF!</v>
      </c>
      <c r="CB26" t="e">
        <f>AND(#REF!,"AAAAAFe9bk8=")</f>
        <v>#REF!</v>
      </c>
      <c r="CC26" t="e">
        <f>AND(#REF!,"AAAAAFe9blA=")</f>
        <v>#REF!</v>
      </c>
      <c r="CD26" t="e">
        <f>AND(#REF!,"AAAAAFe9blE=")</f>
        <v>#REF!</v>
      </c>
      <c r="CE26" t="e">
        <f>AND(#REF!,"AAAAAFe9blI=")</f>
        <v>#REF!</v>
      </c>
      <c r="CF26" t="e">
        <f>AND(#REF!,"AAAAAFe9blM=")</f>
        <v>#REF!</v>
      </c>
      <c r="CG26" t="e">
        <f>AND(#REF!,"AAAAAFe9blQ=")</f>
        <v>#REF!</v>
      </c>
      <c r="CH26" t="e">
        <f>AND(#REF!,"AAAAAFe9blU=")</f>
        <v>#REF!</v>
      </c>
      <c r="CI26" t="e">
        <f>AND(#REF!,"AAAAAFe9blY=")</f>
        <v>#REF!</v>
      </c>
      <c r="CJ26" t="e">
        <f>AND(#REF!,"AAAAAFe9blc=")</f>
        <v>#REF!</v>
      </c>
      <c r="CK26" t="e">
        <f>IF(#REF!,"AAAAAFe9blg=",0)</f>
        <v>#REF!</v>
      </c>
      <c r="CL26" t="e">
        <f>AND(#REF!,"AAAAAFe9blk=")</f>
        <v>#REF!</v>
      </c>
      <c r="CM26" t="e">
        <f>AND(#REF!,"AAAAAFe9blo=")</f>
        <v>#REF!</v>
      </c>
      <c r="CN26" t="e">
        <f>AND(#REF!,"AAAAAFe9bls=")</f>
        <v>#REF!</v>
      </c>
      <c r="CO26" t="e">
        <f>AND(#REF!,"AAAAAFe9blw=")</f>
        <v>#REF!</v>
      </c>
      <c r="CP26" t="e">
        <f>AND(#REF!,"AAAAAFe9bl0=")</f>
        <v>#REF!</v>
      </c>
      <c r="CQ26" t="e">
        <f>AND(#REF!,"AAAAAFe9bl4=")</f>
        <v>#REF!</v>
      </c>
      <c r="CR26" t="e">
        <f>AND(#REF!,"AAAAAFe9bl8=")</f>
        <v>#REF!</v>
      </c>
      <c r="CS26" t="e">
        <f>AND(#REF!,"AAAAAFe9bmA=")</f>
        <v>#REF!</v>
      </c>
      <c r="CT26" t="e">
        <f>AND(#REF!,"AAAAAFe9bmE=")</f>
        <v>#REF!</v>
      </c>
      <c r="CU26" t="e">
        <f>AND(#REF!,"AAAAAFe9bmI=")</f>
        <v>#REF!</v>
      </c>
      <c r="CV26" t="e">
        <f>AND(#REF!,"AAAAAFe9bmM=")</f>
        <v>#REF!</v>
      </c>
      <c r="CW26" t="e">
        <f>AND(#REF!,"AAAAAFe9bmQ=")</f>
        <v>#REF!</v>
      </c>
      <c r="CX26" t="e">
        <f>AND(#REF!,"AAAAAFe9bmU=")</f>
        <v>#REF!</v>
      </c>
      <c r="CY26" t="e">
        <f>AND(#REF!,"AAAAAFe9bmY=")</f>
        <v>#REF!</v>
      </c>
      <c r="CZ26" t="e">
        <f>AND(#REF!,"AAAAAFe9bmc=")</f>
        <v>#REF!</v>
      </c>
      <c r="DA26" t="e">
        <f>AND(#REF!,"AAAAAFe9bmg=")</f>
        <v>#REF!</v>
      </c>
      <c r="DB26" t="e">
        <f>AND(#REF!,"AAAAAFe9bmk=")</f>
        <v>#REF!</v>
      </c>
      <c r="DC26" t="e">
        <f>AND(#REF!,"AAAAAFe9bmo=")</f>
        <v>#REF!</v>
      </c>
      <c r="DD26" t="e">
        <f>AND(#REF!,"AAAAAFe9bms=")</f>
        <v>#REF!</v>
      </c>
      <c r="DE26" t="e">
        <f>AND(#REF!,"AAAAAFe9bmw=")</f>
        <v>#REF!</v>
      </c>
      <c r="DF26" t="e">
        <f>AND(#REF!,"AAAAAFe9bm0=")</f>
        <v>#REF!</v>
      </c>
      <c r="DG26" t="e">
        <f>AND(#REF!,"AAAAAFe9bm4=")</f>
        <v>#REF!</v>
      </c>
      <c r="DH26" t="e">
        <f>AND(#REF!,"AAAAAFe9bm8=")</f>
        <v>#REF!</v>
      </c>
      <c r="DI26" t="e">
        <f>AND(#REF!,"AAAAAFe9bnA=")</f>
        <v>#REF!</v>
      </c>
      <c r="DJ26" t="e">
        <f>AND(#REF!,"AAAAAFe9bnE=")</f>
        <v>#REF!</v>
      </c>
      <c r="DK26" t="e">
        <f>AND(#REF!,"AAAAAFe9bnI=")</f>
        <v>#REF!</v>
      </c>
      <c r="DL26" t="e">
        <f>AND(#REF!,"AAAAAFe9bnM=")</f>
        <v>#REF!</v>
      </c>
      <c r="DM26" t="e">
        <f>AND(#REF!,"AAAAAFe9bnQ=")</f>
        <v>#REF!</v>
      </c>
      <c r="DN26" t="e">
        <f>AND(#REF!,"AAAAAFe9bnU=")</f>
        <v>#REF!</v>
      </c>
      <c r="DO26" t="e">
        <f>AND(#REF!,"AAAAAFe9bnY=")</f>
        <v>#REF!</v>
      </c>
      <c r="DP26" t="e">
        <f>AND(#REF!,"AAAAAFe9bnc=")</f>
        <v>#REF!</v>
      </c>
      <c r="DQ26" t="e">
        <f>AND(#REF!,"AAAAAFe9bng=")</f>
        <v>#REF!</v>
      </c>
      <c r="DR26" t="e">
        <f>AND(#REF!,"AAAAAFe9bnk=")</f>
        <v>#REF!</v>
      </c>
      <c r="DS26" t="e">
        <f>AND(#REF!,"AAAAAFe9bno=")</f>
        <v>#REF!</v>
      </c>
      <c r="DT26" t="e">
        <f>AND(#REF!,"AAAAAFe9bns=")</f>
        <v>#REF!</v>
      </c>
      <c r="DU26" t="e">
        <f>IF(#REF!,"AAAAAFe9bnw=",0)</f>
        <v>#REF!</v>
      </c>
      <c r="DV26" t="e">
        <f>AND(#REF!,"AAAAAFe9bn0=")</f>
        <v>#REF!</v>
      </c>
      <c r="DW26" t="e">
        <f>AND(#REF!,"AAAAAFe9bn4=")</f>
        <v>#REF!</v>
      </c>
      <c r="DX26" t="e">
        <f>AND(#REF!,"AAAAAFe9bn8=")</f>
        <v>#REF!</v>
      </c>
      <c r="DY26" t="e">
        <f>AND(#REF!,"AAAAAFe9boA=")</f>
        <v>#REF!</v>
      </c>
      <c r="DZ26" t="e">
        <f>AND(#REF!,"AAAAAFe9boE=")</f>
        <v>#REF!</v>
      </c>
      <c r="EA26" t="e">
        <f>AND(#REF!,"AAAAAFe9boI=")</f>
        <v>#REF!</v>
      </c>
      <c r="EB26" t="e">
        <f>AND(#REF!,"AAAAAFe9boM=")</f>
        <v>#REF!</v>
      </c>
      <c r="EC26" t="e">
        <f>AND(#REF!,"AAAAAFe9boQ=")</f>
        <v>#REF!</v>
      </c>
      <c r="ED26" t="e">
        <f>AND(#REF!,"AAAAAFe9boU=")</f>
        <v>#REF!</v>
      </c>
      <c r="EE26" t="e">
        <f>AND(#REF!,"AAAAAFe9boY=")</f>
        <v>#REF!</v>
      </c>
      <c r="EF26" t="e">
        <f>AND(#REF!,"AAAAAFe9boc=")</f>
        <v>#REF!</v>
      </c>
      <c r="EG26" t="e">
        <f>AND(#REF!,"AAAAAFe9bog=")</f>
        <v>#REF!</v>
      </c>
      <c r="EH26" t="e">
        <f>AND(#REF!,"AAAAAFe9bok=")</f>
        <v>#REF!</v>
      </c>
      <c r="EI26" t="e">
        <f>AND(#REF!,"AAAAAFe9boo=")</f>
        <v>#REF!</v>
      </c>
      <c r="EJ26" t="e">
        <f>AND(#REF!,"AAAAAFe9bos=")</f>
        <v>#REF!</v>
      </c>
      <c r="EK26" t="e">
        <f>AND(#REF!,"AAAAAFe9bow=")</f>
        <v>#REF!</v>
      </c>
      <c r="EL26" t="e">
        <f>AND(#REF!,"AAAAAFe9bo0=")</f>
        <v>#REF!</v>
      </c>
      <c r="EM26" t="e">
        <f>AND(#REF!,"AAAAAFe9bo4=")</f>
        <v>#REF!</v>
      </c>
      <c r="EN26" t="e">
        <f>AND(#REF!,"AAAAAFe9bo8=")</f>
        <v>#REF!</v>
      </c>
      <c r="EO26" t="e">
        <f>AND(#REF!,"AAAAAFe9bpA=")</f>
        <v>#REF!</v>
      </c>
      <c r="EP26" t="e">
        <f>AND(#REF!,"AAAAAFe9bpE=")</f>
        <v>#REF!</v>
      </c>
      <c r="EQ26" t="e">
        <f>AND(#REF!,"AAAAAFe9bpI=")</f>
        <v>#REF!</v>
      </c>
      <c r="ER26" t="e">
        <f>AND(#REF!,"AAAAAFe9bpM=")</f>
        <v>#REF!</v>
      </c>
      <c r="ES26" t="e">
        <f>AND(#REF!,"AAAAAFe9bpQ=")</f>
        <v>#REF!</v>
      </c>
      <c r="ET26" t="e">
        <f>AND(#REF!,"AAAAAFe9bpU=")</f>
        <v>#REF!</v>
      </c>
      <c r="EU26" t="e">
        <f>AND(#REF!,"AAAAAFe9bpY=")</f>
        <v>#REF!</v>
      </c>
      <c r="EV26" t="e">
        <f>AND(#REF!,"AAAAAFe9bpc=")</f>
        <v>#REF!</v>
      </c>
      <c r="EW26" t="e">
        <f>AND(#REF!,"AAAAAFe9bpg=")</f>
        <v>#REF!</v>
      </c>
      <c r="EX26" t="e">
        <f>AND(#REF!,"AAAAAFe9bpk=")</f>
        <v>#REF!</v>
      </c>
      <c r="EY26" t="e">
        <f>AND(#REF!,"AAAAAFe9bpo=")</f>
        <v>#REF!</v>
      </c>
      <c r="EZ26" t="e">
        <f>AND(#REF!,"AAAAAFe9bps=")</f>
        <v>#REF!</v>
      </c>
      <c r="FA26" t="e">
        <f>AND(#REF!,"AAAAAFe9bpw=")</f>
        <v>#REF!</v>
      </c>
      <c r="FB26" t="e">
        <f>AND(#REF!,"AAAAAFe9bp0=")</f>
        <v>#REF!</v>
      </c>
      <c r="FC26" t="e">
        <f>AND(#REF!,"AAAAAFe9bp4=")</f>
        <v>#REF!</v>
      </c>
      <c r="FD26" t="e">
        <f>AND(#REF!,"AAAAAFe9bp8=")</f>
        <v>#REF!</v>
      </c>
      <c r="FE26" t="e">
        <f>IF(#REF!,"AAAAAFe9bqA=",0)</f>
        <v>#REF!</v>
      </c>
      <c r="FF26" t="e">
        <f>AND(#REF!,"AAAAAFe9bqE=")</f>
        <v>#REF!</v>
      </c>
      <c r="FG26" t="e">
        <f>AND(#REF!,"AAAAAFe9bqI=")</f>
        <v>#REF!</v>
      </c>
      <c r="FH26" t="e">
        <f>AND(#REF!,"AAAAAFe9bqM=")</f>
        <v>#REF!</v>
      </c>
      <c r="FI26" t="e">
        <f>AND(#REF!,"AAAAAFe9bqQ=")</f>
        <v>#REF!</v>
      </c>
      <c r="FJ26" t="e">
        <f>AND(#REF!,"AAAAAFe9bqU=")</f>
        <v>#REF!</v>
      </c>
      <c r="FK26" t="e">
        <f>AND(#REF!,"AAAAAFe9bqY=")</f>
        <v>#REF!</v>
      </c>
      <c r="FL26" t="e">
        <f>AND(#REF!,"AAAAAFe9bqc=")</f>
        <v>#REF!</v>
      </c>
      <c r="FM26" t="e">
        <f>AND(#REF!,"AAAAAFe9bqg=")</f>
        <v>#REF!</v>
      </c>
      <c r="FN26" t="e">
        <f>AND(#REF!,"AAAAAFe9bqk=")</f>
        <v>#REF!</v>
      </c>
      <c r="FO26" t="e">
        <f>AND(#REF!,"AAAAAFe9bqo=")</f>
        <v>#REF!</v>
      </c>
      <c r="FP26" t="e">
        <f>AND(#REF!,"AAAAAFe9bqs=")</f>
        <v>#REF!</v>
      </c>
      <c r="FQ26" t="e">
        <f>AND(#REF!,"AAAAAFe9bqw=")</f>
        <v>#REF!</v>
      </c>
      <c r="FR26" t="e">
        <f>AND(#REF!,"AAAAAFe9bq0=")</f>
        <v>#REF!</v>
      </c>
      <c r="FS26" t="e">
        <f>AND(#REF!,"AAAAAFe9bq4=")</f>
        <v>#REF!</v>
      </c>
      <c r="FT26" t="e">
        <f>AND(#REF!,"AAAAAFe9bq8=")</f>
        <v>#REF!</v>
      </c>
      <c r="FU26" t="e">
        <f>AND(#REF!,"AAAAAFe9brA=")</f>
        <v>#REF!</v>
      </c>
      <c r="FV26" t="e">
        <f>AND(#REF!,"AAAAAFe9brE=")</f>
        <v>#REF!</v>
      </c>
      <c r="FW26" t="e">
        <f>AND(#REF!,"AAAAAFe9brI=")</f>
        <v>#REF!</v>
      </c>
      <c r="FX26" t="e">
        <f>AND(#REF!,"AAAAAFe9brM=")</f>
        <v>#REF!</v>
      </c>
      <c r="FY26" t="e">
        <f>AND(#REF!,"AAAAAFe9brQ=")</f>
        <v>#REF!</v>
      </c>
      <c r="FZ26" t="e">
        <f>AND(#REF!,"AAAAAFe9brU=")</f>
        <v>#REF!</v>
      </c>
      <c r="GA26" t="e">
        <f>AND(#REF!,"AAAAAFe9brY=")</f>
        <v>#REF!</v>
      </c>
      <c r="GB26" t="e">
        <f>AND(#REF!,"AAAAAFe9brc=")</f>
        <v>#REF!</v>
      </c>
      <c r="GC26" t="e">
        <f>AND(#REF!,"AAAAAFe9brg=")</f>
        <v>#REF!</v>
      </c>
      <c r="GD26" t="e">
        <f>AND(#REF!,"AAAAAFe9brk=")</f>
        <v>#REF!</v>
      </c>
      <c r="GE26" t="e">
        <f>AND(#REF!,"AAAAAFe9bro=")</f>
        <v>#REF!</v>
      </c>
      <c r="GF26" t="e">
        <f>AND(#REF!,"AAAAAFe9brs=")</f>
        <v>#REF!</v>
      </c>
      <c r="GG26" t="e">
        <f>AND(#REF!,"AAAAAFe9brw=")</f>
        <v>#REF!</v>
      </c>
      <c r="GH26" t="e">
        <f>AND(#REF!,"AAAAAFe9br0=")</f>
        <v>#REF!</v>
      </c>
      <c r="GI26" t="e">
        <f>AND(#REF!,"AAAAAFe9br4=")</f>
        <v>#REF!</v>
      </c>
      <c r="GJ26" t="e">
        <f>AND(#REF!,"AAAAAFe9br8=")</f>
        <v>#REF!</v>
      </c>
      <c r="GK26" t="e">
        <f>AND(#REF!,"AAAAAFe9bsA=")</f>
        <v>#REF!</v>
      </c>
      <c r="GL26" t="e">
        <f>AND(#REF!,"AAAAAFe9bsE=")</f>
        <v>#REF!</v>
      </c>
      <c r="GM26" t="e">
        <f>AND(#REF!,"AAAAAFe9bsI=")</f>
        <v>#REF!</v>
      </c>
      <c r="GN26" t="e">
        <f>AND(#REF!,"AAAAAFe9bsM=")</f>
        <v>#REF!</v>
      </c>
      <c r="GO26" t="e">
        <f>IF(#REF!,"AAAAAFe9bsQ=",0)</f>
        <v>#REF!</v>
      </c>
      <c r="GP26" t="e">
        <f>AND(#REF!,"AAAAAFe9bsU=")</f>
        <v>#REF!</v>
      </c>
      <c r="GQ26" t="e">
        <f>AND(#REF!,"AAAAAFe9bsY=")</f>
        <v>#REF!</v>
      </c>
      <c r="GR26" t="e">
        <f>AND(#REF!,"AAAAAFe9bsc=")</f>
        <v>#REF!</v>
      </c>
      <c r="GS26" t="e">
        <f>AND(#REF!,"AAAAAFe9bsg=")</f>
        <v>#REF!</v>
      </c>
      <c r="GT26" t="e">
        <f>AND(#REF!,"AAAAAFe9bsk=")</f>
        <v>#REF!</v>
      </c>
      <c r="GU26" t="e">
        <f>AND(#REF!,"AAAAAFe9bso=")</f>
        <v>#REF!</v>
      </c>
      <c r="GV26" t="e">
        <f>AND(#REF!,"AAAAAFe9bss=")</f>
        <v>#REF!</v>
      </c>
      <c r="GW26" t="e">
        <f>AND(#REF!,"AAAAAFe9bsw=")</f>
        <v>#REF!</v>
      </c>
      <c r="GX26" t="e">
        <f>AND(#REF!,"AAAAAFe9bs0=")</f>
        <v>#REF!</v>
      </c>
      <c r="GY26" t="e">
        <f>AND(#REF!,"AAAAAFe9bs4=")</f>
        <v>#REF!</v>
      </c>
      <c r="GZ26" t="e">
        <f>AND(#REF!,"AAAAAFe9bs8=")</f>
        <v>#REF!</v>
      </c>
      <c r="HA26" t="e">
        <f>AND(#REF!,"AAAAAFe9btA=")</f>
        <v>#REF!</v>
      </c>
      <c r="HB26" t="e">
        <f>AND(#REF!,"AAAAAFe9btE=")</f>
        <v>#REF!</v>
      </c>
      <c r="HC26" t="e">
        <f>AND(#REF!,"AAAAAFe9btI=")</f>
        <v>#REF!</v>
      </c>
      <c r="HD26" t="e">
        <f>AND(#REF!,"AAAAAFe9btM=")</f>
        <v>#REF!</v>
      </c>
      <c r="HE26" t="e">
        <f>AND(#REF!,"AAAAAFe9btQ=")</f>
        <v>#REF!</v>
      </c>
      <c r="HF26" t="e">
        <f>AND(#REF!,"AAAAAFe9btU=")</f>
        <v>#REF!</v>
      </c>
      <c r="HG26" t="e">
        <f>AND(#REF!,"AAAAAFe9btY=")</f>
        <v>#REF!</v>
      </c>
      <c r="HH26" t="e">
        <f>AND(#REF!,"AAAAAFe9btc=")</f>
        <v>#REF!</v>
      </c>
      <c r="HI26" t="e">
        <f>AND(#REF!,"AAAAAFe9btg=")</f>
        <v>#REF!</v>
      </c>
      <c r="HJ26" t="e">
        <f>AND(#REF!,"AAAAAFe9btk=")</f>
        <v>#REF!</v>
      </c>
      <c r="HK26" t="e">
        <f>AND(#REF!,"AAAAAFe9bto=")</f>
        <v>#REF!</v>
      </c>
      <c r="HL26" t="e">
        <f>AND(#REF!,"AAAAAFe9bts=")</f>
        <v>#REF!</v>
      </c>
      <c r="HM26" t="e">
        <f>AND(#REF!,"AAAAAFe9btw=")</f>
        <v>#REF!</v>
      </c>
      <c r="HN26" t="e">
        <f>AND(#REF!,"AAAAAFe9bt0=")</f>
        <v>#REF!</v>
      </c>
      <c r="HO26" t="e">
        <f>AND(#REF!,"AAAAAFe9bt4=")</f>
        <v>#REF!</v>
      </c>
      <c r="HP26" t="e">
        <f>AND(#REF!,"AAAAAFe9bt8=")</f>
        <v>#REF!</v>
      </c>
      <c r="HQ26" t="e">
        <f>AND(#REF!,"AAAAAFe9buA=")</f>
        <v>#REF!</v>
      </c>
      <c r="HR26" t="e">
        <f>AND(#REF!,"AAAAAFe9buE=")</f>
        <v>#REF!</v>
      </c>
      <c r="HS26" t="e">
        <f>AND(#REF!,"AAAAAFe9buI=")</f>
        <v>#REF!</v>
      </c>
      <c r="HT26" t="e">
        <f>AND(#REF!,"AAAAAFe9buM=")</f>
        <v>#REF!</v>
      </c>
      <c r="HU26" t="e">
        <f>AND(#REF!,"AAAAAFe9buQ=")</f>
        <v>#REF!</v>
      </c>
      <c r="HV26" t="e">
        <f>AND(#REF!,"AAAAAFe9buU=")</f>
        <v>#REF!</v>
      </c>
      <c r="HW26" t="e">
        <f>AND(#REF!,"AAAAAFe9buY=")</f>
        <v>#REF!</v>
      </c>
      <c r="HX26" t="e">
        <f>AND(#REF!,"AAAAAFe9buc=")</f>
        <v>#REF!</v>
      </c>
      <c r="HY26" t="e">
        <f>IF(#REF!,"AAAAAFe9bug=",0)</f>
        <v>#REF!</v>
      </c>
      <c r="HZ26" t="e">
        <f>AND(#REF!,"AAAAAFe9buk=")</f>
        <v>#REF!</v>
      </c>
      <c r="IA26" t="e">
        <f>AND(#REF!,"AAAAAFe9buo=")</f>
        <v>#REF!</v>
      </c>
      <c r="IB26" t="e">
        <f>AND(#REF!,"AAAAAFe9bus=")</f>
        <v>#REF!</v>
      </c>
      <c r="IC26" t="e">
        <f>AND(#REF!,"AAAAAFe9buw=")</f>
        <v>#REF!</v>
      </c>
      <c r="ID26" t="e">
        <f>AND(#REF!,"AAAAAFe9bu0=")</f>
        <v>#REF!</v>
      </c>
      <c r="IE26" t="e">
        <f>AND(#REF!,"AAAAAFe9bu4=")</f>
        <v>#REF!</v>
      </c>
      <c r="IF26" t="e">
        <f>AND(#REF!,"AAAAAFe9bu8=")</f>
        <v>#REF!</v>
      </c>
      <c r="IG26" t="e">
        <f>AND(#REF!,"AAAAAFe9bvA=")</f>
        <v>#REF!</v>
      </c>
      <c r="IH26" t="e">
        <f>AND(#REF!,"AAAAAFe9bvE=")</f>
        <v>#REF!</v>
      </c>
      <c r="II26" t="e">
        <f>AND(#REF!,"AAAAAFe9bvI=")</f>
        <v>#REF!</v>
      </c>
      <c r="IJ26" t="e">
        <f>AND(#REF!,"AAAAAFe9bvM=")</f>
        <v>#REF!</v>
      </c>
      <c r="IK26" t="e">
        <f>AND(#REF!,"AAAAAFe9bvQ=")</f>
        <v>#REF!</v>
      </c>
      <c r="IL26" t="e">
        <f>AND(#REF!,"AAAAAFe9bvU=")</f>
        <v>#REF!</v>
      </c>
      <c r="IM26" t="e">
        <f>AND(#REF!,"AAAAAFe9bvY=")</f>
        <v>#REF!</v>
      </c>
      <c r="IN26" t="e">
        <f>AND(#REF!,"AAAAAFe9bvc=")</f>
        <v>#REF!</v>
      </c>
      <c r="IO26" t="e">
        <f>AND(#REF!,"AAAAAFe9bvg=")</f>
        <v>#REF!</v>
      </c>
      <c r="IP26" t="e">
        <f>AND(#REF!,"AAAAAFe9bvk=")</f>
        <v>#REF!</v>
      </c>
      <c r="IQ26" t="e">
        <f>AND(#REF!,"AAAAAFe9bvo=")</f>
        <v>#REF!</v>
      </c>
      <c r="IR26" t="e">
        <f>AND(#REF!,"AAAAAFe9bvs=")</f>
        <v>#REF!</v>
      </c>
      <c r="IS26" t="e">
        <f>AND(#REF!,"AAAAAFe9bvw=")</f>
        <v>#REF!</v>
      </c>
      <c r="IT26" t="e">
        <f>AND(#REF!,"AAAAAFe9bv0=")</f>
        <v>#REF!</v>
      </c>
      <c r="IU26" t="e">
        <f>AND(#REF!,"AAAAAFe9bv4=")</f>
        <v>#REF!</v>
      </c>
      <c r="IV26" t="e">
        <f>AND(#REF!,"AAAAAFe9bv8=")</f>
        <v>#REF!</v>
      </c>
    </row>
    <row r="27" spans="1:256">
      <c r="A27" t="e">
        <f>AND(#REF!,"AAAAAHbpvwA=")</f>
        <v>#REF!</v>
      </c>
      <c r="B27" t="e">
        <f>AND(#REF!,"AAAAAHbpvwE=")</f>
        <v>#REF!</v>
      </c>
      <c r="C27" t="e">
        <f>AND(#REF!,"AAAAAHbpvwI=")</f>
        <v>#REF!</v>
      </c>
      <c r="D27" t="e">
        <f>AND(#REF!,"AAAAAHbpvwM=")</f>
        <v>#REF!</v>
      </c>
      <c r="E27" t="e">
        <f>AND(#REF!,"AAAAAHbpvwQ=")</f>
        <v>#REF!</v>
      </c>
      <c r="F27" t="e">
        <f>AND(#REF!,"AAAAAHbpvwU=")</f>
        <v>#REF!</v>
      </c>
      <c r="G27" t="e">
        <f>AND(#REF!,"AAAAAHbpvwY=")</f>
        <v>#REF!</v>
      </c>
      <c r="H27" t="e">
        <f>AND(#REF!,"AAAAAHbpvwc=")</f>
        <v>#REF!</v>
      </c>
      <c r="I27" t="e">
        <f>AND(#REF!,"AAAAAHbpvwg=")</f>
        <v>#REF!</v>
      </c>
      <c r="J27" t="e">
        <f>AND(#REF!,"AAAAAHbpvwk=")</f>
        <v>#REF!</v>
      </c>
      <c r="K27" t="e">
        <f>AND(#REF!,"AAAAAHbpvwo=")</f>
        <v>#REF!</v>
      </c>
      <c r="L27" t="e">
        <f>AND(#REF!,"AAAAAHbpvws=")</f>
        <v>#REF!</v>
      </c>
      <c r="M27" t="e">
        <f>IF(#REF!,"AAAAAHbpvww=",0)</f>
        <v>#REF!</v>
      </c>
      <c r="N27" t="e">
        <f>AND(#REF!,"AAAAAHbpvw0=")</f>
        <v>#REF!</v>
      </c>
      <c r="O27" t="e">
        <f>AND(#REF!,"AAAAAHbpvw4=")</f>
        <v>#REF!</v>
      </c>
      <c r="P27" t="e">
        <f>AND(#REF!,"AAAAAHbpvw8=")</f>
        <v>#REF!</v>
      </c>
      <c r="Q27" t="e">
        <f>AND(#REF!,"AAAAAHbpvxA=")</f>
        <v>#REF!</v>
      </c>
      <c r="R27" t="e">
        <f>AND(#REF!,"AAAAAHbpvxE=")</f>
        <v>#REF!</v>
      </c>
      <c r="S27" t="e">
        <f>AND(#REF!,"AAAAAHbpvxI=")</f>
        <v>#REF!</v>
      </c>
      <c r="T27" t="e">
        <f>AND(#REF!,"AAAAAHbpvxM=")</f>
        <v>#REF!</v>
      </c>
      <c r="U27" t="e">
        <f>AND(#REF!,"AAAAAHbpvxQ=")</f>
        <v>#REF!</v>
      </c>
      <c r="V27" t="e">
        <f>AND(#REF!,"AAAAAHbpvxU=")</f>
        <v>#REF!</v>
      </c>
      <c r="W27" t="e">
        <f>AND(#REF!,"AAAAAHbpvxY=")</f>
        <v>#REF!</v>
      </c>
      <c r="X27" t="e">
        <f>AND(#REF!,"AAAAAHbpvxc=")</f>
        <v>#REF!</v>
      </c>
      <c r="Y27" t="e">
        <f>AND(#REF!,"AAAAAHbpvxg=")</f>
        <v>#REF!</v>
      </c>
      <c r="Z27" t="e">
        <f>AND(#REF!,"AAAAAHbpvxk=")</f>
        <v>#REF!</v>
      </c>
      <c r="AA27" t="e">
        <f>AND(#REF!,"AAAAAHbpvxo=")</f>
        <v>#REF!</v>
      </c>
      <c r="AB27" t="e">
        <f>AND(#REF!,"AAAAAHbpvxs=")</f>
        <v>#REF!</v>
      </c>
      <c r="AC27" t="e">
        <f>AND(#REF!,"AAAAAHbpvxw=")</f>
        <v>#REF!</v>
      </c>
      <c r="AD27" t="e">
        <f>AND(#REF!,"AAAAAHbpvx0=")</f>
        <v>#REF!</v>
      </c>
      <c r="AE27" t="e">
        <f>AND(#REF!,"AAAAAHbpvx4=")</f>
        <v>#REF!</v>
      </c>
      <c r="AF27" t="e">
        <f>AND(#REF!,"AAAAAHbpvx8=")</f>
        <v>#REF!</v>
      </c>
      <c r="AG27" t="e">
        <f>AND(#REF!,"AAAAAHbpvyA=")</f>
        <v>#REF!</v>
      </c>
      <c r="AH27" t="e">
        <f>AND(#REF!,"AAAAAHbpvyE=")</f>
        <v>#REF!</v>
      </c>
      <c r="AI27" t="e">
        <f>AND(#REF!,"AAAAAHbpvyI=")</f>
        <v>#REF!</v>
      </c>
      <c r="AJ27" t="e">
        <f>AND(#REF!,"AAAAAHbpvyM=")</f>
        <v>#REF!</v>
      </c>
      <c r="AK27" t="e">
        <f>AND(#REF!,"AAAAAHbpvyQ=")</f>
        <v>#REF!</v>
      </c>
      <c r="AL27" t="e">
        <f>AND(#REF!,"AAAAAHbpvyU=")</f>
        <v>#REF!</v>
      </c>
      <c r="AM27" t="e">
        <f>AND(#REF!,"AAAAAHbpvyY=")</f>
        <v>#REF!</v>
      </c>
      <c r="AN27" t="e">
        <f>AND(#REF!,"AAAAAHbpvyc=")</f>
        <v>#REF!</v>
      </c>
      <c r="AO27" t="e">
        <f>AND(#REF!,"AAAAAHbpvyg=")</f>
        <v>#REF!</v>
      </c>
      <c r="AP27" t="e">
        <f>AND(#REF!,"AAAAAHbpvyk=")</f>
        <v>#REF!</v>
      </c>
      <c r="AQ27" t="e">
        <f>AND(#REF!,"AAAAAHbpvyo=")</f>
        <v>#REF!</v>
      </c>
      <c r="AR27" t="e">
        <f>AND(#REF!,"AAAAAHbpvys=")</f>
        <v>#REF!</v>
      </c>
      <c r="AS27" t="e">
        <f>AND(#REF!,"AAAAAHbpvyw=")</f>
        <v>#REF!</v>
      </c>
      <c r="AT27" t="e">
        <f>AND(#REF!,"AAAAAHbpvy0=")</f>
        <v>#REF!</v>
      </c>
      <c r="AU27" t="e">
        <f>AND(#REF!,"AAAAAHbpvy4=")</f>
        <v>#REF!</v>
      </c>
      <c r="AV27" t="e">
        <f>AND(#REF!,"AAAAAHbpvy8=")</f>
        <v>#REF!</v>
      </c>
      <c r="AW27" t="e">
        <f>IF(#REF!,"AAAAAHbpvzA=",0)</f>
        <v>#REF!</v>
      </c>
      <c r="AX27" t="e">
        <f>AND(#REF!,"AAAAAHbpvzE=")</f>
        <v>#REF!</v>
      </c>
      <c r="AY27" t="e">
        <f>AND(#REF!,"AAAAAHbpvzI=")</f>
        <v>#REF!</v>
      </c>
      <c r="AZ27" t="e">
        <f>AND(#REF!,"AAAAAHbpvzM=")</f>
        <v>#REF!</v>
      </c>
      <c r="BA27" t="e">
        <f>AND(#REF!,"AAAAAHbpvzQ=")</f>
        <v>#REF!</v>
      </c>
      <c r="BB27" t="e">
        <f>AND(#REF!,"AAAAAHbpvzU=")</f>
        <v>#REF!</v>
      </c>
      <c r="BC27" t="e">
        <f>AND(#REF!,"AAAAAHbpvzY=")</f>
        <v>#REF!</v>
      </c>
      <c r="BD27" t="e">
        <f>AND(#REF!,"AAAAAHbpvzc=")</f>
        <v>#REF!</v>
      </c>
      <c r="BE27" t="e">
        <f>AND(#REF!,"AAAAAHbpvzg=")</f>
        <v>#REF!</v>
      </c>
      <c r="BF27" t="e">
        <f>AND(#REF!,"AAAAAHbpvzk=")</f>
        <v>#REF!</v>
      </c>
      <c r="BG27" t="e">
        <f>AND(#REF!,"AAAAAHbpvzo=")</f>
        <v>#REF!</v>
      </c>
      <c r="BH27" t="e">
        <f>AND(#REF!,"AAAAAHbpvzs=")</f>
        <v>#REF!</v>
      </c>
      <c r="BI27" t="e">
        <f>AND(#REF!,"AAAAAHbpvzw=")</f>
        <v>#REF!</v>
      </c>
      <c r="BJ27" t="e">
        <f>AND(#REF!,"AAAAAHbpvz0=")</f>
        <v>#REF!</v>
      </c>
      <c r="BK27" t="e">
        <f>AND(#REF!,"AAAAAHbpvz4=")</f>
        <v>#REF!</v>
      </c>
      <c r="BL27" t="e">
        <f>AND(#REF!,"AAAAAHbpvz8=")</f>
        <v>#REF!</v>
      </c>
      <c r="BM27" t="e">
        <f>AND(#REF!,"AAAAAHbpv0A=")</f>
        <v>#REF!</v>
      </c>
      <c r="BN27" t="e">
        <f>AND(#REF!,"AAAAAHbpv0E=")</f>
        <v>#REF!</v>
      </c>
      <c r="BO27" t="e">
        <f>AND(#REF!,"AAAAAHbpv0I=")</f>
        <v>#REF!</v>
      </c>
      <c r="BP27" t="e">
        <f>AND(#REF!,"AAAAAHbpv0M=")</f>
        <v>#REF!</v>
      </c>
      <c r="BQ27" t="e">
        <f>AND(#REF!,"AAAAAHbpv0Q=")</f>
        <v>#REF!</v>
      </c>
      <c r="BR27" t="e">
        <f>AND(#REF!,"AAAAAHbpv0U=")</f>
        <v>#REF!</v>
      </c>
      <c r="BS27" t="e">
        <f>AND(#REF!,"AAAAAHbpv0Y=")</f>
        <v>#REF!</v>
      </c>
      <c r="BT27" t="e">
        <f>AND(#REF!,"AAAAAHbpv0c=")</f>
        <v>#REF!</v>
      </c>
      <c r="BU27" t="e">
        <f>AND(#REF!,"AAAAAHbpv0g=")</f>
        <v>#REF!</v>
      </c>
      <c r="BV27" t="e">
        <f>AND(#REF!,"AAAAAHbpv0k=")</f>
        <v>#REF!</v>
      </c>
      <c r="BW27" t="e">
        <f>AND(#REF!,"AAAAAHbpv0o=")</f>
        <v>#REF!</v>
      </c>
      <c r="BX27" t="e">
        <f>AND(#REF!,"AAAAAHbpv0s=")</f>
        <v>#REF!</v>
      </c>
      <c r="BY27" t="e">
        <f>AND(#REF!,"AAAAAHbpv0w=")</f>
        <v>#REF!</v>
      </c>
      <c r="BZ27" t="e">
        <f>AND(#REF!,"AAAAAHbpv00=")</f>
        <v>#REF!</v>
      </c>
      <c r="CA27" t="e">
        <f>AND(#REF!,"AAAAAHbpv04=")</f>
        <v>#REF!</v>
      </c>
      <c r="CB27" t="e">
        <f>AND(#REF!,"AAAAAHbpv08=")</f>
        <v>#REF!</v>
      </c>
      <c r="CC27" t="e">
        <f>AND(#REF!,"AAAAAHbpv1A=")</f>
        <v>#REF!</v>
      </c>
      <c r="CD27" t="e">
        <f>AND(#REF!,"AAAAAHbpv1E=")</f>
        <v>#REF!</v>
      </c>
      <c r="CE27" t="e">
        <f>AND(#REF!,"AAAAAHbpv1I=")</f>
        <v>#REF!</v>
      </c>
      <c r="CF27" t="e">
        <f>AND(#REF!,"AAAAAHbpv1M=")</f>
        <v>#REF!</v>
      </c>
      <c r="CG27" t="e">
        <f>IF(#REF!,"AAAAAHbpv1Q=",0)</f>
        <v>#REF!</v>
      </c>
      <c r="CH27" t="e">
        <f>AND(#REF!,"AAAAAHbpv1U=")</f>
        <v>#REF!</v>
      </c>
      <c r="CI27" t="e">
        <f>AND(#REF!,"AAAAAHbpv1Y=")</f>
        <v>#REF!</v>
      </c>
      <c r="CJ27" t="e">
        <f>AND(#REF!,"AAAAAHbpv1c=")</f>
        <v>#REF!</v>
      </c>
      <c r="CK27" t="e">
        <f>AND(#REF!,"AAAAAHbpv1g=")</f>
        <v>#REF!</v>
      </c>
      <c r="CL27" t="e">
        <f>AND(#REF!,"AAAAAHbpv1k=")</f>
        <v>#REF!</v>
      </c>
      <c r="CM27" t="e">
        <f>AND(#REF!,"AAAAAHbpv1o=")</f>
        <v>#REF!</v>
      </c>
      <c r="CN27" t="e">
        <f>AND(#REF!,"AAAAAHbpv1s=")</f>
        <v>#REF!</v>
      </c>
      <c r="CO27" t="e">
        <f>AND(#REF!,"AAAAAHbpv1w=")</f>
        <v>#REF!</v>
      </c>
      <c r="CP27" t="e">
        <f>AND(#REF!,"AAAAAHbpv10=")</f>
        <v>#REF!</v>
      </c>
      <c r="CQ27" t="e">
        <f>AND(#REF!,"AAAAAHbpv14=")</f>
        <v>#REF!</v>
      </c>
      <c r="CR27" t="e">
        <f>AND(#REF!,"AAAAAHbpv18=")</f>
        <v>#REF!</v>
      </c>
      <c r="CS27" t="e">
        <f>AND(#REF!,"AAAAAHbpv2A=")</f>
        <v>#REF!</v>
      </c>
      <c r="CT27" t="e">
        <f>AND(#REF!,"AAAAAHbpv2E=")</f>
        <v>#REF!</v>
      </c>
      <c r="CU27" t="e">
        <f>AND(#REF!,"AAAAAHbpv2I=")</f>
        <v>#REF!</v>
      </c>
      <c r="CV27" t="e">
        <f>AND(#REF!,"AAAAAHbpv2M=")</f>
        <v>#REF!</v>
      </c>
      <c r="CW27" t="e">
        <f>AND(#REF!,"AAAAAHbpv2Q=")</f>
        <v>#REF!</v>
      </c>
      <c r="CX27" t="e">
        <f>AND(#REF!,"AAAAAHbpv2U=")</f>
        <v>#REF!</v>
      </c>
      <c r="CY27" t="e">
        <f>AND(#REF!,"AAAAAHbpv2Y=")</f>
        <v>#REF!</v>
      </c>
      <c r="CZ27" t="e">
        <f>AND(#REF!,"AAAAAHbpv2c=")</f>
        <v>#REF!</v>
      </c>
      <c r="DA27" t="e">
        <f>AND(#REF!,"AAAAAHbpv2g=")</f>
        <v>#REF!</v>
      </c>
      <c r="DB27" t="e">
        <f>AND(#REF!,"AAAAAHbpv2k=")</f>
        <v>#REF!</v>
      </c>
      <c r="DC27" t="e">
        <f>AND(#REF!,"AAAAAHbpv2o=")</f>
        <v>#REF!</v>
      </c>
      <c r="DD27" t="e">
        <f>AND(#REF!,"AAAAAHbpv2s=")</f>
        <v>#REF!</v>
      </c>
      <c r="DE27" t="e">
        <f>AND(#REF!,"AAAAAHbpv2w=")</f>
        <v>#REF!</v>
      </c>
      <c r="DF27" t="e">
        <f>AND(#REF!,"AAAAAHbpv20=")</f>
        <v>#REF!</v>
      </c>
      <c r="DG27" t="e">
        <f>AND(#REF!,"AAAAAHbpv24=")</f>
        <v>#REF!</v>
      </c>
      <c r="DH27" t="e">
        <f>AND(#REF!,"AAAAAHbpv28=")</f>
        <v>#REF!</v>
      </c>
      <c r="DI27" t="e">
        <f>AND(#REF!,"AAAAAHbpv3A=")</f>
        <v>#REF!</v>
      </c>
      <c r="DJ27" t="e">
        <f>AND(#REF!,"AAAAAHbpv3E=")</f>
        <v>#REF!</v>
      </c>
      <c r="DK27" t="e">
        <f>AND(#REF!,"AAAAAHbpv3I=")</f>
        <v>#REF!</v>
      </c>
      <c r="DL27" t="e">
        <f>AND(#REF!,"AAAAAHbpv3M=")</f>
        <v>#REF!</v>
      </c>
      <c r="DM27" t="e">
        <f>AND(#REF!,"AAAAAHbpv3Q=")</f>
        <v>#REF!</v>
      </c>
      <c r="DN27" t="e">
        <f>AND(#REF!,"AAAAAHbpv3U=")</f>
        <v>#REF!</v>
      </c>
      <c r="DO27" t="e">
        <f>AND(#REF!,"AAAAAHbpv3Y=")</f>
        <v>#REF!</v>
      </c>
      <c r="DP27" t="e">
        <f>AND(#REF!,"AAAAAHbpv3c=")</f>
        <v>#REF!</v>
      </c>
      <c r="DQ27" t="e">
        <f>IF(#REF!,"AAAAAHbpv3g=",0)</f>
        <v>#REF!</v>
      </c>
      <c r="DR27" t="e">
        <f>AND(#REF!,"AAAAAHbpv3k=")</f>
        <v>#REF!</v>
      </c>
      <c r="DS27" t="e">
        <f>AND(#REF!,"AAAAAHbpv3o=")</f>
        <v>#REF!</v>
      </c>
      <c r="DT27" t="e">
        <f>AND(#REF!,"AAAAAHbpv3s=")</f>
        <v>#REF!</v>
      </c>
      <c r="DU27" t="e">
        <f>AND(#REF!,"AAAAAHbpv3w=")</f>
        <v>#REF!</v>
      </c>
      <c r="DV27" t="e">
        <f>AND(#REF!,"AAAAAHbpv30=")</f>
        <v>#REF!</v>
      </c>
      <c r="DW27" t="e">
        <f>AND(#REF!,"AAAAAHbpv34=")</f>
        <v>#REF!</v>
      </c>
      <c r="DX27" t="e">
        <f>AND(#REF!,"AAAAAHbpv38=")</f>
        <v>#REF!</v>
      </c>
      <c r="DY27" t="e">
        <f>AND(#REF!,"AAAAAHbpv4A=")</f>
        <v>#REF!</v>
      </c>
      <c r="DZ27" t="e">
        <f>AND(#REF!,"AAAAAHbpv4E=")</f>
        <v>#REF!</v>
      </c>
      <c r="EA27" t="e">
        <f>AND(#REF!,"AAAAAHbpv4I=")</f>
        <v>#REF!</v>
      </c>
      <c r="EB27" t="e">
        <f>AND(#REF!,"AAAAAHbpv4M=")</f>
        <v>#REF!</v>
      </c>
      <c r="EC27" t="e">
        <f>AND(#REF!,"AAAAAHbpv4Q=")</f>
        <v>#REF!</v>
      </c>
      <c r="ED27" t="e">
        <f>AND(#REF!,"AAAAAHbpv4U=")</f>
        <v>#REF!</v>
      </c>
      <c r="EE27" t="e">
        <f>AND(#REF!,"AAAAAHbpv4Y=")</f>
        <v>#REF!</v>
      </c>
      <c r="EF27" t="e">
        <f>AND(#REF!,"AAAAAHbpv4c=")</f>
        <v>#REF!</v>
      </c>
      <c r="EG27" t="e">
        <f>AND(#REF!,"AAAAAHbpv4g=")</f>
        <v>#REF!</v>
      </c>
      <c r="EH27" t="e">
        <f>AND(#REF!,"AAAAAHbpv4k=")</f>
        <v>#REF!</v>
      </c>
      <c r="EI27" t="e">
        <f>AND(#REF!,"AAAAAHbpv4o=")</f>
        <v>#REF!</v>
      </c>
      <c r="EJ27" t="e">
        <f>AND(#REF!,"AAAAAHbpv4s=")</f>
        <v>#REF!</v>
      </c>
      <c r="EK27" t="e">
        <f>AND(#REF!,"AAAAAHbpv4w=")</f>
        <v>#REF!</v>
      </c>
      <c r="EL27" t="e">
        <f>AND(#REF!,"AAAAAHbpv40=")</f>
        <v>#REF!</v>
      </c>
      <c r="EM27" t="e">
        <f>AND(#REF!,"AAAAAHbpv44=")</f>
        <v>#REF!</v>
      </c>
      <c r="EN27" t="e">
        <f>AND(#REF!,"AAAAAHbpv48=")</f>
        <v>#REF!</v>
      </c>
      <c r="EO27" t="e">
        <f>AND(#REF!,"AAAAAHbpv5A=")</f>
        <v>#REF!</v>
      </c>
      <c r="EP27" t="e">
        <f>AND(#REF!,"AAAAAHbpv5E=")</f>
        <v>#REF!</v>
      </c>
      <c r="EQ27" t="e">
        <f>AND(#REF!,"AAAAAHbpv5I=")</f>
        <v>#REF!</v>
      </c>
      <c r="ER27" t="e">
        <f>AND(#REF!,"AAAAAHbpv5M=")</f>
        <v>#REF!</v>
      </c>
      <c r="ES27" t="e">
        <f>AND(#REF!,"AAAAAHbpv5Q=")</f>
        <v>#REF!</v>
      </c>
      <c r="ET27" t="e">
        <f>AND(#REF!,"AAAAAHbpv5U=")</f>
        <v>#REF!</v>
      </c>
      <c r="EU27" t="e">
        <f>AND(#REF!,"AAAAAHbpv5Y=")</f>
        <v>#REF!</v>
      </c>
      <c r="EV27" t="e">
        <f>AND(#REF!,"AAAAAHbpv5c=")</f>
        <v>#REF!</v>
      </c>
      <c r="EW27" t="e">
        <f>AND(#REF!,"AAAAAHbpv5g=")</f>
        <v>#REF!</v>
      </c>
      <c r="EX27" t="e">
        <f>AND(#REF!,"AAAAAHbpv5k=")</f>
        <v>#REF!</v>
      </c>
      <c r="EY27" t="e">
        <f>AND(#REF!,"AAAAAHbpv5o=")</f>
        <v>#REF!</v>
      </c>
      <c r="EZ27" t="e">
        <f>AND(#REF!,"AAAAAHbpv5s=")</f>
        <v>#REF!</v>
      </c>
      <c r="FA27" t="e">
        <f>IF(#REF!,"AAAAAHbpv5w=",0)</f>
        <v>#REF!</v>
      </c>
      <c r="FB27" t="e">
        <f>AND(#REF!,"AAAAAHbpv50=")</f>
        <v>#REF!</v>
      </c>
      <c r="FC27" t="e">
        <f>AND(#REF!,"AAAAAHbpv54=")</f>
        <v>#REF!</v>
      </c>
      <c r="FD27" t="e">
        <f>AND(#REF!,"AAAAAHbpv58=")</f>
        <v>#REF!</v>
      </c>
      <c r="FE27" t="e">
        <f>AND(#REF!,"AAAAAHbpv6A=")</f>
        <v>#REF!</v>
      </c>
      <c r="FF27" t="e">
        <f>AND(#REF!,"AAAAAHbpv6E=")</f>
        <v>#REF!</v>
      </c>
      <c r="FG27" t="e">
        <f>AND(#REF!,"AAAAAHbpv6I=")</f>
        <v>#REF!</v>
      </c>
      <c r="FH27" t="e">
        <f>AND(#REF!,"AAAAAHbpv6M=")</f>
        <v>#REF!</v>
      </c>
      <c r="FI27" t="e">
        <f>AND(#REF!,"AAAAAHbpv6Q=")</f>
        <v>#REF!</v>
      </c>
      <c r="FJ27" t="e">
        <f>AND(#REF!,"AAAAAHbpv6U=")</f>
        <v>#REF!</v>
      </c>
      <c r="FK27" t="e">
        <f>AND(#REF!,"AAAAAHbpv6Y=")</f>
        <v>#REF!</v>
      </c>
      <c r="FL27" t="e">
        <f>AND(#REF!,"AAAAAHbpv6c=")</f>
        <v>#REF!</v>
      </c>
      <c r="FM27" t="e">
        <f>AND(#REF!,"AAAAAHbpv6g=")</f>
        <v>#REF!</v>
      </c>
      <c r="FN27" t="e">
        <f>AND(#REF!,"AAAAAHbpv6k=")</f>
        <v>#REF!</v>
      </c>
      <c r="FO27" t="e">
        <f>AND(#REF!,"AAAAAHbpv6o=")</f>
        <v>#REF!</v>
      </c>
      <c r="FP27" t="e">
        <f>AND(#REF!,"AAAAAHbpv6s=")</f>
        <v>#REF!</v>
      </c>
      <c r="FQ27" t="e">
        <f>AND(#REF!,"AAAAAHbpv6w=")</f>
        <v>#REF!</v>
      </c>
      <c r="FR27" t="e">
        <f>AND(#REF!,"AAAAAHbpv60=")</f>
        <v>#REF!</v>
      </c>
      <c r="FS27" t="e">
        <f>AND(#REF!,"AAAAAHbpv64=")</f>
        <v>#REF!</v>
      </c>
      <c r="FT27" t="e">
        <f>AND(#REF!,"AAAAAHbpv68=")</f>
        <v>#REF!</v>
      </c>
      <c r="FU27" t="e">
        <f>AND(#REF!,"AAAAAHbpv7A=")</f>
        <v>#REF!</v>
      </c>
      <c r="FV27" t="e">
        <f>AND(#REF!,"AAAAAHbpv7E=")</f>
        <v>#REF!</v>
      </c>
      <c r="FW27" t="e">
        <f>AND(#REF!,"AAAAAHbpv7I=")</f>
        <v>#REF!</v>
      </c>
      <c r="FX27" t="e">
        <f>AND(#REF!,"AAAAAHbpv7M=")</f>
        <v>#REF!</v>
      </c>
      <c r="FY27" t="e">
        <f>AND(#REF!,"AAAAAHbpv7Q=")</f>
        <v>#REF!</v>
      </c>
      <c r="FZ27" t="e">
        <f>AND(#REF!,"AAAAAHbpv7U=")</f>
        <v>#REF!</v>
      </c>
      <c r="GA27" t="e">
        <f>AND(#REF!,"AAAAAHbpv7Y=")</f>
        <v>#REF!</v>
      </c>
      <c r="GB27" t="e">
        <f>AND(#REF!,"AAAAAHbpv7c=")</f>
        <v>#REF!</v>
      </c>
      <c r="GC27" t="e">
        <f>AND(#REF!,"AAAAAHbpv7g=")</f>
        <v>#REF!</v>
      </c>
      <c r="GD27" t="e">
        <f>AND(#REF!,"AAAAAHbpv7k=")</f>
        <v>#REF!</v>
      </c>
      <c r="GE27" t="e">
        <f>AND(#REF!,"AAAAAHbpv7o=")</f>
        <v>#REF!</v>
      </c>
      <c r="GF27" t="e">
        <f>AND(#REF!,"AAAAAHbpv7s=")</f>
        <v>#REF!</v>
      </c>
      <c r="GG27" t="e">
        <f>AND(#REF!,"AAAAAHbpv7w=")</f>
        <v>#REF!</v>
      </c>
      <c r="GH27" t="e">
        <f>AND(#REF!,"AAAAAHbpv70=")</f>
        <v>#REF!</v>
      </c>
      <c r="GI27" t="e">
        <f>AND(#REF!,"AAAAAHbpv74=")</f>
        <v>#REF!</v>
      </c>
      <c r="GJ27" t="e">
        <f>AND(#REF!,"AAAAAHbpv78=")</f>
        <v>#REF!</v>
      </c>
      <c r="GK27" t="e">
        <f>IF(#REF!,"AAAAAHbpv8A=",0)</f>
        <v>#REF!</v>
      </c>
      <c r="GL27" t="e">
        <f>AND(#REF!,"AAAAAHbpv8E=")</f>
        <v>#REF!</v>
      </c>
      <c r="GM27" t="e">
        <f>AND(#REF!,"AAAAAHbpv8I=")</f>
        <v>#REF!</v>
      </c>
      <c r="GN27" t="e">
        <f>AND(#REF!,"AAAAAHbpv8M=")</f>
        <v>#REF!</v>
      </c>
      <c r="GO27" t="e">
        <f>AND(#REF!,"AAAAAHbpv8Q=")</f>
        <v>#REF!</v>
      </c>
      <c r="GP27" t="e">
        <f>AND(#REF!,"AAAAAHbpv8U=")</f>
        <v>#REF!</v>
      </c>
      <c r="GQ27" t="e">
        <f>AND(#REF!,"AAAAAHbpv8Y=")</f>
        <v>#REF!</v>
      </c>
      <c r="GR27" t="e">
        <f>AND(#REF!,"AAAAAHbpv8c=")</f>
        <v>#REF!</v>
      </c>
      <c r="GS27" t="e">
        <f>AND(#REF!,"AAAAAHbpv8g=")</f>
        <v>#REF!</v>
      </c>
      <c r="GT27" t="e">
        <f>AND(#REF!,"AAAAAHbpv8k=")</f>
        <v>#REF!</v>
      </c>
      <c r="GU27" t="e">
        <f>AND(#REF!,"AAAAAHbpv8o=")</f>
        <v>#REF!</v>
      </c>
      <c r="GV27" t="e">
        <f>AND(#REF!,"AAAAAHbpv8s=")</f>
        <v>#REF!</v>
      </c>
      <c r="GW27" t="e">
        <f>AND(#REF!,"AAAAAHbpv8w=")</f>
        <v>#REF!</v>
      </c>
      <c r="GX27" t="e">
        <f>AND(#REF!,"AAAAAHbpv80=")</f>
        <v>#REF!</v>
      </c>
      <c r="GY27" t="e">
        <f>AND(#REF!,"AAAAAHbpv84=")</f>
        <v>#REF!</v>
      </c>
      <c r="GZ27" t="e">
        <f>AND(#REF!,"AAAAAHbpv88=")</f>
        <v>#REF!</v>
      </c>
      <c r="HA27" t="e">
        <f>AND(#REF!,"AAAAAHbpv9A=")</f>
        <v>#REF!</v>
      </c>
      <c r="HB27" t="e">
        <f>AND(#REF!,"AAAAAHbpv9E=")</f>
        <v>#REF!</v>
      </c>
      <c r="HC27" t="e">
        <f>AND(#REF!,"AAAAAHbpv9I=")</f>
        <v>#REF!</v>
      </c>
      <c r="HD27" t="e">
        <f>AND(#REF!,"AAAAAHbpv9M=")</f>
        <v>#REF!</v>
      </c>
      <c r="HE27" t="e">
        <f>AND(#REF!,"AAAAAHbpv9Q=")</f>
        <v>#REF!</v>
      </c>
      <c r="HF27" t="e">
        <f>AND(#REF!,"AAAAAHbpv9U=")</f>
        <v>#REF!</v>
      </c>
      <c r="HG27" t="e">
        <f>AND(#REF!,"AAAAAHbpv9Y=")</f>
        <v>#REF!</v>
      </c>
      <c r="HH27" t="e">
        <f>AND(#REF!,"AAAAAHbpv9c=")</f>
        <v>#REF!</v>
      </c>
      <c r="HI27" t="e">
        <f>AND(#REF!,"AAAAAHbpv9g=")</f>
        <v>#REF!</v>
      </c>
      <c r="HJ27" t="e">
        <f>AND(#REF!,"AAAAAHbpv9k=")</f>
        <v>#REF!</v>
      </c>
      <c r="HK27" t="e">
        <f>AND(#REF!,"AAAAAHbpv9o=")</f>
        <v>#REF!</v>
      </c>
      <c r="HL27" t="e">
        <f>AND(#REF!,"AAAAAHbpv9s=")</f>
        <v>#REF!</v>
      </c>
      <c r="HM27" t="e">
        <f>AND(#REF!,"AAAAAHbpv9w=")</f>
        <v>#REF!</v>
      </c>
      <c r="HN27" t="e">
        <f>AND(#REF!,"AAAAAHbpv90=")</f>
        <v>#REF!</v>
      </c>
      <c r="HO27" t="e">
        <f>AND(#REF!,"AAAAAHbpv94=")</f>
        <v>#REF!</v>
      </c>
      <c r="HP27" t="e">
        <f>AND(#REF!,"AAAAAHbpv98=")</f>
        <v>#REF!</v>
      </c>
      <c r="HQ27" t="e">
        <f>AND(#REF!,"AAAAAHbpv+A=")</f>
        <v>#REF!</v>
      </c>
      <c r="HR27" t="e">
        <f>AND(#REF!,"AAAAAHbpv+E=")</f>
        <v>#REF!</v>
      </c>
      <c r="HS27" t="e">
        <f>AND(#REF!,"AAAAAHbpv+I=")</f>
        <v>#REF!</v>
      </c>
      <c r="HT27" t="e">
        <f>AND(#REF!,"AAAAAHbpv+M=")</f>
        <v>#REF!</v>
      </c>
      <c r="HU27" t="e">
        <f>IF(#REF!,"AAAAAHbpv+Q=",0)</f>
        <v>#REF!</v>
      </c>
      <c r="HV27" t="e">
        <f>AND(#REF!,"AAAAAHbpv+U=")</f>
        <v>#REF!</v>
      </c>
      <c r="HW27" t="e">
        <f>AND(#REF!,"AAAAAHbpv+Y=")</f>
        <v>#REF!</v>
      </c>
      <c r="HX27" t="e">
        <f>AND(#REF!,"AAAAAHbpv+c=")</f>
        <v>#REF!</v>
      </c>
      <c r="HY27" t="e">
        <f>AND(#REF!,"AAAAAHbpv+g=")</f>
        <v>#REF!</v>
      </c>
      <c r="HZ27" t="e">
        <f>AND(#REF!,"AAAAAHbpv+k=")</f>
        <v>#REF!</v>
      </c>
      <c r="IA27" t="e">
        <f>AND(#REF!,"AAAAAHbpv+o=")</f>
        <v>#REF!</v>
      </c>
      <c r="IB27" t="e">
        <f>AND(#REF!,"AAAAAHbpv+s=")</f>
        <v>#REF!</v>
      </c>
      <c r="IC27" t="e">
        <f>AND(#REF!,"AAAAAHbpv+w=")</f>
        <v>#REF!</v>
      </c>
      <c r="ID27" t="e">
        <f>AND(#REF!,"AAAAAHbpv+0=")</f>
        <v>#REF!</v>
      </c>
      <c r="IE27" t="e">
        <f>AND(#REF!,"AAAAAHbpv+4=")</f>
        <v>#REF!</v>
      </c>
      <c r="IF27" t="e">
        <f>AND(#REF!,"AAAAAHbpv+8=")</f>
        <v>#REF!</v>
      </c>
      <c r="IG27" t="e">
        <f>AND(#REF!,"AAAAAHbpv/A=")</f>
        <v>#REF!</v>
      </c>
      <c r="IH27" t="e">
        <f>AND(#REF!,"AAAAAHbpv/E=")</f>
        <v>#REF!</v>
      </c>
      <c r="II27" t="e">
        <f>AND(#REF!,"AAAAAHbpv/I=")</f>
        <v>#REF!</v>
      </c>
      <c r="IJ27" t="e">
        <f>AND(#REF!,"AAAAAHbpv/M=")</f>
        <v>#REF!</v>
      </c>
      <c r="IK27" t="e">
        <f>AND(#REF!,"AAAAAHbpv/Q=")</f>
        <v>#REF!</v>
      </c>
      <c r="IL27" t="e">
        <f>AND(#REF!,"AAAAAHbpv/U=")</f>
        <v>#REF!</v>
      </c>
      <c r="IM27" t="e">
        <f>AND(#REF!,"AAAAAHbpv/Y=")</f>
        <v>#REF!</v>
      </c>
      <c r="IN27" t="e">
        <f>AND(#REF!,"AAAAAHbpv/c=")</f>
        <v>#REF!</v>
      </c>
      <c r="IO27" t="e">
        <f>AND(#REF!,"AAAAAHbpv/g=")</f>
        <v>#REF!</v>
      </c>
      <c r="IP27" t="e">
        <f>AND(#REF!,"AAAAAHbpv/k=")</f>
        <v>#REF!</v>
      </c>
      <c r="IQ27" t="e">
        <f>AND(#REF!,"AAAAAHbpv/o=")</f>
        <v>#REF!</v>
      </c>
      <c r="IR27" t="e">
        <f>AND(#REF!,"AAAAAHbpv/s=")</f>
        <v>#REF!</v>
      </c>
      <c r="IS27" t="e">
        <f>AND(#REF!,"AAAAAHbpv/w=")</f>
        <v>#REF!</v>
      </c>
      <c r="IT27" t="e">
        <f>AND(#REF!,"AAAAAHbpv/0=")</f>
        <v>#REF!</v>
      </c>
      <c r="IU27" t="e">
        <f>AND(#REF!,"AAAAAHbpv/4=")</f>
        <v>#REF!</v>
      </c>
      <c r="IV27" t="e">
        <f>AND(#REF!,"AAAAAHbpv/8=")</f>
        <v>#REF!</v>
      </c>
    </row>
    <row r="28" spans="1:256">
      <c r="A28" t="e">
        <f>AND(#REF!,"AAAAAFd/dwA=")</f>
        <v>#REF!</v>
      </c>
      <c r="B28" t="e">
        <f>AND(#REF!,"AAAAAFd/dwE=")</f>
        <v>#REF!</v>
      </c>
      <c r="C28" t="e">
        <f>AND(#REF!,"AAAAAFd/dwI=")</f>
        <v>#REF!</v>
      </c>
      <c r="D28" t="e">
        <f>AND(#REF!,"AAAAAFd/dwM=")</f>
        <v>#REF!</v>
      </c>
      <c r="E28" t="e">
        <f>AND(#REF!,"AAAAAFd/dwQ=")</f>
        <v>#REF!</v>
      </c>
      <c r="F28" t="e">
        <f>AND(#REF!,"AAAAAFd/dwU=")</f>
        <v>#REF!</v>
      </c>
      <c r="G28" t="e">
        <f>AND(#REF!,"AAAAAFd/dwY=")</f>
        <v>#REF!</v>
      </c>
      <c r="H28" t="e">
        <f>AND(#REF!,"AAAAAFd/dwc=")</f>
        <v>#REF!</v>
      </c>
      <c r="I28" t="e">
        <f>IF(#REF!,"AAAAAFd/dwg=",0)</f>
        <v>#REF!</v>
      </c>
      <c r="J28" t="e">
        <f>AND(#REF!,"AAAAAFd/dwk=")</f>
        <v>#REF!</v>
      </c>
      <c r="K28" t="e">
        <f>AND(#REF!,"AAAAAFd/dwo=")</f>
        <v>#REF!</v>
      </c>
      <c r="L28" t="e">
        <f>AND(#REF!,"AAAAAFd/dws=")</f>
        <v>#REF!</v>
      </c>
      <c r="M28" t="e">
        <f>AND(#REF!,"AAAAAFd/dww=")</f>
        <v>#REF!</v>
      </c>
      <c r="N28" t="e">
        <f>AND(#REF!,"AAAAAFd/dw0=")</f>
        <v>#REF!</v>
      </c>
      <c r="O28" t="e">
        <f>AND(#REF!,"AAAAAFd/dw4=")</f>
        <v>#REF!</v>
      </c>
      <c r="P28" t="e">
        <f>AND(#REF!,"AAAAAFd/dw8=")</f>
        <v>#REF!</v>
      </c>
      <c r="Q28" t="e">
        <f>AND(#REF!,"AAAAAFd/dxA=")</f>
        <v>#REF!</v>
      </c>
      <c r="R28" t="e">
        <f>AND(#REF!,"AAAAAFd/dxE=")</f>
        <v>#REF!</v>
      </c>
      <c r="S28" t="e">
        <f>AND(#REF!,"AAAAAFd/dxI=")</f>
        <v>#REF!</v>
      </c>
      <c r="T28" t="e">
        <f>AND(#REF!,"AAAAAFd/dxM=")</f>
        <v>#REF!</v>
      </c>
      <c r="U28" t="e">
        <f>AND(#REF!,"AAAAAFd/dxQ=")</f>
        <v>#REF!</v>
      </c>
      <c r="V28" t="e">
        <f>AND(#REF!,"AAAAAFd/dxU=")</f>
        <v>#REF!</v>
      </c>
      <c r="W28" t="e">
        <f>AND(#REF!,"AAAAAFd/dxY=")</f>
        <v>#REF!</v>
      </c>
      <c r="X28" t="e">
        <f>AND(#REF!,"AAAAAFd/dxc=")</f>
        <v>#REF!</v>
      </c>
      <c r="Y28" t="e">
        <f>AND(#REF!,"AAAAAFd/dxg=")</f>
        <v>#REF!</v>
      </c>
      <c r="Z28" t="e">
        <f>AND(#REF!,"AAAAAFd/dxk=")</f>
        <v>#REF!</v>
      </c>
      <c r="AA28" t="e">
        <f>AND(#REF!,"AAAAAFd/dxo=")</f>
        <v>#REF!</v>
      </c>
      <c r="AB28" t="e">
        <f>AND(#REF!,"AAAAAFd/dxs=")</f>
        <v>#REF!</v>
      </c>
      <c r="AC28" t="e">
        <f>AND(#REF!,"AAAAAFd/dxw=")</f>
        <v>#REF!</v>
      </c>
      <c r="AD28" t="e">
        <f>AND(#REF!,"AAAAAFd/dx0=")</f>
        <v>#REF!</v>
      </c>
      <c r="AE28" t="e">
        <f>AND(#REF!,"AAAAAFd/dx4=")</f>
        <v>#REF!</v>
      </c>
      <c r="AF28" t="e">
        <f>AND(#REF!,"AAAAAFd/dx8=")</f>
        <v>#REF!</v>
      </c>
      <c r="AG28" t="e">
        <f>AND(#REF!,"AAAAAFd/dyA=")</f>
        <v>#REF!</v>
      </c>
      <c r="AH28" t="e">
        <f>AND(#REF!,"AAAAAFd/dyE=")</f>
        <v>#REF!</v>
      </c>
      <c r="AI28" t="e">
        <f>AND(#REF!,"AAAAAFd/dyI=")</f>
        <v>#REF!</v>
      </c>
      <c r="AJ28" t="e">
        <f>AND(#REF!,"AAAAAFd/dyM=")</f>
        <v>#REF!</v>
      </c>
      <c r="AK28" t="e">
        <f>AND(#REF!,"AAAAAFd/dyQ=")</f>
        <v>#REF!</v>
      </c>
      <c r="AL28" t="e">
        <f>AND(#REF!,"AAAAAFd/dyU=")</f>
        <v>#REF!</v>
      </c>
      <c r="AM28" t="e">
        <f>AND(#REF!,"AAAAAFd/dyY=")</f>
        <v>#REF!</v>
      </c>
      <c r="AN28" t="e">
        <f>AND(#REF!,"AAAAAFd/dyc=")</f>
        <v>#REF!</v>
      </c>
      <c r="AO28" t="e">
        <f>AND(#REF!,"AAAAAFd/dyg=")</f>
        <v>#REF!</v>
      </c>
      <c r="AP28" t="e">
        <f>AND(#REF!,"AAAAAFd/dyk=")</f>
        <v>#REF!</v>
      </c>
      <c r="AQ28" t="e">
        <f>AND(#REF!,"AAAAAFd/dyo=")</f>
        <v>#REF!</v>
      </c>
      <c r="AR28" t="e">
        <f>AND(#REF!,"AAAAAFd/dys=")</f>
        <v>#REF!</v>
      </c>
      <c r="AS28" t="e">
        <f>IF(#REF!,"AAAAAFd/dyw=",0)</f>
        <v>#REF!</v>
      </c>
      <c r="AT28" t="e">
        <f>AND(#REF!,"AAAAAFd/dy0=")</f>
        <v>#REF!</v>
      </c>
      <c r="AU28" t="e">
        <f>AND(#REF!,"AAAAAFd/dy4=")</f>
        <v>#REF!</v>
      </c>
      <c r="AV28" t="e">
        <f>AND(#REF!,"AAAAAFd/dy8=")</f>
        <v>#REF!</v>
      </c>
      <c r="AW28" t="e">
        <f>AND(#REF!,"AAAAAFd/dzA=")</f>
        <v>#REF!</v>
      </c>
      <c r="AX28" t="e">
        <f>AND(#REF!,"AAAAAFd/dzE=")</f>
        <v>#REF!</v>
      </c>
      <c r="AY28" t="e">
        <f>AND(#REF!,"AAAAAFd/dzI=")</f>
        <v>#REF!</v>
      </c>
      <c r="AZ28" t="e">
        <f>AND(#REF!,"AAAAAFd/dzM=")</f>
        <v>#REF!</v>
      </c>
      <c r="BA28" t="e">
        <f>AND(#REF!,"AAAAAFd/dzQ=")</f>
        <v>#REF!</v>
      </c>
      <c r="BB28" t="e">
        <f>AND(#REF!,"AAAAAFd/dzU=")</f>
        <v>#REF!</v>
      </c>
      <c r="BC28" t="e">
        <f>AND(#REF!,"AAAAAFd/dzY=")</f>
        <v>#REF!</v>
      </c>
      <c r="BD28" t="e">
        <f>AND(#REF!,"AAAAAFd/dzc=")</f>
        <v>#REF!</v>
      </c>
      <c r="BE28" t="e">
        <f>AND(#REF!,"AAAAAFd/dzg=")</f>
        <v>#REF!</v>
      </c>
      <c r="BF28" t="e">
        <f>AND(#REF!,"AAAAAFd/dzk=")</f>
        <v>#REF!</v>
      </c>
      <c r="BG28" t="e">
        <f>AND(#REF!,"AAAAAFd/dzo=")</f>
        <v>#REF!</v>
      </c>
      <c r="BH28" t="e">
        <f>AND(#REF!,"AAAAAFd/dzs=")</f>
        <v>#REF!</v>
      </c>
      <c r="BI28" t="e">
        <f>AND(#REF!,"AAAAAFd/dzw=")</f>
        <v>#REF!</v>
      </c>
      <c r="BJ28" t="e">
        <f>AND(#REF!,"AAAAAFd/dz0=")</f>
        <v>#REF!</v>
      </c>
      <c r="BK28" t="e">
        <f>AND(#REF!,"AAAAAFd/dz4=")</f>
        <v>#REF!</v>
      </c>
      <c r="BL28" t="e">
        <f>AND(#REF!,"AAAAAFd/dz8=")</f>
        <v>#REF!</v>
      </c>
      <c r="BM28" t="e">
        <f>AND(#REF!,"AAAAAFd/d0A=")</f>
        <v>#REF!</v>
      </c>
      <c r="BN28" t="e">
        <f>AND(#REF!,"AAAAAFd/d0E=")</f>
        <v>#REF!</v>
      </c>
      <c r="BO28" t="e">
        <f>AND(#REF!,"AAAAAFd/d0I=")</f>
        <v>#REF!</v>
      </c>
      <c r="BP28" t="e">
        <f>AND(#REF!,"AAAAAFd/d0M=")</f>
        <v>#REF!</v>
      </c>
      <c r="BQ28" t="e">
        <f>AND(#REF!,"AAAAAFd/d0Q=")</f>
        <v>#REF!</v>
      </c>
      <c r="BR28" t="e">
        <f>AND(#REF!,"AAAAAFd/d0U=")</f>
        <v>#REF!</v>
      </c>
      <c r="BS28" t="e">
        <f>AND(#REF!,"AAAAAFd/d0Y=")</f>
        <v>#REF!</v>
      </c>
      <c r="BT28" t="e">
        <f>AND(#REF!,"AAAAAFd/d0c=")</f>
        <v>#REF!</v>
      </c>
      <c r="BU28" t="e">
        <f>AND(#REF!,"AAAAAFd/d0g=")</f>
        <v>#REF!</v>
      </c>
      <c r="BV28" t="e">
        <f>AND(#REF!,"AAAAAFd/d0k=")</f>
        <v>#REF!</v>
      </c>
      <c r="BW28" t="e">
        <f>AND(#REF!,"AAAAAFd/d0o=")</f>
        <v>#REF!</v>
      </c>
      <c r="BX28" t="e">
        <f>AND(#REF!,"AAAAAFd/d0s=")</f>
        <v>#REF!</v>
      </c>
      <c r="BY28" t="e">
        <f>AND(#REF!,"AAAAAFd/d0w=")</f>
        <v>#REF!</v>
      </c>
      <c r="BZ28" t="e">
        <f>AND(#REF!,"AAAAAFd/d00=")</f>
        <v>#REF!</v>
      </c>
      <c r="CA28" t="e">
        <f>AND(#REF!,"AAAAAFd/d04=")</f>
        <v>#REF!</v>
      </c>
      <c r="CB28" t="e">
        <f>AND(#REF!,"AAAAAFd/d08=")</f>
        <v>#REF!</v>
      </c>
      <c r="CC28" t="e">
        <f>IF(#REF!,"AAAAAFd/d1A=",0)</f>
        <v>#REF!</v>
      </c>
      <c r="CD28" t="e">
        <f>AND(#REF!,"AAAAAFd/d1E=")</f>
        <v>#REF!</v>
      </c>
      <c r="CE28" t="e">
        <f>AND(#REF!,"AAAAAFd/d1I=")</f>
        <v>#REF!</v>
      </c>
      <c r="CF28" t="e">
        <f>AND(#REF!,"AAAAAFd/d1M=")</f>
        <v>#REF!</v>
      </c>
      <c r="CG28" t="e">
        <f>AND(#REF!,"AAAAAFd/d1Q=")</f>
        <v>#REF!</v>
      </c>
      <c r="CH28" t="e">
        <f>AND(#REF!,"AAAAAFd/d1U=")</f>
        <v>#REF!</v>
      </c>
      <c r="CI28" t="e">
        <f>AND(#REF!,"AAAAAFd/d1Y=")</f>
        <v>#REF!</v>
      </c>
      <c r="CJ28" t="e">
        <f>AND(#REF!,"AAAAAFd/d1c=")</f>
        <v>#REF!</v>
      </c>
      <c r="CK28" t="e">
        <f>AND(#REF!,"AAAAAFd/d1g=")</f>
        <v>#REF!</v>
      </c>
      <c r="CL28" t="e">
        <f>AND(#REF!,"AAAAAFd/d1k=")</f>
        <v>#REF!</v>
      </c>
      <c r="CM28" t="e">
        <f>AND(#REF!,"AAAAAFd/d1o=")</f>
        <v>#REF!</v>
      </c>
      <c r="CN28" t="e">
        <f>AND(#REF!,"AAAAAFd/d1s=")</f>
        <v>#REF!</v>
      </c>
      <c r="CO28" t="e">
        <f>AND(#REF!,"AAAAAFd/d1w=")</f>
        <v>#REF!</v>
      </c>
      <c r="CP28" t="e">
        <f>AND(#REF!,"AAAAAFd/d10=")</f>
        <v>#REF!</v>
      </c>
      <c r="CQ28" t="e">
        <f>AND(#REF!,"AAAAAFd/d14=")</f>
        <v>#REF!</v>
      </c>
      <c r="CR28" t="e">
        <f>AND(#REF!,"AAAAAFd/d18=")</f>
        <v>#REF!</v>
      </c>
      <c r="CS28" t="e">
        <f>AND(#REF!,"AAAAAFd/d2A=")</f>
        <v>#REF!</v>
      </c>
      <c r="CT28" t="e">
        <f>AND(#REF!,"AAAAAFd/d2E=")</f>
        <v>#REF!</v>
      </c>
      <c r="CU28" t="e">
        <f>AND(#REF!,"AAAAAFd/d2I=")</f>
        <v>#REF!</v>
      </c>
      <c r="CV28" t="e">
        <f>AND(#REF!,"AAAAAFd/d2M=")</f>
        <v>#REF!</v>
      </c>
      <c r="CW28" t="e">
        <f>AND(#REF!,"AAAAAFd/d2Q=")</f>
        <v>#REF!</v>
      </c>
      <c r="CX28" t="e">
        <f>AND(#REF!,"AAAAAFd/d2U=")</f>
        <v>#REF!</v>
      </c>
      <c r="CY28" t="e">
        <f>AND(#REF!,"AAAAAFd/d2Y=")</f>
        <v>#REF!</v>
      </c>
      <c r="CZ28" t="e">
        <f>AND(#REF!,"AAAAAFd/d2c=")</f>
        <v>#REF!</v>
      </c>
      <c r="DA28" t="e">
        <f>AND(#REF!,"AAAAAFd/d2g=")</f>
        <v>#REF!</v>
      </c>
      <c r="DB28" t="e">
        <f>AND(#REF!,"AAAAAFd/d2k=")</f>
        <v>#REF!</v>
      </c>
      <c r="DC28" t="e">
        <f>AND(#REF!,"AAAAAFd/d2o=")</f>
        <v>#REF!</v>
      </c>
      <c r="DD28" t="e">
        <f>AND(#REF!,"AAAAAFd/d2s=")</f>
        <v>#REF!</v>
      </c>
      <c r="DE28" t="e">
        <f>AND(#REF!,"AAAAAFd/d2w=")</f>
        <v>#REF!</v>
      </c>
      <c r="DF28" t="e">
        <f>AND(#REF!,"AAAAAFd/d20=")</f>
        <v>#REF!</v>
      </c>
      <c r="DG28" t="e">
        <f>AND(#REF!,"AAAAAFd/d24=")</f>
        <v>#REF!</v>
      </c>
      <c r="DH28" t="e">
        <f>AND(#REF!,"AAAAAFd/d28=")</f>
        <v>#REF!</v>
      </c>
      <c r="DI28" t="e">
        <f>AND(#REF!,"AAAAAFd/d3A=")</f>
        <v>#REF!</v>
      </c>
      <c r="DJ28" t="e">
        <f>AND(#REF!,"AAAAAFd/d3E=")</f>
        <v>#REF!</v>
      </c>
      <c r="DK28" t="e">
        <f>AND(#REF!,"AAAAAFd/d3I=")</f>
        <v>#REF!</v>
      </c>
      <c r="DL28" t="e">
        <f>AND(#REF!,"AAAAAFd/d3M=")</f>
        <v>#REF!</v>
      </c>
      <c r="DM28" t="e">
        <f>IF(#REF!,"AAAAAFd/d3Q=",0)</f>
        <v>#REF!</v>
      </c>
      <c r="DN28" t="e">
        <f>AND(#REF!,"AAAAAFd/d3U=")</f>
        <v>#REF!</v>
      </c>
      <c r="DO28" t="e">
        <f>AND(#REF!,"AAAAAFd/d3Y=")</f>
        <v>#REF!</v>
      </c>
      <c r="DP28" t="e">
        <f>AND(#REF!,"AAAAAFd/d3c=")</f>
        <v>#REF!</v>
      </c>
      <c r="DQ28" t="e">
        <f>AND(#REF!,"AAAAAFd/d3g=")</f>
        <v>#REF!</v>
      </c>
      <c r="DR28" t="e">
        <f>AND(#REF!,"AAAAAFd/d3k=")</f>
        <v>#REF!</v>
      </c>
      <c r="DS28" t="e">
        <f>AND(#REF!,"AAAAAFd/d3o=")</f>
        <v>#REF!</v>
      </c>
      <c r="DT28" t="e">
        <f>AND(#REF!,"AAAAAFd/d3s=")</f>
        <v>#REF!</v>
      </c>
      <c r="DU28" t="e">
        <f>AND(#REF!,"AAAAAFd/d3w=")</f>
        <v>#REF!</v>
      </c>
      <c r="DV28" t="e">
        <f>AND(#REF!,"AAAAAFd/d30=")</f>
        <v>#REF!</v>
      </c>
      <c r="DW28" t="e">
        <f>AND(#REF!,"AAAAAFd/d34=")</f>
        <v>#REF!</v>
      </c>
      <c r="DX28" t="e">
        <f>AND(#REF!,"AAAAAFd/d38=")</f>
        <v>#REF!</v>
      </c>
      <c r="DY28" t="e">
        <f>AND(#REF!,"AAAAAFd/d4A=")</f>
        <v>#REF!</v>
      </c>
      <c r="DZ28" t="e">
        <f>AND(#REF!,"AAAAAFd/d4E=")</f>
        <v>#REF!</v>
      </c>
      <c r="EA28" t="e">
        <f>AND(#REF!,"AAAAAFd/d4I=")</f>
        <v>#REF!</v>
      </c>
      <c r="EB28" t="e">
        <f>AND(#REF!,"AAAAAFd/d4M=")</f>
        <v>#REF!</v>
      </c>
      <c r="EC28" t="e">
        <f>AND(#REF!,"AAAAAFd/d4Q=")</f>
        <v>#REF!</v>
      </c>
      <c r="ED28" t="e">
        <f>AND(#REF!,"AAAAAFd/d4U=")</f>
        <v>#REF!</v>
      </c>
      <c r="EE28" t="e">
        <f>AND(#REF!,"AAAAAFd/d4Y=")</f>
        <v>#REF!</v>
      </c>
      <c r="EF28" t="e">
        <f>AND(#REF!,"AAAAAFd/d4c=")</f>
        <v>#REF!</v>
      </c>
      <c r="EG28" t="e">
        <f>AND(#REF!,"AAAAAFd/d4g=")</f>
        <v>#REF!</v>
      </c>
      <c r="EH28" t="e">
        <f>AND(#REF!,"AAAAAFd/d4k=")</f>
        <v>#REF!</v>
      </c>
      <c r="EI28" t="e">
        <f>AND(#REF!,"AAAAAFd/d4o=")</f>
        <v>#REF!</v>
      </c>
      <c r="EJ28" t="e">
        <f>AND(#REF!,"AAAAAFd/d4s=")</f>
        <v>#REF!</v>
      </c>
      <c r="EK28" t="e">
        <f>AND(#REF!,"AAAAAFd/d4w=")</f>
        <v>#REF!</v>
      </c>
      <c r="EL28" t="e">
        <f>AND(#REF!,"AAAAAFd/d40=")</f>
        <v>#REF!</v>
      </c>
      <c r="EM28" t="e">
        <f>AND(#REF!,"AAAAAFd/d44=")</f>
        <v>#REF!</v>
      </c>
      <c r="EN28" t="e">
        <f>AND(#REF!,"AAAAAFd/d48=")</f>
        <v>#REF!</v>
      </c>
      <c r="EO28" t="e">
        <f>AND(#REF!,"AAAAAFd/d5A=")</f>
        <v>#REF!</v>
      </c>
      <c r="EP28" t="e">
        <f>AND(#REF!,"AAAAAFd/d5E=")</f>
        <v>#REF!</v>
      </c>
      <c r="EQ28" t="e">
        <f>AND(#REF!,"AAAAAFd/d5I=")</f>
        <v>#REF!</v>
      </c>
      <c r="ER28" t="e">
        <f>AND(#REF!,"AAAAAFd/d5M=")</f>
        <v>#REF!</v>
      </c>
      <c r="ES28" t="e">
        <f>AND(#REF!,"AAAAAFd/d5Q=")</f>
        <v>#REF!</v>
      </c>
      <c r="ET28" t="e">
        <f>AND(#REF!,"AAAAAFd/d5U=")</f>
        <v>#REF!</v>
      </c>
      <c r="EU28" t="e">
        <f>AND(#REF!,"AAAAAFd/d5Y=")</f>
        <v>#REF!</v>
      </c>
      <c r="EV28" t="e">
        <f>AND(#REF!,"AAAAAFd/d5c=")</f>
        <v>#REF!</v>
      </c>
      <c r="EW28" t="e">
        <f>IF(#REF!,"AAAAAFd/d5g=",0)</f>
        <v>#REF!</v>
      </c>
      <c r="EX28" t="e">
        <f>AND(#REF!,"AAAAAFd/d5k=")</f>
        <v>#REF!</v>
      </c>
      <c r="EY28" t="e">
        <f>AND(#REF!,"AAAAAFd/d5o=")</f>
        <v>#REF!</v>
      </c>
      <c r="EZ28" t="e">
        <f>AND(#REF!,"AAAAAFd/d5s=")</f>
        <v>#REF!</v>
      </c>
      <c r="FA28" t="e">
        <f>AND(#REF!,"AAAAAFd/d5w=")</f>
        <v>#REF!</v>
      </c>
      <c r="FB28" t="e">
        <f>AND(#REF!,"AAAAAFd/d50=")</f>
        <v>#REF!</v>
      </c>
      <c r="FC28" t="e">
        <f>AND(#REF!,"AAAAAFd/d54=")</f>
        <v>#REF!</v>
      </c>
      <c r="FD28" t="e">
        <f>AND(#REF!,"AAAAAFd/d58=")</f>
        <v>#REF!</v>
      </c>
      <c r="FE28" t="e">
        <f>AND(#REF!,"AAAAAFd/d6A=")</f>
        <v>#REF!</v>
      </c>
      <c r="FF28" t="e">
        <f>AND(#REF!,"AAAAAFd/d6E=")</f>
        <v>#REF!</v>
      </c>
      <c r="FG28" t="e">
        <f>AND(#REF!,"AAAAAFd/d6I=")</f>
        <v>#REF!</v>
      </c>
      <c r="FH28" t="e">
        <f>AND(#REF!,"AAAAAFd/d6M=")</f>
        <v>#REF!</v>
      </c>
      <c r="FI28" t="e">
        <f>AND(#REF!,"AAAAAFd/d6Q=")</f>
        <v>#REF!</v>
      </c>
      <c r="FJ28" t="e">
        <f>AND(#REF!,"AAAAAFd/d6U=")</f>
        <v>#REF!</v>
      </c>
      <c r="FK28" t="e">
        <f>AND(#REF!,"AAAAAFd/d6Y=")</f>
        <v>#REF!</v>
      </c>
      <c r="FL28" t="e">
        <f>AND(#REF!,"AAAAAFd/d6c=")</f>
        <v>#REF!</v>
      </c>
      <c r="FM28" t="e">
        <f>AND(#REF!,"AAAAAFd/d6g=")</f>
        <v>#REF!</v>
      </c>
      <c r="FN28" t="e">
        <f>AND(#REF!,"AAAAAFd/d6k=")</f>
        <v>#REF!</v>
      </c>
      <c r="FO28" t="e">
        <f>AND(#REF!,"AAAAAFd/d6o=")</f>
        <v>#REF!</v>
      </c>
      <c r="FP28" t="e">
        <f>AND(#REF!,"AAAAAFd/d6s=")</f>
        <v>#REF!</v>
      </c>
      <c r="FQ28" t="e">
        <f>AND(#REF!,"AAAAAFd/d6w=")</f>
        <v>#REF!</v>
      </c>
      <c r="FR28" t="e">
        <f>AND(#REF!,"AAAAAFd/d60=")</f>
        <v>#REF!</v>
      </c>
      <c r="FS28" t="e">
        <f>AND(#REF!,"AAAAAFd/d64=")</f>
        <v>#REF!</v>
      </c>
      <c r="FT28" t="e">
        <f>AND(#REF!,"AAAAAFd/d68=")</f>
        <v>#REF!</v>
      </c>
      <c r="FU28" t="e">
        <f>AND(#REF!,"AAAAAFd/d7A=")</f>
        <v>#REF!</v>
      </c>
      <c r="FV28" t="e">
        <f>AND(#REF!,"AAAAAFd/d7E=")</f>
        <v>#REF!</v>
      </c>
      <c r="FW28" t="e">
        <f>AND(#REF!,"AAAAAFd/d7I=")</f>
        <v>#REF!</v>
      </c>
      <c r="FX28" t="e">
        <f>AND(#REF!,"AAAAAFd/d7M=")</f>
        <v>#REF!</v>
      </c>
      <c r="FY28" t="e">
        <f>AND(#REF!,"AAAAAFd/d7Q=")</f>
        <v>#REF!</v>
      </c>
      <c r="FZ28" t="e">
        <f>AND(#REF!,"AAAAAFd/d7U=")</f>
        <v>#REF!</v>
      </c>
      <c r="GA28" t="e">
        <f>AND(#REF!,"AAAAAFd/d7Y=")</f>
        <v>#REF!</v>
      </c>
      <c r="GB28" t="e">
        <f>AND(#REF!,"AAAAAFd/d7c=")</f>
        <v>#REF!</v>
      </c>
      <c r="GC28" t="e">
        <f>AND(#REF!,"AAAAAFd/d7g=")</f>
        <v>#REF!</v>
      </c>
      <c r="GD28" t="e">
        <f>AND(#REF!,"AAAAAFd/d7k=")</f>
        <v>#REF!</v>
      </c>
      <c r="GE28" t="e">
        <f>AND(#REF!,"AAAAAFd/d7o=")</f>
        <v>#REF!</v>
      </c>
      <c r="GF28" t="e">
        <f>AND(#REF!,"AAAAAFd/d7s=")</f>
        <v>#REF!</v>
      </c>
      <c r="GG28" t="e">
        <f>IF(#REF!,"AAAAAFd/d7w=",0)</f>
        <v>#REF!</v>
      </c>
      <c r="GH28" t="e">
        <f>AND(#REF!,"AAAAAFd/d70=")</f>
        <v>#REF!</v>
      </c>
      <c r="GI28" t="e">
        <f>AND(#REF!,"AAAAAFd/d74=")</f>
        <v>#REF!</v>
      </c>
      <c r="GJ28" t="e">
        <f>AND(#REF!,"AAAAAFd/d78=")</f>
        <v>#REF!</v>
      </c>
      <c r="GK28" t="e">
        <f>AND(#REF!,"AAAAAFd/d8A=")</f>
        <v>#REF!</v>
      </c>
      <c r="GL28" t="e">
        <f>AND(#REF!,"AAAAAFd/d8E=")</f>
        <v>#REF!</v>
      </c>
      <c r="GM28" t="e">
        <f>AND(#REF!,"AAAAAFd/d8I=")</f>
        <v>#REF!</v>
      </c>
      <c r="GN28" t="e">
        <f>AND(#REF!,"AAAAAFd/d8M=")</f>
        <v>#REF!</v>
      </c>
      <c r="GO28" t="e">
        <f>AND(#REF!,"AAAAAFd/d8Q=")</f>
        <v>#REF!</v>
      </c>
      <c r="GP28" t="e">
        <f>AND(#REF!,"AAAAAFd/d8U=")</f>
        <v>#REF!</v>
      </c>
      <c r="GQ28" t="e">
        <f>AND(#REF!,"AAAAAFd/d8Y=")</f>
        <v>#REF!</v>
      </c>
      <c r="GR28" t="e">
        <f>AND(#REF!,"AAAAAFd/d8c=")</f>
        <v>#REF!</v>
      </c>
      <c r="GS28" t="e">
        <f>AND(#REF!,"AAAAAFd/d8g=")</f>
        <v>#REF!</v>
      </c>
      <c r="GT28" t="e">
        <f>AND(#REF!,"AAAAAFd/d8k=")</f>
        <v>#REF!</v>
      </c>
      <c r="GU28" t="e">
        <f>AND(#REF!,"AAAAAFd/d8o=")</f>
        <v>#REF!</v>
      </c>
      <c r="GV28" t="e">
        <f>AND(#REF!,"AAAAAFd/d8s=")</f>
        <v>#REF!</v>
      </c>
      <c r="GW28" t="e">
        <f>AND(#REF!,"AAAAAFd/d8w=")</f>
        <v>#REF!</v>
      </c>
      <c r="GX28" t="e">
        <f>AND(#REF!,"AAAAAFd/d80=")</f>
        <v>#REF!</v>
      </c>
      <c r="GY28" t="e">
        <f>AND(#REF!,"AAAAAFd/d84=")</f>
        <v>#REF!</v>
      </c>
      <c r="GZ28" t="e">
        <f>AND(#REF!,"AAAAAFd/d88=")</f>
        <v>#REF!</v>
      </c>
      <c r="HA28" t="e">
        <f>AND(#REF!,"AAAAAFd/d9A=")</f>
        <v>#REF!</v>
      </c>
      <c r="HB28" t="e">
        <f>AND(#REF!,"AAAAAFd/d9E=")</f>
        <v>#REF!</v>
      </c>
      <c r="HC28" t="e">
        <f>AND(#REF!,"AAAAAFd/d9I=")</f>
        <v>#REF!</v>
      </c>
      <c r="HD28" t="e">
        <f>AND(#REF!,"AAAAAFd/d9M=")</f>
        <v>#REF!</v>
      </c>
      <c r="HE28" t="e">
        <f>AND(#REF!,"AAAAAFd/d9Q=")</f>
        <v>#REF!</v>
      </c>
      <c r="HF28" t="e">
        <f>AND(#REF!,"AAAAAFd/d9U=")</f>
        <v>#REF!</v>
      </c>
      <c r="HG28" t="e">
        <f>AND(#REF!,"AAAAAFd/d9Y=")</f>
        <v>#REF!</v>
      </c>
      <c r="HH28" t="e">
        <f>AND(#REF!,"AAAAAFd/d9c=")</f>
        <v>#REF!</v>
      </c>
      <c r="HI28" t="e">
        <f>AND(#REF!,"AAAAAFd/d9g=")</f>
        <v>#REF!</v>
      </c>
      <c r="HJ28" t="e">
        <f>AND(#REF!,"AAAAAFd/d9k=")</f>
        <v>#REF!</v>
      </c>
      <c r="HK28" t="e">
        <f>AND(#REF!,"AAAAAFd/d9o=")</f>
        <v>#REF!</v>
      </c>
      <c r="HL28" t="e">
        <f>AND(#REF!,"AAAAAFd/d9s=")</f>
        <v>#REF!</v>
      </c>
      <c r="HM28" t="e">
        <f>AND(#REF!,"AAAAAFd/d9w=")</f>
        <v>#REF!</v>
      </c>
      <c r="HN28" t="e">
        <f>AND(#REF!,"AAAAAFd/d90=")</f>
        <v>#REF!</v>
      </c>
      <c r="HO28" t="e">
        <f>AND(#REF!,"AAAAAFd/d94=")</f>
        <v>#REF!</v>
      </c>
      <c r="HP28" t="e">
        <f>AND(#REF!,"AAAAAFd/d98=")</f>
        <v>#REF!</v>
      </c>
      <c r="HQ28" t="e">
        <f>IF(#REF!,"AAAAAFd/d+A=",0)</f>
        <v>#REF!</v>
      </c>
      <c r="HR28" t="e">
        <f>AND(#REF!,"AAAAAFd/d+E=")</f>
        <v>#REF!</v>
      </c>
      <c r="HS28" t="e">
        <f>AND(#REF!,"AAAAAFd/d+I=")</f>
        <v>#REF!</v>
      </c>
      <c r="HT28" t="e">
        <f>AND(#REF!,"AAAAAFd/d+M=")</f>
        <v>#REF!</v>
      </c>
      <c r="HU28" t="e">
        <f>AND(#REF!,"AAAAAFd/d+Q=")</f>
        <v>#REF!</v>
      </c>
      <c r="HV28" t="e">
        <f>AND(#REF!,"AAAAAFd/d+U=")</f>
        <v>#REF!</v>
      </c>
      <c r="HW28" t="e">
        <f>AND(#REF!,"AAAAAFd/d+Y=")</f>
        <v>#REF!</v>
      </c>
      <c r="HX28" t="e">
        <f>AND(#REF!,"AAAAAFd/d+c=")</f>
        <v>#REF!</v>
      </c>
      <c r="HY28" t="e">
        <f>AND(#REF!,"AAAAAFd/d+g=")</f>
        <v>#REF!</v>
      </c>
      <c r="HZ28" t="e">
        <f>AND(#REF!,"AAAAAFd/d+k=")</f>
        <v>#REF!</v>
      </c>
      <c r="IA28" t="e">
        <f>AND(#REF!,"AAAAAFd/d+o=")</f>
        <v>#REF!</v>
      </c>
      <c r="IB28" t="e">
        <f>AND(#REF!,"AAAAAFd/d+s=")</f>
        <v>#REF!</v>
      </c>
      <c r="IC28" t="e">
        <f>AND(#REF!,"AAAAAFd/d+w=")</f>
        <v>#REF!</v>
      </c>
      <c r="ID28" t="e">
        <f>AND(#REF!,"AAAAAFd/d+0=")</f>
        <v>#REF!</v>
      </c>
      <c r="IE28" t="e">
        <f>AND(#REF!,"AAAAAFd/d+4=")</f>
        <v>#REF!</v>
      </c>
      <c r="IF28" t="e">
        <f>AND(#REF!,"AAAAAFd/d+8=")</f>
        <v>#REF!</v>
      </c>
      <c r="IG28" t="e">
        <f>AND(#REF!,"AAAAAFd/d/A=")</f>
        <v>#REF!</v>
      </c>
      <c r="IH28" t="e">
        <f>AND(#REF!,"AAAAAFd/d/E=")</f>
        <v>#REF!</v>
      </c>
      <c r="II28" t="e">
        <f>AND(#REF!,"AAAAAFd/d/I=")</f>
        <v>#REF!</v>
      </c>
      <c r="IJ28" t="e">
        <f>AND(#REF!,"AAAAAFd/d/M=")</f>
        <v>#REF!</v>
      </c>
      <c r="IK28" t="e">
        <f>AND(#REF!,"AAAAAFd/d/Q=")</f>
        <v>#REF!</v>
      </c>
      <c r="IL28" t="e">
        <f>AND(#REF!,"AAAAAFd/d/U=")</f>
        <v>#REF!</v>
      </c>
      <c r="IM28" t="e">
        <f>AND(#REF!,"AAAAAFd/d/Y=")</f>
        <v>#REF!</v>
      </c>
      <c r="IN28" t="e">
        <f>AND(#REF!,"AAAAAFd/d/c=")</f>
        <v>#REF!</v>
      </c>
      <c r="IO28" t="e">
        <f>AND(#REF!,"AAAAAFd/d/g=")</f>
        <v>#REF!</v>
      </c>
      <c r="IP28" t="e">
        <f>AND(#REF!,"AAAAAFd/d/k=")</f>
        <v>#REF!</v>
      </c>
      <c r="IQ28" t="e">
        <f>AND(#REF!,"AAAAAFd/d/o=")</f>
        <v>#REF!</v>
      </c>
      <c r="IR28" t="e">
        <f>AND(#REF!,"AAAAAFd/d/s=")</f>
        <v>#REF!</v>
      </c>
      <c r="IS28" t="e">
        <f>AND(#REF!,"AAAAAFd/d/w=")</f>
        <v>#REF!</v>
      </c>
      <c r="IT28" t="e">
        <f>AND(#REF!,"AAAAAFd/d/0=")</f>
        <v>#REF!</v>
      </c>
      <c r="IU28" t="e">
        <f>AND(#REF!,"AAAAAFd/d/4=")</f>
        <v>#REF!</v>
      </c>
      <c r="IV28" t="e">
        <f>AND(#REF!,"AAAAAFd/d/8=")</f>
        <v>#REF!</v>
      </c>
    </row>
    <row r="29" spans="1:256">
      <c r="A29" t="e">
        <f>AND(#REF!,"AAAAAD/5XgA=")</f>
        <v>#REF!</v>
      </c>
      <c r="B29" t="e">
        <f>AND(#REF!,"AAAAAD/5XgE=")</f>
        <v>#REF!</v>
      </c>
      <c r="C29" t="e">
        <f>AND(#REF!,"AAAAAD/5XgI=")</f>
        <v>#REF!</v>
      </c>
      <c r="D29" t="e">
        <f>AND(#REF!,"AAAAAD/5XgM=")</f>
        <v>#REF!</v>
      </c>
      <c r="E29" t="e">
        <f>IF(#REF!,"AAAAAD/5XgQ=",0)</f>
        <v>#REF!</v>
      </c>
      <c r="F29" t="e">
        <f>AND(#REF!,"AAAAAD/5XgU=")</f>
        <v>#REF!</v>
      </c>
      <c r="G29" t="e">
        <f>AND(#REF!,"AAAAAD/5XgY=")</f>
        <v>#REF!</v>
      </c>
      <c r="H29" t="e">
        <f>AND(#REF!,"AAAAAD/5Xgc=")</f>
        <v>#REF!</v>
      </c>
      <c r="I29" t="e">
        <f>AND(#REF!,"AAAAAD/5Xgg=")</f>
        <v>#REF!</v>
      </c>
      <c r="J29" t="e">
        <f>AND(#REF!,"AAAAAD/5Xgk=")</f>
        <v>#REF!</v>
      </c>
      <c r="K29" t="e">
        <f>AND(#REF!,"AAAAAD/5Xgo=")</f>
        <v>#REF!</v>
      </c>
      <c r="L29" t="e">
        <f>AND(#REF!,"AAAAAD/5Xgs=")</f>
        <v>#REF!</v>
      </c>
      <c r="M29" t="e">
        <f>AND(#REF!,"AAAAAD/5Xgw=")</f>
        <v>#REF!</v>
      </c>
      <c r="N29" t="e">
        <f>AND(#REF!,"AAAAAD/5Xg0=")</f>
        <v>#REF!</v>
      </c>
      <c r="O29" t="e">
        <f>AND(#REF!,"AAAAAD/5Xg4=")</f>
        <v>#REF!</v>
      </c>
      <c r="P29" t="e">
        <f>AND(#REF!,"AAAAAD/5Xg8=")</f>
        <v>#REF!</v>
      </c>
      <c r="Q29" t="e">
        <f>AND(#REF!,"AAAAAD/5XhA=")</f>
        <v>#REF!</v>
      </c>
      <c r="R29" t="e">
        <f>AND(#REF!,"AAAAAD/5XhE=")</f>
        <v>#REF!</v>
      </c>
      <c r="S29" t="e">
        <f>AND(#REF!,"AAAAAD/5XhI=")</f>
        <v>#REF!</v>
      </c>
      <c r="T29" t="e">
        <f>AND(#REF!,"AAAAAD/5XhM=")</f>
        <v>#REF!</v>
      </c>
      <c r="U29" t="e">
        <f>AND(#REF!,"AAAAAD/5XhQ=")</f>
        <v>#REF!</v>
      </c>
      <c r="V29" t="e">
        <f>AND(#REF!,"AAAAAD/5XhU=")</f>
        <v>#REF!</v>
      </c>
      <c r="W29" t="e">
        <f>AND(#REF!,"AAAAAD/5XhY=")</f>
        <v>#REF!</v>
      </c>
      <c r="X29" t="e">
        <f>AND(#REF!,"AAAAAD/5Xhc=")</f>
        <v>#REF!</v>
      </c>
      <c r="Y29" t="e">
        <f>AND(#REF!,"AAAAAD/5Xhg=")</f>
        <v>#REF!</v>
      </c>
      <c r="Z29" t="e">
        <f>AND(#REF!,"AAAAAD/5Xhk=")</f>
        <v>#REF!</v>
      </c>
      <c r="AA29" t="e">
        <f>AND(#REF!,"AAAAAD/5Xho=")</f>
        <v>#REF!</v>
      </c>
      <c r="AB29" t="e">
        <f>AND(#REF!,"AAAAAD/5Xhs=")</f>
        <v>#REF!</v>
      </c>
      <c r="AC29" t="e">
        <f>AND(#REF!,"AAAAAD/5Xhw=")</f>
        <v>#REF!</v>
      </c>
      <c r="AD29" t="e">
        <f>AND(#REF!,"AAAAAD/5Xh0=")</f>
        <v>#REF!</v>
      </c>
      <c r="AE29" t="e">
        <f>AND(#REF!,"AAAAAD/5Xh4=")</f>
        <v>#REF!</v>
      </c>
      <c r="AF29" t="e">
        <f>AND(#REF!,"AAAAAD/5Xh8=")</f>
        <v>#REF!</v>
      </c>
      <c r="AG29" t="e">
        <f>AND(#REF!,"AAAAAD/5XiA=")</f>
        <v>#REF!</v>
      </c>
      <c r="AH29" t="e">
        <f>AND(#REF!,"AAAAAD/5XiE=")</f>
        <v>#REF!</v>
      </c>
      <c r="AI29" t="e">
        <f>AND(#REF!,"AAAAAD/5XiI=")</f>
        <v>#REF!</v>
      </c>
      <c r="AJ29" t="e">
        <f>AND(#REF!,"AAAAAD/5XiM=")</f>
        <v>#REF!</v>
      </c>
      <c r="AK29" t="e">
        <f>AND(#REF!,"AAAAAD/5XiQ=")</f>
        <v>#REF!</v>
      </c>
      <c r="AL29" t="e">
        <f>AND(#REF!,"AAAAAD/5XiU=")</f>
        <v>#REF!</v>
      </c>
      <c r="AM29" t="e">
        <f>AND(#REF!,"AAAAAD/5XiY=")</f>
        <v>#REF!</v>
      </c>
      <c r="AN29" t="e">
        <f>AND(#REF!,"AAAAAD/5Xic=")</f>
        <v>#REF!</v>
      </c>
      <c r="AO29" t="e">
        <f>IF(#REF!,"AAAAAD/5Xig=",0)</f>
        <v>#REF!</v>
      </c>
      <c r="AP29" t="e">
        <f>AND(#REF!,"AAAAAD/5Xik=")</f>
        <v>#REF!</v>
      </c>
      <c r="AQ29" t="e">
        <f>AND(#REF!,"AAAAAD/5Xio=")</f>
        <v>#REF!</v>
      </c>
      <c r="AR29" t="e">
        <f>AND(#REF!,"AAAAAD/5Xis=")</f>
        <v>#REF!</v>
      </c>
      <c r="AS29" t="e">
        <f>AND(#REF!,"AAAAAD/5Xiw=")</f>
        <v>#REF!</v>
      </c>
      <c r="AT29" t="e">
        <f>AND(#REF!,"AAAAAD/5Xi0=")</f>
        <v>#REF!</v>
      </c>
      <c r="AU29" t="e">
        <f>AND(#REF!,"AAAAAD/5Xi4=")</f>
        <v>#REF!</v>
      </c>
      <c r="AV29" t="e">
        <f>AND(#REF!,"AAAAAD/5Xi8=")</f>
        <v>#REF!</v>
      </c>
      <c r="AW29" t="e">
        <f>AND(#REF!,"AAAAAD/5XjA=")</f>
        <v>#REF!</v>
      </c>
      <c r="AX29" t="e">
        <f>AND(#REF!,"AAAAAD/5XjE=")</f>
        <v>#REF!</v>
      </c>
      <c r="AY29" t="e">
        <f>AND(#REF!,"AAAAAD/5XjI=")</f>
        <v>#REF!</v>
      </c>
      <c r="AZ29" t="e">
        <f>AND(#REF!,"AAAAAD/5XjM=")</f>
        <v>#REF!</v>
      </c>
      <c r="BA29" t="e">
        <f>AND(#REF!,"AAAAAD/5XjQ=")</f>
        <v>#REF!</v>
      </c>
      <c r="BB29" t="e">
        <f>AND(#REF!,"AAAAAD/5XjU=")</f>
        <v>#REF!</v>
      </c>
      <c r="BC29" t="e">
        <f>AND(#REF!,"AAAAAD/5XjY=")</f>
        <v>#REF!</v>
      </c>
      <c r="BD29" t="e">
        <f>AND(#REF!,"AAAAAD/5Xjc=")</f>
        <v>#REF!</v>
      </c>
      <c r="BE29" t="e">
        <f>AND(#REF!,"AAAAAD/5Xjg=")</f>
        <v>#REF!</v>
      </c>
      <c r="BF29" t="e">
        <f>AND(#REF!,"AAAAAD/5Xjk=")</f>
        <v>#REF!</v>
      </c>
      <c r="BG29" t="e">
        <f>AND(#REF!,"AAAAAD/5Xjo=")</f>
        <v>#REF!</v>
      </c>
      <c r="BH29" t="e">
        <f>AND(#REF!,"AAAAAD/5Xjs=")</f>
        <v>#REF!</v>
      </c>
      <c r="BI29" t="e">
        <f>AND(#REF!,"AAAAAD/5Xjw=")</f>
        <v>#REF!</v>
      </c>
      <c r="BJ29" t="e">
        <f>AND(#REF!,"AAAAAD/5Xj0=")</f>
        <v>#REF!</v>
      </c>
      <c r="BK29" t="e">
        <f>AND(#REF!,"AAAAAD/5Xj4=")</f>
        <v>#REF!</v>
      </c>
      <c r="BL29" t="e">
        <f>AND(#REF!,"AAAAAD/5Xj8=")</f>
        <v>#REF!</v>
      </c>
      <c r="BM29" t="e">
        <f>AND(#REF!,"AAAAAD/5XkA=")</f>
        <v>#REF!</v>
      </c>
      <c r="BN29" t="e">
        <f>AND(#REF!,"AAAAAD/5XkE=")</f>
        <v>#REF!</v>
      </c>
      <c r="BO29" t="e">
        <f>AND(#REF!,"AAAAAD/5XkI=")</f>
        <v>#REF!</v>
      </c>
      <c r="BP29" t="e">
        <f>AND(#REF!,"AAAAAD/5XkM=")</f>
        <v>#REF!</v>
      </c>
      <c r="BQ29" t="e">
        <f>AND(#REF!,"AAAAAD/5XkQ=")</f>
        <v>#REF!</v>
      </c>
      <c r="BR29" t="e">
        <f>AND(#REF!,"AAAAAD/5XkU=")</f>
        <v>#REF!</v>
      </c>
      <c r="BS29" t="e">
        <f>AND(#REF!,"AAAAAD/5XkY=")</f>
        <v>#REF!</v>
      </c>
      <c r="BT29" t="e">
        <f>AND(#REF!,"AAAAAD/5Xkc=")</f>
        <v>#REF!</v>
      </c>
      <c r="BU29" t="e">
        <f>AND(#REF!,"AAAAAD/5Xkg=")</f>
        <v>#REF!</v>
      </c>
      <c r="BV29" t="e">
        <f>AND(#REF!,"AAAAAD/5Xkk=")</f>
        <v>#REF!</v>
      </c>
      <c r="BW29" t="e">
        <f>AND(#REF!,"AAAAAD/5Xko=")</f>
        <v>#REF!</v>
      </c>
      <c r="BX29" t="e">
        <f>AND(#REF!,"AAAAAD/5Xks=")</f>
        <v>#REF!</v>
      </c>
      <c r="BY29" t="e">
        <f>IF(#REF!,"AAAAAD/5Xkw=",0)</f>
        <v>#REF!</v>
      </c>
      <c r="BZ29" t="e">
        <f>AND(#REF!,"AAAAAD/5Xk0=")</f>
        <v>#REF!</v>
      </c>
      <c r="CA29" t="e">
        <f>AND(#REF!,"AAAAAD/5Xk4=")</f>
        <v>#REF!</v>
      </c>
      <c r="CB29" t="e">
        <f>AND(#REF!,"AAAAAD/5Xk8=")</f>
        <v>#REF!</v>
      </c>
      <c r="CC29" t="e">
        <f>AND(#REF!,"AAAAAD/5XlA=")</f>
        <v>#REF!</v>
      </c>
      <c r="CD29" t="e">
        <f>AND(#REF!,"AAAAAD/5XlE=")</f>
        <v>#REF!</v>
      </c>
      <c r="CE29" t="e">
        <f>AND(#REF!,"AAAAAD/5XlI=")</f>
        <v>#REF!</v>
      </c>
      <c r="CF29" t="e">
        <f>AND(#REF!,"AAAAAD/5XlM=")</f>
        <v>#REF!</v>
      </c>
      <c r="CG29" t="e">
        <f>AND(#REF!,"AAAAAD/5XlQ=")</f>
        <v>#REF!</v>
      </c>
      <c r="CH29" t="e">
        <f>AND(#REF!,"AAAAAD/5XlU=")</f>
        <v>#REF!</v>
      </c>
      <c r="CI29" t="e">
        <f>AND(#REF!,"AAAAAD/5XlY=")</f>
        <v>#REF!</v>
      </c>
      <c r="CJ29" t="e">
        <f>AND(#REF!,"AAAAAD/5Xlc=")</f>
        <v>#REF!</v>
      </c>
      <c r="CK29" t="e">
        <f>AND(#REF!,"AAAAAD/5Xlg=")</f>
        <v>#REF!</v>
      </c>
      <c r="CL29" t="e">
        <f>AND(#REF!,"AAAAAD/5Xlk=")</f>
        <v>#REF!</v>
      </c>
      <c r="CM29" t="e">
        <f>AND(#REF!,"AAAAAD/5Xlo=")</f>
        <v>#REF!</v>
      </c>
      <c r="CN29" t="e">
        <f>AND(#REF!,"AAAAAD/5Xls=")</f>
        <v>#REF!</v>
      </c>
      <c r="CO29" t="e">
        <f>AND(#REF!,"AAAAAD/5Xlw=")</f>
        <v>#REF!</v>
      </c>
      <c r="CP29" t="e">
        <f>AND(#REF!,"AAAAAD/5Xl0=")</f>
        <v>#REF!</v>
      </c>
      <c r="CQ29" t="e">
        <f>AND(#REF!,"AAAAAD/5Xl4=")</f>
        <v>#REF!</v>
      </c>
      <c r="CR29" t="e">
        <f>AND(#REF!,"AAAAAD/5Xl8=")</f>
        <v>#REF!</v>
      </c>
      <c r="CS29" t="e">
        <f>AND(#REF!,"AAAAAD/5XmA=")</f>
        <v>#REF!</v>
      </c>
      <c r="CT29" t="e">
        <f>AND(#REF!,"AAAAAD/5XmE=")</f>
        <v>#REF!</v>
      </c>
      <c r="CU29" t="e">
        <f>AND(#REF!,"AAAAAD/5XmI=")</f>
        <v>#REF!</v>
      </c>
      <c r="CV29" t="e">
        <f>AND(#REF!,"AAAAAD/5XmM=")</f>
        <v>#REF!</v>
      </c>
      <c r="CW29" t="e">
        <f>AND(#REF!,"AAAAAD/5XmQ=")</f>
        <v>#REF!</v>
      </c>
      <c r="CX29" t="e">
        <f>AND(#REF!,"AAAAAD/5XmU=")</f>
        <v>#REF!</v>
      </c>
      <c r="CY29" t="e">
        <f>AND(#REF!,"AAAAAD/5XmY=")</f>
        <v>#REF!</v>
      </c>
      <c r="CZ29" t="e">
        <f>AND(#REF!,"AAAAAD/5Xmc=")</f>
        <v>#REF!</v>
      </c>
      <c r="DA29" t="e">
        <f>AND(#REF!,"AAAAAD/5Xmg=")</f>
        <v>#REF!</v>
      </c>
      <c r="DB29" t="e">
        <f>AND(#REF!,"AAAAAD/5Xmk=")</f>
        <v>#REF!</v>
      </c>
      <c r="DC29" t="e">
        <f>AND(#REF!,"AAAAAD/5Xmo=")</f>
        <v>#REF!</v>
      </c>
      <c r="DD29" t="e">
        <f>AND(#REF!,"AAAAAD/5Xms=")</f>
        <v>#REF!</v>
      </c>
      <c r="DE29" t="e">
        <f>AND(#REF!,"AAAAAD/5Xmw=")</f>
        <v>#REF!</v>
      </c>
      <c r="DF29" t="e">
        <f>AND(#REF!,"AAAAAD/5Xm0=")</f>
        <v>#REF!</v>
      </c>
      <c r="DG29" t="e">
        <f>AND(#REF!,"AAAAAD/5Xm4=")</f>
        <v>#REF!</v>
      </c>
      <c r="DH29" t="e">
        <f>AND(#REF!,"AAAAAD/5Xm8=")</f>
        <v>#REF!</v>
      </c>
      <c r="DI29" t="e">
        <f>IF(#REF!,"AAAAAD/5XnA=",0)</f>
        <v>#REF!</v>
      </c>
      <c r="DJ29" t="e">
        <f>AND(#REF!,"AAAAAD/5XnE=")</f>
        <v>#REF!</v>
      </c>
      <c r="DK29" t="e">
        <f>AND(#REF!,"AAAAAD/5XnI=")</f>
        <v>#REF!</v>
      </c>
      <c r="DL29" t="e">
        <f>AND(#REF!,"AAAAAD/5XnM=")</f>
        <v>#REF!</v>
      </c>
      <c r="DM29" t="e">
        <f>AND(#REF!,"AAAAAD/5XnQ=")</f>
        <v>#REF!</v>
      </c>
      <c r="DN29" t="e">
        <f>AND(#REF!,"AAAAAD/5XnU=")</f>
        <v>#REF!</v>
      </c>
      <c r="DO29" t="e">
        <f>AND(#REF!,"AAAAAD/5XnY=")</f>
        <v>#REF!</v>
      </c>
      <c r="DP29" t="e">
        <f>AND(#REF!,"AAAAAD/5Xnc=")</f>
        <v>#REF!</v>
      </c>
      <c r="DQ29" t="e">
        <f>AND(#REF!,"AAAAAD/5Xng=")</f>
        <v>#REF!</v>
      </c>
      <c r="DR29" t="e">
        <f>AND(#REF!,"AAAAAD/5Xnk=")</f>
        <v>#REF!</v>
      </c>
      <c r="DS29" t="e">
        <f>AND(#REF!,"AAAAAD/5Xno=")</f>
        <v>#REF!</v>
      </c>
      <c r="DT29" t="e">
        <f>AND(#REF!,"AAAAAD/5Xns=")</f>
        <v>#REF!</v>
      </c>
      <c r="DU29" t="e">
        <f>AND(#REF!,"AAAAAD/5Xnw=")</f>
        <v>#REF!</v>
      </c>
      <c r="DV29" t="e">
        <f>AND(#REF!,"AAAAAD/5Xn0=")</f>
        <v>#REF!</v>
      </c>
      <c r="DW29" t="e">
        <f>AND(#REF!,"AAAAAD/5Xn4=")</f>
        <v>#REF!</v>
      </c>
      <c r="DX29" t="e">
        <f>AND(#REF!,"AAAAAD/5Xn8=")</f>
        <v>#REF!</v>
      </c>
      <c r="DY29" t="e">
        <f>AND(#REF!,"AAAAAD/5XoA=")</f>
        <v>#REF!</v>
      </c>
      <c r="DZ29" t="e">
        <f>AND(#REF!,"AAAAAD/5XoE=")</f>
        <v>#REF!</v>
      </c>
      <c r="EA29" t="e">
        <f>AND(#REF!,"AAAAAD/5XoI=")</f>
        <v>#REF!</v>
      </c>
      <c r="EB29" t="e">
        <f>AND(#REF!,"AAAAAD/5XoM=")</f>
        <v>#REF!</v>
      </c>
      <c r="EC29" t="e">
        <f>AND(#REF!,"AAAAAD/5XoQ=")</f>
        <v>#REF!</v>
      </c>
      <c r="ED29" t="e">
        <f>AND(#REF!,"AAAAAD/5XoU=")</f>
        <v>#REF!</v>
      </c>
      <c r="EE29" t="e">
        <f>AND(#REF!,"AAAAAD/5XoY=")</f>
        <v>#REF!</v>
      </c>
      <c r="EF29" t="e">
        <f>AND(#REF!,"AAAAAD/5Xoc=")</f>
        <v>#REF!</v>
      </c>
      <c r="EG29" t="e">
        <f>AND(#REF!,"AAAAAD/5Xog=")</f>
        <v>#REF!</v>
      </c>
      <c r="EH29" t="e">
        <f>AND(#REF!,"AAAAAD/5Xok=")</f>
        <v>#REF!</v>
      </c>
      <c r="EI29" t="e">
        <f>AND(#REF!,"AAAAAD/5Xoo=")</f>
        <v>#REF!</v>
      </c>
      <c r="EJ29" t="e">
        <f>AND(#REF!,"AAAAAD/5Xos=")</f>
        <v>#REF!</v>
      </c>
      <c r="EK29" t="e">
        <f>AND(#REF!,"AAAAAD/5Xow=")</f>
        <v>#REF!</v>
      </c>
      <c r="EL29" t="e">
        <f>AND(#REF!,"AAAAAD/5Xo0=")</f>
        <v>#REF!</v>
      </c>
      <c r="EM29" t="e">
        <f>AND(#REF!,"AAAAAD/5Xo4=")</f>
        <v>#REF!</v>
      </c>
      <c r="EN29" t="e">
        <f>AND(#REF!,"AAAAAD/5Xo8=")</f>
        <v>#REF!</v>
      </c>
      <c r="EO29" t="e">
        <f>AND(#REF!,"AAAAAD/5XpA=")</f>
        <v>#REF!</v>
      </c>
      <c r="EP29" t="e">
        <f>AND(#REF!,"AAAAAD/5XpE=")</f>
        <v>#REF!</v>
      </c>
      <c r="EQ29" t="e">
        <f>AND(#REF!,"AAAAAD/5XpI=")</f>
        <v>#REF!</v>
      </c>
      <c r="ER29" t="e">
        <f>AND(#REF!,"AAAAAD/5XpM=")</f>
        <v>#REF!</v>
      </c>
      <c r="ES29" t="e">
        <f>IF(#REF!,"AAAAAD/5XpQ=",0)</f>
        <v>#REF!</v>
      </c>
      <c r="ET29" t="e">
        <f>AND(#REF!,"AAAAAD/5XpU=")</f>
        <v>#REF!</v>
      </c>
      <c r="EU29" t="e">
        <f>AND(#REF!,"AAAAAD/5XpY=")</f>
        <v>#REF!</v>
      </c>
      <c r="EV29" t="e">
        <f>AND(#REF!,"AAAAAD/5Xpc=")</f>
        <v>#REF!</v>
      </c>
      <c r="EW29" t="e">
        <f>AND(#REF!,"AAAAAD/5Xpg=")</f>
        <v>#REF!</v>
      </c>
      <c r="EX29" t="e">
        <f>AND(#REF!,"AAAAAD/5Xpk=")</f>
        <v>#REF!</v>
      </c>
      <c r="EY29" t="e">
        <f>AND(#REF!,"AAAAAD/5Xpo=")</f>
        <v>#REF!</v>
      </c>
      <c r="EZ29" t="e">
        <f>AND(#REF!,"AAAAAD/5Xps=")</f>
        <v>#REF!</v>
      </c>
      <c r="FA29" t="e">
        <f>AND(#REF!,"AAAAAD/5Xpw=")</f>
        <v>#REF!</v>
      </c>
      <c r="FB29" t="e">
        <f>AND(#REF!,"AAAAAD/5Xp0=")</f>
        <v>#REF!</v>
      </c>
      <c r="FC29" t="e">
        <f>AND(#REF!,"AAAAAD/5Xp4=")</f>
        <v>#REF!</v>
      </c>
      <c r="FD29" t="e">
        <f>AND(#REF!,"AAAAAD/5Xp8=")</f>
        <v>#REF!</v>
      </c>
      <c r="FE29" t="e">
        <f>AND(#REF!,"AAAAAD/5XqA=")</f>
        <v>#REF!</v>
      </c>
      <c r="FF29" t="e">
        <f>AND(#REF!,"AAAAAD/5XqE=")</f>
        <v>#REF!</v>
      </c>
      <c r="FG29" t="e">
        <f>AND(#REF!,"AAAAAD/5XqI=")</f>
        <v>#REF!</v>
      </c>
      <c r="FH29" t="e">
        <f>AND(#REF!,"AAAAAD/5XqM=")</f>
        <v>#REF!</v>
      </c>
      <c r="FI29" t="e">
        <f>AND(#REF!,"AAAAAD/5XqQ=")</f>
        <v>#REF!</v>
      </c>
      <c r="FJ29" t="e">
        <f>AND(#REF!,"AAAAAD/5XqU=")</f>
        <v>#REF!</v>
      </c>
      <c r="FK29" t="e">
        <f>AND(#REF!,"AAAAAD/5XqY=")</f>
        <v>#REF!</v>
      </c>
      <c r="FL29" t="e">
        <f>AND(#REF!,"AAAAAD/5Xqc=")</f>
        <v>#REF!</v>
      </c>
      <c r="FM29" t="e">
        <f>AND(#REF!,"AAAAAD/5Xqg=")</f>
        <v>#REF!</v>
      </c>
      <c r="FN29" t="e">
        <f>AND(#REF!,"AAAAAD/5Xqk=")</f>
        <v>#REF!</v>
      </c>
      <c r="FO29" t="e">
        <f>AND(#REF!,"AAAAAD/5Xqo=")</f>
        <v>#REF!</v>
      </c>
      <c r="FP29" t="e">
        <f>AND(#REF!,"AAAAAD/5Xqs=")</f>
        <v>#REF!</v>
      </c>
      <c r="FQ29" t="e">
        <f>AND(#REF!,"AAAAAD/5Xqw=")</f>
        <v>#REF!</v>
      </c>
      <c r="FR29" t="e">
        <f>AND(#REF!,"AAAAAD/5Xq0=")</f>
        <v>#REF!</v>
      </c>
      <c r="FS29" t="e">
        <f>AND(#REF!,"AAAAAD/5Xq4=")</f>
        <v>#REF!</v>
      </c>
      <c r="FT29" t="e">
        <f>AND(#REF!,"AAAAAD/5Xq8=")</f>
        <v>#REF!</v>
      </c>
      <c r="FU29" t="e">
        <f>AND(#REF!,"AAAAAD/5XrA=")</f>
        <v>#REF!</v>
      </c>
      <c r="FV29" t="e">
        <f>AND(#REF!,"AAAAAD/5XrE=")</f>
        <v>#REF!</v>
      </c>
      <c r="FW29" t="e">
        <f>AND(#REF!,"AAAAAD/5XrI=")</f>
        <v>#REF!</v>
      </c>
      <c r="FX29" t="e">
        <f>AND(#REF!,"AAAAAD/5XrM=")</f>
        <v>#REF!</v>
      </c>
      <c r="FY29" t="e">
        <f>AND(#REF!,"AAAAAD/5XrQ=")</f>
        <v>#REF!</v>
      </c>
      <c r="FZ29" t="e">
        <f>AND(#REF!,"AAAAAD/5XrU=")</f>
        <v>#REF!</v>
      </c>
      <c r="GA29" t="e">
        <f>AND(#REF!,"AAAAAD/5XrY=")</f>
        <v>#REF!</v>
      </c>
      <c r="GB29" t="e">
        <f>AND(#REF!,"AAAAAD/5Xrc=")</f>
        <v>#REF!</v>
      </c>
      <c r="GC29" t="e">
        <f>IF(#REF!,"AAAAAD/5Xrg=",0)</f>
        <v>#REF!</v>
      </c>
      <c r="GD29" t="e">
        <f>AND(#REF!,"AAAAAD/5Xrk=")</f>
        <v>#REF!</v>
      </c>
      <c r="GE29" t="e">
        <f>AND(#REF!,"AAAAAD/5Xro=")</f>
        <v>#REF!</v>
      </c>
      <c r="GF29" t="e">
        <f>AND(#REF!,"AAAAAD/5Xrs=")</f>
        <v>#REF!</v>
      </c>
      <c r="GG29" t="e">
        <f>AND(#REF!,"AAAAAD/5Xrw=")</f>
        <v>#REF!</v>
      </c>
      <c r="GH29" t="e">
        <f>AND(#REF!,"AAAAAD/5Xr0=")</f>
        <v>#REF!</v>
      </c>
      <c r="GI29" t="e">
        <f>AND(#REF!,"AAAAAD/5Xr4=")</f>
        <v>#REF!</v>
      </c>
      <c r="GJ29" t="e">
        <f>AND(#REF!,"AAAAAD/5Xr8=")</f>
        <v>#REF!</v>
      </c>
      <c r="GK29" t="e">
        <f>AND(#REF!,"AAAAAD/5XsA=")</f>
        <v>#REF!</v>
      </c>
      <c r="GL29" t="e">
        <f>AND(#REF!,"AAAAAD/5XsE=")</f>
        <v>#REF!</v>
      </c>
      <c r="GM29" t="e">
        <f>AND(#REF!,"AAAAAD/5XsI=")</f>
        <v>#REF!</v>
      </c>
      <c r="GN29" t="e">
        <f>AND(#REF!,"AAAAAD/5XsM=")</f>
        <v>#REF!</v>
      </c>
      <c r="GO29" t="e">
        <f>AND(#REF!,"AAAAAD/5XsQ=")</f>
        <v>#REF!</v>
      </c>
      <c r="GP29" t="e">
        <f>AND(#REF!,"AAAAAD/5XsU=")</f>
        <v>#REF!</v>
      </c>
      <c r="GQ29" t="e">
        <f>AND(#REF!,"AAAAAD/5XsY=")</f>
        <v>#REF!</v>
      </c>
      <c r="GR29" t="e">
        <f>AND(#REF!,"AAAAAD/5Xsc=")</f>
        <v>#REF!</v>
      </c>
      <c r="GS29" t="e">
        <f>AND(#REF!,"AAAAAD/5Xsg=")</f>
        <v>#REF!</v>
      </c>
      <c r="GT29" t="e">
        <f>AND(#REF!,"AAAAAD/5Xsk=")</f>
        <v>#REF!</v>
      </c>
      <c r="GU29" t="e">
        <f>AND(#REF!,"AAAAAD/5Xso=")</f>
        <v>#REF!</v>
      </c>
      <c r="GV29" t="e">
        <f>AND(#REF!,"AAAAAD/5Xss=")</f>
        <v>#REF!</v>
      </c>
      <c r="GW29" t="e">
        <f>AND(#REF!,"AAAAAD/5Xsw=")</f>
        <v>#REF!</v>
      </c>
      <c r="GX29" t="e">
        <f>AND(#REF!,"AAAAAD/5Xs0=")</f>
        <v>#REF!</v>
      </c>
      <c r="GY29" t="e">
        <f>AND(#REF!,"AAAAAD/5Xs4=")</f>
        <v>#REF!</v>
      </c>
      <c r="GZ29" t="e">
        <f>AND(#REF!,"AAAAAD/5Xs8=")</f>
        <v>#REF!</v>
      </c>
      <c r="HA29" t="e">
        <f>AND(#REF!,"AAAAAD/5XtA=")</f>
        <v>#REF!</v>
      </c>
      <c r="HB29" t="e">
        <f>AND(#REF!,"AAAAAD/5XtE=")</f>
        <v>#REF!</v>
      </c>
      <c r="HC29" t="e">
        <f>AND(#REF!,"AAAAAD/5XtI=")</f>
        <v>#REF!</v>
      </c>
      <c r="HD29" t="e">
        <f>AND(#REF!,"AAAAAD/5XtM=")</f>
        <v>#REF!</v>
      </c>
      <c r="HE29" t="e">
        <f>AND(#REF!,"AAAAAD/5XtQ=")</f>
        <v>#REF!</v>
      </c>
      <c r="HF29" t="e">
        <f>AND(#REF!,"AAAAAD/5XtU=")</f>
        <v>#REF!</v>
      </c>
      <c r="HG29" t="e">
        <f>AND(#REF!,"AAAAAD/5XtY=")</f>
        <v>#REF!</v>
      </c>
      <c r="HH29" t="e">
        <f>AND(#REF!,"AAAAAD/5Xtc=")</f>
        <v>#REF!</v>
      </c>
      <c r="HI29" t="e">
        <f>AND(#REF!,"AAAAAD/5Xtg=")</f>
        <v>#REF!</v>
      </c>
      <c r="HJ29" t="e">
        <f>AND(#REF!,"AAAAAD/5Xtk=")</f>
        <v>#REF!</v>
      </c>
      <c r="HK29" t="e">
        <f>AND(#REF!,"AAAAAD/5Xto=")</f>
        <v>#REF!</v>
      </c>
      <c r="HL29" t="e">
        <f>AND(#REF!,"AAAAAD/5Xts=")</f>
        <v>#REF!</v>
      </c>
      <c r="HM29" t="e">
        <f>IF(#REF!,"AAAAAD/5Xtw=",0)</f>
        <v>#REF!</v>
      </c>
      <c r="HN29" t="e">
        <f>AND(#REF!,"AAAAAD/5Xt0=")</f>
        <v>#REF!</v>
      </c>
      <c r="HO29" t="e">
        <f>AND(#REF!,"AAAAAD/5Xt4=")</f>
        <v>#REF!</v>
      </c>
      <c r="HP29" t="e">
        <f>AND(#REF!,"AAAAAD/5Xt8=")</f>
        <v>#REF!</v>
      </c>
      <c r="HQ29" t="e">
        <f>AND(#REF!,"AAAAAD/5XuA=")</f>
        <v>#REF!</v>
      </c>
      <c r="HR29" t="e">
        <f>AND(#REF!,"AAAAAD/5XuE=")</f>
        <v>#REF!</v>
      </c>
      <c r="HS29" t="e">
        <f>AND(#REF!,"AAAAAD/5XuI=")</f>
        <v>#REF!</v>
      </c>
      <c r="HT29" t="e">
        <f>AND(#REF!,"AAAAAD/5XuM=")</f>
        <v>#REF!</v>
      </c>
      <c r="HU29" t="e">
        <f>AND(#REF!,"AAAAAD/5XuQ=")</f>
        <v>#REF!</v>
      </c>
      <c r="HV29" t="e">
        <f>AND(#REF!,"AAAAAD/5XuU=")</f>
        <v>#REF!</v>
      </c>
      <c r="HW29" t="e">
        <f>AND(#REF!,"AAAAAD/5XuY=")</f>
        <v>#REF!</v>
      </c>
      <c r="HX29" t="e">
        <f>AND(#REF!,"AAAAAD/5Xuc=")</f>
        <v>#REF!</v>
      </c>
      <c r="HY29" t="e">
        <f>AND(#REF!,"AAAAAD/5Xug=")</f>
        <v>#REF!</v>
      </c>
      <c r="HZ29" t="e">
        <f>AND(#REF!,"AAAAAD/5Xuk=")</f>
        <v>#REF!</v>
      </c>
      <c r="IA29" t="e">
        <f>AND(#REF!,"AAAAAD/5Xuo=")</f>
        <v>#REF!</v>
      </c>
      <c r="IB29" t="e">
        <f>AND(#REF!,"AAAAAD/5Xus=")</f>
        <v>#REF!</v>
      </c>
      <c r="IC29" t="e">
        <f>AND(#REF!,"AAAAAD/5Xuw=")</f>
        <v>#REF!</v>
      </c>
      <c r="ID29" t="e">
        <f>AND(#REF!,"AAAAAD/5Xu0=")</f>
        <v>#REF!</v>
      </c>
      <c r="IE29" t="e">
        <f>AND(#REF!,"AAAAAD/5Xu4=")</f>
        <v>#REF!</v>
      </c>
      <c r="IF29" t="e">
        <f>AND(#REF!,"AAAAAD/5Xu8=")</f>
        <v>#REF!</v>
      </c>
      <c r="IG29" t="e">
        <f>AND(#REF!,"AAAAAD/5XvA=")</f>
        <v>#REF!</v>
      </c>
      <c r="IH29" t="e">
        <f>AND(#REF!,"AAAAAD/5XvE=")</f>
        <v>#REF!</v>
      </c>
      <c r="II29" t="e">
        <f>AND(#REF!,"AAAAAD/5XvI=")</f>
        <v>#REF!</v>
      </c>
      <c r="IJ29" t="e">
        <f>AND(#REF!,"AAAAAD/5XvM=")</f>
        <v>#REF!</v>
      </c>
      <c r="IK29" t="e">
        <f>AND(#REF!,"AAAAAD/5XvQ=")</f>
        <v>#REF!</v>
      </c>
      <c r="IL29" t="e">
        <f>AND(#REF!,"AAAAAD/5XvU=")</f>
        <v>#REF!</v>
      </c>
      <c r="IM29" t="e">
        <f>AND(#REF!,"AAAAAD/5XvY=")</f>
        <v>#REF!</v>
      </c>
      <c r="IN29" t="e">
        <f>AND(#REF!,"AAAAAD/5Xvc=")</f>
        <v>#REF!</v>
      </c>
      <c r="IO29" t="e">
        <f>AND(#REF!,"AAAAAD/5Xvg=")</f>
        <v>#REF!</v>
      </c>
      <c r="IP29" t="e">
        <f>AND(#REF!,"AAAAAD/5Xvk=")</f>
        <v>#REF!</v>
      </c>
      <c r="IQ29" t="e">
        <f>AND(#REF!,"AAAAAD/5Xvo=")</f>
        <v>#REF!</v>
      </c>
      <c r="IR29" t="e">
        <f>AND(#REF!,"AAAAAD/5Xvs=")</f>
        <v>#REF!</v>
      </c>
      <c r="IS29" t="e">
        <f>AND(#REF!,"AAAAAD/5Xvw=")</f>
        <v>#REF!</v>
      </c>
      <c r="IT29" t="e">
        <f>AND(#REF!,"AAAAAD/5Xv0=")</f>
        <v>#REF!</v>
      </c>
      <c r="IU29" t="e">
        <f>AND(#REF!,"AAAAAD/5Xv4=")</f>
        <v>#REF!</v>
      </c>
      <c r="IV29" t="e">
        <f>AND(#REF!,"AAAAAD/5Xv8=")</f>
        <v>#REF!</v>
      </c>
    </row>
    <row r="30" spans="1:256">
      <c r="A30" t="e">
        <f>IF(#REF!,"AAAAADfPgwA=",0)</f>
        <v>#REF!</v>
      </c>
      <c r="B30" t="e">
        <f>AND(#REF!,"AAAAADfPgwE=")</f>
        <v>#REF!</v>
      </c>
      <c r="C30" t="e">
        <f>AND(#REF!,"AAAAADfPgwI=")</f>
        <v>#REF!</v>
      </c>
      <c r="D30" t="e">
        <f>AND(#REF!,"AAAAADfPgwM=")</f>
        <v>#REF!</v>
      </c>
      <c r="E30" t="e">
        <f>AND(#REF!,"AAAAADfPgwQ=")</f>
        <v>#REF!</v>
      </c>
      <c r="F30" t="e">
        <f>AND(#REF!,"AAAAADfPgwU=")</f>
        <v>#REF!</v>
      </c>
      <c r="G30" t="e">
        <f>AND(#REF!,"AAAAADfPgwY=")</f>
        <v>#REF!</v>
      </c>
      <c r="H30" t="e">
        <f>AND(#REF!,"AAAAADfPgwc=")</f>
        <v>#REF!</v>
      </c>
      <c r="I30" t="e">
        <f>AND(#REF!,"AAAAADfPgwg=")</f>
        <v>#REF!</v>
      </c>
      <c r="J30" t="e">
        <f>AND(#REF!,"AAAAADfPgwk=")</f>
        <v>#REF!</v>
      </c>
      <c r="K30" t="e">
        <f>AND(#REF!,"AAAAADfPgwo=")</f>
        <v>#REF!</v>
      </c>
      <c r="L30" t="e">
        <f>AND(#REF!,"AAAAADfPgws=")</f>
        <v>#REF!</v>
      </c>
      <c r="M30" t="e">
        <f>AND(#REF!,"AAAAADfPgww=")</f>
        <v>#REF!</v>
      </c>
      <c r="N30" t="e">
        <f>AND(#REF!,"AAAAADfPgw0=")</f>
        <v>#REF!</v>
      </c>
      <c r="O30" t="e">
        <f>AND(#REF!,"AAAAADfPgw4=")</f>
        <v>#REF!</v>
      </c>
      <c r="P30" t="e">
        <f>AND(#REF!,"AAAAADfPgw8=")</f>
        <v>#REF!</v>
      </c>
      <c r="Q30" t="e">
        <f>AND(#REF!,"AAAAADfPgxA=")</f>
        <v>#REF!</v>
      </c>
      <c r="R30" t="e">
        <f>AND(#REF!,"AAAAADfPgxE=")</f>
        <v>#REF!</v>
      </c>
      <c r="S30" t="e">
        <f>AND(#REF!,"AAAAADfPgxI=")</f>
        <v>#REF!</v>
      </c>
      <c r="T30" t="e">
        <f>AND(#REF!,"AAAAADfPgxM=")</f>
        <v>#REF!</v>
      </c>
      <c r="U30" t="e">
        <f>AND(#REF!,"AAAAADfPgxQ=")</f>
        <v>#REF!</v>
      </c>
      <c r="V30" t="e">
        <f>AND(#REF!,"AAAAADfPgxU=")</f>
        <v>#REF!</v>
      </c>
      <c r="W30" t="e">
        <f>AND(#REF!,"AAAAADfPgxY=")</f>
        <v>#REF!</v>
      </c>
      <c r="X30" t="e">
        <f>AND(#REF!,"AAAAADfPgxc=")</f>
        <v>#REF!</v>
      </c>
      <c r="Y30" t="e">
        <f>AND(#REF!,"AAAAADfPgxg=")</f>
        <v>#REF!</v>
      </c>
      <c r="Z30" t="e">
        <f>AND(#REF!,"AAAAADfPgxk=")</f>
        <v>#REF!</v>
      </c>
      <c r="AA30" t="e">
        <f>AND(#REF!,"AAAAADfPgxo=")</f>
        <v>#REF!</v>
      </c>
      <c r="AB30" t="e">
        <f>AND(#REF!,"AAAAADfPgxs=")</f>
        <v>#REF!</v>
      </c>
      <c r="AC30" t="e">
        <f>AND(#REF!,"AAAAADfPgxw=")</f>
        <v>#REF!</v>
      </c>
      <c r="AD30" t="e">
        <f>AND(#REF!,"AAAAADfPgx0=")</f>
        <v>#REF!</v>
      </c>
      <c r="AE30" t="e">
        <f>AND(#REF!,"AAAAADfPgx4=")</f>
        <v>#REF!</v>
      </c>
      <c r="AF30" t="e">
        <f>AND(#REF!,"AAAAADfPgx8=")</f>
        <v>#REF!</v>
      </c>
      <c r="AG30" t="e">
        <f>AND(#REF!,"AAAAADfPgyA=")</f>
        <v>#REF!</v>
      </c>
      <c r="AH30" t="e">
        <f>AND(#REF!,"AAAAADfPgyE=")</f>
        <v>#REF!</v>
      </c>
      <c r="AI30" t="e">
        <f>AND(#REF!,"AAAAADfPgyI=")</f>
        <v>#REF!</v>
      </c>
      <c r="AJ30" t="e">
        <f>AND(#REF!,"AAAAADfPgyM=")</f>
        <v>#REF!</v>
      </c>
      <c r="AK30" t="e">
        <f>IF(#REF!,"AAAAADfPgyQ=",0)</f>
        <v>#REF!</v>
      </c>
      <c r="AL30" t="e">
        <f>AND(#REF!,"AAAAADfPgyU=")</f>
        <v>#REF!</v>
      </c>
      <c r="AM30" t="e">
        <f>AND(#REF!,"AAAAADfPgyY=")</f>
        <v>#REF!</v>
      </c>
      <c r="AN30" t="e">
        <f>AND(#REF!,"AAAAADfPgyc=")</f>
        <v>#REF!</v>
      </c>
      <c r="AO30" t="e">
        <f>AND(#REF!,"AAAAADfPgyg=")</f>
        <v>#REF!</v>
      </c>
      <c r="AP30" t="e">
        <f>AND(#REF!,"AAAAADfPgyk=")</f>
        <v>#REF!</v>
      </c>
      <c r="AQ30" t="e">
        <f>AND(#REF!,"AAAAADfPgyo=")</f>
        <v>#REF!</v>
      </c>
      <c r="AR30" t="e">
        <f>AND(#REF!,"AAAAADfPgys=")</f>
        <v>#REF!</v>
      </c>
      <c r="AS30" t="e">
        <f>AND(#REF!,"AAAAADfPgyw=")</f>
        <v>#REF!</v>
      </c>
      <c r="AT30" t="e">
        <f>AND(#REF!,"AAAAADfPgy0=")</f>
        <v>#REF!</v>
      </c>
      <c r="AU30" t="e">
        <f>AND(#REF!,"AAAAADfPgy4=")</f>
        <v>#REF!</v>
      </c>
      <c r="AV30" t="e">
        <f>AND(#REF!,"AAAAADfPgy8=")</f>
        <v>#REF!</v>
      </c>
      <c r="AW30" t="e">
        <f>AND(#REF!,"AAAAADfPgzA=")</f>
        <v>#REF!</v>
      </c>
      <c r="AX30" t="e">
        <f>AND(#REF!,"AAAAADfPgzE=")</f>
        <v>#REF!</v>
      </c>
      <c r="AY30" t="e">
        <f>AND(#REF!,"AAAAADfPgzI=")</f>
        <v>#REF!</v>
      </c>
      <c r="AZ30" t="e">
        <f>AND(#REF!,"AAAAADfPgzM=")</f>
        <v>#REF!</v>
      </c>
      <c r="BA30" t="e">
        <f>AND(#REF!,"AAAAADfPgzQ=")</f>
        <v>#REF!</v>
      </c>
      <c r="BB30" t="e">
        <f>AND(#REF!,"AAAAADfPgzU=")</f>
        <v>#REF!</v>
      </c>
      <c r="BC30" t="e">
        <f>AND(#REF!,"AAAAADfPgzY=")</f>
        <v>#REF!</v>
      </c>
      <c r="BD30" t="e">
        <f>AND(#REF!,"AAAAADfPgzc=")</f>
        <v>#REF!</v>
      </c>
      <c r="BE30" t="e">
        <f>AND(#REF!,"AAAAADfPgzg=")</f>
        <v>#REF!</v>
      </c>
      <c r="BF30" t="e">
        <f>AND(#REF!,"AAAAADfPgzk=")</f>
        <v>#REF!</v>
      </c>
      <c r="BG30" t="e">
        <f>AND(#REF!,"AAAAADfPgzo=")</f>
        <v>#REF!</v>
      </c>
      <c r="BH30" t="e">
        <f>AND(#REF!,"AAAAADfPgzs=")</f>
        <v>#REF!</v>
      </c>
      <c r="BI30" t="e">
        <f>AND(#REF!,"AAAAADfPgzw=")</f>
        <v>#REF!</v>
      </c>
      <c r="BJ30" t="e">
        <f>AND(#REF!,"AAAAADfPgz0=")</f>
        <v>#REF!</v>
      </c>
      <c r="BK30" t="e">
        <f>AND(#REF!,"AAAAADfPgz4=")</f>
        <v>#REF!</v>
      </c>
      <c r="BL30" t="e">
        <f>AND(#REF!,"AAAAADfPgz8=")</f>
        <v>#REF!</v>
      </c>
      <c r="BM30" t="e">
        <f>AND(#REF!,"AAAAADfPg0A=")</f>
        <v>#REF!</v>
      </c>
      <c r="BN30" t="e">
        <f>AND(#REF!,"AAAAADfPg0E=")</f>
        <v>#REF!</v>
      </c>
      <c r="BO30" t="e">
        <f>AND(#REF!,"AAAAADfPg0I=")</f>
        <v>#REF!</v>
      </c>
      <c r="BP30" t="e">
        <f>AND(#REF!,"AAAAADfPg0M=")</f>
        <v>#REF!</v>
      </c>
      <c r="BQ30" t="e">
        <f>AND(#REF!,"AAAAADfPg0Q=")</f>
        <v>#REF!</v>
      </c>
      <c r="BR30" t="e">
        <f>AND(#REF!,"AAAAADfPg0U=")</f>
        <v>#REF!</v>
      </c>
      <c r="BS30" t="e">
        <f>AND(#REF!,"AAAAADfPg0Y=")</f>
        <v>#REF!</v>
      </c>
      <c r="BT30" t="e">
        <f>AND(#REF!,"AAAAADfPg0c=")</f>
        <v>#REF!</v>
      </c>
      <c r="BU30" t="e">
        <f>IF(#REF!,"AAAAADfPg0g=",0)</f>
        <v>#REF!</v>
      </c>
      <c r="BV30" t="e">
        <f>AND(#REF!,"AAAAADfPg0k=")</f>
        <v>#REF!</v>
      </c>
      <c r="BW30" t="e">
        <f>AND(#REF!,"AAAAADfPg0o=")</f>
        <v>#REF!</v>
      </c>
      <c r="BX30" t="e">
        <f>AND(#REF!,"AAAAADfPg0s=")</f>
        <v>#REF!</v>
      </c>
      <c r="BY30" t="e">
        <f>AND(#REF!,"AAAAADfPg0w=")</f>
        <v>#REF!</v>
      </c>
      <c r="BZ30" t="e">
        <f>AND(#REF!,"AAAAADfPg00=")</f>
        <v>#REF!</v>
      </c>
      <c r="CA30" t="e">
        <f>AND(#REF!,"AAAAADfPg04=")</f>
        <v>#REF!</v>
      </c>
      <c r="CB30" t="e">
        <f>AND(#REF!,"AAAAADfPg08=")</f>
        <v>#REF!</v>
      </c>
      <c r="CC30" t="e">
        <f>AND(#REF!,"AAAAADfPg1A=")</f>
        <v>#REF!</v>
      </c>
      <c r="CD30" t="e">
        <f>AND(#REF!,"AAAAADfPg1E=")</f>
        <v>#REF!</v>
      </c>
      <c r="CE30" t="e">
        <f>AND(#REF!,"AAAAADfPg1I=")</f>
        <v>#REF!</v>
      </c>
      <c r="CF30" t="e">
        <f>AND(#REF!,"AAAAADfPg1M=")</f>
        <v>#REF!</v>
      </c>
      <c r="CG30" t="e">
        <f>AND(#REF!,"AAAAADfPg1Q=")</f>
        <v>#REF!</v>
      </c>
      <c r="CH30" t="e">
        <f>AND(#REF!,"AAAAADfPg1U=")</f>
        <v>#REF!</v>
      </c>
      <c r="CI30" t="e">
        <f>AND(#REF!,"AAAAADfPg1Y=")</f>
        <v>#REF!</v>
      </c>
      <c r="CJ30" t="e">
        <f>AND(#REF!,"AAAAADfPg1c=")</f>
        <v>#REF!</v>
      </c>
      <c r="CK30" t="e">
        <f>AND(#REF!,"AAAAADfPg1g=")</f>
        <v>#REF!</v>
      </c>
      <c r="CL30" t="e">
        <f>AND(#REF!,"AAAAADfPg1k=")</f>
        <v>#REF!</v>
      </c>
      <c r="CM30" t="e">
        <f>AND(#REF!,"AAAAADfPg1o=")</f>
        <v>#REF!</v>
      </c>
      <c r="CN30" t="e">
        <f>AND(#REF!,"AAAAADfPg1s=")</f>
        <v>#REF!</v>
      </c>
      <c r="CO30" t="e">
        <f>AND(#REF!,"AAAAADfPg1w=")</f>
        <v>#REF!</v>
      </c>
      <c r="CP30" t="e">
        <f>AND(#REF!,"AAAAADfPg10=")</f>
        <v>#REF!</v>
      </c>
      <c r="CQ30" t="e">
        <f>AND(#REF!,"AAAAADfPg14=")</f>
        <v>#REF!</v>
      </c>
      <c r="CR30" t="e">
        <f>AND(#REF!,"AAAAADfPg18=")</f>
        <v>#REF!</v>
      </c>
      <c r="CS30" t="e">
        <f>AND(#REF!,"AAAAADfPg2A=")</f>
        <v>#REF!</v>
      </c>
      <c r="CT30" t="e">
        <f>AND(#REF!,"AAAAADfPg2E=")</f>
        <v>#REF!</v>
      </c>
      <c r="CU30" t="e">
        <f>AND(#REF!,"AAAAADfPg2I=")</f>
        <v>#REF!</v>
      </c>
      <c r="CV30" t="e">
        <f>AND(#REF!,"AAAAADfPg2M=")</f>
        <v>#REF!</v>
      </c>
      <c r="CW30" t="e">
        <f>AND(#REF!,"AAAAADfPg2Q=")</f>
        <v>#REF!</v>
      </c>
      <c r="CX30" t="e">
        <f>AND(#REF!,"AAAAADfPg2U=")</f>
        <v>#REF!</v>
      </c>
      <c r="CY30" t="e">
        <f>AND(#REF!,"AAAAADfPg2Y=")</f>
        <v>#REF!</v>
      </c>
      <c r="CZ30" t="e">
        <f>AND(#REF!,"AAAAADfPg2c=")</f>
        <v>#REF!</v>
      </c>
      <c r="DA30" t="e">
        <f>AND(#REF!,"AAAAADfPg2g=")</f>
        <v>#REF!</v>
      </c>
      <c r="DB30" t="e">
        <f>AND(#REF!,"AAAAADfPg2k=")</f>
        <v>#REF!</v>
      </c>
      <c r="DC30" t="e">
        <f>AND(#REF!,"AAAAADfPg2o=")</f>
        <v>#REF!</v>
      </c>
      <c r="DD30" t="e">
        <f>AND(#REF!,"AAAAADfPg2s=")</f>
        <v>#REF!</v>
      </c>
      <c r="DE30" t="e">
        <f>IF(#REF!,"AAAAADfPg2w=",0)</f>
        <v>#REF!</v>
      </c>
      <c r="DF30" t="e">
        <f>AND(#REF!,"AAAAADfPg20=")</f>
        <v>#REF!</v>
      </c>
      <c r="DG30" t="e">
        <f>AND(#REF!,"AAAAADfPg24=")</f>
        <v>#REF!</v>
      </c>
      <c r="DH30" t="e">
        <f>AND(#REF!,"AAAAADfPg28=")</f>
        <v>#REF!</v>
      </c>
      <c r="DI30" t="e">
        <f>AND(#REF!,"AAAAADfPg3A=")</f>
        <v>#REF!</v>
      </c>
      <c r="DJ30" t="e">
        <f>AND(#REF!,"AAAAADfPg3E=")</f>
        <v>#REF!</v>
      </c>
      <c r="DK30" t="e">
        <f>AND(#REF!,"AAAAADfPg3I=")</f>
        <v>#REF!</v>
      </c>
      <c r="DL30" t="e">
        <f>AND(#REF!,"AAAAADfPg3M=")</f>
        <v>#REF!</v>
      </c>
      <c r="DM30" t="e">
        <f>AND(#REF!,"AAAAADfPg3Q=")</f>
        <v>#REF!</v>
      </c>
      <c r="DN30" t="e">
        <f>AND(#REF!,"AAAAADfPg3U=")</f>
        <v>#REF!</v>
      </c>
      <c r="DO30" t="e">
        <f>AND(#REF!,"AAAAADfPg3Y=")</f>
        <v>#REF!</v>
      </c>
      <c r="DP30" t="e">
        <f>AND(#REF!,"AAAAADfPg3c=")</f>
        <v>#REF!</v>
      </c>
      <c r="DQ30" t="e">
        <f>AND(#REF!,"AAAAADfPg3g=")</f>
        <v>#REF!</v>
      </c>
      <c r="DR30" t="e">
        <f>AND(#REF!,"AAAAADfPg3k=")</f>
        <v>#REF!</v>
      </c>
      <c r="DS30" t="e">
        <f>AND(#REF!,"AAAAADfPg3o=")</f>
        <v>#REF!</v>
      </c>
      <c r="DT30" t="e">
        <f>AND(#REF!,"AAAAADfPg3s=")</f>
        <v>#REF!</v>
      </c>
      <c r="DU30" t="e">
        <f>AND(#REF!,"AAAAADfPg3w=")</f>
        <v>#REF!</v>
      </c>
      <c r="DV30" t="e">
        <f>AND(#REF!,"AAAAADfPg30=")</f>
        <v>#REF!</v>
      </c>
      <c r="DW30" t="e">
        <f>AND(#REF!,"AAAAADfPg34=")</f>
        <v>#REF!</v>
      </c>
      <c r="DX30" t="e">
        <f>AND(#REF!,"AAAAADfPg38=")</f>
        <v>#REF!</v>
      </c>
      <c r="DY30" t="e">
        <f>AND(#REF!,"AAAAADfPg4A=")</f>
        <v>#REF!</v>
      </c>
      <c r="DZ30" t="e">
        <f>AND(#REF!,"AAAAADfPg4E=")</f>
        <v>#REF!</v>
      </c>
      <c r="EA30" t="e">
        <f>AND(#REF!,"AAAAADfPg4I=")</f>
        <v>#REF!</v>
      </c>
      <c r="EB30" t="e">
        <f>AND(#REF!,"AAAAADfPg4M=")</f>
        <v>#REF!</v>
      </c>
      <c r="EC30" t="e">
        <f>AND(#REF!,"AAAAADfPg4Q=")</f>
        <v>#REF!</v>
      </c>
      <c r="ED30" t="e">
        <f>AND(#REF!,"AAAAADfPg4U=")</f>
        <v>#REF!</v>
      </c>
      <c r="EE30" t="e">
        <f>AND(#REF!,"AAAAADfPg4Y=")</f>
        <v>#REF!</v>
      </c>
      <c r="EF30" t="e">
        <f>AND(#REF!,"AAAAADfPg4c=")</f>
        <v>#REF!</v>
      </c>
      <c r="EG30" t="e">
        <f>AND(#REF!,"AAAAADfPg4g=")</f>
        <v>#REF!</v>
      </c>
      <c r="EH30" t="e">
        <f>AND(#REF!,"AAAAADfPg4k=")</f>
        <v>#REF!</v>
      </c>
      <c r="EI30" t="e">
        <f>AND(#REF!,"AAAAADfPg4o=")</f>
        <v>#REF!</v>
      </c>
      <c r="EJ30" t="e">
        <f>AND(#REF!,"AAAAADfPg4s=")</f>
        <v>#REF!</v>
      </c>
      <c r="EK30" t="e">
        <f>AND(#REF!,"AAAAADfPg4w=")</f>
        <v>#REF!</v>
      </c>
      <c r="EL30" t="e">
        <f>AND(#REF!,"AAAAADfPg40=")</f>
        <v>#REF!</v>
      </c>
      <c r="EM30" t="e">
        <f>AND(#REF!,"AAAAADfPg44=")</f>
        <v>#REF!</v>
      </c>
      <c r="EN30" t="e">
        <f>AND(#REF!,"AAAAADfPg48=")</f>
        <v>#REF!</v>
      </c>
      <c r="EO30" t="e">
        <f>IF(#REF!,"AAAAADfPg5A=",0)</f>
        <v>#REF!</v>
      </c>
      <c r="EP30" t="e">
        <f>AND(#REF!,"AAAAADfPg5E=")</f>
        <v>#REF!</v>
      </c>
      <c r="EQ30" t="e">
        <f>AND(#REF!,"AAAAADfPg5I=")</f>
        <v>#REF!</v>
      </c>
      <c r="ER30" t="e">
        <f>AND(#REF!,"AAAAADfPg5M=")</f>
        <v>#REF!</v>
      </c>
      <c r="ES30" t="e">
        <f>AND(#REF!,"AAAAADfPg5Q=")</f>
        <v>#REF!</v>
      </c>
      <c r="ET30" t="e">
        <f>AND(#REF!,"AAAAADfPg5U=")</f>
        <v>#REF!</v>
      </c>
      <c r="EU30" t="e">
        <f>AND(#REF!,"AAAAADfPg5Y=")</f>
        <v>#REF!</v>
      </c>
      <c r="EV30" t="e">
        <f>AND(#REF!,"AAAAADfPg5c=")</f>
        <v>#REF!</v>
      </c>
      <c r="EW30" t="e">
        <f>AND(#REF!,"AAAAADfPg5g=")</f>
        <v>#REF!</v>
      </c>
      <c r="EX30" t="e">
        <f>AND(#REF!,"AAAAADfPg5k=")</f>
        <v>#REF!</v>
      </c>
      <c r="EY30" t="e">
        <f>AND(#REF!,"AAAAADfPg5o=")</f>
        <v>#REF!</v>
      </c>
      <c r="EZ30" t="e">
        <f>AND(#REF!,"AAAAADfPg5s=")</f>
        <v>#REF!</v>
      </c>
      <c r="FA30" t="e">
        <f>AND(#REF!,"AAAAADfPg5w=")</f>
        <v>#REF!</v>
      </c>
      <c r="FB30" t="e">
        <f>AND(#REF!,"AAAAADfPg50=")</f>
        <v>#REF!</v>
      </c>
      <c r="FC30" t="e">
        <f>AND(#REF!,"AAAAADfPg54=")</f>
        <v>#REF!</v>
      </c>
      <c r="FD30" t="e">
        <f>AND(#REF!,"AAAAADfPg58=")</f>
        <v>#REF!</v>
      </c>
      <c r="FE30" t="e">
        <f>AND(#REF!,"AAAAADfPg6A=")</f>
        <v>#REF!</v>
      </c>
      <c r="FF30" t="e">
        <f>AND(#REF!,"AAAAADfPg6E=")</f>
        <v>#REF!</v>
      </c>
      <c r="FG30" t="e">
        <f>AND(#REF!,"AAAAADfPg6I=")</f>
        <v>#REF!</v>
      </c>
      <c r="FH30" t="e">
        <f>AND(#REF!,"AAAAADfPg6M=")</f>
        <v>#REF!</v>
      </c>
      <c r="FI30" t="e">
        <f>AND(#REF!,"AAAAADfPg6Q=")</f>
        <v>#REF!</v>
      </c>
      <c r="FJ30" t="e">
        <f>AND(#REF!,"AAAAADfPg6U=")</f>
        <v>#REF!</v>
      </c>
      <c r="FK30" t="e">
        <f>AND(#REF!,"AAAAADfPg6Y=")</f>
        <v>#REF!</v>
      </c>
      <c r="FL30" t="e">
        <f>AND(#REF!,"AAAAADfPg6c=")</f>
        <v>#REF!</v>
      </c>
      <c r="FM30" t="e">
        <f>AND(#REF!,"AAAAADfPg6g=")</f>
        <v>#REF!</v>
      </c>
      <c r="FN30" t="e">
        <f>AND(#REF!,"AAAAADfPg6k=")</f>
        <v>#REF!</v>
      </c>
      <c r="FO30" t="e">
        <f>AND(#REF!,"AAAAADfPg6o=")</f>
        <v>#REF!</v>
      </c>
      <c r="FP30" t="e">
        <f>AND(#REF!,"AAAAADfPg6s=")</f>
        <v>#REF!</v>
      </c>
      <c r="FQ30" t="e">
        <f>AND(#REF!,"AAAAADfPg6w=")</f>
        <v>#REF!</v>
      </c>
      <c r="FR30" t="e">
        <f>AND(#REF!,"AAAAADfPg60=")</f>
        <v>#REF!</v>
      </c>
      <c r="FS30" t="e">
        <f>AND(#REF!,"AAAAADfPg64=")</f>
        <v>#REF!</v>
      </c>
      <c r="FT30" t="e">
        <f>AND(#REF!,"AAAAADfPg68=")</f>
        <v>#REF!</v>
      </c>
      <c r="FU30" t="e">
        <f>AND(#REF!,"AAAAADfPg7A=")</f>
        <v>#REF!</v>
      </c>
      <c r="FV30" t="e">
        <f>AND(#REF!,"AAAAADfPg7E=")</f>
        <v>#REF!</v>
      </c>
      <c r="FW30" t="e">
        <f>AND(#REF!,"AAAAADfPg7I=")</f>
        <v>#REF!</v>
      </c>
      <c r="FX30" t="e">
        <f>AND(#REF!,"AAAAADfPg7M=")</f>
        <v>#REF!</v>
      </c>
      <c r="FY30" t="e">
        <f>IF(#REF!,"AAAAADfPg7Q=",0)</f>
        <v>#REF!</v>
      </c>
      <c r="FZ30" t="e">
        <f>AND(#REF!,"AAAAADfPg7U=")</f>
        <v>#REF!</v>
      </c>
      <c r="GA30" t="e">
        <f>AND(#REF!,"AAAAADfPg7Y=")</f>
        <v>#REF!</v>
      </c>
      <c r="GB30" t="e">
        <f>AND(#REF!,"AAAAADfPg7c=")</f>
        <v>#REF!</v>
      </c>
      <c r="GC30" t="e">
        <f>AND(#REF!,"AAAAADfPg7g=")</f>
        <v>#REF!</v>
      </c>
      <c r="GD30" t="e">
        <f>AND(#REF!,"AAAAADfPg7k=")</f>
        <v>#REF!</v>
      </c>
      <c r="GE30" t="e">
        <f>AND(#REF!,"AAAAADfPg7o=")</f>
        <v>#REF!</v>
      </c>
      <c r="GF30" t="e">
        <f>AND(#REF!,"AAAAADfPg7s=")</f>
        <v>#REF!</v>
      </c>
      <c r="GG30" t="e">
        <f>AND(#REF!,"AAAAADfPg7w=")</f>
        <v>#REF!</v>
      </c>
      <c r="GH30" t="e">
        <f>AND(#REF!,"AAAAADfPg70=")</f>
        <v>#REF!</v>
      </c>
      <c r="GI30" t="e">
        <f>AND(#REF!,"AAAAADfPg74=")</f>
        <v>#REF!</v>
      </c>
      <c r="GJ30" t="e">
        <f>AND(#REF!,"AAAAADfPg78=")</f>
        <v>#REF!</v>
      </c>
      <c r="GK30" t="e">
        <f>AND(#REF!,"AAAAADfPg8A=")</f>
        <v>#REF!</v>
      </c>
      <c r="GL30" t="e">
        <f>AND(#REF!,"AAAAADfPg8E=")</f>
        <v>#REF!</v>
      </c>
      <c r="GM30" t="e">
        <f>AND(#REF!,"AAAAADfPg8I=")</f>
        <v>#REF!</v>
      </c>
      <c r="GN30" t="e">
        <f>AND(#REF!,"AAAAADfPg8M=")</f>
        <v>#REF!</v>
      </c>
      <c r="GO30" t="e">
        <f>AND(#REF!,"AAAAADfPg8Q=")</f>
        <v>#REF!</v>
      </c>
      <c r="GP30" t="e">
        <f>AND(#REF!,"AAAAADfPg8U=")</f>
        <v>#REF!</v>
      </c>
      <c r="GQ30" t="e">
        <f>AND(#REF!,"AAAAADfPg8Y=")</f>
        <v>#REF!</v>
      </c>
      <c r="GR30" t="e">
        <f>AND(#REF!,"AAAAADfPg8c=")</f>
        <v>#REF!</v>
      </c>
      <c r="GS30" t="e">
        <f>AND(#REF!,"AAAAADfPg8g=")</f>
        <v>#REF!</v>
      </c>
      <c r="GT30" t="e">
        <f>AND(#REF!,"AAAAADfPg8k=")</f>
        <v>#REF!</v>
      </c>
      <c r="GU30" t="e">
        <f>AND(#REF!,"AAAAADfPg8o=")</f>
        <v>#REF!</v>
      </c>
      <c r="GV30" t="e">
        <f>AND(#REF!,"AAAAADfPg8s=")</f>
        <v>#REF!</v>
      </c>
      <c r="GW30" t="e">
        <f>AND(#REF!,"AAAAADfPg8w=")</f>
        <v>#REF!</v>
      </c>
      <c r="GX30" t="e">
        <f>AND(#REF!,"AAAAADfPg80=")</f>
        <v>#REF!</v>
      </c>
      <c r="GY30" t="e">
        <f>AND(#REF!,"AAAAADfPg84=")</f>
        <v>#REF!</v>
      </c>
      <c r="GZ30" t="e">
        <f>AND(#REF!,"AAAAADfPg88=")</f>
        <v>#REF!</v>
      </c>
      <c r="HA30" t="e">
        <f>AND(#REF!,"AAAAADfPg9A=")</f>
        <v>#REF!</v>
      </c>
      <c r="HB30" t="e">
        <f>AND(#REF!,"AAAAADfPg9E=")</f>
        <v>#REF!</v>
      </c>
      <c r="HC30" t="e">
        <f>AND(#REF!,"AAAAADfPg9I=")</f>
        <v>#REF!</v>
      </c>
      <c r="HD30" t="e">
        <f>AND(#REF!,"AAAAADfPg9M=")</f>
        <v>#REF!</v>
      </c>
      <c r="HE30" t="e">
        <f>AND(#REF!,"AAAAADfPg9Q=")</f>
        <v>#REF!</v>
      </c>
      <c r="HF30" t="e">
        <f>AND(#REF!,"AAAAADfPg9U=")</f>
        <v>#REF!</v>
      </c>
      <c r="HG30" t="e">
        <f>AND(#REF!,"AAAAADfPg9Y=")</f>
        <v>#REF!</v>
      </c>
      <c r="HH30" t="e">
        <f>AND(#REF!,"AAAAADfPg9c=")</f>
        <v>#REF!</v>
      </c>
      <c r="HI30" t="e">
        <f>IF(#REF!,"AAAAADfPg9g=",0)</f>
        <v>#REF!</v>
      </c>
      <c r="HJ30" t="e">
        <f>IF(#REF!,"AAAAADfPg9k=",0)</f>
        <v>#REF!</v>
      </c>
      <c r="HK30" t="e">
        <f>IF(#REF!,"AAAAADfPg9o=",0)</f>
        <v>#REF!</v>
      </c>
      <c r="HL30" t="e">
        <f>IF(#REF!,"AAAAADfPg9s=",0)</f>
        <v>#REF!</v>
      </c>
      <c r="HM30" t="e">
        <f>IF(#REF!,"AAAAADfPg9w=",0)</f>
        <v>#REF!</v>
      </c>
      <c r="HN30" t="e">
        <f>IF(#REF!,"AAAAADfPg90=",0)</f>
        <v>#REF!</v>
      </c>
      <c r="HO30" t="e">
        <f>IF(#REF!,"AAAAADfPg94=",0)</f>
        <v>#REF!</v>
      </c>
      <c r="HP30" t="e">
        <f>IF(#REF!,"AAAAADfPg98=",0)</f>
        <v>#REF!</v>
      </c>
      <c r="HQ30" t="e">
        <f>IF(#REF!,"AAAAADfPg+A=",0)</f>
        <v>#REF!</v>
      </c>
      <c r="HR30" t="e">
        <f>IF(#REF!,"AAAAADfPg+E=",0)</f>
        <v>#REF!</v>
      </c>
      <c r="HS30" t="e">
        <f>IF(#REF!,"AAAAADfPg+I=",0)</f>
        <v>#REF!</v>
      </c>
      <c r="HT30" t="e">
        <f>IF(#REF!,"AAAAADfPg+M=",0)</f>
        <v>#REF!</v>
      </c>
      <c r="HU30" t="e">
        <f>IF(#REF!,"AAAAADfPg+Q=",0)</f>
        <v>#REF!</v>
      </c>
      <c r="HV30" t="e">
        <f>IF(#REF!,"AAAAADfPg+U=",0)</f>
        <v>#REF!</v>
      </c>
      <c r="HW30" t="e">
        <f>IF(#REF!,"AAAAADfPg+Y=",0)</f>
        <v>#REF!</v>
      </c>
      <c r="HX30" t="e">
        <f>IF(#REF!,"AAAAADfPg+c=",0)</f>
        <v>#REF!</v>
      </c>
      <c r="HY30" t="e">
        <f>IF(#REF!,"AAAAADfPg+g=",0)</f>
        <v>#REF!</v>
      </c>
      <c r="HZ30" t="e">
        <f>IF(#REF!,"AAAAADfPg+k=",0)</f>
        <v>#REF!</v>
      </c>
      <c r="IA30" t="e">
        <f>IF(#REF!,"AAAAADfPg+o=",0)</f>
        <v>#REF!</v>
      </c>
      <c r="IB30" t="e">
        <f>IF(#REF!,"AAAAADfPg+s=",0)</f>
        <v>#REF!</v>
      </c>
      <c r="IC30" t="e">
        <f>IF(#REF!,"AAAAADfPg+w=",0)</f>
        <v>#REF!</v>
      </c>
      <c r="ID30" t="e">
        <f>IF(#REF!,"AAAAADfPg+0=",0)</f>
        <v>#REF!</v>
      </c>
      <c r="IE30" t="e">
        <f>IF(#REF!,"AAAAADfPg+4=",0)</f>
        <v>#REF!</v>
      </c>
      <c r="IF30" t="e">
        <f>IF(#REF!,"AAAAADfPg+8=",0)</f>
        <v>#REF!</v>
      </c>
      <c r="IG30" t="e">
        <f>IF(#REF!,"AAAAADfPg/A=",0)</f>
        <v>#REF!</v>
      </c>
      <c r="IH30" t="e">
        <f>IF(#REF!,"AAAAADfPg/E=",0)</f>
        <v>#REF!</v>
      </c>
      <c r="II30" t="e">
        <f>IF(#REF!,"AAAAADfPg/I=",0)</f>
        <v>#REF!</v>
      </c>
      <c r="IJ30" t="e">
        <f>IF(#REF!,"AAAAADfPg/M=",0)</f>
        <v>#REF!</v>
      </c>
      <c r="IK30" t="e">
        <f>IF(#REF!,"AAAAADfPg/Q=",0)</f>
        <v>#REF!</v>
      </c>
      <c r="IL30" t="e">
        <f>IF(#REF!,"AAAAADfPg/U=",0)</f>
        <v>#REF!</v>
      </c>
      <c r="IM30" t="e">
        <f>IF(#REF!,"AAAAADfPg/Y=",0)</f>
        <v>#REF!</v>
      </c>
      <c r="IN30" t="e">
        <f>IF(#REF!,"AAAAADfPg/c=",0)</f>
        <v>#REF!</v>
      </c>
      <c r="IO30" t="e">
        <f>IF(#REF!,"AAAAADfPg/g=",0)</f>
        <v>#REF!</v>
      </c>
      <c r="IP30" t="e">
        <f>IF(#REF!,"AAAAADfPg/k=",0)</f>
        <v>#REF!</v>
      </c>
      <c r="IQ30" t="e">
        <f>IF(#REF!,"AAAAADfPg/o=",0)</f>
        <v>#REF!</v>
      </c>
      <c r="IR30" t="e">
        <f>IF(#REF!,"AAAAADfPg/s=",0)</f>
        <v>#REF!</v>
      </c>
      <c r="IS30" t="e">
        <f>IF(#REF!,"AAAAADfPg/w=",0)</f>
        <v>#REF!</v>
      </c>
      <c r="IT30" t="e">
        <f>IF(#REF!,"AAAAADfPg/0=",0)</f>
        <v>#REF!</v>
      </c>
      <c r="IU30" t="e">
        <f>IF(#REF!,"AAAAADfPg/4=",0)</f>
        <v>#REF!</v>
      </c>
      <c r="IV30" t="e">
        <f>IF(#REF!,"AAAAADfPg/8=",0)</f>
        <v>#REF!</v>
      </c>
    </row>
    <row r="31" spans="1:256">
      <c r="A31" t="e">
        <f>IF(#REF!,"AAAAAH1//QA=",0)</f>
        <v>#REF!</v>
      </c>
      <c r="B31" t="e">
        <f>IF(#REF!,"AAAAAH1//QE=",0)</f>
        <v>#REF!</v>
      </c>
      <c r="C31" t="e">
        <f>IF(#REF!,"AAAAAH1//QI=",0)</f>
        <v>#REF!</v>
      </c>
      <c r="D31" t="e">
        <f>IF(#REF!,"AAAAAH1//QM=",0)</f>
        <v>#REF!</v>
      </c>
      <c r="E31" t="e">
        <f>IF(#REF!,"AAAAAH1//QQ=",0)</f>
        <v>#REF!</v>
      </c>
      <c r="F31" t="e">
        <f>IF(#REF!,"AAAAAH1//QU=",0)</f>
        <v>#REF!</v>
      </c>
      <c r="G31" t="e">
        <f>IF(#REF!,"AAAAAH1//QY=",0)</f>
        <v>#REF!</v>
      </c>
      <c r="H31" t="e">
        <f>IF(#REF!,"AAAAAH1//Qc=",0)</f>
        <v>#REF!</v>
      </c>
      <c r="I31" t="e">
        <f>IF(#REF!,"AAAAAH1//Qg=",0)</f>
        <v>#REF!</v>
      </c>
      <c r="J31" t="e">
        <f>IF(#REF!,"AAAAAH1//Qk=",0)</f>
        <v>#REF!</v>
      </c>
      <c r="K31" t="e">
        <f>IF(#REF!,"AAAAAH1//Qo=",0)</f>
        <v>#REF!</v>
      </c>
      <c r="L31" t="e">
        <f>IF(#REF!,"AAAAAH1//Qs=",0)</f>
        <v>#REF!</v>
      </c>
      <c r="M31" t="e">
        <f>IF(#REF!,"AAAAAH1//Qw=",0)</f>
        <v>#REF!</v>
      </c>
      <c r="N31" t="e">
        <f>IF(#REF!,"AAAAAH1//Q0=",0)</f>
        <v>#REF!</v>
      </c>
      <c r="O31" t="e">
        <f>IF(#REF!,"AAAAAH1//Q4=",0)</f>
        <v>#REF!</v>
      </c>
      <c r="P31" t="e">
        <f>IF(#REF!,"AAAAAH1//Q8=",0)</f>
        <v>#REF!</v>
      </c>
      <c r="Q31" t="e">
        <f>IF(#REF!,"AAAAAH1//RA=",0)</f>
        <v>#REF!</v>
      </c>
      <c r="R31" t="e">
        <f>AND(#REF!,"AAAAAH1//RE=")</f>
        <v>#REF!</v>
      </c>
      <c r="S31" t="e">
        <f>AND(#REF!,"AAAAAH1//RI=")</f>
        <v>#REF!</v>
      </c>
      <c r="T31" t="e">
        <f>AND(#REF!,"AAAAAH1//RM=")</f>
        <v>#REF!</v>
      </c>
      <c r="U31" t="e">
        <f>AND(#REF!,"AAAAAH1//RQ=")</f>
        <v>#REF!</v>
      </c>
      <c r="V31" t="e">
        <f>AND(#REF!,"AAAAAH1//RU=")</f>
        <v>#REF!</v>
      </c>
      <c r="W31" t="e">
        <f>AND(#REF!,"AAAAAH1//RY=")</f>
        <v>#REF!</v>
      </c>
      <c r="X31" t="e">
        <f>AND(#REF!,"AAAAAH1//Rc=")</f>
        <v>#REF!</v>
      </c>
      <c r="Y31" t="e">
        <f>AND(#REF!,"AAAAAH1//Rg=")</f>
        <v>#REF!</v>
      </c>
      <c r="Z31" t="e">
        <f>AND(#REF!,"AAAAAH1//Rk=")</f>
        <v>#REF!</v>
      </c>
      <c r="AA31" t="e">
        <f>AND(#REF!,"AAAAAH1//Ro=")</f>
        <v>#REF!</v>
      </c>
      <c r="AB31" t="e">
        <f>AND(#REF!,"AAAAAH1//Rs=")</f>
        <v>#REF!</v>
      </c>
      <c r="AC31" t="e">
        <f>AND(#REF!,"AAAAAH1//Rw=")</f>
        <v>#REF!</v>
      </c>
      <c r="AD31" t="e">
        <f>AND(#REF!,"AAAAAH1//R0=")</f>
        <v>#REF!</v>
      </c>
      <c r="AE31" t="e">
        <f>AND(#REF!,"AAAAAH1//R4=")</f>
        <v>#REF!</v>
      </c>
      <c r="AF31" t="e">
        <f>AND(#REF!,"AAAAAH1//R8=")</f>
        <v>#REF!</v>
      </c>
      <c r="AG31" t="e">
        <f>AND(#REF!,"AAAAAH1//SA=")</f>
        <v>#REF!</v>
      </c>
      <c r="AH31" t="e">
        <f>AND(#REF!,"AAAAAH1//SE=")</f>
        <v>#REF!</v>
      </c>
      <c r="AI31" t="e">
        <f>AND(#REF!,"AAAAAH1//SI=")</f>
        <v>#REF!</v>
      </c>
      <c r="AJ31" t="e">
        <f>AND(#REF!,"AAAAAH1//SM=")</f>
        <v>#REF!</v>
      </c>
      <c r="AK31" t="e">
        <f>AND(#REF!,"AAAAAH1//SQ=")</f>
        <v>#REF!</v>
      </c>
      <c r="AL31" t="e">
        <f>AND(#REF!,"AAAAAH1//SU=")</f>
        <v>#REF!</v>
      </c>
      <c r="AM31" t="e">
        <f>AND(#REF!,"AAAAAH1//SY=")</f>
        <v>#REF!</v>
      </c>
      <c r="AN31" t="e">
        <f>AND(#REF!,"AAAAAH1//Sc=")</f>
        <v>#REF!</v>
      </c>
      <c r="AO31" t="e">
        <f>AND(#REF!,"AAAAAH1//Sg=")</f>
        <v>#REF!</v>
      </c>
      <c r="AP31" t="e">
        <f>AND(#REF!,"AAAAAH1//Sk=")</f>
        <v>#REF!</v>
      </c>
      <c r="AQ31" t="e">
        <f>AND(#REF!,"AAAAAH1//So=")</f>
        <v>#REF!</v>
      </c>
      <c r="AR31" t="e">
        <f>AND(#REF!,"AAAAAH1//Ss=")</f>
        <v>#REF!</v>
      </c>
      <c r="AS31" t="e">
        <f>AND(#REF!,"AAAAAH1//Sw=")</f>
        <v>#REF!</v>
      </c>
      <c r="AT31" t="e">
        <f>AND(#REF!,"AAAAAH1//S0=")</f>
        <v>#REF!</v>
      </c>
      <c r="AU31" t="e">
        <f>AND(#REF!,"AAAAAH1//S4=")</f>
        <v>#REF!</v>
      </c>
      <c r="AV31" t="e">
        <f>AND(#REF!,"AAAAAH1//S8=")</f>
        <v>#REF!</v>
      </c>
      <c r="AW31" t="e">
        <f>AND(#REF!,"AAAAAH1//TA=")</f>
        <v>#REF!</v>
      </c>
      <c r="AX31" t="e">
        <f>AND(#REF!,"AAAAAH1//TE=")</f>
        <v>#REF!</v>
      </c>
      <c r="AY31" t="e">
        <f>AND(#REF!,"AAAAAH1//TI=")</f>
        <v>#REF!</v>
      </c>
      <c r="AZ31" t="e">
        <f>AND(#REF!,"AAAAAH1//TM=")</f>
        <v>#REF!</v>
      </c>
      <c r="BA31" t="e">
        <f>IF(#REF!,"AAAAAH1//TQ=",0)</f>
        <v>#REF!</v>
      </c>
      <c r="BB31" t="e">
        <f>AND(#REF!,"AAAAAH1//TU=")</f>
        <v>#REF!</v>
      </c>
      <c r="BC31" t="e">
        <f>AND(#REF!,"AAAAAH1//TY=")</f>
        <v>#REF!</v>
      </c>
      <c r="BD31" t="e">
        <f>AND(#REF!,"AAAAAH1//Tc=")</f>
        <v>#REF!</v>
      </c>
      <c r="BE31" t="e">
        <f>AND(#REF!,"AAAAAH1//Tg=")</f>
        <v>#REF!</v>
      </c>
      <c r="BF31" t="e">
        <f>AND(#REF!,"AAAAAH1//Tk=")</f>
        <v>#REF!</v>
      </c>
      <c r="BG31" t="e">
        <f>AND(#REF!,"AAAAAH1//To=")</f>
        <v>#REF!</v>
      </c>
      <c r="BH31" t="e">
        <f>AND(#REF!,"AAAAAH1//Ts=")</f>
        <v>#REF!</v>
      </c>
      <c r="BI31" t="e">
        <f>AND(#REF!,"AAAAAH1//Tw=")</f>
        <v>#REF!</v>
      </c>
      <c r="BJ31" t="e">
        <f>AND(#REF!,"AAAAAH1//T0=")</f>
        <v>#REF!</v>
      </c>
      <c r="BK31" t="e">
        <f>AND(#REF!,"AAAAAH1//T4=")</f>
        <v>#REF!</v>
      </c>
      <c r="BL31" t="e">
        <f>AND(#REF!,"AAAAAH1//T8=")</f>
        <v>#REF!</v>
      </c>
      <c r="BM31" t="e">
        <f>AND(#REF!,"AAAAAH1//UA=")</f>
        <v>#REF!</v>
      </c>
      <c r="BN31" t="e">
        <f>AND(#REF!,"AAAAAH1//UE=")</f>
        <v>#REF!</v>
      </c>
      <c r="BO31" t="e">
        <f>AND(#REF!,"AAAAAH1//UI=")</f>
        <v>#REF!</v>
      </c>
      <c r="BP31" t="e">
        <f>AND(#REF!,"AAAAAH1//UM=")</f>
        <v>#REF!</v>
      </c>
      <c r="BQ31" t="e">
        <f>AND(#REF!,"AAAAAH1//UQ=")</f>
        <v>#REF!</v>
      </c>
      <c r="BR31" t="e">
        <f>AND(#REF!,"AAAAAH1//UU=")</f>
        <v>#REF!</v>
      </c>
      <c r="BS31" t="e">
        <f>AND(#REF!,"AAAAAH1//UY=")</f>
        <v>#REF!</v>
      </c>
      <c r="BT31" t="e">
        <f>AND(#REF!,"AAAAAH1//Uc=")</f>
        <v>#REF!</v>
      </c>
      <c r="BU31" t="e">
        <f>AND(#REF!,"AAAAAH1//Ug=")</f>
        <v>#REF!</v>
      </c>
      <c r="BV31" t="e">
        <f>AND(#REF!,"AAAAAH1//Uk=")</f>
        <v>#REF!</v>
      </c>
      <c r="BW31" t="e">
        <f>AND(#REF!,"AAAAAH1//Uo=")</f>
        <v>#REF!</v>
      </c>
      <c r="BX31" t="e">
        <f>AND(#REF!,"AAAAAH1//Us=")</f>
        <v>#REF!</v>
      </c>
      <c r="BY31" t="e">
        <f>AND(#REF!,"AAAAAH1//Uw=")</f>
        <v>#REF!</v>
      </c>
      <c r="BZ31" t="e">
        <f>AND(#REF!,"AAAAAH1//U0=")</f>
        <v>#REF!</v>
      </c>
      <c r="CA31" t="e">
        <f>AND(#REF!,"AAAAAH1//U4=")</f>
        <v>#REF!</v>
      </c>
      <c r="CB31" t="e">
        <f>AND(#REF!,"AAAAAH1//U8=")</f>
        <v>#REF!</v>
      </c>
      <c r="CC31" t="e">
        <f>AND(#REF!,"AAAAAH1//VA=")</f>
        <v>#REF!</v>
      </c>
      <c r="CD31" t="e">
        <f>AND(#REF!,"AAAAAH1//VE=")</f>
        <v>#REF!</v>
      </c>
      <c r="CE31" t="e">
        <f>AND(#REF!,"AAAAAH1//VI=")</f>
        <v>#REF!</v>
      </c>
      <c r="CF31" t="e">
        <f>AND(#REF!,"AAAAAH1//VM=")</f>
        <v>#REF!</v>
      </c>
      <c r="CG31" t="e">
        <f>AND(#REF!,"AAAAAH1//VQ=")</f>
        <v>#REF!</v>
      </c>
      <c r="CH31" t="e">
        <f>AND(#REF!,"AAAAAH1//VU=")</f>
        <v>#REF!</v>
      </c>
      <c r="CI31" t="e">
        <f>AND(#REF!,"AAAAAH1//VY=")</f>
        <v>#REF!</v>
      </c>
      <c r="CJ31" t="e">
        <f>AND(#REF!,"AAAAAH1//Vc=")</f>
        <v>#REF!</v>
      </c>
      <c r="CK31" t="e">
        <f>IF(#REF!,"AAAAAH1//Vg=",0)</f>
        <v>#REF!</v>
      </c>
      <c r="CL31" t="e">
        <f>AND(#REF!,"AAAAAH1//Vk=")</f>
        <v>#REF!</v>
      </c>
      <c r="CM31" t="e">
        <f>AND(#REF!,"AAAAAH1//Vo=")</f>
        <v>#REF!</v>
      </c>
      <c r="CN31" t="e">
        <f>AND(#REF!,"AAAAAH1//Vs=")</f>
        <v>#REF!</v>
      </c>
      <c r="CO31" t="e">
        <f>AND(#REF!,"AAAAAH1//Vw=")</f>
        <v>#REF!</v>
      </c>
      <c r="CP31" t="e">
        <f>AND(#REF!,"AAAAAH1//V0=")</f>
        <v>#REF!</v>
      </c>
      <c r="CQ31" t="e">
        <f>AND(#REF!,"AAAAAH1//V4=")</f>
        <v>#REF!</v>
      </c>
      <c r="CR31" t="e">
        <f>AND(#REF!,"AAAAAH1//V8=")</f>
        <v>#REF!</v>
      </c>
      <c r="CS31" t="e">
        <f>AND(#REF!,"AAAAAH1//WA=")</f>
        <v>#REF!</v>
      </c>
      <c r="CT31" t="e">
        <f>AND(#REF!,"AAAAAH1//WE=")</f>
        <v>#REF!</v>
      </c>
      <c r="CU31" t="e">
        <f>AND(#REF!,"AAAAAH1//WI=")</f>
        <v>#REF!</v>
      </c>
      <c r="CV31" t="e">
        <f>AND(#REF!,"AAAAAH1//WM=")</f>
        <v>#REF!</v>
      </c>
      <c r="CW31" t="e">
        <f>AND(#REF!,"AAAAAH1//WQ=")</f>
        <v>#REF!</v>
      </c>
      <c r="CX31" t="e">
        <f>AND(#REF!,"AAAAAH1//WU=")</f>
        <v>#REF!</v>
      </c>
      <c r="CY31" t="e">
        <f>AND(#REF!,"AAAAAH1//WY=")</f>
        <v>#REF!</v>
      </c>
      <c r="CZ31" t="e">
        <f>AND(#REF!,"AAAAAH1//Wc=")</f>
        <v>#REF!</v>
      </c>
      <c r="DA31" t="e">
        <f>AND(#REF!,"AAAAAH1//Wg=")</f>
        <v>#REF!</v>
      </c>
      <c r="DB31" t="e">
        <f>AND(#REF!,"AAAAAH1//Wk=")</f>
        <v>#REF!</v>
      </c>
      <c r="DC31" t="e">
        <f>AND(#REF!,"AAAAAH1//Wo=")</f>
        <v>#REF!</v>
      </c>
      <c r="DD31" t="e">
        <f>AND(#REF!,"AAAAAH1//Ws=")</f>
        <v>#REF!</v>
      </c>
      <c r="DE31" t="e">
        <f>AND(#REF!,"AAAAAH1//Ww=")</f>
        <v>#REF!</v>
      </c>
      <c r="DF31" t="e">
        <f>AND(#REF!,"AAAAAH1//W0=")</f>
        <v>#REF!</v>
      </c>
      <c r="DG31" t="e">
        <f>AND(#REF!,"AAAAAH1//W4=")</f>
        <v>#REF!</v>
      </c>
      <c r="DH31" t="e">
        <f>AND(#REF!,"AAAAAH1//W8=")</f>
        <v>#REF!</v>
      </c>
      <c r="DI31" t="e">
        <f>AND(#REF!,"AAAAAH1//XA=")</f>
        <v>#REF!</v>
      </c>
      <c r="DJ31" t="e">
        <f>AND(#REF!,"AAAAAH1//XE=")</f>
        <v>#REF!</v>
      </c>
      <c r="DK31" t="e">
        <f>AND(#REF!,"AAAAAH1//XI=")</f>
        <v>#REF!</v>
      </c>
      <c r="DL31" t="e">
        <f>AND(#REF!,"AAAAAH1//XM=")</f>
        <v>#REF!</v>
      </c>
      <c r="DM31" t="e">
        <f>AND(#REF!,"AAAAAH1//XQ=")</f>
        <v>#REF!</v>
      </c>
      <c r="DN31" t="e">
        <f>AND(#REF!,"AAAAAH1//XU=")</f>
        <v>#REF!</v>
      </c>
      <c r="DO31" t="e">
        <f>AND(#REF!,"AAAAAH1//XY=")</f>
        <v>#REF!</v>
      </c>
      <c r="DP31" t="e">
        <f>AND(#REF!,"AAAAAH1//Xc=")</f>
        <v>#REF!</v>
      </c>
      <c r="DQ31" t="e">
        <f>AND(#REF!,"AAAAAH1//Xg=")</f>
        <v>#REF!</v>
      </c>
      <c r="DR31" t="e">
        <f>AND(#REF!,"AAAAAH1//Xk=")</f>
        <v>#REF!</v>
      </c>
      <c r="DS31" t="e">
        <f>AND(#REF!,"AAAAAH1//Xo=")</f>
        <v>#REF!</v>
      </c>
      <c r="DT31" t="e">
        <f>AND(#REF!,"AAAAAH1//Xs=")</f>
        <v>#REF!</v>
      </c>
      <c r="DU31" t="e">
        <f>IF(#REF!,"AAAAAH1//Xw=",0)</f>
        <v>#REF!</v>
      </c>
      <c r="DV31" t="e">
        <f>AND(#REF!,"AAAAAH1//X0=")</f>
        <v>#REF!</v>
      </c>
      <c r="DW31" t="e">
        <f>AND(#REF!,"AAAAAH1//X4=")</f>
        <v>#REF!</v>
      </c>
      <c r="DX31" t="e">
        <f>AND(#REF!,"AAAAAH1//X8=")</f>
        <v>#REF!</v>
      </c>
      <c r="DY31" t="e">
        <f>AND(#REF!,"AAAAAH1//YA=")</f>
        <v>#REF!</v>
      </c>
      <c r="DZ31" t="e">
        <f>AND(#REF!,"AAAAAH1//YE=")</f>
        <v>#REF!</v>
      </c>
      <c r="EA31" t="e">
        <f>AND(#REF!,"AAAAAH1//YI=")</f>
        <v>#REF!</v>
      </c>
      <c r="EB31" t="e">
        <f>AND(#REF!,"AAAAAH1//YM=")</f>
        <v>#REF!</v>
      </c>
      <c r="EC31" t="e">
        <f>AND(#REF!,"AAAAAH1//YQ=")</f>
        <v>#REF!</v>
      </c>
      <c r="ED31" t="e">
        <f>AND(#REF!,"AAAAAH1//YU=")</f>
        <v>#REF!</v>
      </c>
      <c r="EE31" t="e">
        <f>AND(#REF!,"AAAAAH1//YY=")</f>
        <v>#REF!</v>
      </c>
      <c r="EF31" t="e">
        <f>AND(#REF!,"AAAAAH1//Yc=")</f>
        <v>#REF!</v>
      </c>
      <c r="EG31" t="e">
        <f>AND(#REF!,"AAAAAH1//Yg=")</f>
        <v>#REF!</v>
      </c>
      <c r="EH31" t="e">
        <f>AND(#REF!,"AAAAAH1//Yk=")</f>
        <v>#REF!</v>
      </c>
      <c r="EI31" t="e">
        <f>AND(#REF!,"AAAAAH1//Yo=")</f>
        <v>#REF!</v>
      </c>
      <c r="EJ31" t="e">
        <f>AND(#REF!,"AAAAAH1//Ys=")</f>
        <v>#REF!</v>
      </c>
      <c r="EK31" t="e">
        <f>AND(#REF!,"AAAAAH1//Yw=")</f>
        <v>#REF!</v>
      </c>
      <c r="EL31" t="e">
        <f>AND(#REF!,"AAAAAH1//Y0=")</f>
        <v>#REF!</v>
      </c>
      <c r="EM31" t="e">
        <f>AND(#REF!,"AAAAAH1//Y4=")</f>
        <v>#REF!</v>
      </c>
      <c r="EN31" t="e">
        <f>AND(#REF!,"AAAAAH1//Y8=")</f>
        <v>#REF!</v>
      </c>
      <c r="EO31" t="e">
        <f>AND(#REF!,"AAAAAH1//ZA=")</f>
        <v>#REF!</v>
      </c>
      <c r="EP31" t="e">
        <f>AND(#REF!,"AAAAAH1//ZE=")</f>
        <v>#REF!</v>
      </c>
      <c r="EQ31" t="e">
        <f>AND(#REF!,"AAAAAH1//ZI=")</f>
        <v>#REF!</v>
      </c>
      <c r="ER31" t="e">
        <f>AND(#REF!,"AAAAAH1//ZM=")</f>
        <v>#REF!</v>
      </c>
      <c r="ES31" t="e">
        <f>AND(#REF!,"AAAAAH1//ZQ=")</f>
        <v>#REF!</v>
      </c>
      <c r="ET31" t="e">
        <f>AND(#REF!,"AAAAAH1//ZU=")</f>
        <v>#REF!</v>
      </c>
      <c r="EU31" t="e">
        <f>AND(#REF!,"AAAAAH1//ZY=")</f>
        <v>#REF!</v>
      </c>
      <c r="EV31" t="e">
        <f>AND(#REF!,"AAAAAH1//Zc=")</f>
        <v>#REF!</v>
      </c>
      <c r="EW31" t="e">
        <f>AND(#REF!,"AAAAAH1//Zg=")</f>
        <v>#REF!</v>
      </c>
      <c r="EX31" t="e">
        <f>AND(#REF!,"AAAAAH1//Zk=")</f>
        <v>#REF!</v>
      </c>
      <c r="EY31" t="e">
        <f>AND(#REF!,"AAAAAH1//Zo=")</f>
        <v>#REF!</v>
      </c>
      <c r="EZ31" t="e">
        <f>AND(#REF!,"AAAAAH1//Zs=")</f>
        <v>#REF!</v>
      </c>
      <c r="FA31" t="e">
        <f>AND(#REF!,"AAAAAH1//Zw=")</f>
        <v>#REF!</v>
      </c>
      <c r="FB31" t="e">
        <f>AND(#REF!,"AAAAAH1//Z0=")</f>
        <v>#REF!</v>
      </c>
      <c r="FC31" t="e">
        <f>AND(#REF!,"AAAAAH1//Z4=")</f>
        <v>#REF!</v>
      </c>
      <c r="FD31" t="e">
        <f>AND(#REF!,"AAAAAH1//Z8=")</f>
        <v>#REF!</v>
      </c>
      <c r="FE31" t="e">
        <f>IF(#REF!,"AAAAAH1//aA=",0)</f>
        <v>#REF!</v>
      </c>
      <c r="FF31" t="e">
        <f>AND(#REF!,"AAAAAH1//aE=")</f>
        <v>#REF!</v>
      </c>
      <c r="FG31" t="e">
        <f>AND(#REF!,"AAAAAH1//aI=")</f>
        <v>#REF!</v>
      </c>
      <c r="FH31" t="e">
        <f>AND(#REF!,"AAAAAH1//aM=")</f>
        <v>#REF!</v>
      </c>
      <c r="FI31" t="e">
        <f>AND(#REF!,"AAAAAH1//aQ=")</f>
        <v>#REF!</v>
      </c>
      <c r="FJ31" t="e">
        <f>AND(#REF!,"AAAAAH1//aU=")</f>
        <v>#REF!</v>
      </c>
      <c r="FK31" t="e">
        <f>AND(#REF!,"AAAAAH1//aY=")</f>
        <v>#REF!</v>
      </c>
      <c r="FL31" t="e">
        <f>AND(#REF!,"AAAAAH1//ac=")</f>
        <v>#REF!</v>
      </c>
      <c r="FM31" t="e">
        <f>AND(#REF!,"AAAAAH1//ag=")</f>
        <v>#REF!</v>
      </c>
      <c r="FN31" t="e">
        <f>AND(#REF!,"AAAAAH1//ak=")</f>
        <v>#REF!</v>
      </c>
      <c r="FO31" t="e">
        <f>AND(#REF!,"AAAAAH1//ao=")</f>
        <v>#REF!</v>
      </c>
      <c r="FP31" t="e">
        <f>AND(#REF!,"AAAAAH1//as=")</f>
        <v>#REF!</v>
      </c>
      <c r="FQ31" t="e">
        <f>AND(#REF!,"AAAAAH1//aw=")</f>
        <v>#REF!</v>
      </c>
      <c r="FR31" t="e">
        <f>AND(#REF!,"AAAAAH1//a0=")</f>
        <v>#REF!</v>
      </c>
      <c r="FS31" t="e">
        <f>AND(#REF!,"AAAAAH1//a4=")</f>
        <v>#REF!</v>
      </c>
      <c r="FT31" t="e">
        <f>AND(#REF!,"AAAAAH1//a8=")</f>
        <v>#REF!</v>
      </c>
      <c r="FU31" t="e">
        <f>AND(#REF!,"AAAAAH1//bA=")</f>
        <v>#REF!</v>
      </c>
      <c r="FV31" t="e">
        <f>AND(#REF!,"AAAAAH1//bE=")</f>
        <v>#REF!</v>
      </c>
      <c r="FW31" t="e">
        <f>AND(#REF!,"AAAAAH1//bI=")</f>
        <v>#REF!</v>
      </c>
      <c r="FX31" t="e">
        <f>AND(#REF!,"AAAAAH1//bM=")</f>
        <v>#REF!</v>
      </c>
      <c r="FY31" t="e">
        <f>AND(#REF!,"AAAAAH1//bQ=")</f>
        <v>#REF!</v>
      </c>
      <c r="FZ31" t="e">
        <f>AND(#REF!,"AAAAAH1//bU=")</f>
        <v>#REF!</v>
      </c>
      <c r="GA31" t="e">
        <f>AND(#REF!,"AAAAAH1//bY=")</f>
        <v>#REF!</v>
      </c>
      <c r="GB31" t="e">
        <f>AND(#REF!,"AAAAAH1//bc=")</f>
        <v>#REF!</v>
      </c>
      <c r="GC31" t="e">
        <f>AND(#REF!,"AAAAAH1//bg=")</f>
        <v>#REF!</v>
      </c>
      <c r="GD31" t="e">
        <f>AND(#REF!,"AAAAAH1//bk=")</f>
        <v>#REF!</v>
      </c>
      <c r="GE31" t="e">
        <f>AND(#REF!,"AAAAAH1//bo=")</f>
        <v>#REF!</v>
      </c>
      <c r="GF31" t="e">
        <f>AND(#REF!,"AAAAAH1//bs=")</f>
        <v>#REF!</v>
      </c>
      <c r="GG31" t="e">
        <f>AND(#REF!,"AAAAAH1//bw=")</f>
        <v>#REF!</v>
      </c>
      <c r="GH31" t="e">
        <f>AND(#REF!,"AAAAAH1//b0=")</f>
        <v>#REF!</v>
      </c>
      <c r="GI31" t="e">
        <f>AND(#REF!,"AAAAAH1//b4=")</f>
        <v>#REF!</v>
      </c>
      <c r="GJ31" t="e">
        <f>AND(#REF!,"AAAAAH1//b8=")</f>
        <v>#REF!</v>
      </c>
      <c r="GK31" t="e">
        <f>AND(#REF!,"AAAAAH1//cA=")</f>
        <v>#REF!</v>
      </c>
      <c r="GL31" t="e">
        <f>AND(#REF!,"AAAAAH1//cE=")</f>
        <v>#REF!</v>
      </c>
      <c r="GM31" t="e">
        <f>AND(#REF!,"AAAAAH1//cI=")</f>
        <v>#REF!</v>
      </c>
      <c r="GN31" t="e">
        <f>AND(#REF!,"AAAAAH1//cM=")</f>
        <v>#REF!</v>
      </c>
      <c r="GO31" t="e">
        <f>IF(#REF!,"AAAAAH1//cQ=",0)</f>
        <v>#REF!</v>
      </c>
      <c r="GP31" t="e">
        <f>AND(#REF!,"AAAAAH1//cU=")</f>
        <v>#REF!</v>
      </c>
      <c r="GQ31" t="e">
        <f>AND(#REF!,"AAAAAH1//cY=")</f>
        <v>#REF!</v>
      </c>
      <c r="GR31" t="e">
        <f>AND(#REF!,"AAAAAH1//cc=")</f>
        <v>#REF!</v>
      </c>
      <c r="GS31" t="e">
        <f>AND(#REF!,"AAAAAH1//cg=")</f>
        <v>#REF!</v>
      </c>
      <c r="GT31" t="e">
        <f>AND(#REF!,"AAAAAH1//ck=")</f>
        <v>#REF!</v>
      </c>
      <c r="GU31" t="e">
        <f>AND(#REF!,"AAAAAH1//co=")</f>
        <v>#REF!</v>
      </c>
      <c r="GV31" t="e">
        <f>AND(#REF!,"AAAAAH1//cs=")</f>
        <v>#REF!</v>
      </c>
      <c r="GW31" t="e">
        <f>AND(#REF!,"AAAAAH1//cw=")</f>
        <v>#REF!</v>
      </c>
      <c r="GX31" t="e">
        <f>AND(#REF!,"AAAAAH1//c0=")</f>
        <v>#REF!</v>
      </c>
      <c r="GY31" t="e">
        <f>AND(#REF!,"AAAAAH1//c4=")</f>
        <v>#REF!</v>
      </c>
      <c r="GZ31" t="e">
        <f>AND(#REF!,"AAAAAH1//c8=")</f>
        <v>#REF!</v>
      </c>
      <c r="HA31" t="e">
        <f>AND(#REF!,"AAAAAH1//dA=")</f>
        <v>#REF!</v>
      </c>
      <c r="HB31" t="e">
        <f>AND(#REF!,"AAAAAH1//dE=")</f>
        <v>#REF!</v>
      </c>
      <c r="HC31" t="e">
        <f>AND(#REF!,"AAAAAH1//dI=")</f>
        <v>#REF!</v>
      </c>
      <c r="HD31" t="e">
        <f>AND(#REF!,"AAAAAH1//dM=")</f>
        <v>#REF!</v>
      </c>
      <c r="HE31" t="e">
        <f>AND(#REF!,"AAAAAH1//dQ=")</f>
        <v>#REF!</v>
      </c>
      <c r="HF31" t="e">
        <f>AND(#REF!,"AAAAAH1//dU=")</f>
        <v>#REF!</v>
      </c>
      <c r="HG31" t="e">
        <f>AND(#REF!,"AAAAAH1//dY=")</f>
        <v>#REF!</v>
      </c>
      <c r="HH31" t="e">
        <f>AND(#REF!,"AAAAAH1//dc=")</f>
        <v>#REF!</v>
      </c>
      <c r="HI31" t="e">
        <f>AND(#REF!,"AAAAAH1//dg=")</f>
        <v>#REF!</v>
      </c>
      <c r="HJ31" t="e">
        <f>AND(#REF!,"AAAAAH1//dk=")</f>
        <v>#REF!</v>
      </c>
      <c r="HK31" t="e">
        <f>AND(#REF!,"AAAAAH1//do=")</f>
        <v>#REF!</v>
      </c>
      <c r="HL31" t="e">
        <f>AND(#REF!,"AAAAAH1//ds=")</f>
        <v>#REF!</v>
      </c>
      <c r="HM31" t="e">
        <f>AND(#REF!,"AAAAAH1//dw=")</f>
        <v>#REF!</v>
      </c>
      <c r="HN31" t="e">
        <f>AND(#REF!,"AAAAAH1//d0=")</f>
        <v>#REF!</v>
      </c>
      <c r="HO31" t="e">
        <f>AND(#REF!,"AAAAAH1//d4=")</f>
        <v>#REF!</v>
      </c>
      <c r="HP31" t="e">
        <f>AND(#REF!,"AAAAAH1//d8=")</f>
        <v>#REF!</v>
      </c>
      <c r="HQ31" t="e">
        <f>AND(#REF!,"AAAAAH1//eA=")</f>
        <v>#REF!</v>
      </c>
      <c r="HR31" t="e">
        <f>AND(#REF!,"AAAAAH1//eE=")</f>
        <v>#REF!</v>
      </c>
      <c r="HS31" t="e">
        <f>AND(#REF!,"AAAAAH1//eI=")</f>
        <v>#REF!</v>
      </c>
      <c r="HT31" t="e">
        <f>AND(#REF!,"AAAAAH1//eM=")</f>
        <v>#REF!</v>
      </c>
      <c r="HU31" t="e">
        <f>AND(#REF!,"AAAAAH1//eQ=")</f>
        <v>#REF!</v>
      </c>
      <c r="HV31" t="e">
        <f>AND(#REF!,"AAAAAH1//eU=")</f>
        <v>#REF!</v>
      </c>
      <c r="HW31" t="e">
        <f>AND(#REF!,"AAAAAH1//eY=")</f>
        <v>#REF!</v>
      </c>
      <c r="HX31" t="e">
        <f>AND(#REF!,"AAAAAH1//ec=")</f>
        <v>#REF!</v>
      </c>
      <c r="HY31" t="e">
        <f>IF(#REF!,"AAAAAH1//eg=",0)</f>
        <v>#REF!</v>
      </c>
      <c r="HZ31" t="e">
        <f>AND(#REF!,"AAAAAH1//ek=")</f>
        <v>#REF!</v>
      </c>
      <c r="IA31" t="e">
        <f>AND(#REF!,"AAAAAH1//eo=")</f>
        <v>#REF!</v>
      </c>
      <c r="IB31" t="e">
        <f>AND(#REF!,"AAAAAH1//es=")</f>
        <v>#REF!</v>
      </c>
      <c r="IC31" t="e">
        <f>AND(#REF!,"AAAAAH1//ew=")</f>
        <v>#REF!</v>
      </c>
      <c r="ID31" t="e">
        <f>AND(#REF!,"AAAAAH1//e0=")</f>
        <v>#REF!</v>
      </c>
      <c r="IE31" t="e">
        <f>AND(#REF!,"AAAAAH1//e4=")</f>
        <v>#REF!</v>
      </c>
      <c r="IF31" t="e">
        <f>AND(#REF!,"AAAAAH1//e8=")</f>
        <v>#REF!</v>
      </c>
      <c r="IG31" t="e">
        <f>AND(#REF!,"AAAAAH1//fA=")</f>
        <v>#REF!</v>
      </c>
      <c r="IH31" t="e">
        <f>AND(#REF!,"AAAAAH1//fE=")</f>
        <v>#REF!</v>
      </c>
      <c r="II31" t="e">
        <f>AND(#REF!,"AAAAAH1//fI=")</f>
        <v>#REF!</v>
      </c>
      <c r="IJ31" t="e">
        <f>AND(#REF!,"AAAAAH1//fM=")</f>
        <v>#REF!</v>
      </c>
      <c r="IK31" t="e">
        <f>AND(#REF!,"AAAAAH1//fQ=")</f>
        <v>#REF!</v>
      </c>
      <c r="IL31" t="e">
        <f>AND(#REF!,"AAAAAH1//fU=")</f>
        <v>#REF!</v>
      </c>
      <c r="IM31" t="e">
        <f>AND(#REF!,"AAAAAH1//fY=")</f>
        <v>#REF!</v>
      </c>
      <c r="IN31" t="e">
        <f>AND(#REF!,"AAAAAH1//fc=")</f>
        <v>#REF!</v>
      </c>
      <c r="IO31" t="e">
        <f>AND(#REF!,"AAAAAH1//fg=")</f>
        <v>#REF!</v>
      </c>
      <c r="IP31" t="e">
        <f>AND(#REF!,"AAAAAH1//fk=")</f>
        <v>#REF!</v>
      </c>
      <c r="IQ31" t="e">
        <f>AND(#REF!,"AAAAAH1//fo=")</f>
        <v>#REF!</v>
      </c>
      <c r="IR31" t="e">
        <f>AND(#REF!,"AAAAAH1//fs=")</f>
        <v>#REF!</v>
      </c>
      <c r="IS31" t="e">
        <f>AND(#REF!,"AAAAAH1//fw=")</f>
        <v>#REF!</v>
      </c>
      <c r="IT31" t="e">
        <f>AND(#REF!,"AAAAAH1//f0=")</f>
        <v>#REF!</v>
      </c>
      <c r="IU31" t="e">
        <f>AND(#REF!,"AAAAAH1//f4=")</f>
        <v>#REF!</v>
      </c>
      <c r="IV31" t="e">
        <f>AND(#REF!,"AAAAAH1//f8=")</f>
        <v>#REF!</v>
      </c>
    </row>
    <row r="32" spans="1:256">
      <c r="A32" t="e">
        <f>AND(#REF!,"AAAAADf9/gA=")</f>
        <v>#REF!</v>
      </c>
      <c r="B32" t="e">
        <f>AND(#REF!,"AAAAADf9/gE=")</f>
        <v>#REF!</v>
      </c>
      <c r="C32" t="e">
        <f>AND(#REF!,"AAAAADf9/gI=")</f>
        <v>#REF!</v>
      </c>
      <c r="D32" t="e">
        <f>AND(#REF!,"AAAAADf9/gM=")</f>
        <v>#REF!</v>
      </c>
      <c r="E32" t="e">
        <f>AND(#REF!,"AAAAADf9/gQ=")</f>
        <v>#REF!</v>
      </c>
      <c r="F32" t="e">
        <f>AND(#REF!,"AAAAADf9/gU=")</f>
        <v>#REF!</v>
      </c>
      <c r="G32" t="e">
        <f>AND(#REF!,"AAAAADf9/gY=")</f>
        <v>#REF!</v>
      </c>
      <c r="H32" t="e">
        <f>AND(#REF!,"AAAAADf9/gc=")</f>
        <v>#REF!</v>
      </c>
      <c r="I32" t="e">
        <f>AND(#REF!,"AAAAADf9/gg=")</f>
        <v>#REF!</v>
      </c>
      <c r="J32" t="e">
        <f>AND(#REF!,"AAAAADf9/gk=")</f>
        <v>#REF!</v>
      </c>
      <c r="K32" t="e">
        <f>AND(#REF!,"AAAAADf9/go=")</f>
        <v>#REF!</v>
      </c>
      <c r="L32" t="e">
        <f>AND(#REF!,"AAAAADf9/gs=")</f>
        <v>#REF!</v>
      </c>
      <c r="M32" t="e">
        <f>IF(#REF!,"AAAAADf9/gw=",0)</f>
        <v>#REF!</v>
      </c>
      <c r="N32" t="e">
        <f>AND(#REF!,"AAAAADf9/g0=")</f>
        <v>#REF!</v>
      </c>
      <c r="O32" t="e">
        <f>AND(#REF!,"AAAAADf9/g4=")</f>
        <v>#REF!</v>
      </c>
      <c r="P32" t="e">
        <f>AND(#REF!,"AAAAADf9/g8=")</f>
        <v>#REF!</v>
      </c>
      <c r="Q32" t="e">
        <f>AND(#REF!,"AAAAADf9/hA=")</f>
        <v>#REF!</v>
      </c>
      <c r="R32" t="e">
        <f>AND(#REF!,"AAAAADf9/hE=")</f>
        <v>#REF!</v>
      </c>
      <c r="S32" t="e">
        <f>AND(#REF!,"AAAAADf9/hI=")</f>
        <v>#REF!</v>
      </c>
      <c r="T32" t="e">
        <f>AND(#REF!,"AAAAADf9/hM=")</f>
        <v>#REF!</v>
      </c>
      <c r="U32" t="e">
        <f>AND(#REF!,"AAAAADf9/hQ=")</f>
        <v>#REF!</v>
      </c>
      <c r="V32" t="e">
        <f>AND(#REF!,"AAAAADf9/hU=")</f>
        <v>#REF!</v>
      </c>
      <c r="W32" t="e">
        <f>AND(#REF!,"AAAAADf9/hY=")</f>
        <v>#REF!</v>
      </c>
      <c r="X32" t="e">
        <f>AND(#REF!,"AAAAADf9/hc=")</f>
        <v>#REF!</v>
      </c>
      <c r="Y32" t="e">
        <f>AND(#REF!,"AAAAADf9/hg=")</f>
        <v>#REF!</v>
      </c>
      <c r="Z32" t="e">
        <f>AND(#REF!,"AAAAADf9/hk=")</f>
        <v>#REF!</v>
      </c>
      <c r="AA32" t="e">
        <f>AND(#REF!,"AAAAADf9/ho=")</f>
        <v>#REF!</v>
      </c>
      <c r="AB32" t="e">
        <f>AND(#REF!,"AAAAADf9/hs=")</f>
        <v>#REF!</v>
      </c>
      <c r="AC32" t="e">
        <f>AND(#REF!,"AAAAADf9/hw=")</f>
        <v>#REF!</v>
      </c>
      <c r="AD32" t="e">
        <f>AND(#REF!,"AAAAADf9/h0=")</f>
        <v>#REF!</v>
      </c>
      <c r="AE32" t="e">
        <f>AND(#REF!,"AAAAADf9/h4=")</f>
        <v>#REF!</v>
      </c>
      <c r="AF32" t="e">
        <f>AND(#REF!,"AAAAADf9/h8=")</f>
        <v>#REF!</v>
      </c>
      <c r="AG32" t="e">
        <f>AND(#REF!,"AAAAADf9/iA=")</f>
        <v>#REF!</v>
      </c>
      <c r="AH32" t="e">
        <f>AND(#REF!,"AAAAADf9/iE=")</f>
        <v>#REF!</v>
      </c>
      <c r="AI32" t="e">
        <f>AND(#REF!,"AAAAADf9/iI=")</f>
        <v>#REF!</v>
      </c>
      <c r="AJ32" t="e">
        <f>AND(#REF!,"AAAAADf9/iM=")</f>
        <v>#REF!</v>
      </c>
      <c r="AK32" t="e">
        <f>AND(#REF!,"AAAAADf9/iQ=")</f>
        <v>#REF!</v>
      </c>
      <c r="AL32" t="e">
        <f>AND(#REF!,"AAAAADf9/iU=")</f>
        <v>#REF!</v>
      </c>
      <c r="AM32" t="e">
        <f>AND(#REF!,"AAAAADf9/iY=")</f>
        <v>#REF!</v>
      </c>
      <c r="AN32" t="e">
        <f>AND(#REF!,"AAAAADf9/ic=")</f>
        <v>#REF!</v>
      </c>
      <c r="AO32" t="e">
        <f>AND(#REF!,"AAAAADf9/ig=")</f>
        <v>#REF!</v>
      </c>
      <c r="AP32" t="e">
        <f>AND(#REF!,"AAAAADf9/ik=")</f>
        <v>#REF!</v>
      </c>
      <c r="AQ32" t="e">
        <f>AND(#REF!,"AAAAADf9/io=")</f>
        <v>#REF!</v>
      </c>
      <c r="AR32" t="e">
        <f>AND(#REF!,"AAAAADf9/is=")</f>
        <v>#REF!</v>
      </c>
      <c r="AS32" t="e">
        <f>AND(#REF!,"AAAAADf9/iw=")</f>
        <v>#REF!</v>
      </c>
      <c r="AT32" t="e">
        <f>AND(#REF!,"AAAAADf9/i0=")</f>
        <v>#REF!</v>
      </c>
      <c r="AU32" t="e">
        <f>AND(#REF!,"AAAAADf9/i4=")</f>
        <v>#REF!</v>
      </c>
      <c r="AV32" t="e">
        <f>AND(#REF!,"AAAAADf9/i8=")</f>
        <v>#REF!</v>
      </c>
      <c r="AW32" t="e">
        <f>IF(#REF!,"AAAAADf9/jA=",0)</f>
        <v>#REF!</v>
      </c>
      <c r="AX32" t="e">
        <f>AND(#REF!,"AAAAADf9/jE=")</f>
        <v>#REF!</v>
      </c>
      <c r="AY32" t="e">
        <f>AND(#REF!,"AAAAADf9/jI=")</f>
        <v>#REF!</v>
      </c>
      <c r="AZ32" t="e">
        <f>AND(#REF!,"AAAAADf9/jM=")</f>
        <v>#REF!</v>
      </c>
      <c r="BA32" t="e">
        <f>AND(#REF!,"AAAAADf9/jQ=")</f>
        <v>#REF!</v>
      </c>
      <c r="BB32" t="e">
        <f>AND(#REF!,"AAAAADf9/jU=")</f>
        <v>#REF!</v>
      </c>
      <c r="BC32" t="e">
        <f>AND(#REF!,"AAAAADf9/jY=")</f>
        <v>#REF!</v>
      </c>
      <c r="BD32" t="e">
        <f>AND(#REF!,"AAAAADf9/jc=")</f>
        <v>#REF!</v>
      </c>
      <c r="BE32" t="e">
        <f>AND(#REF!,"AAAAADf9/jg=")</f>
        <v>#REF!</v>
      </c>
      <c r="BF32" t="e">
        <f>AND(#REF!,"AAAAADf9/jk=")</f>
        <v>#REF!</v>
      </c>
      <c r="BG32" t="e">
        <f>AND(#REF!,"AAAAADf9/jo=")</f>
        <v>#REF!</v>
      </c>
      <c r="BH32" t="e">
        <f>AND(#REF!,"AAAAADf9/js=")</f>
        <v>#REF!</v>
      </c>
      <c r="BI32" t="e">
        <f>AND(#REF!,"AAAAADf9/jw=")</f>
        <v>#REF!</v>
      </c>
      <c r="BJ32" t="e">
        <f>AND(#REF!,"AAAAADf9/j0=")</f>
        <v>#REF!</v>
      </c>
      <c r="BK32" t="e">
        <f>AND(#REF!,"AAAAADf9/j4=")</f>
        <v>#REF!</v>
      </c>
      <c r="BL32" t="e">
        <f>AND(#REF!,"AAAAADf9/j8=")</f>
        <v>#REF!</v>
      </c>
      <c r="BM32" t="e">
        <f>AND(#REF!,"AAAAADf9/kA=")</f>
        <v>#REF!</v>
      </c>
      <c r="BN32" t="e">
        <f>AND(#REF!,"AAAAADf9/kE=")</f>
        <v>#REF!</v>
      </c>
      <c r="BO32" t="e">
        <f>AND(#REF!,"AAAAADf9/kI=")</f>
        <v>#REF!</v>
      </c>
      <c r="BP32" t="e">
        <f>AND(#REF!,"AAAAADf9/kM=")</f>
        <v>#REF!</v>
      </c>
      <c r="BQ32" t="e">
        <f>AND(#REF!,"AAAAADf9/kQ=")</f>
        <v>#REF!</v>
      </c>
      <c r="BR32" t="e">
        <f>AND(#REF!,"AAAAADf9/kU=")</f>
        <v>#REF!</v>
      </c>
      <c r="BS32" t="e">
        <f>AND(#REF!,"AAAAADf9/kY=")</f>
        <v>#REF!</v>
      </c>
      <c r="BT32" t="e">
        <f>AND(#REF!,"AAAAADf9/kc=")</f>
        <v>#REF!</v>
      </c>
      <c r="BU32" t="e">
        <f>AND(#REF!,"AAAAADf9/kg=")</f>
        <v>#REF!</v>
      </c>
      <c r="BV32" t="e">
        <f>AND(#REF!,"AAAAADf9/kk=")</f>
        <v>#REF!</v>
      </c>
      <c r="BW32" t="e">
        <f>AND(#REF!,"AAAAADf9/ko=")</f>
        <v>#REF!</v>
      </c>
      <c r="BX32" t="e">
        <f>AND(#REF!,"AAAAADf9/ks=")</f>
        <v>#REF!</v>
      </c>
      <c r="BY32" t="e">
        <f>AND(#REF!,"AAAAADf9/kw=")</f>
        <v>#REF!</v>
      </c>
      <c r="BZ32" t="e">
        <f>AND(#REF!,"AAAAADf9/k0=")</f>
        <v>#REF!</v>
      </c>
      <c r="CA32" t="e">
        <f>AND(#REF!,"AAAAADf9/k4=")</f>
        <v>#REF!</v>
      </c>
      <c r="CB32" t="e">
        <f>AND(#REF!,"AAAAADf9/k8=")</f>
        <v>#REF!</v>
      </c>
      <c r="CC32" t="e">
        <f>AND(#REF!,"AAAAADf9/lA=")</f>
        <v>#REF!</v>
      </c>
      <c r="CD32" t="e">
        <f>AND(#REF!,"AAAAADf9/lE=")</f>
        <v>#REF!</v>
      </c>
      <c r="CE32" t="e">
        <f>AND(#REF!,"AAAAADf9/lI=")</f>
        <v>#REF!</v>
      </c>
      <c r="CF32" t="e">
        <f>AND(#REF!,"AAAAADf9/lM=")</f>
        <v>#REF!</v>
      </c>
      <c r="CG32" t="e">
        <f>IF(#REF!,"AAAAADf9/lQ=",0)</f>
        <v>#REF!</v>
      </c>
      <c r="CH32" t="e">
        <f>AND(#REF!,"AAAAADf9/lU=")</f>
        <v>#REF!</v>
      </c>
      <c r="CI32" t="e">
        <f>AND(#REF!,"AAAAADf9/lY=")</f>
        <v>#REF!</v>
      </c>
      <c r="CJ32" t="e">
        <f>AND(#REF!,"AAAAADf9/lc=")</f>
        <v>#REF!</v>
      </c>
      <c r="CK32" t="e">
        <f>AND(#REF!,"AAAAADf9/lg=")</f>
        <v>#REF!</v>
      </c>
      <c r="CL32" t="e">
        <f>AND(#REF!,"AAAAADf9/lk=")</f>
        <v>#REF!</v>
      </c>
      <c r="CM32" t="e">
        <f>AND(#REF!,"AAAAADf9/lo=")</f>
        <v>#REF!</v>
      </c>
      <c r="CN32" t="e">
        <f>AND(#REF!,"AAAAADf9/ls=")</f>
        <v>#REF!</v>
      </c>
      <c r="CO32" t="e">
        <f>AND(#REF!,"AAAAADf9/lw=")</f>
        <v>#REF!</v>
      </c>
      <c r="CP32" t="e">
        <f>AND(#REF!,"AAAAADf9/l0=")</f>
        <v>#REF!</v>
      </c>
      <c r="CQ32" t="e">
        <f>AND(#REF!,"AAAAADf9/l4=")</f>
        <v>#REF!</v>
      </c>
      <c r="CR32" t="e">
        <f>AND(#REF!,"AAAAADf9/l8=")</f>
        <v>#REF!</v>
      </c>
      <c r="CS32" t="e">
        <f>AND(#REF!,"AAAAADf9/mA=")</f>
        <v>#REF!</v>
      </c>
      <c r="CT32" t="e">
        <f>AND(#REF!,"AAAAADf9/mE=")</f>
        <v>#REF!</v>
      </c>
      <c r="CU32" t="e">
        <f>AND(#REF!,"AAAAADf9/mI=")</f>
        <v>#REF!</v>
      </c>
      <c r="CV32" t="e">
        <f>AND(#REF!,"AAAAADf9/mM=")</f>
        <v>#REF!</v>
      </c>
      <c r="CW32" t="e">
        <f>AND(#REF!,"AAAAADf9/mQ=")</f>
        <v>#REF!</v>
      </c>
      <c r="CX32" t="e">
        <f>AND(#REF!,"AAAAADf9/mU=")</f>
        <v>#REF!</v>
      </c>
      <c r="CY32" t="e">
        <f>AND(#REF!,"AAAAADf9/mY=")</f>
        <v>#REF!</v>
      </c>
      <c r="CZ32" t="e">
        <f>AND(#REF!,"AAAAADf9/mc=")</f>
        <v>#REF!</v>
      </c>
      <c r="DA32" t="e">
        <f>AND(#REF!,"AAAAADf9/mg=")</f>
        <v>#REF!</v>
      </c>
      <c r="DB32" t="e">
        <f>AND(#REF!,"AAAAADf9/mk=")</f>
        <v>#REF!</v>
      </c>
      <c r="DC32" t="e">
        <f>AND(#REF!,"AAAAADf9/mo=")</f>
        <v>#REF!</v>
      </c>
      <c r="DD32" t="e">
        <f>AND(#REF!,"AAAAADf9/ms=")</f>
        <v>#REF!</v>
      </c>
      <c r="DE32" t="e">
        <f>AND(#REF!,"AAAAADf9/mw=")</f>
        <v>#REF!</v>
      </c>
      <c r="DF32" t="e">
        <f>AND(#REF!,"AAAAADf9/m0=")</f>
        <v>#REF!</v>
      </c>
      <c r="DG32" t="e">
        <f>AND(#REF!,"AAAAADf9/m4=")</f>
        <v>#REF!</v>
      </c>
      <c r="DH32" t="e">
        <f>AND(#REF!,"AAAAADf9/m8=")</f>
        <v>#REF!</v>
      </c>
      <c r="DI32" t="e">
        <f>AND(#REF!,"AAAAADf9/nA=")</f>
        <v>#REF!</v>
      </c>
      <c r="DJ32" t="e">
        <f>AND(#REF!,"AAAAADf9/nE=")</f>
        <v>#REF!</v>
      </c>
      <c r="DK32" t="e">
        <f>AND(#REF!,"AAAAADf9/nI=")</f>
        <v>#REF!</v>
      </c>
      <c r="DL32" t="e">
        <f>AND(#REF!,"AAAAADf9/nM=")</f>
        <v>#REF!</v>
      </c>
      <c r="DM32" t="e">
        <f>AND(#REF!,"AAAAADf9/nQ=")</f>
        <v>#REF!</v>
      </c>
      <c r="DN32" t="e">
        <f>AND(#REF!,"AAAAADf9/nU=")</f>
        <v>#REF!</v>
      </c>
      <c r="DO32" t="e">
        <f>AND(#REF!,"AAAAADf9/nY=")</f>
        <v>#REF!</v>
      </c>
      <c r="DP32" t="e">
        <f>AND(#REF!,"AAAAADf9/nc=")</f>
        <v>#REF!</v>
      </c>
      <c r="DQ32" t="e">
        <f>IF(#REF!,"AAAAADf9/ng=",0)</f>
        <v>#REF!</v>
      </c>
      <c r="DR32" t="e">
        <f>AND(#REF!,"AAAAADf9/nk=")</f>
        <v>#REF!</v>
      </c>
      <c r="DS32" t="e">
        <f>AND(#REF!,"AAAAADf9/no=")</f>
        <v>#REF!</v>
      </c>
      <c r="DT32" t="e">
        <f>AND(#REF!,"AAAAADf9/ns=")</f>
        <v>#REF!</v>
      </c>
      <c r="DU32" t="e">
        <f>AND(#REF!,"AAAAADf9/nw=")</f>
        <v>#REF!</v>
      </c>
      <c r="DV32" t="e">
        <f>AND(#REF!,"AAAAADf9/n0=")</f>
        <v>#REF!</v>
      </c>
      <c r="DW32" t="e">
        <f>AND(#REF!,"AAAAADf9/n4=")</f>
        <v>#REF!</v>
      </c>
      <c r="DX32" t="e">
        <f>AND(#REF!,"AAAAADf9/n8=")</f>
        <v>#REF!</v>
      </c>
      <c r="DY32" t="e">
        <f>AND(#REF!,"AAAAADf9/oA=")</f>
        <v>#REF!</v>
      </c>
      <c r="DZ32" t="e">
        <f>AND(#REF!,"AAAAADf9/oE=")</f>
        <v>#REF!</v>
      </c>
      <c r="EA32" t="e">
        <f>AND(#REF!,"AAAAADf9/oI=")</f>
        <v>#REF!</v>
      </c>
      <c r="EB32" t="e">
        <f>AND(#REF!,"AAAAADf9/oM=")</f>
        <v>#REF!</v>
      </c>
      <c r="EC32" t="e">
        <f>AND(#REF!,"AAAAADf9/oQ=")</f>
        <v>#REF!</v>
      </c>
      <c r="ED32" t="e">
        <f>AND(#REF!,"AAAAADf9/oU=")</f>
        <v>#REF!</v>
      </c>
      <c r="EE32" t="e">
        <f>AND(#REF!,"AAAAADf9/oY=")</f>
        <v>#REF!</v>
      </c>
      <c r="EF32" t="e">
        <f>AND(#REF!,"AAAAADf9/oc=")</f>
        <v>#REF!</v>
      </c>
      <c r="EG32" t="e">
        <f>AND(#REF!,"AAAAADf9/og=")</f>
        <v>#REF!</v>
      </c>
      <c r="EH32" t="e">
        <f>AND(#REF!,"AAAAADf9/ok=")</f>
        <v>#REF!</v>
      </c>
      <c r="EI32" t="e">
        <f>AND(#REF!,"AAAAADf9/oo=")</f>
        <v>#REF!</v>
      </c>
      <c r="EJ32" t="e">
        <f>AND(#REF!,"AAAAADf9/os=")</f>
        <v>#REF!</v>
      </c>
      <c r="EK32" t="e">
        <f>AND(#REF!,"AAAAADf9/ow=")</f>
        <v>#REF!</v>
      </c>
      <c r="EL32" t="e">
        <f>AND(#REF!,"AAAAADf9/o0=")</f>
        <v>#REF!</v>
      </c>
      <c r="EM32" t="e">
        <f>AND(#REF!,"AAAAADf9/o4=")</f>
        <v>#REF!</v>
      </c>
      <c r="EN32" t="e">
        <f>AND(#REF!,"AAAAADf9/o8=")</f>
        <v>#REF!</v>
      </c>
      <c r="EO32" t="e">
        <f>AND(#REF!,"AAAAADf9/pA=")</f>
        <v>#REF!</v>
      </c>
      <c r="EP32" t="e">
        <f>AND(#REF!,"AAAAADf9/pE=")</f>
        <v>#REF!</v>
      </c>
      <c r="EQ32" t="e">
        <f>AND(#REF!,"AAAAADf9/pI=")</f>
        <v>#REF!</v>
      </c>
      <c r="ER32" t="e">
        <f>AND(#REF!,"AAAAADf9/pM=")</f>
        <v>#REF!</v>
      </c>
      <c r="ES32" t="e">
        <f>AND(#REF!,"AAAAADf9/pQ=")</f>
        <v>#REF!</v>
      </c>
      <c r="ET32" t="e">
        <f>AND(#REF!,"AAAAADf9/pU=")</f>
        <v>#REF!</v>
      </c>
      <c r="EU32" t="e">
        <f>AND(#REF!,"AAAAADf9/pY=")</f>
        <v>#REF!</v>
      </c>
      <c r="EV32" t="e">
        <f>AND(#REF!,"AAAAADf9/pc=")</f>
        <v>#REF!</v>
      </c>
      <c r="EW32" t="e">
        <f>AND(#REF!,"AAAAADf9/pg=")</f>
        <v>#REF!</v>
      </c>
      <c r="EX32" t="e">
        <f>AND(#REF!,"AAAAADf9/pk=")</f>
        <v>#REF!</v>
      </c>
      <c r="EY32" t="e">
        <f>AND(#REF!,"AAAAADf9/po=")</f>
        <v>#REF!</v>
      </c>
      <c r="EZ32" t="e">
        <f>AND(#REF!,"AAAAADf9/ps=")</f>
        <v>#REF!</v>
      </c>
      <c r="FA32" t="e">
        <f>IF(#REF!,"AAAAADf9/pw=",0)</f>
        <v>#REF!</v>
      </c>
      <c r="FB32" t="e">
        <f>AND(#REF!,"AAAAADf9/p0=")</f>
        <v>#REF!</v>
      </c>
      <c r="FC32" t="e">
        <f>AND(#REF!,"AAAAADf9/p4=")</f>
        <v>#REF!</v>
      </c>
      <c r="FD32" t="e">
        <f>AND(#REF!,"AAAAADf9/p8=")</f>
        <v>#REF!</v>
      </c>
      <c r="FE32" t="e">
        <f>AND(#REF!,"AAAAADf9/qA=")</f>
        <v>#REF!</v>
      </c>
      <c r="FF32" t="e">
        <f>AND(#REF!,"AAAAADf9/qE=")</f>
        <v>#REF!</v>
      </c>
      <c r="FG32" t="e">
        <f>AND(#REF!,"AAAAADf9/qI=")</f>
        <v>#REF!</v>
      </c>
      <c r="FH32" t="e">
        <f>AND(#REF!,"AAAAADf9/qM=")</f>
        <v>#REF!</v>
      </c>
      <c r="FI32" t="e">
        <f>AND(#REF!,"AAAAADf9/qQ=")</f>
        <v>#REF!</v>
      </c>
      <c r="FJ32" t="e">
        <f>AND(#REF!,"AAAAADf9/qU=")</f>
        <v>#REF!</v>
      </c>
      <c r="FK32" t="e">
        <f>AND(#REF!,"AAAAADf9/qY=")</f>
        <v>#REF!</v>
      </c>
      <c r="FL32" t="e">
        <f>AND(#REF!,"AAAAADf9/qc=")</f>
        <v>#REF!</v>
      </c>
      <c r="FM32" t="e">
        <f>AND(#REF!,"AAAAADf9/qg=")</f>
        <v>#REF!</v>
      </c>
      <c r="FN32" t="e">
        <f>AND(#REF!,"AAAAADf9/qk=")</f>
        <v>#REF!</v>
      </c>
      <c r="FO32" t="e">
        <f>AND(#REF!,"AAAAADf9/qo=")</f>
        <v>#REF!</v>
      </c>
      <c r="FP32" t="e">
        <f>AND(#REF!,"AAAAADf9/qs=")</f>
        <v>#REF!</v>
      </c>
      <c r="FQ32" t="e">
        <f>AND(#REF!,"AAAAADf9/qw=")</f>
        <v>#REF!</v>
      </c>
      <c r="FR32" t="e">
        <f>AND(#REF!,"AAAAADf9/q0=")</f>
        <v>#REF!</v>
      </c>
      <c r="FS32" t="e">
        <f>AND(#REF!,"AAAAADf9/q4=")</f>
        <v>#REF!</v>
      </c>
      <c r="FT32" t="e">
        <f>AND(#REF!,"AAAAADf9/q8=")</f>
        <v>#REF!</v>
      </c>
      <c r="FU32" t="e">
        <f>AND(#REF!,"AAAAADf9/rA=")</f>
        <v>#REF!</v>
      </c>
      <c r="FV32" t="e">
        <f>AND(#REF!,"AAAAADf9/rE=")</f>
        <v>#REF!</v>
      </c>
      <c r="FW32" t="e">
        <f>AND(#REF!,"AAAAADf9/rI=")</f>
        <v>#REF!</v>
      </c>
      <c r="FX32" t="e">
        <f>AND(#REF!,"AAAAADf9/rM=")</f>
        <v>#REF!</v>
      </c>
      <c r="FY32" t="e">
        <f>AND(#REF!,"AAAAADf9/rQ=")</f>
        <v>#REF!</v>
      </c>
      <c r="FZ32" t="e">
        <f>AND(#REF!,"AAAAADf9/rU=")</f>
        <v>#REF!</v>
      </c>
      <c r="GA32" t="e">
        <f>AND(#REF!,"AAAAADf9/rY=")</f>
        <v>#REF!</v>
      </c>
      <c r="GB32" t="e">
        <f>AND(#REF!,"AAAAADf9/rc=")</f>
        <v>#REF!</v>
      </c>
      <c r="GC32" t="e">
        <f>AND(#REF!,"AAAAADf9/rg=")</f>
        <v>#REF!</v>
      </c>
      <c r="GD32" t="e">
        <f>AND(#REF!,"AAAAADf9/rk=")</f>
        <v>#REF!</v>
      </c>
      <c r="GE32" t="e">
        <f>AND(#REF!,"AAAAADf9/ro=")</f>
        <v>#REF!</v>
      </c>
      <c r="GF32" t="e">
        <f>AND(#REF!,"AAAAADf9/rs=")</f>
        <v>#REF!</v>
      </c>
      <c r="GG32" t="e">
        <f>AND(#REF!,"AAAAADf9/rw=")</f>
        <v>#REF!</v>
      </c>
      <c r="GH32" t="e">
        <f>AND(#REF!,"AAAAADf9/r0=")</f>
        <v>#REF!</v>
      </c>
      <c r="GI32" t="e">
        <f>AND(#REF!,"AAAAADf9/r4=")</f>
        <v>#REF!</v>
      </c>
      <c r="GJ32" t="e">
        <f>AND(#REF!,"AAAAADf9/r8=")</f>
        <v>#REF!</v>
      </c>
      <c r="GK32" t="e">
        <f>IF(#REF!,"AAAAADf9/sA=",0)</f>
        <v>#REF!</v>
      </c>
      <c r="GL32" t="e">
        <f>AND(#REF!,"AAAAADf9/sE=")</f>
        <v>#REF!</v>
      </c>
      <c r="GM32" t="e">
        <f>AND(#REF!,"AAAAADf9/sI=")</f>
        <v>#REF!</v>
      </c>
      <c r="GN32" t="e">
        <f>AND(#REF!,"AAAAADf9/sM=")</f>
        <v>#REF!</v>
      </c>
      <c r="GO32" t="e">
        <f>AND(#REF!,"AAAAADf9/sQ=")</f>
        <v>#REF!</v>
      </c>
      <c r="GP32" t="e">
        <f>AND(#REF!,"AAAAADf9/sU=")</f>
        <v>#REF!</v>
      </c>
      <c r="GQ32" t="e">
        <f>AND(#REF!,"AAAAADf9/sY=")</f>
        <v>#REF!</v>
      </c>
      <c r="GR32" t="e">
        <f>AND(#REF!,"AAAAADf9/sc=")</f>
        <v>#REF!</v>
      </c>
      <c r="GS32" t="e">
        <f>AND(#REF!,"AAAAADf9/sg=")</f>
        <v>#REF!</v>
      </c>
      <c r="GT32" t="e">
        <f>AND(#REF!,"AAAAADf9/sk=")</f>
        <v>#REF!</v>
      </c>
      <c r="GU32" t="e">
        <f>AND(#REF!,"AAAAADf9/so=")</f>
        <v>#REF!</v>
      </c>
      <c r="GV32" t="e">
        <f>AND(#REF!,"AAAAADf9/ss=")</f>
        <v>#REF!</v>
      </c>
      <c r="GW32" t="e">
        <f>AND(#REF!,"AAAAADf9/sw=")</f>
        <v>#REF!</v>
      </c>
      <c r="GX32" t="e">
        <f>AND(#REF!,"AAAAADf9/s0=")</f>
        <v>#REF!</v>
      </c>
      <c r="GY32" t="e">
        <f>AND(#REF!,"AAAAADf9/s4=")</f>
        <v>#REF!</v>
      </c>
      <c r="GZ32" t="e">
        <f>AND(#REF!,"AAAAADf9/s8=")</f>
        <v>#REF!</v>
      </c>
      <c r="HA32" t="e">
        <f>AND(#REF!,"AAAAADf9/tA=")</f>
        <v>#REF!</v>
      </c>
      <c r="HB32" t="e">
        <f>AND(#REF!,"AAAAADf9/tE=")</f>
        <v>#REF!</v>
      </c>
      <c r="HC32" t="e">
        <f>AND(#REF!,"AAAAADf9/tI=")</f>
        <v>#REF!</v>
      </c>
      <c r="HD32" t="e">
        <f>AND(#REF!,"AAAAADf9/tM=")</f>
        <v>#REF!</v>
      </c>
      <c r="HE32" t="e">
        <f>AND(#REF!,"AAAAADf9/tQ=")</f>
        <v>#REF!</v>
      </c>
      <c r="HF32" t="e">
        <f>AND(#REF!,"AAAAADf9/tU=")</f>
        <v>#REF!</v>
      </c>
      <c r="HG32" t="e">
        <f>AND(#REF!,"AAAAADf9/tY=")</f>
        <v>#REF!</v>
      </c>
      <c r="HH32" t="e">
        <f>AND(#REF!,"AAAAADf9/tc=")</f>
        <v>#REF!</v>
      </c>
      <c r="HI32" t="e">
        <f>AND(#REF!,"AAAAADf9/tg=")</f>
        <v>#REF!</v>
      </c>
      <c r="HJ32" t="e">
        <f>AND(#REF!,"AAAAADf9/tk=")</f>
        <v>#REF!</v>
      </c>
      <c r="HK32" t="e">
        <f>AND(#REF!,"AAAAADf9/to=")</f>
        <v>#REF!</v>
      </c>
      <c r="HL32" t="e">
        <f>AND(#REF!,"AAAAADf9/ts=")</f>
        <v>#REF!</v>
      </c>
      <c r="HM32" t="e">
        <f>AND(#REF!,"AAAAADf9/tw=")</f>
        <v>#REF!</v>
      </c>
      <c r="HN32" t="e">
        <f>AND(#REF!,"AAAAADf9/t0=")</f>
        <v>#REF!</v>
      </c>
      <c r="HO32" t="e">
        <f>AND(#REF!,"AAAAADf9/t4=")</f>
        <v>#REF!</v>
      </c>
      <c r="HP32" t="e">
        <f>AND(#REF!,"AAAAADf9/t8=")</f>
        <v>#REF!</v>
      </c>
      <c r="HQ32" t="e">
        <f>AND(#REF!,"AAAAADf9/uA=")</f>
        <v>#REF!</v>
      </c>
      <c r="HR32" t="e">
        <f>AND(#REF!,"AAAAADf9/uE=")</f>
        <v>#REF!</v>
      </c>
      <c r="HS32" t="e">
        <f>AND(#REF!,"AAAAADf9/uI=")</f>
        <v>#REF!</v>
      </c>
      <c r="HT32" t="e">
        <f>AND(#REF!,"AAAAADf9/uM=")</f>
        <v>#REF!</v>
      </c>
      <c r="HU32" t="e">
        <f>IF(#REF!,"AAAAADf9/uQ=",0)</f>
        <v>#REF!</v>
      </c>
      <c r="HV32" t="e">
        <f>AND(#REF!,"AAAAADf9/uU=")</f>
        <v>#REF!</v>
      </c>
      <c r="HW32" t="e">
        <f>AND(#REF!,"AAAAADf9/uY=")</f>
        <v>#REF!</v>
      </c>
      <c r="HX32" t="e">
        <f>AND(#REF!,"AAAAADf9/uc=")</f>
        <v>#REF!</v>
      </c>
      <c r="HY32" t="e">
        <f>AND(#REF!,"AAAAADf9/ug=")</f>
        <v>#REF!</v>
      </c>
      <c r="HZ32" t="e">
        <f>AND(#REF!,"AAAAADf9/uk=")</f>
        <v>#REF!</v>
      </c>
      <c r="IA32" t="e">
        <f>AND(#REF!,"AAAAADf9/uo=")</f>
        <v>#REF!</v>
      </c>
      <c r="IB32" t="e">
        <f>AND(#REF!,"AAAAADf9/us=")</f>
        <v>#REF!</v>
      </c>
      <c r="IC32" t="e">
        <f>AND(#REF!,"AAAAADf9/uw=")</f>
        <v>#REF!</v>
      </c>
      <c r="ID32" t="e">
        <f>AND(#REF!,"AAAAADf9/u0=")</f>
        <v>#REF!</v>
      </c>
      <c r="IE32" t="e">
        <f>AND(#REF!,"AAAAADf9/u4=")</f>
        <v>#REF!</v>
      </c>
      <c r="IF32" t="e">
        <f>AND(#REF!,"AAAAADf9/u8=")</f>
        <v>#REF!</v>
      </c>
      <c r="IG32" t="e">
        <f>AND(#REF!,"AAAAADf9/vA=")</f>
        <v>#REF!</v>
      </c>
      <c r="IH32" t="e">
        <f>AND(#REF!,"AAAAADf9/vE=")</f>
        <v>#REF!</v>
      </c>
      <c r="II32" t="e">
        <f>AND(#REF!,"AAAAADf9/vI=")</f>
        <v>#REF!</v>
      </c>
      <c r="IJ32" t="e">
        <f>AND(#REF!,"AAAAADf9/vM=")</f>
        <v>#REF!</v>
      </c>
      <c r="IK32" t="e">
        <f>AND(#REF!,"AAAAADf9/vQ=")</f>
        <v>#REF!</v>
      </c>
      <c r="IL32" t="e">
        <f>AND(#REF!,"AAAAADf9/vU=")</f>
        <v>#REF!</v>
      </c>
      <c r="IM32" t="e">
        <f>AND(#REF!,"AAAAADf9/vY=")</f>
        <v>#REF!</v>
      </c>
      <c r="IN32" t="e">
        <f>AND(#REF!,"AAAAADf9/vc=")</f>
        <v>#REF!</v>
      </c>
      <c r="IO32" t="e">
        <f>AND(#REF!,"AAAAADf9/vg=")</f>
        <v>#REF!</v>
      </c>
      <c r="IP32" t="e">
        <f>AND(#REF!,"AAAAADf9/vk=")</f>
        <v>#REF!</v>
      </c>
      <c r="IQ32" t="e">
        <f>AND(#REF!,"AAAAADf9/vo=")</f>
        <v>#REF!</v>
      </c>
      <c r="IR32" t="e">
        <f>AND(#REF!,"AAAAADf9/vs=")</f>
        <v>#REF!</v>
      </c>
      <c r="IS32" t="e">
        <f>AND(#REF!,"AAAAADf9/vw=")</f>
        <v>#REF!</v>
      </c>
      <c r="IT32" t="e">
        <f>AND(#REF!,"AAAAADf9/v0=")</f>
        <v>#REF!</v>
      </c>
      <c r="IU32" t="e">
        <f>AND(#REF!,"AAAAADf9/v4=")</f>
        <v>#REF!</v>
      </c>
      <c r="IV32" t="e">
        <f>AND(#REF!,"AAAAADf9/v8=")</f>
        <v>#REF!</v>
      </c>
    </row>
    <row r="33" spans="1:256">
      <c r="A33" t="e">
        <f>AND(#REF!,"AAAAADv+fwA=")</f>
        <v>#REF!</v>
      </c>
      <c r="B33" t="e">
        <f>AND(#REF!,"AAAAADv+fwE=")</f>
        <v>#REF!</v>
      </c>
      <c r="C33" t="e">
        <f>AND(#REF!,"AAAAADv+fwI=")</f>
        <v>#REF!</v>
      </c>
      <c r="D33" t="e">
        <f>AND(#REF!,"AAAAADv+fwM=")</f>
        <v>#REF!</v>
      </c>
      <c r="E33" t="e">
        <f>AND(#REF!,"AAAAADv+fwQ=")</f>
        <v>#REF!</v>
      </c>
      <c r="F33" t="e">
        <f>AND(#REF!,"AAAAADv+fwU=")</f>
        <v>#REF!</v>
      </c>
      <c r="G33" t="e">
        <f>AND(#REF!,"AAAAADv+fwY=")</f>
        <v>#REF!</v>
      </c>
      <c r="H33" t="e">
        <f>AND(#REF!,"AAAAADv+fwc=")</f>
        <v>#REF!</v>
      </c>
      <c r="I33" t="e">
        <f>IF(#REF!,"AAAAADv+fwg=",0)</f>
        <v>#REF!</v>
      </c>
      <c r="J33" t="e">
        <f>AND(#REF!,"AAAAADv+fwk=")</f>
        <v>#REF!</v>
      </c>
      <c r="K33" t="e">
        <f>AND(#REF!,"AAAAADv+fwo=")</f>
        <v>#REF!</v>
      </c>
      <c r="L33" t="e">
        <f>AND(#REF!,"AAAAADv+fws=")</f>
        <v>#REF!</v>
      </c>
      <c r="M33" t="e">
        <f>AND(#REF!,"AAAAADv+fww=")</f>
        <v>#REF!</v>
      </c>
      <c r="N33" t="e">
        <f>AND(#REF!,"AAAAADv+fw0=")</f>
        <v>#REF!</v>
      </c>
      <c r="O33" t="e">
        <f>AND(#REF!,"AAAAADv+fw4=")</f>
        <v>#REF!</v>
      </c>
      <c r="P33" t="e">
        <f>AND(#REF!,"AAAAADv+fw8=")</f>
        <v>#REF!</v>
      </c>
      <c r="Q33" t="e">
        <f>AND(#REF!,"AAAAADv+fxA=")</f>
        <v>#REF!</v>
      </c>
      <c r="R33" t="e">
        <f>AND(#REF!,"AAAAADv+fxE=")</f>
        <v>#REF!</v>
      </c>
      <c r="S33" t="e">
        <f>AND(#REF!,"AAAAADv+fxI=")</f>
        <v>#REF!</v>
      </c>
      <c r="T33" t="e">
        <f>AND(#REF!,"AAAAADv+fxM=")</f>
        <v>#REF!</v>
      </c>
      <c r="U33" t="e">
        <f>AND(#REF!,"AAAAADv+fxQ=")</f>
        <v>#REF!</v>
      </c>
      <c r="V33" t="e">
        <f>AND(#REF!,"AAAAADv+fxU=")</f>
        <v>#REF!</v>
      </c>
      <c r="W33" t="e">
        <f>AND(#REF!,"AAAAADv+fxY=")</f>
        <v>#REF!</v>
      </c>
      <c r="X33" t="e">
        <f>AND(#REF!,"AAAAADv+fxc=")</f>
        <v>#REF!</v>
      </c>
      <c r="Y33" t="e">
        <f>AND(#REF!,"AAAAADv+fxg=")</f>
        <v>#REF!</v>
      </c>
      <c r="Z33" t="e">
        <f>AND(#REF!,"AAAAADv+fxk=")</f>
        <v>#REF!</v>
      </c>
      <c r="AA33" t="e">
        <f>AND(#REF!,"AAAAADv+fxo=")</f>
        <v>#REF!</v>
      </c>
      <c r="AB33" t="e">
        <f>AND(#REF!,"AAAAADv+fxs=")</f>
        <v>#REF!</v>
      </c>
      <c r="AC33" t="e">
        <f>AND(#REF!,"AAAAADv+fxw=")</f>
        <v>#REF!</v>
      </c>
      <c r="AD33" t="e">
        <f>AND(#REF!,"AAAAADv+fx0=")</f>
        <v>#REF!</v>
      </c>
      <c r="AE33" t="e">
        <f>AND(#REF!,"AAAAADv+fx4=")</f>
        <v>#REF!</v>
      </c>
      <c r="AF33" t="e">
        <f>AND(#REF!,"AAAAADv+fx8=")</f>
        <v>#REF!</v>
      </c>
      <c r="AG33" t="e">
        <f>AND(#REF!,"AAAAADv+fyA=")</f>
        <v>#REF!</v>
      </c>
      <c r="AH33" t="e">
        <f>AND(#REF!,"AAAAADv+fyE=")</f>
        <v>#REF!</v>
      </c>
      <c r="AI33" t="e">
        <f>AND(#REF!,"AAAAADv+fyI=")</f>
        <v>#REF!</v>
      </c>
      <c r="AJ33" t="e">
        <f>AND(#REF!,"AAAAADv+fyM=")</f>
        <v>#REF!</v>
      </c>
      <c r="AK33" t="e">
        <f>AND(#REF!,"AAAAADv+fyQ=")</f>
        <v>#REF!</v>
      </c>
      <c r="AL33" t="e">
        <f>AND(#REF!,"AAAAADv+fyU=")</f>
        <v>#REF!</v>
      </c>
      <c r="AM33" t="e">
        <f>AND(#REF!,"AAAAADv+fyY=")</f>
        <v>#REF!</v>
      </c>
      <c r="AN33" t="e">
        <f>AND(#REF!,"AAAAADv+fyc=")</f>
        <v>#REF!</v>
      </c>
      <c r="AO33" t="e">
        <f>AND(#REF!,"AAAAADv+fyg=")</f>
        <v>#REF!</v>
      </c>
      <c r="AP33" t="e">
        <f>AND(#REF!,"AAAAADv+fyk=")</f>
        <v>#REF!</v>
      </c>
      <c r="AQ33" t="e">
        <f>AND(#REF!,"AAAAADv+fyo=")</f>
        <v>#REF!</v>
      </c>
      <c r="AR33" t="e">
        <f>AND(#REF!,"AAAAADv+fys=")</f>
        <v>#REF!</v>
      </c>
      <c r="AS33" t="e">
        <f>IF(#REF!,"AAAAADv+fyw=",0)</f>
        <v>#REF!</v>
      </c>
      <c r="AT33" t="e">
        <f>AND(#REF!,"AAAAADv+fy0=")</f>
        <v>#REF!</v>
      </c>
      <c r="AU33" t="e">
        <f>AND(#REF!,"AAAAADv+fy4=")</f>
        <v>#REF!</v>
      </c>
      <c r="AV33" t="e">
        <f>AND(#REF!,"AAAAADv+fy8=")</f>
        <v>#REF!</v>
      </c>
      <c r="AW33" t="e">
        <f>AND(#REF!,"AAAAADv+fzA=")</f>
        <v>#REF!</v>
      </c>
      <c r="AX33" t="e">
        <f>AND(#REF!,"AAAAADv+fzE=")</f>
        <v>#REF!</v>
      </c>
      <c r="AY33" t="e">
        <f>AND(#REF!,"AAAAADv+fzI=")</f>
        <v>#REF!</v>
      </c>
      <c r="AZ33" t="e">
        <f>AND(#REF!,"AAAAADv+fzM=")</f>
        <v>#REF!</v>
      </c>
      <c r="BA33" t="e">
        <f>AND(#REF!,"AAAAADv+fzQ=")</f>
        <v>#REF!</v>
      </c>
      <c r="BB33" t="e">
        <f>AND(#REF!,"AAAAADv+fzU=")</f>
        <v>#REF!</v>
      </c>
      <c r="BC33" t="e">
        <f>AND(#REF!,"AAAAADv+fzY=")</f>
        <v>#REF!</v>
      </c>
      <c r="BD33" t="e">
        <f>AND(#REF!,"AAAAADv+fzc=")</f>
        <v>#REF!</v>
      </c>
      <c r="BE33" t="e">
        <f>AND(#REF!,"AAAAADv+fzg=")</f>
        <v>#REF!</v>
      </c>
      <c r="BF33" t="e">
        <f>AND(#REF!,"AAAAADv+fzk=")</f>
        <v>#REF!</v>
      </c>
      <c r="BG33" t="e">
        <f>AND(#REF!,"AAAAADv+fzo=")</f>
        <v>#REF!</v>
      </c>
      <c r="BH33" t="e">
        <f>AND(#REF!,"AAAAADv+fzs=")</f>
        <v>#REF!</v>
      </c>
      <c r="BI33" t="e">
        <f>AND(#REF!,"AAAAADv+fzw=")</f>
        <v>#REF!</v>
      </c>
      <c r="BJ33" t="e">
        <f>AND(#REF!,"AAAAADv+fz0=")</f>
        <v>#REF!</v>
      </c>
      <c r="BK33" t="e">
        <f>AND(#REF!,"AAAAADv+fz4=")</f>
        <v>#REF!</v>
      </c>
      <c r="BL33" t="e">
        <f>AND(#REF!,"AAAAADv+fz8=")</f>
        <v>#REF!</v>
      </c>
      <c r="BM33" t="e">
        <f>AND(#REF!,"AAAAADv+f0A=")</f>
        <v>#REF!</v>
      </c>
      <c r="BN33" t="e">
        <f>AND(#REF!,"AAAAADv+f0E=")</f>
        <v>#REF!</v>
      </c>
      <c r="BO33" t="e">
        <f>AND(#REF!,"AAAAADv+f0I=")</f>
        <v>#REF!</v>
      </c>
      <c r="BP33" t="e">
        <f>AND(#REF!,"AAAAADv+f0M=")</f>
        <v>#REF!</v>
      </c>
      <c r="BQ33" t="e">
        <f>AND(#REF!,"AAAAADv+f0Q=")</f>
        <v>#REF!</v>
      </c>
      <c r="BR33" t="e">
        <f>AND(#REF!,"AAAAADv+f0U=")</f>
        <v>#REF!</v>
      </c>
      <c r="BS33" t="e">
        <f>AND(#REF!,"AAAAADv+f0Y=")</f>
        <v>#REF!</v>
      </c>
      <c r="BT33" t="e">
        <f>AND(#REF!,"AAAAADv+f0c=")</f>
        <v>#REF!</v>
      </c>
      <c r="BU33" t="e">
        <f>AND(#REF!,"AAAAADv+f0g=")</f>
        <v>#REF!</v>
      </c>
      <c r="BV33" t="e">
        <f>AND(#REF!,"AAAAADv+f0k=")</f>
        <v>#REF!</v>
      </c>
      <c r="BW33" t="e">
        <f>AND(#REF!,"AAAAADv+f0o=")</f>
        <v>#REF!</v>
      </c>
      <c r="BX33" t="e">
        <f>AND(#REF!,"AAAAADv+f0s=")</f>
        <v>#REF!</v>
      </c>
      <c r="BY33" t="e">
        <f>AND(#REF!,"AAAAADv+f0w=")</f>
        <v>#REF!</v>
      </c>
      <c r="BZ33" t="e">
        <f>AND(#REF!,"AAAAADv+f00=")</f>
        <v>#REF!</v>
      </c>
      <c r="CA33" t="e">
        <f>AND(#REF!,"AAAAADv+f04=")</f>
        <v>#REF!</v>
      </c>
      <c r="CB33" t="e">
        <f>AND(#REF!,"AAAAADv+f08=")</f>
        <v>#REF!</v>
      </c>
      <c r="CC33" t="e">
        <f>IF(#REF!,"AAAAADv+f1A=",0)</f>
        <v>#REF!</v>
      </c>
      <c r="CD33" t="e">
        <f>AND(#REF!,"AAAAADv+f1E=")</f>
        <v>#REF!</v>
      </c>
      <c r="CE33" t="e">
        <f>AND(#REF!,"AAAAADv+f1I=")</f>
        <v>#REF!</v>
      </c>
      <c r="CF33" t="e">
        <f>AND(#REF!,"AAAAADv+f1M=")</f>
        <v>#REF!</v>
      </c>
      <c r="CG33" t="e">
        <f>AND(#REF!,"AAAAADv+f1Q=")</f>
        <v>#REF!</v>
      </c>
      <c r="CH33" t="e">
        <f>AND(#REF!,"AAAAADv+f1U=")</f>
        <v>#REF!</v>
      </c>
      <c r="CI33" t="e">
        <f>AND(#REF!,"AAAAADv+f1Y=")</f>
        <v>#REF!</v>
      </c>
      <c r="CJ33" t="e">
        <f>AND(#REF!,"AAAAADv+f1c=")</f>
        <v>#REF!</v>
      </c>
      <c r="CK33" t="e">
        <f>AND(#REF!,"AAAAADv+f1g=")</f>
        <v>#REF!</v>
      </c>
      <c r="CL33" t="e">
        <f>AND(#REF!,"AAAAADv+f1k=")</f>
        <v>#REF!</v>
      </c>
      <c r="CM33" t="e">
        <f>AND(#REF!,"AAAAADv+f1o=")</f>
        <v>#REF!</v>
      </c>
      <c r="CN33" t="e">
        <f>AND(#REF!,"AAAAADv+f1s=")</f>
        <v>#REF!</v>
      </c>
      <c r="CO33" t="e">
        <f>AND(#REF!,"AAAAADv+f1w=")</f>
        <v>#REF!</v>
      </c>
      <c r="CP33" t="e">
        <f>AND(#REF!,"AAAAADv+f10=")</f>
        <v>#REF!</v>
      </c>
      <c r="CQ33" t="e">
        <f>AND(#REF!,"AAAAADv+f14=")</f>
        <v>#REF!</v>
      </c>
      <c r="CR33" t="e">
        <f>AND(#REF!,"AAAAADv+f18=")</f>
        <v>#REF!</v>
      </c>
      <c r="CS33" t="e">
        <f>AND(#REF!,"AAAAADv+f2A=")</f>
        <v>#REF!</v>
      </c>
      <c r="CT33" t="e">
        <f>AND(#REF!,"AAAAADv+f2E=")</f>
        <v>#REF!</v>
      </c>
      <c r="CU33" t="e">
        <f>AND(#REF!,"AAAAADv+f2I=")</f>
        <v>#REF!</v>
      </c>
      <c r="CV33" t="e">
        <f>AND(#REF!,"AAAAADv+f2M=")</f>
        <v>#REF!</v>
      </c>
      <c r="CW33" t="e">
        <f>AND(#REF!,"AAAAADv+f2Q=")</f>
        <v>#REF!</v>
      </c>
      <c r="CX33" t="e">
        <f>AND(#REF!,"AAAAADv+f2U=")</f>
        <v>#REF!</v>
      </c>
      <c r="CY33" t="e">
        <f>AND(#REF!,"AAAAADv+f2Y=")</f>
        <v>#REF!</v>
      </c>
      <c r="CZ33" t="e">
        <f>AND(#REF!,"AAAAADv+f2c=")</f>
        <v>#REF!</v>
      </c>
      <c r="DA33" t="e">
        <f>AND(#REF!,"AAAAADv+f2g=")</f>
        <v>#REF!</v>
      </c>
      <c r="DB33" t="e">
        <f>AND(#REF!,"AAAAADv+f2k=")</f>
        <v>#REF!</v>
      </c>
      <c r="DC33" t="e">
        <f>AND(#REF!,"AAAAADv+f2o=")</f>
        <v>#REF!</v>
      </c>
      <c r="DD33" t="e">
        <f>AND(#REF!,"AAAAADv+f2s=")</f>
        <v>#REF!</v>
      </c>
      <c r="DE33" t="e">
        <f>AND(#REF!,"AAAAADv+f2w=")</f>
        <v>#REF!</v>
      </c>
      <c r="DF33" t="e">
        <f>AND(#REF!,"AAAAADv+f20=")</f>
        <v>#REF!</v>
      </c>
      <c r="DG33" t="e">
        <f>AND(#REF!,"AAAAADv+f24=")</f>
        <v>#REF!</v>
      </c>
      <c r="DH33" t="e">
        <f>AND(#REF!,"AAAAADv+f28=")</f>
        <v>#REF!</v>
      </c>
      <c r="DI33" t="e">
        <f>AND(#REF!,"AAAAADv+f3A=")</f>
        <v>#REF!</v>
      </c>
      <c r="DJ33" t="e">
        <f>AND(#REF!,"AAAAADv+f3E=")</f>
        <v>#REF!</v>
      </c>
      <c r="DK33" t="e">
        <f>AND(#REF!,"AAAAADv+f3I=")</f>
        <v>#REF!</v>
      </c>
      <c r="DL33" t="e">
        <f>AND(#REF!,"AAAAADv+f3M=")</f>
        <v>#REF!</v>
      </c>
      <c r="DM33" t="e">
        <f>IF(#REF!,"AAAAADv+f3Q=",0)</f>
        <v>#REF!</v>
      </c>
      <c r="DN33" t="e">
        <f>AND(#REF!,"AAAAADv+f3U=")</f>
        <v>#REF!</v>
      </c>
      <c r="DO33" t="e">
        <f>AND(#REF!,"AAAAADv+f3Y=")</f>
        <v>#REF!</v>
      </c>
      <c r="DP33" t="e">
        <f>AND(#REF!,"AAAAADv+f3c=")</f>
        <v>#REF!</v>
      </c>
      <c r="DQ33" t="e">
        <f>AND(#REF!,"AAAAADv+f3g=")</f>
        <v>#REF!</v>
      </c>
      <c r="DR33" t="e">
        <f>AND(#REF!,"AAAAADv+f3k=")</f>
        <v>#REF!</v>
      </c>
      <c r="DS33" t="e">
        <f>AND(#REF!,"AAAAADv+f3o=")</f>
        <v>#REF!</v>
      </c>
      <c r="DT33" t="e">
        <f>AND(#REF!,"AAAAADv+f3s=")</f>
        <v>#REF!</v>
      </c>
      <c r="DU33" t="e">
        <f>AND(#REF!,"AAAAADv+f3w=")</f>
        <v>#REF!</v>
      </c>
      <c r="DV33" t="e">
        <f>AND(#REF!,"AAAAADv+f30=")</f>
        <v>#REF!</v>
      </c>
      <c r="DW33" t="e">
        <f>AND(#REF!,"AAAAADv+f34=")</f>
        <v>#REF!</v>
      </c>
      <c r="DX33" t="e">
        <f>AND(#REF!,"AAAAADv+f38=")</f>
        <v>#REF!</v>
      </c>
      <c r="DY33" t="e">
        <f>AND(#REF!,"AAAAADv+f4A=")</f>
        <v>#REF!</v>
      </c>
      <c r="DZ33" t="e">
        <f>AND(#REF!,"AAAAADv+f4E=")</f>
        <v>#REF!</v>
      </c>
      <c r="EA33" t="e">
        <f>AND(#REF!,"AAAAADv+f4I=")</f>
        <v>#REF!</v>
      </c>
      <c r="EB33" t="e">
        <f>AND(#REF!,"AAAAADv+f4M=")</f>
        <v>#REF!</v>
      </c>
      <c r="EC33" t="e">
        <f>AND(#REF!,"AAAAADv+f4Q=")</f>
        <v>#REF!</v>
      </c>
      <c r="ED33" t="e">
        <f>AND(#REF!,"AAAAADv+f4U=")</f>
        <v>#REF!</v>
      </c>
      <c r="EE33" t="e">
        <f>AND(#REF!,"AAAAADv+f4Y=")</f>
        <v>#REF!</v>
      </c>
      <c r="EF33" t="e">
        <f>AND(#REF!,"AAAAADv+f4c=")</f>
        <v>#REF!</v>
      </c>
      <c r="EG33" t="e">
        <f>AND(#REF!,"AAAAADv+f4g=")</f>
        <v>#REF!</v>
      </c>
      <c r="EH33" t="e">
        <f>AND(#REF!,"AAAAADv+f4k=")</f>
        <v>#REF!</v>
      </c>
      <c r="EI33" t="e">
        <f>AND(#REF!,"AAAAADv+f4o=")</f>
        <v>#REF!</v>
      </c>
      <c r="EJ33" t="e">
        <f>AND(#REF!,"AAAAADv+f4s=")</f>
        <v>#REF!</v>
      </c>
      <c r="EK33" t="e">
        <f>AND(#REF!,"AAAAADv+f4w=")</f>
        <v>#REF!</v>
      </c>
      <c r="EL33" t="e">
        <f>AND(#REF!,"AAAAADv+f40=")</f>
        <v>#REF!</v>
      </c>
      <c r="EM33" t="e">
        <f>AND(#REF!,"AAAAADv+f44=")</f>
        <v>#REF!</v>
      </c>
      <c r="EN33" t="e">
        <f>AND(#REF!,"AAAAADv+f48=")</f>
        <v>#REF!</v>
      </c>
      <c r="EO33" t="e">
        <f>AND(#REF!,"AAAAADv+f5A=")</f>
        <v>#REF!</v>
      </c>
      <c r="EP33" t="e">
        <f>AND(#REF!,"AAAAADv+f5E=")</f>
        <v>#REF!</v>
      </c>
      <c r="EQ33" t="e">
        <f>AND(#REF!,"AAAAADv+f5I=")</f>
        <v>#REF!</v>
      </c>
      <c r="ER33" t="e">
        <f>AND(#REF!,"AAAAADv+f5M=")</f>
        <v>#REF!</v>
      </c>
      <c r="ES33" t="e">
        <f>AND(#REF!,"AAAAADv+f5Q=")</f>
        <v>#REF!</v>
      </c>
      <c r="ET33" t="e">
        <f>AND(#REF!,"AAAAADv+f5U=")</f>
        <v>#REF!</v>
      </c>
      <c r="EU33" t="e">
        <f>AND(#REF!,"AAAAADv+f5Y=")</f>
        <v>#REF!</v>
      </c>
      <c r="EV33" t="e">
        <f>AND(#REF!,"AAAAADv+f5c=")</f>
        <v>#REF!</v>
      </c>
      <c r="EW33" t="e">
        <f>IF(#REF!,"AAAAADv+f5g=",0)</f>
        <v>#REF!</v>
      </c>
      <c r="EX33" t="e">
        <f>AND(#REF!,"AAAAADv+f5k=")</f>
        <v>#REF!</v>
      </c>
      <c r="EY33" t="e">
        <f>AND(#REF!,"AAAAADv+f5o=")</f>
        <v>#REF!</v>
      </c>
      <c r="EZ33" t="e">
        <f>AND(#REF!,"AAAAADv+f5s=")</f>
        <v>#REF!</v>
      </c>
      <c r="FA33" t="e">
        <f>AND(#REF!,"AAAAADv+f5w=")</f>
        <v>#REF!</v>
      </c>
      <c r="FB33" t="e">
        <f>AND(#REF!,"AAAAADv+f50=")</f>
        <v>#REF!</v>
      </c>
      <c r="FC33" t="e">
        <f>AND(#REF!,"AAAAADv+f54=")</f>
        <v>#REF!</v>
      </c>
      <c r="FD33" t="e">
        <f>AND(#REF!,"AAAAADv+f58=")</f>
        <v>#REF!</v>
      </c>
      <c r="FE33" t="e">
        <f>AND(#REF!,"AAAAADv+f6A=")</f>
        <v>#REF!</v>
      </c>
      <c r="FF33" t="e">
        <f>AND(#REF!,"AAAAADv+f6E=")</f>
        <v>#REF!</v>
      </c>
      <c r="FG33" t="e">
        <f>AND(#REF!,"AAAAADv+f6I=")</f>
        <v>#REF!</v>
      </c>
      <c r="FH33" t="e">
        <f>AND(#REF!,"AAAAADv+f6M=")</f>
        <v>#REF!</v>
      </c>
      <c r="FI33" t="e">
        <f>AND(#REF!,"AAAAADv+f6Q=")</f>
        <v>#REF!</v>
      </c>
      <c r="FJ33" t="e">
        <f>AND(#REF!,"AAAAADv+f6U=")</f>
        <v>#REF!</v>
      </c>
      <c r="FK33" t="e">
        <f>AND(#REF!,"AAAAADv+f6Y=")</f>
        <v>#REF!</v>
      </c>
      <c r="FL33" t="e">
        <f>AND(#REF!,"AAAAADv+f6c=")</f>
        <v>#REF!</v>
      </c>
      <c r="FM33" t="e">
        <f>AND(#REF!,"AAAAADv+f6g=")</f>
        <v>#REF!</v>
      </c>
      <c r="FN33" t="e">
        <f>AND(#REF!,"AAAAADv+f6k=")</f>
        <v>#REF!</v>
      </c>
      <c r="FO33" t="e">
        <f>AND(#REF!,"AAAAADv+f6o=")</f>
        <v>#REF!</v>
      </c>
      <c r="FP33" t="e">
        <f>AND(#REF!,"AAAAADv+f6s=")</f>
        <v>#REF!</v>
      </c>
      <c r="FQ33" t="e">
        <f>AND(#REF!,"AAAAADv+f6w=")</f>
        <v>#REF!</v>
      </c>
      <c r="FR33" t="e">
        <f>AND(#REF!,"AAAAADv+f60=")</f>
        <v>#REF!</v>
      </c>
      <c r="FS33" t="e">
        <f>AND(#REF!,"AAAAADv+f64=")</f>
        <v>#REF!</v>
      </c>
      <c r="FT33" t="e">
        <f>AND(#REF!,"AAAAADv+f68=")</f>
        <v>#REF!</v>
      </c>
      <c r="FU33" t="e">
        <f>AND(#REF!,"AAAAADv+f7A=")</f>
        <v>#REF!</v>
      </c>
      <c r="FV33" t="e">
        <f>AND(#REF!,"AAAAADv+f7E=")</f>
        <v>#REF!</v>
      </c>
      <c r="FW33" t="e">
        <f>AND(#REF!,"AAAAADv+f7I=")</f>
        <v>#REF!</v>
      </c>
      <c r="FX33" t="e">
        <f>AND(#REF!,"AAAAADv+f7M=")</f>
        <v>#REF!</v>
      </c>
      <c r="FY33" t="e">
        <f>AND(#REF!,"AAAAADv+f7Q=")</f>
        <v>#REF!</v>
      </c>
      <c r="FZ33" t="e">
        <f>AND(#REF!,"AAAAADv+f7U=")</f>
        <v>#REF!</v>
      </c>
      <c r="GA33" t="e">
        <f>AND(#REF!,"AAAAADv+f7Y=")</f>
        <v>#REF!</v>
      </c>
      <c r="GB33" t="e">
        <f>AND(#REF!,"AAAAADv+f7c=")</f>
        <v>#REF!</v>
      </c>
      <c r="GC33" t="e">
        <f>AND(#REF!,"AAAAADv+f7g=")</f>
        <v>#REF!</v>
      </c>
      <c r="GD33" t="e">
        <f>AND(#REF!,"AAAAADv+f7k=")</f>
        <v>#REF!</v>
      </c>
      <c r="GE33" t="e">
        <f>AND(#REF!,"AAAAADv+f7o=")</f>
        <v>#REF!</v>
      </c>
      <c r="GF33" t="e">
        <f>AND(#REF!,"AAAAADv+f7s=")</f>
        <v>#REF!</v>
      </c>
      <c r="GG33" t="e">
        <f>IF(#REF!,"AAAAADv+f7w=",0)</f>
        <v>#REF!</v>
      </c>
      <c r="GH33" t="e">
        <f>AND(#REF!,"AAAAADv+f70=")</f>
        <v>#REF!</v>
      </c>
      <c r="GI33" t="e">
        <f>AND(#REF!,"AAAAADv+f74=")</f>
        <v>#REF!</v>
      </c>
      <c r="GJ33" t="e">
        <f>AND(#REF!,"AAAAADv+f78=")</f>
        <v>#REF!</v>
      </c>
      <c r="GK33" t="e">
        <f>AND(#REF!,"AAAAADv+f8A=")</f>
        <v>#REF!</v>
      </c>
      <c r="GL33" t="e">
        <f>AND(#REF!,"AAAAADv+f8E=")</f>
        <v>#REF!</v>
      </c>
      <c r="GM33" t="e">
        <f>AND(#REF!,"AAAAADv+f8I=")</f>
        <v>#REF!</v>
      </c>
      <c r="GN33" t="e">
        <f>AND(#REF!,"AAAAADv+f8M=")</f>
        <v>#REF!</v>
      </c>
      <c r="GO33" t="e">
        <f>AND(#REF!,"AAAAADv+f8Q=")</f>
        <v>#REF!</v>
      </c>
      <c r="GP33" t="e">
        <f>AND(#REF!,"AAAAADv+f8U=")</f>
        <v>#REF!</v>
      </c>
      <c r="GQ33" t="e">
        <f>AND(#REF!,"AAAAADv+f8Y=")</f>
        <v>#REF!</v>
      </c>
      <c r="GR33" t="e">
        <f>AND(#REF!,"AAAAADv+f8c=")</f>
        <v>#REF!</v>
      </c>
      <c r="GS33" t="e">
        <f>AND(#REF!,"AAAAADv+f8g=")</f>
        <v>#REF!</v>
      </c>
      <c r="GT33" t="e">
        <f>AND(#REF!,"AAAAADv+f8k=")</f>
        <v>#REF!</v>
      </c>
      <c r="GU33" t="e">
        <f>AND(#REF!,"AAAAADv+f8o=")</f>
        <v>#REF!</v>
      </c>
      <c r="GV33" t="e">
        <f>AND(#REF!,"AAAAADv+f8s=")</f>
        <v>#REF!</v>
      </c>
      <c r="GW33" t="e">
        <f>AND(#REF!,"AAAAADv+f8w=")</f>
        <v>#REF!</v>
      </c>
      <c r="GX33" t="e">
        <f>AND(#REF!,"AAAAADv+f80=")</f>
        <v>#REF!</v>
      </c>
      <c r="GY33" t="e">
        <f>AND(#REF!,"AAAAADv+f84=")</f>
        <v>#REF!</v>
      </c>
      <c r="GZ33" t="e">
        <f>AND(#REF!,"AAAAADv+f88=")</f>
        <v>#REF!</v>
      </c>
      <c r="HA33" t="e">
        <f>AND(#REF!,"AAAAADv+f9A=")</f>
        <v>#REF!</v>
      </c>
      <c r="HB33" t="e">
        <f>AND(#REF!,"AAAAADv+f9E=")</f>
        <v>#REF!</v>
      </c>
      <c r="HC33" t="e">
        <f>AND(#REF!,"AAAAADv+f9I=")</f>
        <v>#REF!</v>
      </c>
      <c r="HD33" t="e">
        <f>AND(#REF!,"AAAAADv+f9M=")</f>
        <v>#REF!</v>
      </c>
      <c r="HE33" t="e">
        <f>AND(#REF!,"AAAAADv+f9Q=")</f>
        <v>#REF!</v>
      </c>
      <c r="HF33" t="e">
        <f>AND(#REF!,"AAAAADv+f9U=")</f>
        <v>#REF!</v>
      </c>
      <c r="HG33" t="e">
        <f>AND(#REF!,"AAAAADv+f9Y=")</f>
        <v>#REF!</v>
      </c>
      <c r="HH33" t="e">
        <f>AND(#REF!,"AAAAADv+f9c=")</f>
        <v>#REF!</v>
      </c>
      <c r="HI33" t="e">
        <f>AND(#REF!,"AAAAADv+f9g=")</f>
        <v>#REF!</v>
      </c>
      <c r="HJ33" t="e">
        <f>AND(#REF!,"AAAAADv+f9k=")</f>
        <v>#REF!</v>
      </c>
      <c r="HK33" t="e">
        <f>AND(#REF!,"AAAAADv+f9o=")</f>
        <v>#REF!</v>
      </c>
      <c r="HL33" t="e">
        <f>AND(#REF!,"AAAAADv+f9s=")</f>
        <v>#REF!</v>
      </c>
      <c r="HM33" t="e">
        <f>AND(#REF!,"AAAAADv+f9w=")</f>
        <v>#REF!</v>
      </c>
      <c r="HN33" t="e">
        <f>AND(#REF!,"AAAAADv+f90=")</f>
        <v>#REF!</v>
      </c>
      <c r="HO33" t="e">
        <f>AND(#REF!,"AAAAADv+f94=")</f>
        <v>#REF!</v>
      </c>
      <c r="HP33" t="e">
        <f>AND(#REF!,"AAAAADv+f98=")</f>
        <v>#REF!</v>
      </c>
      <c r="HQ33" t="e">
        <f>IF(#REF!,"AAAAADv+f+A=",0)</f>
        <v>#REF!</v>
      </c>
      <c r="HR33" t="e">
        <f>AND(#REF!,"AAAAADv+f+E=")</f>
        <v>#REF!</v>
      </c>
      <c r="HS33" t="e">
        <f>AND(#REF!,"AAAAADv+f+I=")</f>
        <v>#REF!</v>
      </c>
      <c r="HT33" t="e">
        <f>AND(#REF!,"AAAAADv+f+M=")</f>
        <v>#REF!</v>
      </c>
      <c r="HU33" t="e">
        <f>AND(#REF!,"AAAAADv+f+Q=")</f>
        <v>#REF!</v>
      </c>
      <c r="HV33" t="e">
        <f>AND(#REF!,"AAAAADv+f+U=")</f>
        <v>#REF!</v>
      </c>
      <c r="HW33" t="e">
        <f>AND(#REF!,"AAAAADv+f+Y=")</f>
        <v>#REF!</v>
      </c>
      <c r="HX33" t="e">
        <f>AND(#REF!,"AAAAADv+f+c=")</f>
        <v>#REF!</v>
      </c>
      <c r="HY33" t="e">
        <f>AND(#REF!,"AAAAADv+f+g=")</f>
        <v>#REF!</v>
      </c>
      <c r="HZ33" t="e">
        <f>AND(#REF!,"AAAAADv+f+k=")</f>
        <v>#REF!</v>
      </c>
      <c r="IA33" t="e">
        <f>AND(#REF!,"AAAAADv+f+o=")</f>
        <v>#REF!</v>
      </c>
      <c r="IB33" t="e">
        <f>AND(#REF!,"AAAAADv+f+s=")</f>
        <v>#REF!</v>
      </c>
      <c r="IC33" t="e">
        <f>AND(#REF!,"AAAAADv+f+w=")</f>
        <v>#REF!</v>
      </c>
      <c r="ID33" t="e">
        <f>AND(#REF!,"AAAAADv+f+0=")</f>
        <v>#REF!</v>
      </c>
      <c r="IE33" t="e">
        <f>AND(#REF!,"AAAAADv+f+4=")</f>
        <v>#REF!</v>
      </c>
      <c r="IF33" t="e">
        <f>AND(#REF!,"AAAAADv+f+8=")</f>
        <v>#REF!</v>
      </c>
      <c r="IG33" t="e">
        <f>AND(#REF!,"AAAAADv+f/A=")</f>
        <v>#REF!</v>
      </c>
      <c r="IH33" t="e">
        <f>AND(#REF!,"AAAAADv+f/E=")</f>
        <v>#REF!</v>
      </c>
      <c r="II33" t="e">
        <f>AND(#REF!,"AAAAADv+f/I=")</f>
        <v>#REF!</v>
      </c>
      <c r="IJ33" t="e">
        <f>AND(#REF!,"AAAAADv+f/M=")</f>
        <v>#REF!</v>
      </c>
      <c r="IK33" t="e">
        <f>AND(#REF!,"AAAAADv+f/Q=")</f>
        <v>#REF!</v>
      </c>
      <c r="IL33" t="e">
        <f>AND(#REF!,"AAAAADv+f/U=")</f>
        <v>#REF!</v>
      </c>
      <c r="IM33" t="e">
        <f>AND(#REF!,"AAAAADv+f/Y=")</f>
        <v>#REF!</v>
      </c>
      <c r="IN33" t="e">
        <f>AND(#REF!,"AAAAADv+f/c=")</f>
        <v>#REF!</v>
      </c>
      <c r="IO33" t="e">
        <f>AND(#REF!,"AAAAADv+f/g=")</f>
        <v>#REF!</v>
      </c>
      <c r="IP33" t="e">
        <f>AND(#REF!,"AAAAADv+f/k=")</f>
        <v>#REF!</v>
      </c>
      <c r="IQ33" t="e">
        <f>AND(#REF!,"AAAAADv+f/o=")</f>
        <v>#REF!</v>
      </c>
      <c r="IR33" t="e">
        <f>AND(#REF!,"AAAAADv+f/s=")</f>
        <v>#REF!</v>
      </c>
      <c r="IS33" t="e">
        <f>AND(#REF!,"AAAAADv+f/w=")</f>
        <v>#REF!</v>
      </c>
      <c r="IT33" t="e">
        <f>AND(#REF!,"AAAAADv+f/0=")</f>
        <v>#REF!</v>
      </c>
      <c r="IU33" t="e">
        <f>AND(#REF!,"AAAAADv+f/4=")</f>
        <v>#REF!</v>
      </c>
      <c r="IV33" t="e">
        <f>AND(#REF!,"AAAAADv+f/8=")</f>
        <v>#REF!</v>
      </c>
    </row>
    <row r="34" spans="1:256">
      <c r="A34" t="e">
        <f>AND(#REF!,"AAAAAFWHfwA=")</f>
        <v>#REF!</v>
      </c>
      <c r="B34" t="e">
        <f>AND(#REF!,"AAAAAFWHfwE=")</f>
        <v>#REF!</v>
      </c>
      <c r="C34" t="e">
        <f>AND(#REF!,"AAAAAFWHfwI=")</f>
        <v>#REF!</v>
      </c>
      <c r="D34" t="e">
        <f>AND(#REF!,"AAAAAFWHfwM=")</f>
        <v>#REF!</v>
      </c>
      <c r="E34" t="e">
        <f>IF(#REF!,"AAAAAFWHfwQ=",0)</f>
        <v>#REF!</v>
      </c>
      <c r="F34" t="e">
        <f>AND(#REF!,"AAAAAFWHfwU=")</f>
        <v>#REF!</v>
      </c>
      <c r="G34" t="e">
        <f>AND(#REF!,"AAAAAFWHfwY=")</f>
        <v>#REF!</v>
      </c>
      <c r="H34" t="e">
        <f>AND(#REF!,"AAAAAFWHfwc=")</f>
        <v>#REF!</v>
      </c>
      <c r="I34" t="e">
        <f>AND(#REF!,"AAAAAFWHfwg=")</f>
        <v>#REF!</v>
      </c>
      <c r="J34" t="e">
        <f>AND(#REF!,"AAAAAFWHfwk=")</f>
        <v>#REF!</v>
      </c>
      <c r="K34" t="e">
        <f>AND(#REF!,"AAAAAFWHfwo=")</f>
        <v>#REF!</v>
      </c>
      <c r="L34" t="e">
        <f>AND(#REF!,"AAAAAFWHfws=")</f>
        <v>#REF!</v>
      </c>
      <c r="M34" t="e">
        <f>AND(#REF!,"AAAAAFWHfww=")</f>
        <v>#REF!</v>
      </c>
      <c r="N34" t="e">
        <f>AND(#REF!,"AAAAAFWHfw0=")</f>
        <v>#REF!</v>
      </c>
      <c r="O34" t="e">
        <f>AND(#REF!,"AAAAAFWHfw4=")</f>
        <v>#REF!</v>
      </c>
      <c r="P34" t="e">
        <f>AND(#REF!,"AAAAAFWHfw8=")</f>
        <v>#REF!</v>
      </c>
      <c r="Q34" t="e">
        <f>AND(#REF!,"AAAAAFWHfxA=")</f>
        <v>#REF!</v>
      </c>
      <c r="R34" t="e">
        <f>AND(#REF!,"AAAAAFWHfxE=")</f>
        <v>#REF!</v>
      </c>
      <c r="S34" t="e">
        <f>AND(#REF!,"AAAAAFWHfxI=")</f>
        <v>#REF!</v>
      </c>
      <c r="T34" t="e">
        <f>AND(#REF!,"AAAAAFWHfxM=")</f>
        <v>#REF!</v>
      </c>
      <c r="U34" t="e">
        <f>AND(#REF!,"AAAAAFWHfxQ=")</f>
        <v>#REF!</v>
      </c>
      <c r="V34" t="e">
        <f>AND(#REF!,"AAAAAFWHfxU=")</f>
        <v>#REF!</v>
      </c>
      <c r="W34" t="e">
        <f>AND(#REF!,"AAAAAFWHfxY=")</f>
        <v>#REF!</v>
      </c>
      <c r="X34" t="e">
        <f>AND(#REF!,"AAAAAFWHfxc=")</f>
        <v>#REF!</v>
      </c>
      <c r="Y34" t="e">
        <f>AND(#REF!,"AAAAAFWHfxg=")</f>
        <v>#REF!</v>
      </c>
      <c r="Z34" t="e">
        <f>AND(#REF!,"AAAAAFWHfxk=")</f>
        <v>#REF!</v>
      </c>
      <c r="AA34" t="e">
        <f>AND(#REF!,"AAAAAFWHfxo=")</f>
        <v>#REF!</v>
      </c>
      <c r="AB34" t="e">
        <f>AND(#REF!,"AAAAAFWHfxs=")</f>
        <v>#REF!</v>
      </c>
      <c r="AC34" t="e">
        <f>AND(#REF!,"AAAAAFWHfxw=")</f>
        <v>#REF!</v>
      </c>
      <c r="AD34" t="e">
        <f>AND(#REF!,"AAAAAFWHfx0=")</f>
        <v>#REF!</v>
      </c>
      <c r="AE34" t="e">
        <f>AND(#REF!,"AAAAAFWHfx4=")</f>
        <v>#REF!</v>
      </c>
      <c r="AF34" t="e">
        <f>AND(#REF!,"AAAAAFWHfx8=")</f>
        <v>#REF!</v>
      </c>
      <c r="AG34" t="e">
        <f>AND(#REF!,"AAAAAFWHfyA=")</f>
        <v>#REF!</v>
      </c>
      <c r="AH34" t="e">
        <f>AND(#REF!,"AAAAAFWHfyE=")</f>
        <v>#REF!</v>
      </c>
      <c r="AI34" t="e">
        <f>AND(#REF!,"AAAAAFWHfyI=")</f>
        <v>#REF!</v>
      </c>
      <c r="AJ34" t="e">
        <f>AND(#REF!,"AAAAAFWHfyM=")</f>
        <v>#REF!</v>
      </c>
      <c r="AK34" t="e">
        <f>AND(#REF!,"AAAAAFWHfyQ=")</f>
        <v>#REF!</v>
      </c>
      <c r="AL34" t="e">
        <f>AND(#REF!,"AAAAAFWHfyU=")</f>
        <v>#REF!</v>
      </c>
      <c r="AM34" t="e">
        <f>AND(#REF!,"AAAAAFWHfyY=")</f>
        <v>#REF!</v>
      </c>
      <c r="AN34" t="e">
        <f>AND(#REF!,"AAAAAFWHfyc=")</f>
        <v>#REF!</v>
      </c>
      <c r="AO34" t="e">
        <f>IF(#REF!,"AAAAAFWHfyg=",0)</f>
        <v>#REF!</v>
      </c>
      <c r="AP34" t="e">
        <f>AND(#REF!,"AAAAAFWHfyk=")</f>
        <v>#REF!</v>
      </c>
      <c r="AQ34" t="e">
        <f>AND(#REF!,"AAAAAFWHfyo=")</f>
        <v>#REF!</v>
      </c>
      <c r="AR34" t="e">
        <f>AND(#REF!,"AAAAAFWHfys=")</f>
        <v>#REF!</v>
      </c>
      <c r="AS34" t="e">
        <f>AND(#REF!,"AAAAAFWHfyw=")</f>
        <v>#REF!</v>
      </c>
      <c r="AT34" t="e">
        <f>AND(#REF!,"AAAAAFWHfy0=")</f>
        <v>#REF!</v>
      </c>
      <c r="AU34" t="e">
        <f>AND(#REF!,"AAAAAFWHfy4=")</f>
        <v>#REF!</v>
      </c>
      <c r="AV34" t="e">
        <f>AND(#REF!,"AAAAAFWHfy8=")</f>
        <v>#REF!</v>
      </c>
      <c r="AW34" t="e">
        <f>AND(#REF!,"AAAAAFWHfzA=")</f>
        <v>#REF!</v>
      </c>
      <c r="AX34" t="e">
        <f>AND(#REF!,"AAAAAFWHfzE=")</f>
        <v>#REF!</v>
      </c>
      <c r="AY34" t="e">
        <f>AND(#REF!,"AAAAAFWHfzI=")</f>
        <v>#REF!</v>
      </c>
      <c r="AZ34" t="e">
        <f>AND(#REF!,"AAAAAFWHfzM=")</f>
        <v>#REF!</v>
      </c>
      <c r="BA34" t="e">
        <f>AND(#REF!,"AAAAAFWHfzQ=")</f>
        <v>#REF!</v>
      </c>
      <c r="BB34" t="e">
        <f>AND(#REF!,"AAAAAFWHfzU=")</f>
        <v>#REF!</v>
      </c>
      <c r="BC34" t="e">
        <f>AND(#REF!,"AAAAAFWHfzY=")</f>
        <v>#REF!</v>
      </c>
      <c r="BD34" t="e">
        <f>AND(#REF!,"AAAAAFWHfzc=")</f>
        <v>#REF!</v>
      </c>
      <c r="BE34" t="e">
        <f>AND(#REF!,"AAAAAFWHfzg=")</f>
        <v>#REF!</v>
      </c>
      <c r="BF34" t="e">
        <f>AND(#REF!,"AAAAAFWHfzk=")</f>
        <v>#REF!</v>
      </c>
      <c r="BG34" t="e">
        <f>AND(#REF!,"AAAAAFWHfzo=")</f>
        <v>#REF!</v>
      </c>
      <c r="BH34" t="e">
        <f>AND(#REF!,"AAAAAFWHfzs=")</f>
        <v>#REF!</v>
      </c>
      <c r="BI34" t="e">
        <f>AND(#REF!,"AAAAAFWHfzw=")</f>
        <v>#REF!</v>
      </c>
      <c r="BJ34" t="e">
        <f>AND(#REF!,"AAAAAFWHfz0=")</f>
        <v>#REF!</v>
      </c>
      <c r="BK34" t="e">
        <f>AND(#REF!,"AAAAAFWHfz4=")</f>
        <v>#REF!</v>
      </c>
      <c r="BL34" t="e">
        <f>AND(#REF!,"AAAAAFWHfz8=")</f>
        <v>#REF!</v>
      </c>
      <c r="BM34" t="e">
        <f>AND(#REF!,"AAAAAFWHf0A=")</f>
        <v>#REF!</v>
      </c>
      <c r="BN34" t="e">
        <f>AND(#REF!,"AAAAAFWHf0E=")</f>
        <v>#REF!</v>
      </c>
      <c r="BO34" t="e">
        <f>AND(#REF!,"AAAAAFWHf0I=")</f>
        <v>#REF!</v>
      </c>
      <c r="BP34" t="e">
        <f>AND(#REF!,"AAAAAFWHf0M=")</f>
        <v>#REF!</v>
      </c>
      <c r="BQ34" t="e">
        <f>AND(#REF!,"AAAAAFWHf0Q=")</f>
        <v>#REF!</v>
      </c>
      <c r="BR34" t="e">
        <f>AND(#REF!,"AAAAAFWHf0U=")</f>
        <v>#REF!</v>
      </c>
      <c r="BS34" t="e">
        <f>AND(#REF!,"AAAAAFWHf0Y=")</f>
        <v>#REF!</v>
      </c>
      <c r="BT34" t="e">
        <f>AND(#REF!,"AAAAAFWHf0c=")</f>
        <v>#REF!</v>
      </c>
      <c r="BU34" t="e">
        <f>AND(#REF!,"AAAAAFWHf0g=")</f>
        <v>#REF!</v>
      </c>
      <c r="BV34" t="e">
        <f>AND(#REF!,"AAAAAFWHf0k=")</f>
        <v>#REF!</v>
      </c>
      <c r="BW34" t="e">
        <f>AND(#REF!,"AAAAAFWHf0o=")</f>
        <v>#REF!</v>
      </c>
      <c r="BX34" t="e">
        <f>AND(#REF!,"AAAAAFWHf0s=")</f>
        <v>#REF!</v>
      </c>
      <c r="BY34" t="e">
        <f>IF(#REF!,"AAAAAFWHf0w=",0)</f>
        <v>#REF!</v>
      </c>
      <c r="BZ34" t="e">
        <f>AND(#REF!,"AAAAAFWHf00=")</f>
        <v>#REF!</v>
      </c>
      <c r="CA34" t="e">
        <f>AND(#REF!,"AAAAAFWHf04=")</f>
        <v>#REF!</v>
      </c>
      <c r="CB34" t="e">
        <f>AND(#REF!,"AAAAAFWHf08=")</f>
        <v>#REF!</v>
      </c>
      <c r="CC34" t="e">
        <f>AND(#REF!,"AAAAAFWHf1A=")</f>
        <v>#REF!</v>
      </c>
      <c r="CD34" t="e">
        <f>AND(#REF!,"AAAAAFWHf1E=")</f>
        <v>#REF!</v>
      </c>
      <c r="CE34" t="e">
        <f>AND(#REF!,"AAAAAFWHf1I=")</f>
        <v>#REF!</v>
      </c>
      <c r="CF34" t="e">
        <f>AND(#REF!,"AAAAAFWHf1M=")</f>
        <v>#REF!</v>
      </c>
      <c r="CG34" t="e">
        <f>AND(#REF!,"AAAAAFWHf1Q=")</f>
        <v>#REF!</v>
      </c>
      <c r="CH34" t="e">
        <f>AND(#REF!,"AAAAAFWHf1U=")</f>
        <v>#REF!</v>
      </c>
      <c r="CI34" t="e">
        <f>AND(#REF!,"AAAAAFWHf1Y=")</f>
        <v>#REF!</v>
      </c>
      <c r="CJ34" t="e">
        <f>AND(#REF!,"AAAAAFWHf1c=")</f>
        <v>#REF!</v>
      </c>
      <c r="CK34" t="e">
        <f>AND(#REF!,"AAAAAFWHf1g=")</f>
        <v>#REF!</v>
      </c>
      <c r="CL34" t="e">
        <f>AND(#REF!,"AAAAAFWHf1k=")</f>
        <v>#REF!</v>
      </c>
      <c r="CM34" t="e">
        <f>AND(#REF!,"AAAAAFWHf1o=")</f>
        <v>#REF!</v>
      </c>
      <c r="CN34" t="e">
        <f>AND(#REF!,"AAAAAFWHf1s=")</f>
        <v>#REF!</v>
      </c>
      <c r="CO34" t="e">
        <f>AND(#REF!,"AAAAAFWHf1w=")</f>
        <v>#REF!</v>
      </c>
      <c r="CP34" t="e">
        <f>AND(#REF!,"AAAAAFWHf10=")</f>
        <v>#REF!</v>
      </c>
      <c r="CQ34" t="e">
        <f>AND(#REF!,"AAAAAFWHf14=")</f>
        <v>#REF!</v>
      </c>
      <c r="CR34" t="e">
        <f>AND(#REF!,"AAAAAFWHf18=")</f>
        <v>#REF!</v>
      </c>
      <c r="CS34" t="e">
        <f>AND(#REF!,"AAAAAFWHf2A=")</f>
        <v>#REF!</v>
      </c>
      <c r="CT34" t="e">
        <f>AND(#REF!,"AAAAAFWHf2E=")</f>
        <v>#REF!</v>
      </c>
      <c r="CU34" t="e">
        <f>AND(#REF!,"AAAAAFWHf2I=")</f>
        <v>#REF!</v>
      </c>
      <c r="CV34" t="e">
        <f>AND(#REF!,"AAAAAFWHf2M=")</f>
        <v>#REF!</v>
      </c>
      <c r="CW34" t="e">
        <f>AND(#REF!,"AAAAAFWHf2Q=")</f>
        <v>#REF!</v>
      </c>
      <c r="CX34" t="e">
        <f>AND(#REF!,"AAAAAFWHf2U=")</f>
        <v>#REF!</v>
      </c>
      <c r="CY34" t="e">
        <f>AND(#REF!,"AAAAAFWHf2Y=")</f>
        <v>#REF!</v>
      </c>
      <c r="CZ34" t="e">
        <f>AND(#REF!,"AAAAAFWHf2c=")</f>
        <v>#REF!</v>
      </c>
      <c r="DA34" t="e">
        <f>AND(#REF!,"AAAAAFWHf2g=")</f>
        <v>#REF!</v>
      </c>
      <c r="DB34" t="e">
        <f>AND(#REF!,"AAAAAFWHf2k=")</f>
        <v>#REF!</v>
      </c>
      <c r="DC34" t="e">
        <f>AND(#REF!,"AAAAAFWHf2o=")</f>
        <v>#REF!</v>
      </c>
      <c r="DD34" t="e">
        <f>AND(#REF!,"AAAAAFWHf2s=")</f>
        <v>#REF!</v>
      </c>
      <c r="DE34" t="e">
        <f>AND(#REF!,"AAAAAFWHf2w=")</f>
        <v>#REF!</v>
      </c>
      <c r="DF34" t="e">
        <f>AND(#REF!,"AAAAAFWHf20=")</f>
        <v>#REF!</v>
      </c>
      <c r="DG34" t="e">
        <f>AND(#REF!,"AAAAAFWHf24=")</f>
        <v>#REF!</v>
      </c>
      <c r="DH34" t="e">
        <f>AND(#REF!,"AAAAAFWHf28=")</f>
        <v>#REF!</v>
      </c>
      <c r="DI34" t="e">
        <f>IF(#REF!,"AAAAAFWHf3A=",0)</f>
        <v>#REF!</v>
      </c>
      <c r="DJ34" t="e">
        <f>AND(#REF!,"AAAAAFWHf3E=")</f>
        <v>#REF!</v>
      </c>
      <c r="DK34" t="e">
        <f>AND(#REF!,"AAAAAFWHf3I=")</f>
        <v>#REF!</v>
      </c>
      <c r="DL34" t="e">
        <f>AND(#REF!,"AAAAAFWHf3M=")</f>
        <v>#REF!</v>
      </c>
      <c r="DM34" t="e">
        <f>AND(#REF!,"AAAAAFWHf3Q=")</f>
        <v>#REF!</v>
      </c>
      <c r="DN34" t="e">
        <f>AND(#REF!,"AAAAAFWHf3U=")</f>
        <v>#REF!</v>
      </c>
      <c r="DO34" t="e">
        <f>AND(#REF!,"AAAAAFWHf3Y=")</f>
        <v>#REF!</v>
      </c>
      <c r="DP34" t="e">
        <f>AND(#REF!,"AAAAAFWHf3c=")</f>
        <v>#REF!</v>
      </c>
      <c r="DQ34" t="e">
        <f>AND(#REF!,"AAAAAFWHf3g=")</f>
        <v>#REF!</v>
      </c>
      <c r="DR34" t="e">
        <f>AND(#REF!,"AAAAAFWHf3k=")</f>
        <v>#REF!</v>
      </c>
      <c r="DS34" t="e">
        <f>AND(#REF!,"AAAAAFWHf3o=")</f>
        <v>#REF!</v>
      </c>
      <c r="DT34" t="e">
        <f>AND(#REF!,"AAAAAFWHf3s=")</f>
        <v>#REF!</v>
      </c>
      <c r="DU34" t="e">
        <f>AND(#REF!,"AAAAAFWHf3w=")</f>
        <v>#REF!</v>
      </c>
      <c r="DV34" t="e">
        <f>AND(#REF!,"AAAAAFWHf30=")</f>
        <v>#REF!</v>
      </c>
      <c r="DW34" t="e">
        <f>AND(#REF!,"AAAAAFWHf34=")</f>
        <v>#REF!</v>
      </c>
      <c r="DX34" t="e">
        <f>AND(#REF!,"AAAAAFWHf38=")</f>
        <v>#REF!</v>
      </c>
      <c r="DY34" t="e">
        <f>AND(#REF!,"AAAAAFWHf4A=")</f>
        <v>#REF!</v>
      </c>
      <c r="DZ34" t="e">
        <f>AND(#REF!,"AAAAAFWHf4E=")</f>
        <v>#REF!</v>
      </c>
      <c r="EA34" t="e">
        <f>AND(#REF!,"AAAAAFWHf4I=")</f>
        <v>#REF!</v>
      </c>
      <c r="EB34" t="e">
        <f>AND(#REF!,"AAAAAFWHf4M=")</f>
        <v>#REF!</v>
      </c>
      <c r="EC34" t="e">
        <f>AND(#REF!,"AAAAAFWHf4Q=")</f>
        <v>#REF!</v>
      </c>
      <c r="ED34" t="e">
        <f>AND(#REF!,"AAAAAFWHf4U=")</f>
        <v>#REF!</v>
      </c>
      <c r="EE34" t="e">
        <f>AND(#REF!,"AAAAAFWHf4Y=")</f>
        <v>#REF!</v>
      </c>
      <c r="EF34" t="e">
        <f>AND(#REF!,"AAAAAFWHf4c=")</f>
        <v>#REF!</v>
      </c>
      <c r="EG34" t="e">
        <f>AND(#REF!,"AAAAAFWHf4g=")</f>
        <v>#REF!</v>
      </c>
      <c r="EH34" t="e">
        <f>AND(#REF!,"AAAAAFWHf4k=")</f>
        <v>#REF!</v>
      </c>
      <c r="EI34" t="e">
        <f>AND(#REF!,"AAAAAFWHf4o=")</f>
        <v>#REF!</v>
      </c>
      <c r="EJ34" t="e">
        <f>AND(#REF!,"AAAAAFWHf4s=")</f>
        <v>#REF!</v>
      </c>
      <c r="EK34" t="e">
        <f>AND(#REF!,"AAAAAFWHf4w=")</f>
        <v>#REF!</v>
      </c>
      <c r="EL34" t="e">
        <f>AND(#REF!,"AAAAAFWHf40=")</f>
        <v>#REF!</v>
      </c>
      <c r="EM34" t="e">
        <f>AND(#REF!,"AAAAAFWHf44=")</f>
        <v>#REF!</v>
      </c>
      <c r="EN34" t="e">
        <f>AND(#REF!,"AAAAAFWHf48=")</f>
        <v>#REF!</v>
      </c>
      <c r="EO34" t="e">
        <f>AND(#REF!,"AAAAAFWHf5A=")</f>
        <v>#REF!</v>
      </c>
      <c r="EP34" t="e">
        <f>AND(#REF!,"AAAAAFWHf5E=")</f>
        <v>#REF!</v>
      </c>
      <c r="EQ34" t="e">
        <f>AND(#REF!,"AAAAAFWHf5I=")</f>
        <v>#REF!</v>
      </c>
      <c r="ER34" t="e">
        <f>AND(#REF!,"AAAAAFWHf5M=")</f>
        <v>#REF!</v>
      </c>
      <c r="ES34" t="e">
        <f>IF(#REF!,"AAAAAFWHf5Q=",0)</f>
        <v>#REF!</v>
      </c>
      <c r="ET34" t="e">
        <f>AND(#REF!,"AAAAAFWHf5U=")</f>
        <v>#REF!</v>
      </c>
      <c r="EU34" t="e">
        <f>AND(#REF!,"AAAAAFWHf5Y=")</f>
        <v>#REF!</v>
      </c>
      <c r="EV34" t="e">
        <f>AND(#REF!,"AAAAAFWHf5c=")</f>
        <v>#REF!</v>
      </c>
      <c r="EW34" t="e">
        <f>AND(#REF!,"AAAAAFWHf5g=")</f>
        <v>#REF!</v>
      </c>
      <c r="EX34" t="e">
        <f>AND(#REF!,"AAAAAFWHf5k=")</f>
        <v>#REF!</v>
      </c>
      <c r="EY34" t="e">
        <f>AND(#REF!,"AAAAAFWHf5o=")</f>
        <v>#REF!</v>
      </c>
      <c r="EZ34" t="e">
        <f>AND(#REF!,"AAAAAFWHf5s=")</f>
        <v>#REF!</v>
      </c>
      <c r="FA34" t="e">
        <f>AND(#REF!,"AAAAAFWHf5w=")</f>
        <v>#REF!</v>
      </c>
      <c r="FB34" t="e">
        <f>AND(#REF!,"AAAAAFWHf50=")</f>
        <v>#REF!</v>
      </c>
      <c r="FC34" t="e">
        <f>AND(#REF!,"AAAAAFWHf54=")</f>
        <v>#REF!</v>
      </c>
      <c r="FD34" t="e">
        <f>AND(#REF!,"AAAAAFWHf58=")</f>
        <v>#REF!</v>
      </c>
      <c r="FE34" t="e">
        <f>AND(#REF!,"AAAAAFWHf6A=")</f>
        <v>#REF!</v>
      </c>
      <c r="FF34" t="e">
        <f>AND(#REF!,"AAAAAFWHf6E=")</f>
        <v>#REF!</v>
      </c>
      <c r="FG34" t="e">
        <f>AND(#REF!,"AAAAAFWHf6I=")</f>
        <v>#REF!</v>
      </c>
      <c r="FH34" t="e">
        <f>AND(#REF!,"AAAAAFWHf6M=")</f>
        <v>#REF!</v>
      </c>
      <c r="FI34" t="e">
        <f>AND(#REF!,"AAAAAFWHf6Q=")</f>
        <v>#REF!</v>
      </c>
      <c r="FJ34" t="e">
        <f>AND(#REF!,"AAAAAFWHf6U=")</f>
        <v>#REF!</v>
      </c>
      <c r="FK34" t="e">
        <f>AND(#REF!,"AAAAAFWHf6Y=")</f>
        <v>#REF!</v>
      </c>
      <c r="FL34" t="e">
        <f>AND(#REF!,"AAAAAFWHf6c=")</f>
        <v>#REF!</v>
      </c>
      <c r="FM34" t="e">
        <f>AND(#REF!,"AAAAAFWHf6g=")</f>
        <v>#REF!</v>
      </c>
      <c r="FN34" t="e">
        <f>AND(#REF!,"AAAAAFWHf6k=")</f>
        <v>#REF!</v>
      </c>
      <c r="FO34" t="e">
        <f>AND(#REF!,"AAAAAFWHf6o=")</f>
        <v>#REF!</v>
      </c>
      <c r="FP34" t="e">
        <f>AND(#REF!,"AAAAAFWHf6s=")</f>
        <v>#REF!</v>
      </c>
      <c r="FQ34" t="e">
        <f>AND(#REF!,"AAAAAFWHf6w=")</f>
        <v>#REF!</v>
      </c>
      <c r="FR34" t="e">
        <f>AND(#REF!,"AAAAAFWHf60=")</f>
        <v>#REF!</v>
      </c>
      <c r="FS34" t="e">
        <f>AND(#REF!,"AAAAAFWHf64=")</f>
        <v>#REF!</v>
      </c>
      <c r="FT34" t="e">
        <f>AND(#REF!,"AAAAAFWHf68=")</f>
        <v>#REF!</v>
      </c>
      <c r="FU34" t="e">
        <f>AND(#REF!,"AAAAAFWHf7A=")</f>
        <v>#REF!</v>
      </c>
      <c r="FV34" t="e">
        <f>AND(#REF!,"AAAAAFWHf7E=")</f>
        <v>#REF!</v>
      </c>
      <c r="FW34" t="e">
        <f>AND(#REF!,"AAAAAFWHf7I=")</f>
        <v>#REF!</v>
      </c>
      <c r="FX34" t="e">
        <f>AND(#REF!,"AAAAAFWHf7M=")</f>
        <v>#REF!</v>
      </c>
      <c r="FY34" t="e">
        <f>AND(#REF!,"AAAAAFWHf7Q=")</f>
        <v>#REF!</v>
      </c>
      <c r="FZ34" t="e">
        <f>AND(#REF!,"AAAAAFWHf7U=")</f>
        <v>#REF!</v>
      </c>
      <c r="GA34" t="e">
        <f>AND(#REF!,"AAAAAFWHf7Y=")</f>
        <v>#REF!</v>
      </c>
      <c r="GB34" t="e">
        <f>AND(#REF!,"AAAAAFWHf7c=")</f>
        <v>#REF!</v>
      </c>
      <c r="GC34" t="e">
        <f>IF(#REF!,"AAAAAFWHf7g=",0)</f>
        <v>#REF!</v>
      </c>
      <c r="GD34" t="e">
        <f>AND(#REF!,"AAAAAFWHf7k=")</f>
        <v>#REF!</v>
      </c>
      <c r="GE34" t="e">
        <f>AND(#REF!,"AAAAAFWHf7o=")</f>
        <v>#REF!</v>
      </c>
      <c r="GF34" t="e">
        <f>AND(#REF!,"AAAAAFWHf7s=")</f>
        <v>#REF!</v>
      </c>
      <c r="GG34" t="e">
        <f>AND(#REF!,"AAAAAFWHf7w=")</f>
        <v>#REF!</v>
      </c>
      <c r="GH34" t="e">
        <f>AND(#REF!,"AAAAAFWHf70=")</f>
        <v>#REF!</v>
      </c>
      <c r="GI34" t="e">
        <f>AND(#REF!,"AAAAAFWHf74=")</f>
        <v>#REF!</v>
      </c>
      <c r="GJ34" t="e">
        <f>AND(#REF!,"AAAAAFWHf78=")</f>
        <v>#REF!</v>
      </c>
      <c r="GK34" t="e">
        <f>AND(#REF!,"AAAAAFWHf8A=")</f>
        <v>#REF!</v>
      </c>
      <c r="GL34" t="e">
        <f>AND(#REF!,"AAAAAFWHf8E=")</f>
        <v>#REF!</v>
      </c>
      <c r="GM34" t="e">
        <f>AND(#REF!,"AAAAAFWHf8I=")</f>
        <v>#REF!</v>
      </c>
      <c r="GN34" t="e">
        <f>AND(#REF!,"AAAAAFWHf8M=")</f>
        <v>#REF!</v>
      </c>
      <c r="GO34" t="e">
        <f>AND(#REF!,"AAAAAFWHf8Q=")</f>
        <v>#REF!</v>
      </c>
      <c r="GP34" t="e">
        <f>AND(#REF!,"AAAAAFWHf8U=")</f>
        <v>#REF!</v>
      </c>
      <c r="GQ34" t="e">
        <f>AND(#REF!,"AAAAAFWHf8Y=")</f>
        <v>#REF!</v>
      </c>
      <c r="GR34" t="e">
        <f>AND(#REF!,"AAAAAFWHf8c=")</f>
        <v>#REF!</v>
      </c>
      <c r="GS34" t="e">
        <f>AND(#REF!,"AAAAAFWHf8g=")</f>
        <v>#REF!</v>
      </c>
      <c r="GT34" t="e">
        <f>AND(#REF!,"AAAAAFWHf8k=")</f>
        <v>#REF!</v>
      </c>
      <c r="GU34" t="e">
        <f>AND(#REF!,"AAAAAFWHf8o=")</f>
        <v>#REF!</v>
      </c>
      <c r="GV34" t="e">
        <f>AND(#REF!,"AAAAAFWHf8s=")</f>
        <v>#REF!</v>
      </c>
      <c r="GW34" t="e">
        <f>AND(#REF!,"AAAAAFWHf8w=")</f>
        <v>#REF!</v>
      </c>
      <c r="GX34" t="e">
        <f>AND(#REF!,"AAAAAFWHf80=")</f>
        <v>#REF!</v>
      </c>
      <c r="GY34" t="e">
        <f>AND(#REF!,"AAAAAFWHf84=")</f>
        <v>#REF!</v>
      </c>
      <c r="GZ34" t="e">
        <f>AND(#REF!,"AAAAAFWHf88=")</f>
        <v>#REF!</v>
      </c>
      <c r="HA34" t="e">
        <f>AND(#REF!,"AAAAAFWHf9A=")</f>
        <v>#REF!</v>
      </c>
      <c r="HB34" t="e">
        <f>AND(#REF!,"AAAAAFWHf9E=")</f>
        <v>#REF!</v>
      </c>
      <c r="HC34" t="e">
        <f>AND(#REF!,"AAAAAFWHf9I=")</f>
        <v>#REF!</v>
      </c>
      <c r="HD34" t="e">
        <f>AND(#REF!,"AAAAAFWHf9M=")</f>
        <v>#REF!</v>
      </c>
      <c r="HE34" t="e">
        <f>AND(#REF!,"AAAAAFWHf9Q=")</f>
        <v>#REF!</v>
      </c>
      <c r="HF34" t="e">
        <f>AND(#REF!,"AAAAAFWHf9U=")</f>
        <v>#REF!</v>
      </c>
      <c r="HG34" t="e">
        <f>AND(#REF!,"AAAAAFWHf9Y=")</f>
        <v>#REF!</v>
      </c>
      <c r="HH34" t="e">
        <f>AND(#REF!,"AAAAAFWHf9c=")</f>
        <v>#REF!</v>
      </c>
      <c r="HI34" t="e">
        <f>AND(#REF!,"AAAAAFWHf9g=")</f>
        <v>#REF!</v>
      </c>
      <c r="HJ34" t="e">
        <f>AND(#REF!,"AAAAAFWHf9k=")</f>
        <v>#REF!</v>
      </c>
      <c r="HK34" t="e">
        <f>AND(#REF!,"AAAAAFWHf9o=")</f>
        <v>#REF!</v>
      </c>
      <c r="HL34" t="e">
        <f>AND(#REF!,"AAAAAFWHf9s=")</f>
        <v>#REF!</v>
      </c>
      <c r="HM34" t="e">
        <f>IF(#REF!,"AAAAAFWHf9w=",0)</f>
        <v>#REF!</v>
      </c>
      <c r="HN34" t="e">
        <f>AND(#REF!,"AAAAAFWHf90=")</f>
        <v>#REF!</v>
      </c>
      <c r="HO34" t="e">
        <f>AND(#REF!,"AAAAAFWHf94=")</f>
        <v>#REF!</v>
      </c>
      <c r="HP34" t="e">
        <f>AND(#REF!,"AAAAAFWHf98=")</f>
        <v>#REF!</v>
      </c>
      <c r="HQ34" t="e">
        <f>AND(#REF!,"AAAAAFWHf+A=")</f>
        <v>#REF!</v>
      </c>
      <c r="HR34" t="e">
        <f>AND(#REF!,"AAAAAFWHf+E=")</f>
        <v>#REF!</v>
      </c>
      <c r="HS34" t="e">
        <f>AND(#REF!,"AAAAAFWHf+I=")</f>
        <v>#REF!</v>
      </c>
      <c r="HT34" t="e">
        <f>AND(#REF!,"AAAAAFWHf+M=")</f>
        <v>#REF!</v>
      </c>
      <c r="HU34" t="e">
        <f>AND(#REF!,"AAAAAFWHf+Q=")</f>
        <v>#REF!</v>
      </c>
      <c r="HV34" t="e">
        <f>AND(#REF!,"AAAAAFWHf+U=")</f>
        <v>#REF!</v>
      </c>
      <c r="HW34" t="e">
        <f>AND(#REF!,"AAAAAFWHf+Y=")</f>
        <v>#REF!</v>
      </c>
      <c r="HX34" t="e">
        <f>AND(#REF!,"AAAAAFWHf+c=")</f>
        <v>#REF!</v>
      </c>
      <c r="HY34" t="e">
        <f>AND(#REF!,"AAAAAFWHf+g=")</f>
        <v>#REF!</v>
      </c>
      <c r="HZ34" t="e">
        <f>AND(#REF!,"AAAAAFWHf+k=")</f>
        <v>#REF!</v>
      </c>
      <c r="IA34" t="e">
        <f>AND(#REF!,"AAAAAFWHf+o=")</f>
        <v>#REF!</v>
      </c>
      <c r="IB34" t="e">
        <f>AND(#REF!,"AAAAAFWHf+s=")</f>
        <v>#REF!</v>
      </c>
      <c r="IC34" t="e">
        <f>AND(#REF!,"AAAAAFWHf+w=")</f>
        <v>#REF!</v>
      </c>
      <c r="ID34" t="e">
        <f>AND(#REF!,"AAAAAFWHf+0=")</f>
        <v>#REF!</v>
      </c>
      <c r="IE34" t="e">
        <f>AND(#REF!,"AAAAAFWHf+4=")</f>
        <v>#REF!</v>
      </c>
      <c r="IF34" t="e">
        <f>AND(#REF!,"AAAAAFWHf+8=")</f>
        <v>#REF!</v>
      </c>
      <c r="IG34" t="e">
        <f>AND(#REF!,"AAAAAFWHf/A=")</f>
        <v>#REF!</v>
      </c>
      <c r="IH34" t="e">
        <f>AND(#REF!,"AAAAAFWHf/E=")</f>
        <v>#REF!</v>
      </c>
      <c r="II34" t="e">
        <f>AND(#REF!,"AAAAAFWHf/I=")</f>
        <v>#REF!</v>
      </c>
      <c r="IJ34" t="e">
        <f>AND(#REF!,"AAAAAFWHf/M=")</f>
        <v>#REF!</v>
      </c>
      <c r="IK34" t="e">
        <f>AND(#REF!,"AAAAAFWHf/Q=")</f>
        <v>#REF!</v>
      </c>
      <c r="IL34" t="e">
        <f>AND(#REF!,"AAAAAFWHf/U=")</f>
        <v>#REF!</v>
      </c>
      <c r="IM34" t="e">
        <f>AND(#REF!,"AAAAAFWHf/Y=")</f>
        <v>#REF!</v>
      </c>
      <c r="IN34" t="e">
        <f>AND(#REF!,"AAAAAFWHf/c=")</f>
        <v>#REF!</v>
      </c>
      <c r="IO34" t="e">
        <f>AND(#REF!,"AAAAAFWHf/g=")</f>
        <v>#REF!</v>
      </c>
      <c r="IP34" t="e">
        <f>AND(#REF!,"AAAAAFWHf/k=")</f>
        <v>#REF!</v>
      </c>
      <c r="IQ34" t="e">
        <f>AND(#REF!,"AAAAAFWHf/o=")</f>
        <v>#REF!</v>
      </c>
      <c r="IR34" t="e">
        <f>AND(#REF!,"AAAAAFWHf/s=")</f>
        <v>#REF!</v>
      </c>
      <c r="IS34" t="e">
        <f>AND(#REF!,"AAAAAFWHf/w=")</f>
        <v>#REF!</v>
      </c>
      <c r="IT34" t="e">
        <f>AND(#REF!,"AAAAAFWHf/0=")</f>
        <v>#REF!</v>
      </c>
      <c r="IU34" t="e">
        <f>AND(#REF!,"AAAAAFWHf/4=")</f>
        <v>#REF!</v>
      </c>
      <c r="IV34" t="e">
        <f>AND(#REF!,"AAAAAFWHf/8=")</f>
        <v>#REF!</v>
      </c>
    </row>
    <row r="35" spans="1:256">
      <c r="A35" t="e">
        <f>IF(#REF!,"AAAAAHPntwA=",0)</f>
        <v>#REF!</v>
      </c>
      <c r="B35" t="e">
        <f>AND(#REF!,"AAAAAHPntwE=")</f>
        <v>#REF!</v>
      </c>
      <c r="C35" t="e">
        <f>AND(#REF!,"AAAAAHPntwI=")</f>
        <v>#REF!</v>
      </c>
      <c r="D35" t="e">
        <f>AND(#REF!,"AAAAAHPntwM=")</f>
        <v>#REF!</v>
      </c>
      <c r="E35" t="e">
        <f>AND(#REF!,"AAAAAHPntwQ=")</f>
        <v>#REF!</v>
      </c>
      <c r="F35" t="e">
        <f>AND(#REF!,"AAAAAHPntwU=")</f>
        <v>#REF!</v>
      </c>
      <c r="G35" t="e">
        <f>AND(#REF!,"AAAAAHPntwY=")</f>
        <v>#REF!</v>
      </c>
      <c r="H35" t="e">
        <f>AND(#REF!,"AAAAAHPntwc=")</f>
        <v>#REF!</v>
      </c>
      <c r="I35" t="e">
        <f>AND(#REF!,"AAAAAHPntwg=")</f>
        <v>#REF!</v>
      </c>
      <c r="J35" t="e">
        <f>AND(#REF!,"AAAAAHPntwk=")</f>
        <v>#REF!</v>
      </c>
      <c r="K35" t="e">
        <f>AND(#REF!,"AAAAAHPntwo=")</f>
        <v>#REF!</v>
      </c>
      <c r="L35" t="e">
        <f>AND(#REF!,"AAAAAHPntws=")</f>
        <v>#REF!</v>
      </c>
      <c r="M35" t="e">
        <f>AND(#REF!,"AAAAAHPntww=")</f>
        <v>#REF!</v>
      </c>
      <c r="N35" t="e">
        <f>AND(#REF!,"AAAAAHPntw0=")</f>
        <v>#REF!</v>
      </c>
      <c r="O35" t="e">
        <f>AND(#REF!,"AAAAAHPntw4=")</f>
        <v>#REF!</v>
      </c>
      <c r="P35" t="e">
        <f>AND(#REF!,"AAAAAHPntw8=")</f>
        <v>#REF!</v>
      </c>
      <c r="Q35" t="e">
        <f>AND(#REF!,"AAAAAHPntxA=")</f>
        <v>#REF!</v>
      </c>
      <c r="R35" t="e">
        <f>AND(#REF!,"AAAAAHPntxE=")</f>
        <v>#REF!</v>
      </c>
      <c r="S35" t="e">
        <f>AND(#REF!,"AAAAAHPntxI=")</f>
        <v>#REF!</v>
      </c>
      <c r="T35" t="e">
        <f>AND(#REF!,"AAAAAHPntxM=")</f>
        <v>#REF!</v>
      </c>
      <c r="U35" t="e">
        <f>AND(#REF!,"AAAAAHPntxQ=")</f>
        <v>#REF!</v>
      </c>
      <c r="V35" t="e">
        <f>AND(#REF!,"AAAAAHPntxU=")</f>
        <v>#REF!</v>
      </c>
      <c r="W35" t="e">
        <f>AND(#REF!,"AAAAAHPntxY=")</f>
        <v>#REF!</v>
      </c>
      <c r="X35" t="e">
        <f>AND(#REF!,"AAAAAHPntxc=")</f>
        <v>#REF!</v>
      </c>
      <c r="Y35" t="e">
        <f>AND(#REF!,"AAAAAHPntxg=")</f>
        <v>#REF!</v>
      </c>
      <c r="Z35" t="e">
        <f>AND(#REF!,"AAAAAHPntxk=")</f>
        <v>#REF!</v>
      </c>
      <c r="AA35" t="e">
        <f>AND(#REF!,"AAAAAHPntxo=")</f>
        <v>#REF!</v>
      </c>
      <c r="AB35" t="e">
        <f>AND(#REF!,"AAAAAHPntxs=")</f>
        <v>#REF!</v>
      </c>
      <c r="AC35" t="e">
        <f>AND(#REF!,"AAAAAHPntxw=")</f>
        <v>#REF!</v>
      </c>
      <c r="AD35" t="e">
        <f>AND(#REF!,"AAAAAHPntx0=")</f>
        <v>#REF!</v>
      </c>
      <c r="AE35" t="e">
        <f>AND(#REF!,"AAAAAHPntx4=")</f>
        <v>#REF!</v>
      </c>
      <c r="AF35" t="e">
        <f>AND(#REF!,"AAAAAHPntx8=")</f>
        <v>#REF!</v>
      </c>
      <c r="AG35" t="e">
        <f>AND(#REF!,"AAAAAHPntyA=")</f>
        <v>#REF!</v>
      </c>
      <c r="AH35" t="e">
        <f>AND(#REF!,"AAAAAHPntyE=")</f>
        <v>#REF!</v>
      </c>
      <c r="AI35" t="e">
        <f>AND(#REF!,"AAAAAHPntyI=")</f>
        <v>#REF!</v>
      </c>
      <c r="AJ35" t="e">
        <f>AND(#REF!,"AAAAAHPntyM=")</f>
        <v>#REF!</v>
      </c>
      <c r="AK35" t="e">
        <f>IF(#REF!,"AAAAAHPntyQ=",0)</f>
        <v>#REF!</v>
      </c>
      <c r="AL35" t="e">
        <f>AND(#REF!,"AAAAAHPntyU=")</f>
        <v>#REF!</v>
      </c>
      <c r="AM35" t="e">
        <f>AND(#REF!,"AAAAAHPntyY=")</f>
        <v>#REF!</v>
      </c>
      <c r="AN35" t="e">
        <f>AND(#REF!,"AAAAAHPntyc=")</f>
        <v>#REF!</v>
      </c>
      <c r="AO35" t="e">
        <f>AND(#REF!,"AAAAAHPntyg=")</f>
        <v>#REF!</v>
      </c>
      <c r="AP35" t="e">
        <f>AND(#REF!,"AAAAAHPntyk=")</f>
        <v>#REF!</v>
      </c>
      <c r="AQ35" t="e">
        <f>AND(#REF!,"AAAAAHPntyo=")</f>
        <v>#REF!</v>
      </c>
      <c r="AR35" t="e">
        <f>AND(#REF!,"AAAAAHPntys=")</f>
        <v>#REF!</v>
      </c>
      <c r="AS35" t="e">
        <f>AND(#REF!,"AAAAAHPntyw=")</f>
        <v>#REF!</v>
      </c>
      <c r="AT35" t="e">
        <f>AND(#REF!,"AAAAAHPnty0=")</f>
        <v>#REF!</v>
      </c>
      <c r="AU35" t="e">
        <f>AND(#REF!,"AAAAAHPnty4=")</f>
        <v>#REF!</v>
      </c>
      <c r="AV35" t="e">
        <f>AND(#REF!,"AAAAAHPnty8=")</f>
        <v>#REF!</v>
      </c>
      <c r="AW35" t="e">
        <f>AND(#REF!,"AAAAAHPntzA=")</f>
        <v>#REF!</v>
      </c>
      <c r="AX35" t="e">
        <f>AND(#REF!,"AAAAAHPntzE=")</f>
        <v>#REF!</v>
      </c>
      <c r="AY35" t="e">
        <f>AND(#REF!,"AAAAAHPntzI=")</f>
        <v>#REF!</v>
      </c>
      <c r="AZ35" t="e">
        <f>AND(#REF!,"AAAAAHPntzM=")</f>
        <v>#REF!</v>
      </c>
      <c r="BA35" t="e">
        <f>AND(#REF!,"AAAAAHPntzQ=")</f>
        <v>#REF!</v>
      </c>
      <c r="BB35" t="e">
        <f>AND(#REF!,"AAAAAHPntzU=")</f>
        <v>#REF!</v>
      </c>
      <c r="BC35" t="e">
        <f>AND(#REF!,"AAAAAHPntzY=")</f>
        <v>#REF!</v>
      </c>
      <c r="BD35" t="e">
        <f>AND(#REF!,"AAAAAHPntzc=")</f>
        <v>#REF!</v>
      </c>
      <c r="BE35" t="e">
        <f>AND(#REF!,"AAAAAHPntzg=")</f>
        <v>#REF!</v>
      </c>
      <c r="BF35" t="e">
        <f>AND(#REF!,"AAAAAHPntzk=")</f>
        <v>#REF!</v>
      </c>
      <c r="BG35" t="e">
        <f>AND(#REF!,"AAAAAHPntzo=")</f>
        <v>#REF!</v>
      </c>
      <c r="BH35" t="e">
        <f>AND(#REF!,"AAAAAHPntzs=")</f>
        <v>#REF!</v>
      </c>
      <c r="BI35" t="e">
        <f>AND(#REF!,"AAAAAHPntzw=")</f>
        <v>#REF!</v>
      </c>
      <c r="BJ35" t="e">
        <f>AND(#REF!,"AAAAAHPntz0=")</f>
        <v>#REF!</v>
      </c>
      <c r="BK35" t="e">
        <f>AND(#REF!,"AAAAAHPntz4=")</f>
        <v>#REF!</v>
      </c>
      <c r="BL35" t="e">
        <f>AND(#REF!,"AAAAAHPntz8=")</f>
        <v>#REF!</v>
      </c>
      <c r="BM35" t="e">
        <f>AND(#REF!,"AAAAAHPnt0A=")</f>
        <v>#REF!</v>
      </c>
      <c r="BN35" t="e">
        <f>AND(#REF!,"AAAAAHPnt0E=")</f>
        <v>#REF!</v>
      </c>
      <c r="BO35" t="e">
        <f>AND(#REF!,"AAAAAHPnt0I=")</f>
        <v>#REF!</v>
      </c>
      <c r="BP35" t="e">
        <f>AND(#REF!,"AAAAAHPnt0M=")</f>
        <v>#REF!</v>
      </c>
      <c r="BQ35" t="e">
        <f>AND(#REF!,"AAAAAHPnt0Q=")</f>
        <v>#REF!</v>
      </c>
      <c r="BR35" t="e">
        <f>AND(#REF!,"AAAAAHPnt0U=")</f>
        <v>#REF!</v>
      </c>
      <c r="BS35" t="e">
        <f>AND(#REF!,"AAAAAHPnt0Y=")</f>
        <v>#REF!</v>
      </c>
      <c r="BT35" t="e">
        <f>AND(#REF!,"AAAAAHPnt0c=")</f>
        <v>#REF!</v>
      </c>
      <c r="BU35" t="e">
        <f>IF(#REF!,"AAAAAHPnt0g=",0)</f>
        <v>#REF!</v>
      </c>
      <c r="BV35" t="e">
        <f>AND(#REF!,"AAAAAHPnt0k=")</f>
        <v>#REF!</v>
      </c>
      <c r="BW35" t="e">
        <f>AND(#REF!,"AAAAAHPnt0o=")</f>
        <v>#REF!</v>
      </c>
      <c r="BX35" t="e">
        <f>AND(#REF!,"AAAAAHPnt0s=")</f>
        <v>#REF!</v>
      </c>
      <c r="BY35" t="e">
        <f>AND(#REF!,"AAAAAHPnt0w=")</f>
        <v>#REF!</v>
      </c>
      <c r="BZ35" t="e">
        <f>AND(#REF!,"AAAAAHPnt00=")</f>
        <v>#REF!</v>
      </c>
      <c r="CA35" t="e">
        <f>AND(#REF!,"AAAAAHPnt04=")</f>
        <v>#REF!</v>
      </c>
      <c r="CB35" t="e">
        <f>AND(#REF!,"AAAAAHPnt08=")</f>
        <v>#REF!</v>
      </c>
      <c r="CC35" t="e">
        <f>AND(#REF!,"AAAAAHPnt1A=")</f>
        <v>#REF!</v>
      </c>
      <c r="CD35" t="e">
        <f>AND(#REF!,"AAAAAHPnt1E=")</f>
        <v>#REF!</v>
      </c>
      <c r="CE35" t="e">
        <f>AND(#REF!,"AAAAAHPnt1I=")</f>
        <v>#REF!</v>
      </c>
      <c r="CF35" t="e">
        <f>AND(#REF!,"AAAAAHPnt1M=")</f>
        <v>#REF!</v>
      </c>
      <c r="CG35" t="e">
        <f>AND(#REF!,"AAAAAHPnt1Q=")</f>
        <v>#REF!</v>
      </c>
      <c r="CH35" t="e">
        <f>AND(#REF!,"AAAAAHPnt1U=")</f>
        <v>#REF!</v>
      </c>
      <c r="CI35" t="e">
        <f>AND(#REF!,"AAAAAHPnt1Y=")</f>
        <v>#REF!</v>
      </c>
      <c r="CJ35" t="e">
        <f>AND(#REF!,"AAAAAHPnt1c=")</f>
        <v>#REF!</v>
      </c>
      <c r="CK35" t="e">
        <f>AND(#REF!,"AAAAAHPnt1g=")</f>
        <v>#REF!</v>
      </c>
      <c r="CL35" t="e">
        <f>AND(#REF!,"AAAAAHPnt1k=")</f>
        <v>#REF!</v>
      </c>
      <c r="CM35" t="e">
        <f>AND(#REF!,"AAAAAHPnt1o=")</f>
        <v>#REF!</v>
      </c>
      <c r="CN35" t="e">
        <f>AND(#REF!,"AAAAAHPnt1s=")</f>
        <v>#REF!</v>
      </c>
      <c r="CO35" t="e">
        <f>AND(#REF!,"AAAAAHPnt1w=")</f>
        <v>#REF!</v>
      </c>
      <c r="CP35" t="e">
        <f>AND(#REF!,"AAAAAHPnt10=")</f>
        <v>#REF!</v>
      </c>
      <c r="CQ35" t="e">
        <f>AND(#REF!,"AAAAAHPnt14=")</f>
        <v>#REF!</v>
      </c>
      <c r="CR35" t="e">
        <f>AND(#REF!,"AAAAAHPnt18=")</f>
        <v>#REF!</v>
      </c>
      <c r="CS35" t="e">
        <f>AND(#REF!,"AAAAAHPnt2A=")</f>
        <v>#REF!</v>
      </c>
      <c r="CT35" t="e">
        <f>AND(#REF!,"AAAAAHPnt2E=")</f>
        <v>#REF!</v>
      </c>
      <c r="CU35" t="e">
        <f>AND(#REF!,"AAAAAHPnt2I=")</f>
        <v>#REF!</v>
      </c>
      <c r="CV35" t="e">
        <f>AND(#REF!,"AAAAAHPnt2M=")</f>
        <v>#REF!</v>
      </c>
      <c r="CW35" t="e">
        <f>AND(#REF!,"AAAAAHPnt2Q=")</f>
        <v>#REF!</v>
      </c>
      <c r="CX35" t="e">
        <f>AND(#REF!,"AAAAAHPnt2U=")</f>
        <v>#REF!</v>
      </c>
      <c r="CY35" t="e">
        <f>AND(#REF!,"AAAAAHPnt2Y=")</f>
        <v>#REF!</v>
      </c>
      <c r="CZ35" t="e">
        <f>AND(#REF!,"AAAAAHPnt2c=")</f>
        <v>#REF!</v>
      </c>
      <c r="DA35" t="e">
        <f>AND(#REF!,"AAAAAHPnt2g=")</f>
        <v>#REF!</v>
      </c>
      <c r="DB35" t="e">
        <f>AND(#REF!,"AAAAAHPnt2k=")</f>
        <v>#REF!</v>
      </c>
      <c r="DC35" t="e">
        <f>AND(#REF!,"AAAAAHPnt2o=")</f>
        <v>#REF!</v>
      </c>
      <c r="DD35" t="e">
        <f>AND(#REF!,"AAAAAHPnt2s=")</f>
        <v>#REF!</v>
      </c>
      <c r="DE35" t="e">
        <f>IF(#REF!,"AAAAAHPnt2w=",0)</f>
        <v>#REF!</v>
      </c>
      <c r="DF35" t="e">
        <f>AND(#REF!,"AAAAAHPnt20=")</f>
        <v>#REF!</v>
      </c>
      <c r="DG35" t="e">
        <f>AND(#REF!,"AAAAAHPnt24=")</f>
        <v>#REF!</v>
      </c>
      <c r="DH35" t="e">
        <f>AND(#REF!,"AAAAAHPnt28=")</f>
        <v>#REF!</v>
      </c>
      <c r="DI35" t="e">
        <f>AND(#REF!,"AAAAAHPnt3A=")</f>
        <v>#REF!</v>
      </c>
      <c r="DJ35" t="e">
        <f>AND(#REF!,"AAAAAHPnt3E=")</f>
        <v>#REF!</v>
      </c>
      <c r="DK35" t="e">
        <f>AND(#REF!,"AAAAAHPnt3I=")</f>
        <v>#REF!</v>
      </c>
      <c r="DL35" t="e">
        <f>AND(#REF!,"AAAAAHPnt3M=")</f>
        <v>#REF!</v>
      </c>
      <c r="DM35" t="e">
        <f>AND(#REF!,"AAAAAHPnt3Q=")</f>
        <v>#REF!</v>
      </c>
      <c r="DN35" t="e">
        <f>AND(#REF!,"AAAAAHPnt3U=")</f>
        <v>#REF!</v>
      </c>
      <c r="DO35" t="e">
        <f>AND(#REF!,"AAAAAHPnt3Y=")</f>
        <v>#REF!</v>
      </c>
      <c r="DP35" t="e">
        <f>AND(#REF!,"AAAAAHPnt3c=")</f>
        <v>#REF!</v>
      </c>
      <c r="DQ35" t="e">
        <f>AND(#REF!,"AAAAAHPnt3g=")</f>
        <v>#REF!</v>
      </c>
      <c r="DR35" t="e">
        <f>AND(#REF!,"AAAAAHPnt3k=")</f>
        <v>#REF!</v>
      </c>
      <c r="DS35" t="e">
        <f>AND(#REF!,"AAAAAHPnt3o=")</f>
        <v>#REF!</v>
      </c>
      <c r="DT35" t="e">
        <f>AND(#REF!,"AAAAAHPnt3s=")</f>
        <v>#REF!</v>
      </c>
      <c r="DU35" t="e">
        <f>AND(#REF!,"AAAAAHPnt3w=")</f>
        <v>#REF!</v>
      </c>
      <c r="DV35" t="e">
        <f>AND(#REF!,"AAAAAHPnt30=")</f>
        <v>#REF!</v>
      </c>
      <c r="DW35" t="e">
        <f>AND(#REF!,"AAAAAHPnt34=")</f>
        <v>#REF!</v>
      </c>
      <c r="DX35" t="e">
        <f>AND(#REF!,"AAAAAHPnt38=")</f>
        <v>#REF!</v>
      </c>
      <c r="DY35" t="e">
        <f>AND(#REF!,"AAAAAHPnt4A=")</f>
        <v>#REF!</v>
      </c>
      <c r="DZ35" t="e">
        <f>AND(#REF!,"AAAAAHPnt4E=")</f>
        <v>#REF!</v>
      </c>
      <c r="EA35" t="e">
        <f>AND(#REF!,"AAAAAHPnt4I=")</f>
        <v>#REF!</v>
      </c>
      <c r="EB35" t="e">
        <f>AND(#REF!,"AAAAAHPnt4M=")</f>
        <v>#REF!</v>
      </c>
      <c r="EC35" t="e">
        <f>AND(#REF!,"AAAAAHPnt4Q=")</f>
        <v>#REF!</v>
      </c>
      <c r="ED35" t="e">
        <f>AND(#REF!,"AAAAAHPnt4U=")</f>
        <v>#REF!</v>
      </c>
      <c r="EE35" t="e">
        <f>AND(#REF!,"AAAAAHPnt4Y=")</f>
        <v>#REF!</v>
      </c>
      <c r="EF35" t="e">
        <f>AND(#REF!,"AAAAAHPnt4c=")</f>
        <v>#REF!</v>
      </c>
      <c r="EG35" t="e">
        <f>AND(#REF!,"AAAAAHPnt4g=")</f>
        <v>#REF!</v>
      </c>
      <c r="EH35" t="e">
        <f>AND(#REF!,"AAAAAHPnt4k=")</f>
        <v>#REF!</v>
      </c>
      <c r="EI35" t="e">
        <f>AND(#REF!,"AAAAAHPnt4o=")</f>
        <v>#REF!</v>
      </c>
      <c r="EJ35" t="e">
        <f>AND(#REF!,"AAAAAHPnt4s=")</f>
        <v>#REF!</v>
      </c>
      <c r="EK35" t="e">
        <f>AND(#REF!,"AAAAAHPnt4w=")</f>
        <v>#REF!</v>
      </c>
      <c r="EL35" t="e">
        <f>AND(#REF!,"AAAAAHPnt40=")</f>
        <v>#REF!</v>
      </c>
      <c r="EM35" t="e">
        <f>AND(#REF!,"AAAAAHPnt44=")</f>
        <v>#REF!</v>
      </c>
      <c r="EN35" t="e">
        <f>AND(#REF!,"AAAAAHPnt48=")</f>
        <v>#REF!</v>
      </c>
      <c r="EO35" t="e">
        <f>IF(#REF!,"AAAAAHPnt5A=",0)</f>
        <v>#REF!</v>
      </c>
      <c r="EP35" t="e">
        <f>AND(#REF!,"AAAAAHPnt5E=")</f>
        <v>#REF!</v>
      </c>
      <c r="EQ35" t="e">
        <f>AND(#REF!,"AAAAAHPnt5I=")</f>
        <v>#REF!</v>
      </c>
      <c r="ER35" t="e">
        <f>AND(#REF!,"AAAAAHPnt5M=")</f>
        <v>#REF!</v>
      </c>
      <c r="ES35" t="e">
        <f>AND(#REF!,"AAAAAHPnt5Q=")</f>
        <v>#REF!</v>
      </c>
      <c r="ET35" t="e">
        <f>AND(#REF!,"AAAAAHPnt5U=")</f>
        <v>#REF!</v>
      </c>
      <c r="EU35" t="e">
        <f>AND(#REF!,"AAAAAHPnt5Y=")</f>
        <v>#REF!</v>
      </c>
      <c r="EV35" t="e">
        <f>AND(#REF!,"AAAAAHPnt5c=")</f>
        <v>#REF!</v>
      </c>
      <c r="EW35" t="e">
        <f>AND(#REF!,"AAAAAHPnt5g=")</f>
        <v>#REF!</v>
      </c>
      <c r="EX35" t="e">
        <f>AND(#REF!,"AAAAAHPnt5k=")</f>
        <v>#REF!</v>
      </c>
      <c r="EY35" t="e">
        <f>AND(#REF!,"AAAAAHPnt5o=")</f>
        <v>#REF!</v>
      </c>
      <c r="EZ35" t="e">
        <f>AND(#REF!,"AAAAAHPnt5s=")</f>
        <v>#REF!</v>
      </c>
      <c r="FA35" t="e">
        <f>AND(#REF!,"AAAAAHPnt5w=")</f>
        <v>#REF!</v>
      </c>
      <c r="FB35" t="e">
        <f>AND(#REF!,"AAAAAHPnt50=")</f>
        <v>#REF!</v>
      </c>
      <c r="FC35" t="e">
        <f>AND(#REF!,"AAAAAHPnt54=")</f>
        <v>#REF!</v>
      </c>
      <c r="FD35" t="e">
        <f>AND(#REF!,"AAAAAHPnt58=")</f>
        <v>#REF!</v>
      </c>
      <c r="FE35" t="e">
        <f>AND(#REF!,"AAAAAHPnt6A=")</f>
        <v>#REF!</v>
      </c>
      <c r="FF35" t="e">
        <f>AND(#REF!,"AAAAAHPnt6E=")</f>
        <v>#REF!</v>
      </c>
      <c r="FG35" t="e">
        <f>AND(#REF!,"AAAAAHPnt6I=")</f>
        <v>#REF!</v>
      </c>
      <c r="FH35" t="e">
        <f>AND(#REF!,"AAAAAHPnt6M=")</f>
        <v>#REF!</v>
      </c>
      <c r="FI35" t="e">
        <f>AND(#REF!,"AAAAAHPnt6Q=")</f>
        <v>#REF!</v>
      </c>
      <c r="FJ35" t="e">
        <f>AND(#REF!,"AAAAAHPnt6U=")</f>
        <v>#REF!</v>
      </c>
      <c r="FK35" t="e">
        <f>AND(#REF!,"AAAAAHPnt6Y=")</f>
        <v>#REF!</v>
      </c>
      <c r="FL35" t="e">
        <f>AND(#REF!,"AAAAAHPnt6c=")</f>
        <v>#REF!</v>
      </c>
      <c r="FM35" t="e">
        <f>AND(#REF!,"AAAAAHPnt6g=")</f>
        <v>#REF!</v>
      </c>
      <c r="FN35" t="e">
        <f>AND(#REF!,"AAAAAHPnt6k=")</f>
        <v>#REF!</v>
      </c>
      <c r="FO35" t="e">
        <f>AND(#REF!,"AAAAAHPnt6o=")</f>
        <v>#REF!</v>
      </c>
      <c r="FP35" t="e">
        <f>AND(#REF!,"AAAAAHPnt6s=")</f>
        <v>#REF!</v>
      </c>
      <c r="FQ35" t="e">
        <f>AND(#REF!,"AAAAAHPnt6w=")</f>
        <v>#REF!</v>
      </c>
      <c r="FR35" t="e">
        <f>AND(#REF!,"AAAAAHPnt60=")</f>
        <v>#REF!</v>
      </c>
      <c r="FS35" t="e">
        <f>AND(#REF!,"AAAAAHPnt64=")</f>
        <v>#REF!</v>
      </c>
      <c r="FT35" t="e">
        <f>AND(#REF!,"AAAAAHPnt68=")</f>
        <v>#REF!</v>
      </c>
      <c r="FU35" t="e">
        <f>AND(#REF!,"AAAAAHPnt7A=")</f>
        <v>#REF!</v>
      </c>
      <c r="FV35" t="e">
        <f>AND(#REF!,"AAAAAHPnt7E=")</f>
        <v>#REF!</v>
      </c>
      <c r="FW35" t="e">
        <f>AND(#REF!,"AAAAAHPnt7I=")</f>
        <v>#REF!</v>
      </c>
      <c r="FX35" t="e">
        <f>AND(#REF!,"AAAAAHPnt7M=")</f>
        <v>#REF!</v>
      </c>
      <c r="FY35" t="e">
        <f>IF(#REF!,"AAAAAHPnt7Q=",0)</f>
        <v>#REF!</v>
      </c>
      <c r="FZ35" t="e">
        <f>AND(#REF!,"AAAAAHPnt7U=")</f>
        <v>#REF!</v>
      </c>
      <c r="GA35" t="e">
        <f>AND(#REF!,"AAAAAHPnt7Y=")</f>
        <v>#REF!</v>
      </c>
      <c r="GB35" t="e">
        <f>AND(#REF!,"AAAAAHPnt7c=")</f>
        <v>#REF!</v>
      </c>
      <c r="GC35" t="e">
        <f>AND(#REF!,"AAAAAHPnt7g=")</f>
        <v>#REF!</v>
      </c>
      <c r="GD35" t="e">
        <f>AND(#REF!,"AAAAAHPnt7k=")</f>
        <v>#REF!</v>
      </c>
      <c r="GE35" t="e">
        <f>AND(#REF!,"AAAAAHPnt7o=")</f>
        <v>#REF!</v>
      </c>
      <c r="GF35" t="e">
        <f>AND(#REF!,"AAAAAHPnt7s=")</f>
        <v>#REF!</v>
      </c>
      <c r="GG35" t="e">
        <f>AND(#REF!,"AAAAAHPnt7w=")</f>
        <v>#REF!</v>
      </c>
      <c r="GH35" t="e">
        <f>AND(#REF!,"AAAAAHPnt70=")</f>
        <v>#REF!</v>
      </c>
      <c r="GI35" t="e">
        <f>AND(#REF!,"AAAAAHPnt74=")</f>
        <v>#REF!</v>
      </c>
      <c r="GJ35" t="e">
        <f>AND(#REF!,"AAAAAHPnt78=")</f>
        <v>#REF!</v>
      </c>
      <c r="GK35" t="e">
        <f>AND(#REF!,"AAAAAHPnt8A=")</f>
        <v>#REF!</v>
      </c>
      <c r="GL35" t="e">
        <f>AND(#REF!,"AAAAAHPnt8E=")</f>
        <v>#REF!</v>
      </c>
      <c r="GM35" t="e">
        <f>AND(#REF!,"AAAAAHPnt8I=")</f>
        <v>#REF!</v>
      </c>
      <c r="GN35" t="e">
        <f>AND(#REF!,"AAAAAHPnt8M=")</f>
        <v>#REF!</v>
      </c>
      <c r="GO35" t="e">
        <f>AND(#REF!,"AAAAAHPnt8Q=")</f>
        <v>#REF!</v>
      </c>
      <c r="GP35" t="e">
        <f>AND(#REF!,"AAAAAHPnt8U=")</f>
        <v>#REF!</v>
      </c>
      <c r="GQ35" t="e">
        <f>AND(#REF!,"AAAAAHPnt8Y=")</f>
        <v>#REF!</v>
      </c>
      <c r="GR35" t="e">
        <f>AND(#REF!,"AAAAAHPnt8c=")</f>
        <v>#REF!</v>
      </c>
      <c r="GS35" t="e">
        <f>AND(#REF!,"AAAAAHPnt8g=")</f>
        <v>#REF!</v>
      </c>
      <c r="GT35" t="e">
        <f>AND(#REF!,"AAAAAHPnt8k=")</f>
        <v>#REF!</v>
      </c>
      <c r="GU35" t="e">
        <f>AND(#REF!,"AAAAAHPnt8o=")</f>
        <v>#REF!</v>
      </c>
      <c r="GV35" t="e">
        <f>AND(#REF!,"AAAAAHPnt8s=")</f>
        <v>#REF!</v>
      </c>
      <c r="GW35" t="e">
        <f>AND(#REF!,"AAAAAHPnt8w=")</f>
        <v>#REF!</v>
      </c>
      <c r="GX35" t="e">
        <f>AND(#REF!,"AAAAAHPnt80=")</f>
        <v>#REF!</v>
      </c>
      <c r="GY35" t="e">
        <f>AND(#REF!,"AAAAAHPnt84=")</f>
        <v>#REF!</v>
      </c>
      <c r="GZ35" t="e">
        <f>AND(#REF!,"AAAAAHPnt88=")</f>
        <v>#REF!</v>
      </c>
      <c r="HA35" t="e">
        <f>AND(#REF!,"AAAAAHPnt9A=")</f>
        <v>#REF!</v>
      </c>
      <c r="HB35" t="e">
        <f>AND(#REF!,"AAAAAHPnt9E=")</f>
        <v>#REF!</v>
      </c>
      <c r="HC35" t="e">
        <f>AND(#REF!,"AAAAAHPnt9I=")</f>
        <v>#REF!</v>
      </c>
      <c r="HD35" t="e">
        <f>AND(#REF!,"AAAAAHPnt9M=")</f>
        <v>#REF!</v>
      </c>
      <c r="HE35" t="e">
        <f>AND(#REF!,"AAAAAHPnt9Q=")</f>
        <v>#REF!</v>
      </c>
      <c r="HF35" t="e">
        <f>AND(#REF!,"AAAAAHPnt9U=")</f>
        <v>#REF!</v>
      </c>
      <c r="HG35" t="e">
        <f>AND(#REF!,"AAAAAHPnt9Y=")</f>
        <v>#REF!</v>
      </c>
      <c r="HH35" t="e">
        <f>AND(#REF!,"AAAAAHPnt9c=")</f>
        <v>#REF!</v>
      </c>
      <c r="HI35" t="e">
        <f>IF(#REF!,"AAAAAHPnt9g=",0)</f>
        <v>#REF!</v>
      </c>
      <c r="HJ35" t="e">
        <f>AND(#REF!,"AAAAAHPnt9k=")</f>
        <v>#REF!</v>
      </c>
      <c r="HK35" t="e">
        <f>AND(#REF!,"AAAAAHPnt9o=")</f>
        <v>#REF!</v>
      </c>
      <c r="HL35" t="e">
        <f>AND(#REF!,"AAAAAHPnt9s=")</f>
        <v>#REF!</v>
      </c>
      <c r="HM35" t="e">
        <f>AND(#REF!,"AAAAAHPnt9w=")</f>
        <v>#REF!</v>
      </c>
      <c r="HN35" t="e">
        <f>AND(#REF!,"AAAAAHPnt90=")</f>
        <v>#REF!</v>
      </c>
      <c r="HO35" t="e">
        <f>AND(#REF!,"AAAAAHPnt94=")</f>
        <v>#REF!</v>
      </c>
      <c r="HP35" t="e">
        <f>AND(#REF!,"AAAAAHPnt98=")</f>
        <v>#REF!</v>
      </c>
      <c r="HQ35" t="e">
        <f>AND(#REF!,"AAAAAHPnt+A=")</f>
        <v>#REF!</v>
      </c>
      <c r="HR35" t="e">
        <f>AND(#REF!,"AAAAAHPnt+E=")</f>
        <v>#REF!</v>
      </c>
      <c r="HS35" t="e">
        <f>AND(#REF!,"AAAAAHPnt+I=")</f>
        <v>#REF!</v>
      </c>
      <c r="HT35" t="e">
        <f>AND(#REF!,"AAAAAHPnt+M=")</f>
        <v>#REF!</v>
      </c>
      <c r="HU35" t="e">
        <f>AND(#REF!,"AAAAAHPnt+Q=")</f>
        <v>#REF!</v>
      </c>
      <c r="HV35" t="e">
        <f>AND(#REF!,"AAAAAHPnt+U=")</f>
        <v>#REF!</v>
      </c>
      <c r="HW35" t="e">
        <f>AND(#REF!,"AAAAAHPnt+Y=")</f>
        <v>#REF!</v>
      </c>
      <c r="HX35" t="e">
        <f>AND(#REF!,"AAAAAHPnt+c=")</f>
        <v>#REF!</v>
      </c>
      <c r="HY35" t="e">
        <f>AND(#REF!,"AAAAAHPnt+g=")</f>
        <v>#REF!</v>
      </c>
      <c r="HZ35" t="e">
        <f>AND(#REF!,"AAAAAHPnt+k=")</f>
        <v>#REF!</v>
      </c>
      <c r="IA35" t="e">
        <f>AND(#REF!,"AAAAAHPnt+o=")</f>
        <v>#REF!</v>
      </c>
      <c r="IB35" t="e">
        <f>AND(#REF!,"AAAAAHPnt+s=")</f>
        <v>#REF!</v>
      </c>
      <c r="IC35" t="e">
        <f>AND(#REF!,"AAAAAHPnt+w=")</f>
        <v>#REF!</v>
      </c>
      <c r="ID35" t="e">
        <f>AND(#REF!,"AAAAAHPnt+0=")</f>
        <v>#REF!</v>
      </c>
      <c r="IE35" t="e">
        <f>AND(#REF!,"AAAAAHPnt+4=")</f>
        <v>#REF!</v>
      </c>
      <c r="IF35" t="e">
        <f>AND(#REF!,"AAAAAHPnt+8=")</f>
        <v>#REF!</v>
      </c>
      <c r="IG35" t="e">
        <f>AND(#REF!,"AAAAAHPnt/A=")</f>
        <v>#REF!</v>
      </c>
      <c r="IH35" t="e">
        <f>AND(#REF!,"AAAAAHPnt/E=")</f>
        <v>#REF!</v>
      </c>
      <c r="II35" t="e">
        <f>AND(#REF!,"AAAAAHPnt/I=")</f>
        <v>#REF!</v>
      </c>
      <c r="IJ35" t="e">
        <f>AND(#REF!,"AAAAAHPnt/M=")</f>
        <v>#REF!</v>
      </c>
      <c r="IK35" t="e">
        <f>AND(#REF!,"AAAAAHPnt/Q=")</f>
        <v>#REF!</v>
      </c>
      <c r="IL35" t="e">
        <f>AND(#REF!,"AAAAAHPnt/U=")</f>
        <v>#REF!</v>
      </c>
      <c r="IM35" t="e">
        <f>AND(#REF!,"AAAAAHPnt/Y=")</f>
        <v>#REF!</v>
      </c>
      <c r="IN35" t="e">
        <f>AND(#REF!,"AAAAAHPnt/c=")</f>
        <v>#REF!</v>
      </c>
      <c r="IO35" t="e">
        <f>AND(#REF!,"AAAAAHPnt/g=")</f>
        <v>#REF!</v>
      </c>
      <c r="IP35" t="e">
        <f>AND(#REF!,"AAAAAHPnt/k=")</f>
        <v>#REF!</v>
      </c>
      <c r="IQ35" t="e">
        <f>AND(#REF!,"AAAAAHPnt/o=")</f>
        <v>#REF!</v>
      </c>
      <c r="IR35" t="e">
        <f>AND(#REF!,"AAAAAHPnt/s=")</f>
        <v>#REF!</v>
      </c>
      <c r="IS35" t="e">
        <f>IF(#REF!,"AAAAAHPnt/w=",0)</f>
        <v>#REF!</v>
      </c>
      <c r="IT35" t="e">
        <f>AND(#REF!,"AAAAAHPnt/0=")</f>
        <v>#REF!</v>
      </c>
      <c r="IU35" t="e">
        <f>AND(#REF!,"AAAAAHPnt/4=")</f>
        <v>#REF!</v>
      </c>
      <c r="IV35" t="e">
        <f>AND(#REF!,"AAAAAHPnt/8=")</f>
        <v>#REF!</v>
      </c>
    </row>
    <row r="36" spans="1:256">
      <c r="A36" t="e">
        <f>AND(#REF!,"AAAAAH+/sQA=")</f>
        <v>#REF!</v>
      </c>
      <c r="B36" t="e">
        <f>AND(#REF!,"AAAAAH+/sQE=")</f>
        <v>#REF!</v>
      </c>
      <c r="C36" t="e">
        <f>AND(#REF!,"AAAAAH+/sQI=")</f>
        <v>#REF!</v>
      </c>
      <c r="D36" t="e">
        <f>AND(#REF!,"AAAAAH+/sQM=")</f>
        <v>#REF!</v>
      </c>
      <c r="E36" t="e">
        <f>AND(#REF!,"AAAAAH+/sQQ=")</f>
        <v>#REF!</v>
      </c>
      <c r="F36" t="e">
        <f>AND(#REF!,"AAAAAH+/sQU=")</f>
        <v>#REF!</v>
      </c>
      <c r="G36" t="e">
        <f>AND(#REF!,"AAAAAH+/sQY=")</f>
        <v>#REF!</v>
      </c>
      <c r="H36" t="e">
        <f>AND(#REF!,"AAAAAH+/sQc=")</f>
        <v>#REF!</v>
      </c>
      <c r="I36" t="e">
        <f>AND(#REF!,"AAAAAH+/sQg=")</f>
        <v>#REF!</v>
      </c>
      <c r="J36" t="e">
        <f>AND(#REF!,"AAAAAH+/sQk=")</f>
        <v>#REF!</v>
      </c>
      <c r="K36" t="e">
        <f>AND(#REF!,"AAAAAH+/sQo=")</f>
        <v>#REF!</v>
      </c>
      <c r="L36" t="e">
        <f>AND(#REF!,"AAAAAH+/sQs=")</f>
        <v>#REF!</v>
      </c>
      <c r="M36" t="e">
        <f>AND(#REF!,"AAAAAH+/sQw=")</f>
        <v>#REF!</v>
      </c>
      <c r="N36" t="e">
        <f>AND(#REF!,"AAAAAH+/sQ0=")</f>
        <v>#REF!</v>
      </c>
      <c r="O36" t="e">
        <f>AND(#REF!,"AAAAAH+/sQ4=")</f>
        <v>#REF!</v>
      </c>
      <c r="P36" t="e">
        <f>AND(#REF!,"AAAAAH+/sQ8=")</f>
        <v>#REF!</v>
      </c>
      <c r="Q36" t="e">
        <f>AND(#REF!,"AAAAAH+/sRA=")</f>
        <v>#REF!</v>
      </c>
      <c r="R36" t="e">
        <f>AND(#REF!,"AAAAAH+/sRE=")</f>
        <v>#REF!</v>
      </c>
      <c r="S36" t="e">
        <f>AND(#REF!,"AAAAAH+/sRI=")</f>
        <v>#REF!</v>
      </c>
      <c r="T36" t="e">
        <f>AND(#REF!,"AAAAAH+/sRM=")</f>
        <v>#REF!</v>
      </c>
      <c r="U36" t="e">
        <f>AND(#REF!,"AAAAAH+/sRQ=")</f>
        <v>#REF!</v>
      </c>
      <c r="V36" t="e">
        <f>AND(#REF!,"AAAAAH+/sRU=")</f>
        <v>#REF!</v>
      </c>
      <c r="W36" t="e">
        <f>AND(#REF!,"AAAAAH+/sRY=")</f>
        <v>#REF!</v>
      </c>
      <c r="X36" t="e">
        <f>AND(#REF!,"AAAAAH+/sRc=")</f>
        <v>#REF!</v>
      </c>
      <c r="Y36" t="e">
        <f>AND(#REF!,"AAAAAH+/sRg=")</f>
        <v>#REF!</v>
      </c>
      <c r="Z36" t="e">
        <f>AND(#REF!,"AAAAAH+/sRk=")</f>
        <v>#REF!</v>
      </c>
      <c r="AA36" t="e">
        <f>AND(#REF!,"AAAAAH+/sRo=")</f>
        <v>#REF!</v>
      </c>
      <c r="AB36" t="e">
        <f>AND(#REF!,"AAAAAH+/sRs=")</f>
        <v>#REF!</v>
      </c>
      <c r="AC36" t="e">
        <f>AND(#REF!,"AAAAAH+/sRw=")</f>
        <v>#REF!</v>
      </c>
      <c r="AD36" t="e">
        <f>AND(#REF!,"AAAAAH+/sR0=")</f>
        <v>#REF!</v>
      </c>
      <c r="AE36" t="e">
        <f>AND(#REF!,"AAAAAH+/sR4=")</f>
        <v>#REF!</v>
      </c>
      <c r="AF36" t="e">
        <f>AND(#REF!,"AAAAAH+/sR8=")</f>
        <v>#REF!</v>
      </c>
      <c r="AG36" t="e">
        <f>IF(#REF!,"AAAAAH+/sSA=",0)</f>
        <v>#REF!</v>
      </c>
      <c r="AH36" t="e">
        <f>AND(#REF!,"AAAAAH+/sSE=")</f>
        <v>#REF!</v>
      </c>
      <c r="AI36" t="e">
        <f>AND(#REF!,"AAAAAH+/sSI=")</f>
        <v>#REF!</v>
      </c>
      <c r="AJ36" t="e">
        <f>AND(#REF!,"AAAAAH+/sSM=")</f>
        <v>#REF!</v>
      </c>
      <c r="AK36" t="e">
        <f>AND(#REF!,"AAAAAH+/sSQ=")</f>
        <v>#REF!</v>
      </c>
      <c r="AL36" t="e">
        <f>AND(#REF!,"AAAAAH+/sSU=")</f>
        <v>#REF!</v>
      </c>
      <c r="AM36" t="e">
        <f>AND(#REF!,"AAAAAH+/sSY=")</f>
        <v>#REF!</v>
      </c>
      <c r="AN36" t="e">
        <f>AND(#REF!,"AAAAAH+/sSc=")</f>
        <v>#REF!</v>
      </c>
      <c r="AO36" t="e">
        <f>AND(#REF!,"AAAAAH+/sSg=")</f>
        <v>#REF!</v>
      </c>
      <c r="AP36" t="e">
        <f>AND(#REF!,"AAAAAH+/sSk=")</f>
        <v>#REF!</v>
      </c>
      <c r="AQ36" t="e">
        <f>AND(#REF!,"AAAAAH+/sSo=")</f>
        <v>#REF!</v>
      </c>
      <c r="AR36" t="e">
        <f>AND(#REF!,"AAAAAH+/sSs=")</f>
        <v>#REF!</v>
      </c>
      <c r="AS36" t="e">
        <f>AND(#REF!,"AAAAAH+/sSw=")</f>
        <v>#REF!</v>
      </c>
      <c r="AT36" t="e">
        <f>AND(#REF!,"AAAAAH+/sS0=")</f>
        <v>#REF!</v>
      </c>
      <c r="AU36" t="e">
        <f>AND(#REF!,"AAAAAH+/sS4=")</f>
        <v>#REF!</v>
      </c>
      <c r="AV36" t="e">
        <f>AND(#REF!,"AAAAAH+/sS8=")</f>
        <v>#REF!</v>
      </c>
      <c r="AW36" t="e">
        <f>AND(#REF!,"AAAAAH+/sTA=")</f>
        <v>#REF!</v>
      </c>
      <c r="AX36" t="e">
        <f>AND(#REF!,"AAAAAH+/sTE=")</f>
        <v>#REF!</v>
      </c>
      <c r="AY36" t="e">
        <f>AND(#REF!,"AAAAAH+/sTI=")</f>
        <v>#REF!</v>
      </c>
      <c r="AZ36" t="e">
        <f>AND(#REF!,"AAAAAH+/sTM=")</f>
        <v>#REF!</v>
      </c>
      <c r="BA36" t="e">
        <f>AND(#REF!,"AAAAAH+/sTQ=")</f>
        <v>#REF!</v>
      </c>
      <c r="BB36" t="e">
        <f>AND(#REF!,"AAAAAH+/sTU=")</f>
        <v>#REF!</v>
      </c>
      <c r="BC36" t="e">
        <f>AND(#REF!,"AAAAAH+/sTY=")</f>
        <v>#REF!</v>
      </c>
      <c r="BD36" t="e">
        <f>AND(#REF!,"AAAAAH+/sTc=")</f>
        <v>#REF!</v>
      </c>
      <c r="BE36" t="e">
        <f>AND(#REF!,"AAAAAH+/sTg=")</f>
        <v>#REF!</v>
      </c>
      <c r="BF36" t="e">
        <f>AND(#REF!,"AAAAAH+/sTk=")</f>
        <v>#REF!</v>
      </c>
      <c r="BG36" t="e">
        <f>AND(#REF!,"AAAAAH+/sTo=")</f>
        <v>#REF!</v>
      </c>
      <c r="BH36" t="e">
        <f>AND(#REF!,"AAAAAH+/sTs=")</f>
        <v>#REF!</v>
      </c>
      <c r="BI36" t="e">
        <f>AND(#REF!,"AAAAAH+/sTw=")</f>
        <v>#REF!</v>
      </c>
      <c r="BJ36" t="e">
        <f>AND(#REF!,"AAAAAH+/sT0=")</f>
        <v>#REF!</v>
      </c>
      <c r="BK36" t="e">
        <f>AND(#REF!,"AAAAAH+/sT4=")</f>
        <v>#REF!</v>
      </c>
      <c r="BL36" t="e">
        <f>AND(#REF!,"AAAAAH+/sT8=")</f>
        <v>#REF!</v>
      </c>
      <c r="BM36" t="e">
        <f>AND(#REF!,"AAAAAH+/sUA=")</f>
        <v>#REF!</v>
      </c>
      <c r="BN36" t="e">
        <f>AND(#REF!,"AAAAAH+/sUE=")</f>
        <v>#REF!</v>
      </c>
      <c r="BO36" t="e">
        <f>AND(#REF!,"AAAAAH+/sUI=")</f>
        <v>#REF!</v>
      </c>
      <c r="BP36" t="e">
        <f>AND(#REF!,"AAAAAH+/sUM=")</f>
        <v>#REF!</v>
      </c>
      <c r="BQ36" t="e">
        <f>IF(#REF!,"AAAAAH+/sUQ=",0)</f>
        <v>#REF!</v>
      </c>
      <c r="BR36" t="e">
        <f>AND(#REF!,"AAAAAH+/sUU=")</f>
        <v>#REF!</v>
      </c>
      <c r="BS36" t="e">
        <f>AND(#REF!,"AAAAAH+/sUY=")</f>
        <v>#REF!</v>
      </c>
      <c r="BT36" t="e">
        <f>AND(#REF!,"AAAAAH+/sUc=")</f>
        <v>#REF!</v>
      </c>
      <c r="BU36" t="e">
        <f>AND(#REF!,"AAAAAH+/sUg=")</f>
        <v>#REF!</v>
      </c>
      <c r="BV36" t="e">
        <f>AND(#REF!,"AAAAAH+/sUk=")</f>
        <v>#REF!</v>
      </c>
      <c r="BW36" t="e">
        <f>AND(#REF!,"AAAAAH+/sUo=")</f>
        <v>#REF!</v>
      </c>
      <c r="BX36" t="e">
        <f>AND(#REF!,"AAAAAH+/sUs=")</f>
        <v>#REF!</v>
      </c>
      <c r="BY36" t="e">
        <f>AND(#REF!,"AAAAAH+/sUw=")</f>
        <v>#REF!</v>
      </c>
      <c r="BZ36" t="e">
        <f>AND(#REF!,"AAAAAH+/sU0=")</f>
        <v>#REF!</v>
      </c>
      <c r="CA36" t="e">
        <f>AND(#REF!,"AAAAAH+/sU4=")</f>
        <v>#REF!</v>
      </c>
      <c r="CB36" t="e">
        <f>AND(#REF!,"AAAAAH+/sU8=")</f>
        <v>#REF!</v>
      </c>
      <c r="CC36" t="e">
        <f>AND(#REF!,"AAAAAH+/sVA=")</f>
        <v>#REF!</v>
      </c>
      <c r="CD36" t="e">
        <f>AND(#REF!,"AAAAAH+/sVE=")</f>
        <v>#REF!</v>
      </c>
      <c r="CE36" t="e">
        <f>AND(#REF!,"AAAAAH+/sVI=")</f>
        <v>#REF!</v>
      </c>
      <c r="CF36" t="e">
        <f>AND(#REF!,"AAAAAH+/sVM=")</f>
        <v>#REF!</v>
      </c>
      <c r="CG36" t="e">
        <f>AND(#REF!,"AAAAAH+/sVQ=")</f>
        <v>#REF!</v>
      </c>
      <c r="CH36" t="e">
        <f>AND(#REF!,"AAAAAH+/sVU=")</f>
        <v>#REF!</v>
      </c>
      <c r="CI36" t="e">
        <f>AND(#REF!,"AAAAAH+/sVY=")</f>
        <v>#REF!</v>
      </c>
      <c r="CJ36" t="e">
        <f>AND(#REF!,"AAAAAH+/sVc=")</f>
        <v>#REF!</v>
      </c>
      <c r="CK36" t="e">
        <f>AND(#REF!,"AAAAAH+/sVg=")</f>
        <v>#REF!</v>
      </c>
      <c r="CL36" t="e">
        <f>AND(#REF!,"AAAAAH+/sVk=")</f>
        <v>#REF!</v>
      </c>
      <c r="CM36" t="e">
        <f>AND(#REF!,"AAAAAH+/sVo=")</f>
        <v>#REF!</v>
      </c>
      <c r="CN36" t="e">
        <f>AND(#REF!,"AAAAAH+/sVs=")</f>
        <v>#REF!</v>
      </c>
      <c r="CO36" t="e">
        <f>AND(#REF!,"AAAAAH+/sVw=")</f>
        <v>#REF!</v>
      </c>
      <c r="CP36" t="e">
        <f>AND(#REF!,"AAAAAH+/sV0=")</f>
        <v>#REF!</v>
      </c>
      <c r="CQ36" t="e">
        <f>AND(#REF!,"AAAAAH+/sV4=")</f>
        <v>#REF!</v>
      </c>
      <c r="CR36" t="e">
        <f>AND(#REF!,"AAAAAH+/sV8=")</f>
        <v>#REF!</v>
      </c>
      <c r="CS36" t="e">
        <f>AND(#REF!,"AAAAAH+/sWA=")</f>
        <v>#REF!</v>
      </c>
      <c r="CT36" t="e">
        <f>AND(#REF!,"AAAAAH+/sWE=")</f>
        <v>#REF!</v>
      </c>
      <c r="CU36" t="e">
        <f>AND(#REF!,"AAAAAH+/sWI=")</f>
        <v>#REF!</v>
      </c>
      <c r="CV36" t="e">
        <f>AND(#REF!,"AAAAAH+/sWM=")</f>
        <v>#REF!</v>
      </c>
      <c r="CW36" t="e">
        <f>AND(#REF!,"AAAAAH+/sWQ=")</f>
        <v>#REF!</v>
      </c>
      <c r="CX36" t="e">
        <f>AND(#REF!,"AAAAAH+/sWU=")</f>
        <v>#REF!</v>
      </c>
      <c r="CY36" t="e">
        <f>AND(#REF!,"AAAAAH+/sWY=")</f>
        <v>#REF!</v>
      </c>
      <c r="CZ36" t="e">
        <f>AND(#REF!,"AAAAAH+/sWc=")</f>
        <v>#REF!</v>
      </c>
      <c r="DA36" t="e">
        <f>IF(#REF!,"AAAAAH+/sWg=",0)</f>
        <v>#REF!</v>
      </c>
      <c r="DB36" t="e">
        <f>AND(#REF!,"AAAAAH+/sWk=")</f>
        <v>#REF!</v>
      </c>
      <c r="DC36" t="e">
        <f>AND(#REF!,"AAAAAH+/sWo=")</f>
        <v>#REF!</v>
      </c>
      <c r="DD36" t="e">
        <f>AND(#REF!,"AAAAAH+/sWs=")</f>
        <v>#REF!</v>
      </c>
      <c r="DE36" t="e">
        <f>AND(#REF!,"AAAAAH+/sWw=")</f>
        <v>#REF!</v>
      </c>
      <c r="DF36" t="e">
        <f>AND(#REF!,"AAAAAH+/sW0=")</f>
        <v>#REF!</v>
      </c>
      <c r="DG36" t="e">
        <f>AND(#REF!,"AAAAAH+/sW4=")</f>
        <v>#REF!</v>
      </c>
      <c r="DH36" t="e">
        <f>AND(#REF!,"AAAAAH+/sW8=")</f>
        <v>#REF!</v>
      </c>
      <c r="DI36" t="e">
        <f>AND(#REF!,"AAAAAH+/sXA=")</f>
        <v>#REF!</v>
      </c>
      <c r="DJ36" t="e">
        <f>AND(#REF!,"AAAAAH+/sXE=")</f>
        <v>#REF!</v>
      </c>
      <c r="DK36" t="e">
        <f>AND(#REF!,"AAAAAH+/sXI=")</f>
        <v>#REF!</v>
      </c>
      <c r="DL36" t="e">
        <f>AND(#REF!,"AAAAAH+/sXM=")</f>
        <v>#REF!</v>
      </c>
      <c r="DM36" t="e">
        <f>AND(#REF!,"AAAAAH+/sXQ=")</f>
        <v>#REF!</v>
      </c>
      <c r="DN36" t="e">
        <f>AND(#REF!,"AAAAAH+/sXU=")</f>
        <v>#REF!</v>
      </c>
      <c r="DO36" t="e">
        <f>AND(#REF!,"AAAAAH+/sXY=")</f>
        <v>#REF!</v>
      </c>
      <c r="DP36" t="e">
        <f>AND(#REF!,"AAAAAH+/sXc=")</f>
        <v>#REF!</v>
      </c>
      <c r="DQ36" t="e">
        <f>AND(#REF!,"AAAAAH+/sXg=")</f>
        <v>#REF!</v>
      </c>
      <c r="DR36" t="e">
        <f>AND(#REF!,"AAAAAH+/sXk=")</f>
        <v>#REF!</v>
      </c>
      <c r="DS36" t="e">
        <f>AND(#REF!,"AAAAAH+/sXo=")</f>
        <v>#REF!</v>
      </c>
      <c r="DT36" t="e">
        <f>AND(#REF!,"AAAAAH+/sXs=")</f>
        <v>#REF!</v>
      </c>
      <c r="DU36" t="e">
        <f>AND(#REF!,"AAAAAH+/sXw=")</f>
        <v>#REF!</v>
      </c>
      <c r="DV36" t="e">
        <f>AND(#REF!,"AAAAAH+/sX0=")</f>
        <v>#REF!</v>
      </c>
      <c r="DW36" t="e">
        <f>AND(#REF!,"AAAAAH+/sX4=")</f>
        <v>#REF!</v>
      </c>
      <c r="DX36" t="e">
        <f>AND(#REF!,"AAAAAH+/sX8=")</f>
        <v>#REF!</v>
      </c>
      <c r="DY36" t="e">
        <f>AND(#REF!,"AAAAAH+/sYA=")</f>
        <v>#REF!</v>
      </c>
      <c r="DZ36" t="e">
        <f>AND(#REF!,"AAAAAH+/sYE=")</f>
        <v>#REF!</v>
      </c>
      <c r="EA36" t="e">
        <f>AND(#REF!,"AAAAAH+/sYI=")</f>
        <v>#REF!</v>
      </c>
      <c r="EB36" t="e">
        <f>AND(#REF!,"AAAAAH+/sYM=")</f>
        <v>#REF!</v>
      </c>
      <c r="EC36" t="e">
        <f>AND(#REF!,"AAAAAH+/sYQ=")</f>
        <v>#REF!</v>
      </c>
      <c r="ED36" t="e">
        <f>AND(#REF!,"AAAAAH+/sYU=")</f>
        <v>#REF!</v>
      </c>
      <c r="EE36" t="e">
        <f>AND(#REF!,"AAAAAH+/sYY=")</f>
        <v>#REF!</v>
      </c>
      <c r="EF36" t="e">
        <f>AND(#REF!,"AAAAAH+/sYc=")</f>
        <v>#REF!</v>
      </c>
      <c r="EG36" t="e">
        <f>AND(#REF!,"AAAAAH+/sYg=")</f>
        <v>#REF!</v>
      </c>
      <c r="EH36" t="e">
        <f>AND(#REF!,"AAAAAH+/sYk=")</f>
        <v>#REF!</v>
      </c>
      <c r="EI36" t="e">
        <f>AND(#REF!,"AAAAAH+/sYo=")</f>
        <v>#REF!</v>
      </c>
      <c r="EJ36" t="e">
        <f>AND(#REF!,"AAAAAH+/sYs=")</f>
        <v>#REF!</v>
      </c>
      <c r="EK36" t="e">
        <f>IF(#REF!,"AAAAAH+/sYw=",0)</f>
        <v>#REF!</v>
      </c>
      <c r="EL36" t="e">
        <f>AND(#REF!,"AAAAAH+/sY0=")</f>
        <v>#REF!</v>
      </c>
      <c r="EM36" t="e">
        <f>AND(#REF!,"AAAAAH+/sY4=")</f>
        <v>#REF!</v>
      </c>
      <c r="EN36" t="e">
        <f>AND(#REF!,"AAAAAH+/sY8=")</f>
        <v>#REF!</v>
      </c>
      <c r="EO36" t="e">
        <f>AND(#REF!,"AAAAAH+/sZA=")</f>
        <v>#REF!</v>
      </c>
      <c r="EP36" t="e">
        <f>AND(#REF!,"AAAAAH+/sZE=")</f>
        <v>#REF!</v>
      </c>
      <c r="EQ36" t="e">
        <f>AND(#REF!,"AAAAAH+/sZI=")</f>
        <v>#REF!</v>
      </c>
      <c r="ER36" t="e">
        <f>AND(#REF!,"AAAAAH+/sZM=")</f>
        <v>#REF!</v>
      </c>
      <c r="ES36" t="e">
        <f>AND(#REF!,"AAAAAH+/sZQ=")</f>
        <v>#REF!</v>
      </c>
      <c r="ET36" t="e">
        <f>AND(#REF!,"AAAAAH+/sZU=")</f>
        <v>#REF!</v>
      </c>
      <c r="EU36" t="e">
        <f>AND(#REF!,"AAAAAH+/sZY=")</f>
        <v>#REF!</v>
      </c>
      <c r="EV36" t="e">
        <f>AND(#REF!,"AAAAAH+/sZc=")</f>
        <v>#REF!</v>
      </c>
      <c r="EW36" t="e">
        <f>AND(#REF!,"AAAAAH+/sZg=")</f>
        <v>#REF!</v>
      </c>
      <c r="EX36" t="e">
        <f>AND(#REF!,"AAAAAH+/sZk=")</f>
        <v>#REF!</v>
      </c>
      <c r="EY36" t="e">
        <f>AND(#REF!,"AAAAAH+/sZo=")</f>
        <v>#REF!</v>
      </c>
      <c r="EZ36" t="e">
        <f>AND(#REF!,"AAAAAH+/sZs=")</f>
        <v>#REF!</v>
      </c>
      <c r="FA36" t="e">
        <f>AND(#REF!,"AAAAAH+/sZw=")</f>
        <v>#REF!</v>
      </c>
      <c r="FB36" t="e">
        <f>AND(#REF!,"AAAAAH+/sZ0=")</f>
        <v>#REF!</v>
      </c>
      <c r="FC36" t="e">
        <f>AND(#REF!,"AAAAAH+/sZ4=")</f>
        <v>#REF!</v>
      </c>
      <c r="FD36" t="e">
        <f>AND(#REF!,"AAAAAH+/sZ8=")</f>
        <v>#REF!</v>
      </c>
      <c r="FE36" t="e">
        <f>AND(#REF!,"AAAAAH+/saA=")</f>
        <v>#REF!</v>
      </c>
      <c r="FF36" t="e">
        <f>AND(#REF!,"AAAAAH+/saE=")</f>
        <v>#REF!</v>
      </c>
      <c r="FG36" t="e">
        <f>AND(#REF!,"AAAAAH+/saI=")</f>
        <v>#REF!</v>
      </c>
      <c r="FH36" t="e">
        <f>AND(#REF!,"AAAAAH+/saM=")</f>
        <v>#REF!</v>
      </c>
      <c r="FI36" t="e">
        <f>AND(#REF!,"AAAAAH+/saQ=")</f>
        <v>#REF!</v>
      </c>
      <c r="FJ36" t="e">
        <f>AND(#REF!,"AAAAAH+/saU=")</f>
        <v>#REF!</v>
      </c>
      <c r="FK36" t="e">
        <f>AND(#REF!,"AAAAAH+/saY=")</f>
        <v>#REF!</v>
      </c>
      <c r="FL36" t="e">
        <f>AND(#REF!,"AAAAAH+/sac=")</f>
        <v>#REF!</v>
      </c>
      <c r="FM36" t="e">
        <f>AND(#REF!,"AAAAAH+/sag=")</f>
        <v>#REF!</v>
      </c>
      <c r="FN36" t="e">
        <f>AND(#REF!,"AAAAAH+/sak=")</f>
        <v>#REF!</v>
      </c>
      <c r="FO36" t="e">
        <f>AND(#REF!,"AAAAAH+/sao=")</f>
        <v>#REF!</v>
      </c>
      <c r="FP36" t="e">
        <f>AND(#REF!,"AAAAAH+/sas=")</f>
        <v>#REF!</v>
      </c>
      <c r="FQ36" t="e">
        <f>AND(#REF!,"AAAAAH+/saw=")</f>
        <v>#REF!</v>
      </c>
      <c r="FR36" t="e">
        <f>AND(#REF!,"AAAAAH+/sa0=")</f>
        <v>#REF!</v>
      </c>
      <c r="FS36" t="e">
        <f>AND(#REF!,"AAAAAH+/sa4=")</f>
        <v>#REF!</v>
      </c>
      <c r="FT36" t="e">
        <f>AND(#REF!,"AAAAAH+/sa8=")</f>
        <v>#REF!</v>
      </c>
      <c r="FU36" t="e">
        <f>IF(#REF!,"AAAAAH+/sbA=",0)</f>
        <v>#REF!</v>
      </c>
      <c r="FV36" t="e">
        <f>AND(#REF!,"AAAAAH+/sbE=")</f>
        <v>#REF!</v>
      </c>
      <c r="FW36" t="e">
        <f>AND(#REF!,"AAAAAH+/sbI=")</f>
        <v>#REF!</v>
      </c>
      <c r="FX36" t="e">
        <f>AND(#REF!,"AAAAAH+/sbM=")</f>
        <v>#REF!</v>
      </c>
      <c r="FY36" t="e">
        <f>AND(#REF!,"AAAAAH+/sbQ=")</f>
        <v>#REF!</v>
      </c>
      <c r="FZ36" t="e">
        <f>AND(#REF!,"AAAAAH+/sbU=")</f>
        <v>#REF!</v>
      </c>
      <c r="GA36" t="e">
        <f>AND(#REF!,"AAAAAH+/sbY=")</f>
        <v>#REF!</v>
      </c>
      <c r="GB36" t="e">
        <f>AND(#REF!,"AAAAAH+/sbc=")</f>
        <v>#REF!</v>
      </c>
      <c r="GC36" t="e">
        <f>AND(#REF!,"AAAAAH+/sbg=")</f>
        <v>#REF!</v>
      </c>
      <c r="GD36" t="e">
        <f>AND(#REF!,"AAAAAH+/sbk=")</f>
        <v>#REF!</v>
      </c>
      <c r="GE36" t="e">
        <f>AND(#REF!,"AAAAAH+/sbo=")</f>
        <v>#REF!</v>
      </c>
      <c r="GF36" t="e">
        <f>AND(#REF!,"AAAAAH+/sbs=")</f>
        <v>#REF!</v>
      </c>
      <c r="GG36" t="e">
        <f>AND(#REF!,"AAAAAH+/sbw=")</f>
        <v>#REF!</v>
      </c>
      <c r="GH36" t="e">
        <f>AND(#REF!,"AAAAAH+/sb0=")</f>
        <v>#REF!</v>
      </c>
      <c r="GI36" t="e">
        <f>AND(#REF!,"AAAAAH+/sb4=")</f>
        <v>#REF!</v>
      </c>
      <c r="GJ36" t="e">
        <f>AND(#REF!,"AAAAAH+/sb8=")</f>
        <v>#REF!</v>
      </c>
      <c r="GK36" t="e">
        <f>AND(#REF!,"AAAAAH+/scA=")</f>
        <v>#REF!</v>
      </c>
      <c r="GL36" t="e">
        <f>AND(#REF!,"AAAAAH+/scE=")</f>
        <v>#REF!</v>
      </c>
      <c r="GM36" t="e">
        <f>AND(#REF!,"AAAAAH+/scI=")</f>
        <v>#REF!</v>
      </c>
      <c r="GN36" t="e">
        <f>AND(#REF!,"AAAAAH+/scM=")</f>
        <v>#REF!</v>
      </c>
      <c r="GO36" t="e">
        <f>AND(#REF!,"AAAAAH+/scQ=")</f>
        <v>#REF!</v>
      </c>
      <c r="GP36" t="e">
        <f>AND(#REF!,"AAAAAH+/scU=")</f>
        <v>#REF!</v>
      </c>
      <c r="GQ36" t="e">
        <f>AND(#REF!,"AAAAAH+/scY=")</f>
        <v>#REF!</v>
      </c>
      <c r="GR36" t="e">
        <f>AND(#REF!,"AAAAAH+/scc=")</f>
        <v>#REF!</v>
      </c>
      <c r="GS36" t="e">
        <f>AND(#REF!,"AAAAAH+/scg=")</f>
        <v>#REF!</v>
      </c>
      <c r="GT36" t="e">
        <f>AND(#REF!,"AAAAAH+/sck=")</f>
        <v>#REF!</v>
      </c>
      <c r="GU36" t="e">
        <f>AND(#REF!,"AAAAAH+/sco=")</f>
        <v>#REF!</v>
      </c>
      <c r="GV36" t="e">
        <f>AND(#REF!,"AAAAAH+/scs=")</f>
        <v>#REF!</v>
      </c>
      <c r="GW36" t="e">
        <f>AND(#REF!,"AAAAAH+/scw=")</f>
        <v>#REF!</v>
      </c>
      <c r="GX36" t="e">
        <f>AND(#REF!,"AAAAAH+/sc0=")</f>
        <v>#REF!</v>
      </c>
      <c r="GY36" t="e">
        <f>AND(#REF!,"AAAAAH+/sc4=")</f>
        <v>#REF!</v>
      </c>
      <c r="GZ36" t="e">
        <f>AND(#REF!,"AAAAAH+/sc8=")</f>
        <v>#REF!</v>
      </c>
      <c r="HA36" t="e">
        <f>AND(#REF!,"AAAAAH+/sdA=")</f>
        <v>#REF!</v>
      </c>
      <c r="HB36" t="e">
        <f>AND(#REF!,"AAAAAH+/sdE=")</f>
        <v>#REF!</v>
      </c>
      <c r="HC36" t="e">
        <f>AND(#REF!,"AAAAAH+/sdI=")</f>
        <v>#REF!</v>
      </c>
      <c r="HD36" t="e">
        <f>AND(#REF!,"AAAAAH+/sdM=")</f>
        <v>#REF!</v>
      </c>
      <c r="HE36" t="e">
        <f>IF(#REF!,"AAAAAH+/sdQ=",0)</f>
        <v>#REF!</v>
      </c>
      <c r="HF36" t="e">
        <f>AND(#REF!,"AAAAAH+/sdU=")</f>
        <v>#REF!</v>
      </c>
      <c r="HG36" t="e">
        <f>AND(#REF!,"AAAAAH+/sdY=")</f>
        <v>#REF!</v>
      </c>
      <c r="HH36" t="e">
        <f>AND(#REF!,"AAAAAH+/sdc=")</f>
        <v>#REF!</v>
      </c>
      <c r="HI36" t="e">
        <f>AND(#REF!,"AAAAAH+/sdg=")</f>
        <v>#REF!</v>
      </c>
      <c r="HJ36" t="e">
        <f>AND(#REF!,"AAAAAH+/sdk=")</f>
        <v>#REF!</v>
      </c>
      <c r="HK36" t="e">
        <f>AND(#REF!,"AAAAAH+/sdo=")</f>
        <v>#REF!</v>
      </c>
      <c r="HL36" t="e">
        <f>AND(#REF!,"AAAAAH+/sds=")</f>
        <v>#REF!</v>
      </c>
      <c r="HM36" t="e">
        <f>AND(#REF!,"AAAAAH+/sdw=")</f>
        <v>#REF!</v>
      </c>
      <c r="HN36" t="e">
        <f>AND(#REF!,"AAAAAH+/sd0=")</f>
        <v>#REF!</v>
      </c>
      <c r="HO36" t="e">
        <f>AND(#REF!,"AAAAAH+/sd4=")</f>
        <v>#REF!</v>
      </c>
      <c r="HP36" t="e">
        <f>AND(#REF!,"AAAAAH+/sd8=")</f>
        <v>#REF!</v>
      </c>
      <c r="HQ36" t="e">
        <f>AND(#REF!,"AAAAAH+/seA=")</f>
        <v>#REF!</v>
      </c>
      <c r="HR36" t="e">
        <f>AND(#REF!,"AAAAAH+/seE=")</f>
        <v>#REF!</v>
      </c>
      <c r="HS36" t="e">
        <f>AND(#REF!,"AAAAAH+/seI=")</f>
        <v>#REF!</v>
      </c>
      <c r="HT36" t="e">
        <f>AND(#REF!,"AAAAAH+/seM=")</f>
        <v>#REF!</v>
      </c>
      <c r="HU36" t="e">
        <f>AND(#REF!,"AAAAAH+/seQ=")</f>
        <v>#REF!</v>
      </c>
      <c r="HV36" t="e">
        <f>AND(#REF!,"AAAAAH+/seU=")</f>
        <v>#REF!</v>
      </c>
      <c r="HW36" t="e">
        <f>AND(#REF!,"AAAAAH+/seY=")</f>
        <v>#REF!</v>
      </c>
      <c r="HX36" t="e">
        <f>AND(#REF!,"AAAAAH+/sec=")</f>
        <v>#REF!</v>
      </c>
      <c r="HY36" t="e">
        <f>AND(#REF!,"AAAAAH+/seg=")</f>
        <v>#REF!</v>
      </c>
      <c r="HZ36" t="e">
        <f>AND(#REF!,"AAAAAH+/sek=")</f>
        <v>#REF!</v>
      </c>
      <c r="IA36" t="e">
        <f>AND(#REF!,"AAAAAH+/seo=")</f>
        <v>#REF!</v>
      </c>
      <c r="IB36" t="e">
        <f>AND(#REF!,"AAAAAH+/ses=")</f>
        <v>#REF!</v>
      </c>
      <c r="IC36" t="e">
        <f>AND(#REF!,"AAAAAH+/sew=")</f>
        <v>#REF!</v>
      </c>
      <c r="ID36" t="e">
        <f>AND(#REF!,"AAAAAH+/se0=")</f>
        <v>#REF!</v>
      </c>
      <c r="IE36" t="e">
        <f>AND(#REF!,"AAAAAH+/se4=")</f>
        <v>#REF!</v>
      </c>
      <c r="IF36" t="e">
        <f>AND(#REF!,"AAAAAH+/se8=")</f>
        <v>#REF!</v>
      </c>
      <c r="IG36" t="e">
        <f>AND(#REF!,"AAAAAH+/sfA=")</f>
        <v>#REF!</v>
      </c>
      <c r="IH36" t="e">
        <f>AND(#REF!,"AAAAAH+/sfE=")</f>
        <v>#REF!</v>
      </c>
      <c r="II36" t="e">
        <f>AND(#REF!,"AAAAAH+/sfI=")</f>
        <v>#REF!</v>
      </c>
      <c r="IJ36" t="e">
        <f>AND(#REF!,"AAAAAH+/sfM=")</f>
        <v>#REF!</v>
      </c>
      <c r="IK36" t="e">
        <f>AND(#REF!,"AAAAAH+/sfQ=")</f>
        <v>#REF!</v>
      </c>
      <c r="IL36" t="e">
        <f>AND(#REF!,"AAAAAH+/sfU=")</f>
        <v>#REF!</v>
      </c>
      <c r="IM36" t="e">
        <f>AND(#REF!,"AAAAAH+/sfY=")</f>
        <v>#REF!</v>
      </c>
      <c r="IN36" t="e">
        <f>AND(#REF!,"AAAAAH+/sfc=")</f>
        <v>#REF!</v>
      </c>
      <c r="IO36" t="e">
        <f>IF(#REF!,"AAAAAH+/sfg=",0)</f>
        <v>#REF!</v>
      </c>
      <c r="IP36" t="e">
        <f>AND(#REF!,"AAAAAH+/sfk=")</f>
        <v>#REF!</v>
      </c>
      <c r="IQ36" t="e">
        <f>AND(#REF!,"AAAAAH+/sfo=")</f>
        <v>#REF!</v>
      </c>
      <c r="IR36" t="e">
        <f>AND(#REF!,"AAAAAH+/sfs=")</f>
        <v>#REF!</v>
      </c>
      <c r="IS36" t="e">
        <f>AND(#REF!,"AAAAAH+/sfw=")</f>
        <v>#REF!</v>
      </c>
      <c r="IT36" t="e">
        <f>AND(#REF!,"AAAAAH+/sf0=")</f>
        <v>#REF!</v>
      </c>
      <c r="IU36" t="e">
        <f>AND(#REF!,"AAAAAH+/sf4=")</f>
        <v>#REF!</v>
      </c>
      <c r="IV36" t="e">
        <f>AND(#REF!,"AAAAAH+/sf8=")</f>
        <v>#REF!</v>
      </c>
    </row>
    <row r="37" spans="1:256">
      <c r="A37" t="e">
        <f>AND(#REF!,"AAAAAH337wA=")</f>
        <v>#REF!</v>
      </c>
      <c r="B37" t="e">
        <f>AND(#REF!,"AAAAAH337wE=")</f>
        <v>#REF!</v>
      </c>
      <c r="C37" t="e">
        <f>AND(#REF!,"AAAAAH337wI=")</f>
        <v>#REF!</v>
      </c>
      <c r="D37" t="e">
        <f>AND(#REF!,"AAAAAH337wM=")</f>
        <v>#REF!</v>
      </c>
      <c r="E37" t="e">
        <f>AND(#REF!,"AAAAAH337wQ=")</f>
        <v>#REF!</v>
      </c>
      <c r="F37" t="e">
        <f>AND(#REF!,"AAAAAH337wU=")</f>
        <v>#REF!</v>
      </c>
      <c r="G37" t="e">
        <f>AND(#REF!,"AAAAAH337wY=")</f>
        <v>#REF!</v>
      </c>
      <c r="H37" t="e">
        <f>AND(#REF!,"AAAAAH337wc=")</f>
        <v>#REF!</v>
      </c>
      <c r="I37" t="e">
        <f>AND(#REF!,"AAAAAH337wg=")</f>
        <v>#REF!</v>
      </c>
      <c r="J37" t="e">
        <f>AND(#REF!,"AAAAAH337wk=")</f>
        <v>#REF!</v>
      </c>
      <c r="K37" t="e">
        <f>AND(#REF!,"AAAAAH337wo=")</f>
        <v>#REF!</v>
      </c>
      <c r="L37" t="e">
        <f>AND(#REF!,"AAAAAH337ws=")</f>
        <v>#REF!</v>
      </c>
      <c r="M37" t="e">
        <f>AND(#REF!,"AAAAAH337ww=")</f>
        <v>#REF!</v>
      </c>
      <c r="N37" t="e">
        <f>AND(#REF!,"AAAAAH337w0=")</f>
        <v>#REF!</v>
      </c>
      <c r="O37" t="e">
        <f>AND(#REF!,"AAAAAH337w4=")</f>
        <v>#REF!</v>
      </c>
      <c r="P37" t="e">
        <f>AND(#REF!,"AAAAAH337w8=")</f>
        <v>#REF!</v>
      </c>
      <c r="Q37" t="e">
        <f>AND(#REF!,"AAAAAH337xA=")</f>
        <v>#REF!</v>
      </c>
      <c r="R37" t="e">
        <f>AND(#REF!,"AAAAAH337xE=")</f>
        <v>#REF!</v>
      </c>
      <c r="S37" t="e">
        <f>AND(#REF!,"AAAAAH337xI=")</f>
        <v>#REF!</v>
      </c>
      <c r="T37" t="e">
        <f>AND(#REF!,"AAAAAH337xM=")</f>
        <v>#REF!</v>
      </c>
      <c r="U37" t="e">
        <f>AND(#REF!,"AAAAAH337xQ=")</f>
        <v>#REF!</v>
      </c>
      <c r="V37" t="e">
        <f>AND(#REF!,"AAAAAH337xU=")</f>
        <v>#REF!</v>
      </c>
      <c r="W37" t="e">
        <f>AND(#REF!,"AAAAAH337xY=")</f>
        <v>#REF!</v>
      </c>
      <c r="X37" t="e">
        <f>AND(#REF!,"AAAAAH337xc=")</f>
        <v>#REF!</v>
      </c>
      <c r="Y37" t="e">
        <f>AND(#REF!,"AAAAAH337xg=")</f>
        <v>#REF!</v>
      </c>
      <c r="Z37" t="e">
        <f>AND(#REF!,"AAAAAH337xk=")</f>
        <v>#REF!</v>
      </c>
      <c r="AA37" t="e">
        <f>AND(#REF!,"AAAAAH337xo=")</f>
        <v>#REF!</v>
      </c>
      <c r="AB37" t="e">
        <f>AND(#REF!,"AAAAAH337xs=")</f>
        <v>#REF!</v>
      </c>
      <c r="AC37" t="e">
        <f>IF(#REF!,"AAAAAH337xw=",0)</f>
        <v>#REF!</v>
      </c>
      <c r="AD37" t="e">
        <f>AND(#REF!,"AAAAAH337x0=")</f>
        <v>#REF!</v>
      </c>
      <c r="AE37" t="e">
        <f>AND(#REF!,"AAAAAH337x4=")</f>
        <v>#REF!</v>
      </c>
      <c r="AF37" t="e">
        <f>AND(#REF!,"AAAAAH337x8=")</f>
        <v>#REF!</v>
      </c>
      <c r="AG37" t="e">
        <f>AND(#REF!,"AAAAAH337yA=")</f>
        <v>#REF!</v>
      </c>
      <c r="AH37" t="e">
        <f>AND(#REF!,"AAAAAH337yE=")</f>
        <v>#REF!</v>
      </c>
      <c r="AI37" t="e">
        <f>AND(#REF!,"AAAAAH337yI=")</f>
        <v>#REF!</v>
      </c>
      <c r="AJ37" t="e">
        <f>AND(#REF!,"AAAAAH337yM=")</f>
        <v>#REF!</v>
      </c>
      <c r="AK37" t="e">
        <f>AND(#REF!,"AAAAAH337yQ=")</f>
        <v>#REF!</v>
      </c>
      <c r="AL37" t="e">
        <f>AND(#REF!,"AAAAAH337yU=")</f>
        <v>#REF!</v>
      </c>
      <c r="AM37" t="e">
        <f>AND(#REF!,"AAAAAH337yY=")</f>
        <v>#REF!</v>
      </c>
      <c r="AN37" t="e">
        <f>AND(#REF!,"AAAAAH337yc=")</f>
        <v>#REF!</v>
      </c>
      <c r="AO37" t="e">
        <f>AND(#REF!,"AAAAAH337yg=")</f>
        <v>#REF!</v>
      </c>
      <c r="AP37" t="e">
        <f>AND(#REF!,"AAAAAH337yk=")</f>
        <v>#REF!</v>
      </c>
      <c r="AQ37" t="e">
        <f>AND(#REF!,"AAAAAH337yo=")</f>
        <v>#REF!</v>
      </c>
      <c r="AR37" t="e">
        <f>AND(#REF!,"AAAAAH337ys=")</f>
        <v>#REF!</v>
      </c>
      <c r="AS37" t="e">
        <f>AND(#REF!,"AAAAAH337yw=")</f>
        <v>#REF!</v>
      </c>
      <c r="AT37" t="e">
        <f>AND(#REF!,"AAAAAH337y0=")</f>
        <v>#REF!</v>
      </c>
      <c r="AU37" t="e">
        <f>AND(#REF!,"AAAAAH337y4=")</f>
        <v>#REF!</v>
      </c>
      <c r="AV37" t="e">
        <f>AND(#REF!,"AAAAAH337y8=")</f>
        <v>#REF!</v>
      </c>
      <c r="AW37" t="e">
        <f>AND(#REF!,"AAAAAH337zA=")</f>
        <v>#REF!</v>
      </c>
      <c r="AX37" t="e">
        <f>AND(#REF!,"AAAAAH337zE=")</f>
        <v>#REF!</v>
      </c>
      <c r="AY37" t="e">
        <f>AND(#REF!,"AAAAAH337zI=")</f>
        <v>#REF!</v>
      </c>
      <c r="AZ37" t="e">
        <f>AND(#REF!,"AAAAAH337zM=")</f>
        <v>#REF!</v>
      </c>
      <c r="BA37" t="e">
        <f>AND(#REF!,"AAAAAH337zQ=")</f>
        <v>#REF!</v>
      </c>
      <c r="BB37" t="e">
        <f>AND(#REF!,"AAAAAH337zU=")</f>
        <v>#REF!</v>
      </c>
      <c r="BC37" t="e">
        <f>AND(#REF!,"AAAAAH337zY=")</f>
        <v>#REF!</v>
      </c>
      <c r="BD37" t="e">
        <f>AND(#REF!,"AAAAAH337zc=")</f>
        <v>#REF!</v>
      </c>
      <c r="BE37" t="e">
        <f>AND(#REF!,"AAAAAH337zg=")</f>
        <v>#REF!</v>
      </c>
      <c r="BF37" t="e">
        <f>AND(#REF!,"AAAAAH337zk=")</f>
        <v>#REF!</v>
      </c>
      <c r="BG37" t="e">
        <f>AND(#REF!,"AAAAAH337zo=")</f>
        <v>#REF!</v>
      </c>
      <c r="BH37" t="e">
        <f>AND(#REF!,"AAAAAH337zs=")</f>
        <v>#REF!</v>
      </c>
      <c r="BI37" t="e">
        <f>AND(#REF!,"AAAAAH337zw=")</f>
        <v>#REF!</v>
      </c>
      <c r="BJ37" t="e">
        <f>AND(#REF!,"AAAAAH337z0=")</f>
        <v>#REF!</v>
      </c>
      <c r="BK37" t="e">
        <f>AND(#REF!,"AAAAAH337z4=")</f>
        <v>#REF!</v>
      </c>
      <c r="BL37" t="e">
        <f>AND(#REF!,"AAAAAH337z8=")</f>
        <v>#REF!</v>
      </c>
      <c r="BM37" t="e">
        <f>IF(#REF!,"AAAAAH3370A=",0)</f>
        <v>#REF!</v>
      </c>
      <c r="BN37" t="e">
        <f>AND(#REF!,"AAAAAH3370E=")</f>
        <v>#REF!</v>
      </c>
      <c r="BO37" t="e">
        <f>AND(#REF!,"AAAAAH3370I=")</f>
        <v>#REF!</v>
      </c>
      <c r="BP37" t="e">
        <f>AND(#REF!,"AAAAAH3370M=")</f>
        <v>#REF!</v>
      </c>
      <c r="BQ37" t="e">
        <f>AND(#REF!,"AAAAAH3370Q=")</f>
        <v>#REF!</v>
      </c>
      <c r="BR37" t="e">
        <f>AND(#REF!,"AAAAAH3370U=")</f>
        <v>#REF!</v>
      </c>
      <c r="BS37" t="e">
        <f>AND(#REF!,"AAAAAH3370Y=")</f>
        <v>#REF!</v>
      </c>
      <c r="BT37" t="e">
        <f>AND(#REF!,"AAAAAH3370c=")</f>
        <v>#REF!</v>
      </c>
      <c r="BU37" t="e">
        <f>AND(#REF!,"AAAAAH3370g=")</f>
        <v>#REF!</v>
      </c>
      <c r="BV37" t="e">
        <f>AND(#REF!,"AAAAAH3370k=")</f>
        <v>#REF!</v>
      </c>
      <c r="BW37" t="e">
        <f>AND(#REF!,"AAAAAH3370o=")</f>
        <v>#REF!</v>
      </c>
      <c r="BX37" t="e">
        <f>AND(#REF!,"AAAAAH3370s=")</f>
        <v>#REF!</v>
      </c>
      <c r="BY37" t="e">
        <f>AND(#REF!,"AAAAAH3370w=")</f>
        <v>#REF!</v>
      </c>
      <c r="BZ37" t="e">
        <f>AND(#REF!,"AAAAAH33700=")</f>
        <v>#REF!</v>
      </c>
      <c r="CA37" t="e">
        <f>AND(#REF!,"AAAAAH33704=")</f>
        <v>#REF!</v>
      </c>
      <c r="CB37" t="e">
        <f>AND(#REF!,"AAAAAH33708=")</f>
        <v>#REF!</v>
      </c>
      <c r="CC37" t="e">
        <f>AND(#REF!,"AAAAAH3371A=")</f>
        <v>#REF!</v>
      </c>
      <c r="CD37" t="e">
        <f>AND(#REF!,"AAAAAH3371E=")</f>
        <v>#REF!</v>
      </c>
      <c r="CE37" t="e">
        <f>AND(#REF!,"AAAAAH3371I=")</f>
        <v>#REF!</v>
      </c>
      <c r="CF37" t="e">
        <f>AND(#REF!,"AAAAAH3371M=")</f>
        <v>#REF!</v>
      </c>
      <c r="CG37" t="e">
        <f>AND(#REF!,"AAAAAH3371Q=")</f>
        <v>#REF!</v>
      </c>
      <c r="CH37" t="e">
        <f>AND(#REF!,"AAAAAH3371U=")</f>
        <v>#REF!</v>
      </c>
      <c r="CI37" t="e">
        <f>AND(#REF!,"AAAAAH3371Y=")</f>
        <v>#REF!</v>
      </c>
      <c r="CJ37" t="e">
        <f>AND(#REF!,"AAAAAH3371c=")</f>
        <v>#REF!</v>
      </c>
      <c r="CK37" t="e">
        <f>AND(#REF!,"AAAAAH3371g=")</f>
        <v>#REF!</v>
      </c>
      <c r="CL37" t="e">
        <f>AND(#REF!,"AAAAAH3371k=")</f>
        <v>#REF!</v>
      </c>
      <c r="CM37" t="e">
        <f>AND(#REF!,"AAAAAH3371o=")</f>
        <v>#REF!</v>
      </c>
      <c r="CN37" t="e">
        <f>AND(#REF!,"AAAAAH3371s=")</f>
        <v>#REF!</v>
      </c>
      <c r="CO37" t="e">
        <f>AND(#REF!,"AAAAAH3371w=")</f>
        <v>#REF!</v>
      </c>
      <c r="CP37" t="e">
        <f>AND(#REF!,"AAAAAH33710=")</f>
        <v>#REF!</v>
      </c>
      <c r="CQ37" t="e">
        <f>AND(#REF!,"AAAAAH33714=")</f>
        <v>#REF!</v>
      </c>
      <c r="CR37" t="e">
        <f>AND(#REF!,"AAAAAH33718=")</f>
        <v>#REF!</v>
      </c>
      <c r="CS37" t="e">
        <f>AND(#REF!,"AAAAAH3372A=")</f>
        <v>#REF!</v>
      </c>
      <c r="CT37" t="e">
        <f>AND(#REF!,"AAAAAH3372E=")</f>
        <v>#REF!</v>
      </c>
      <c r="CU37" t="e">
        <f>AND(#REF!,"AAAAAH3372I=")</f>
        <v>#REF!</v>
      </c>
      <c r="CV37" t="e">
        <f>AND(#REF!,"AAAAAH3372M=")</f>
        <v>#REF!</v>
      </c>
      <c r="CW37" t="e">
        <f>IF(#REF!,"AAAAAH3372Q=",0)</f>
        <v>#REF!</v>
      </c>
      <c r="CX37" t="e">
        <f>IF(#REF!,"AAAAAH3372U=",0)</f>
        <v>#REF!</v>
      </c>
      <c r="CY37" t="e">
        <f>IF(#REF!,"AAAAAH3372Y=",0)</f>
        <v>#REF!</v>
      </c>
      <c r="CZ37" t="e">
        <f>IF(#REF!,"AAAAAH3372c=",0)</f>
        <v>#REF!</v>
      </c>
      <c r="DA37" t="e">
        <f>IF(#REF!,"AAAAAH3372g=",0)</f>
        <v>#REF!</v>
      </c>
      <c r="DB37" t="e">
        <f>IF(#REF!,"AAAAAH3372k=",0)</f>
        <v>#REF!</v>
      </c>
      <c r="DC37" t="e">
        <f>IF(#REF!,"AAAAAH3372o=",0)</f>
        <v>#REF!</v>
      </c>
      <c r="DD37" t="e">
        <f>IF(#REF!,"AAAAAH3372s=",0)</f>
        <v>#REF!</v>
      </c>
      <c r="DE37" t="e">
        <f>IF(#REF!,"AAAAAH3372w=",0)</f>
        <v>#REF!</v>
      </c>
      <c r="DF37" t="e">
        <f>IF(#REF!,"AAAAAH33720=",0)</f>
        <v>#REF!</v>
      </c>
      <c r="DG37" t="e">
        <f>IF(#REF!,"AAAAAH33724=",0)</f>
        <v>#REF!</v>
      </c>
      <c r="DH37" t="e">
        <f>IF(#REF!,"AAAAAH33728=",0)</f>
        <v>#REF!</v>
      </c>
      <c r="DI37" t="e">
        <f>IF(#REF!,"AAAAAH3373A=",0)</f>
        <v>#REF!</v>
      </c>
      <c r="DJ37" t="e">
        <f>IF(#REF!,"AAAAAH3373E=",0)</f>
        <v>#REF!</v>
      </c>
      <c r="DK37" t="e">
        <f>IF(#REF!,"AAAAAH3373I=",0)</f>
        <v>#REF!</v>
      </c>
      <c r="DL37" t="e">
        <f>IF(#REF!,"AAAAAH3373M=",0)</f>
        <v>#REF!</v>
      </c>
      <c r="DM37" t="e">
        <f>IF(#REF!,"AAAAAH3373Q=",0)</f>
        <v>#REF!</v>
      </c>
      <c r="DN37" t="e">
        <f>IF(#REF!,"AAAAAH3373U=",0)</f>
        <v>#REF!</v>
      </c>
      <c r="DO37" t="e">
        <f>IF(#REF!,"AAAAAH3373Y=",0)</f>
        <v>#REF!</v>
      </c>
      <c r="DP37" t="e">
        <f>IF(#REF!,"AAAAAH3373c=",0)</f>
        <v>#REF!</v>
      </c>
      <c r="DQ37" t="e">
        <f>IF(#REF!,"AAAAAH3373g=",0)</f>
        <v>#REF!</v>
      </c>
      <c r="DR37" t="e">
        <f>IF(#REF!,"AAAAAH3373k=",0)</f>
        <v>#REF!</v>
      </c>
      <c r="DS37" t="e">
        <f>IF(#REF!,"AAAAAH3373o=",0)</f>
        <v>#REF!</v>
      </c>
      <c r="DT37" t="e">
        <f>IF(#REF!,"AAAAAH3373s=",0)</f>
        <v>#REF!</v>
      </c>
      <c r="DU37" t="e">
        <f>IF(#REF!,"AAAAAH3373w=",0)</f>
        <v>#REF!</v>
      </c>
      <c r="DV37" t="e">
        <f>IF(#REF!,"AAAAAH33730=",0)</f>
        <v>#REF!</v>
      </c>
      <c r="DW37" t="e">
        <f>IF(#REF!,"AAAAAH33734=",0)</f>
        <v>#REF!</v>
      </c>
      <c r="DX37" t="e">
        <f>IF(#REF!,"AAAAAH33738=",0)</f>
        <v>#REF!</v>
      </c>
      <c r="DY37" t="e">
        <f>IF(#REF!,"AAAAAH3374A=",0)</f>
        <v>#REF!</v>
      </c>
      <c r="DZ37" t="e">
        <f>IF(#REF!,"AAAAAH3374E=",0)</f>
        <v>#REF!</v>
      </c>
      <c r="EA37" t="e">
        <f>IF(#REF!,"AAAAAH3374I=",0)</f>
        <v>#REF!</v>
      </c>
      <c r="EB37" t="e">
        <f>IF(#REF!,"AAAAAH3374M=",0)</f>
        <v>#REF!</v>
      </c>
      <c r="EC37" t="e">
        <f>IF(#REF!,"AAAAAH3374Q=",0)</f>
        <v>#REF!</v>
      </c>
      <c r="ED37" t="e">
        <f>IF(#REF!,"AAAAAH3374U=",0)</f>
        <v>#REF!</v>
      </c>
      <c r="EE37" t="e">
        <f>IF(#REF!,"AAAAAH3374Y=",0)</f>
        <v>#REF!</v>
      </c>
      <c r="EF37" t="e">
        <f>IF(#REF!,"AAAAAH3374c=",0)</f>
        <v>#REF!</v>
      </c>
      <c r="EG37" t="e">
        <f>IF(#REF!,"AAAAAH3374g=",0)</f>
        <v>#REF!</v>
      </c>
      <c r="EH37" t="e">
        <f>IF(#REF!,"AAAAAH3374k=",0)</f>
        <v>#REF!</v>
      </c>
      <c r="EI37" t="e">
        <f>IF(#REF!,"AAAAAH3374o=",0)</f>
        <v>#REF!</v>
      </c>
      <c r="EJ37" t="e">
        <f>IF(#REF!,"AAAAAH3374s=",0)</f>
        <v>#REF!</v>
      </c>
      <c r="EK37" t="e">
        <f>IF(#REF!,"AAAAAH3374w=",0)</f>
        <v>#REF!</v>
      </c>
      <c r="EL37" t="e">
        <f>IF(#REF!,"AAAAAH33740=",0)</f>
        <v>#REF!</v>
      </c>
      <c r="EM37" t="e">
        <f>IF(#REF!,"AAAAAH33744=",0)</f>
        <v>#REF!</v>
      </c>
      <c r="EN37" t="e">
        <f>IF(#REF!,"AAAAAH33748=",0)</f>
        <v>#REF!</v>
      </c>
      <c r="EO37" t="e">
        <f>IF(#REF!,"AAAAAH3375A=",0)</f>
        <v>#REF!</v>
      </c>
      <c r="EP37" t="e">
        <f>IF(#REF!,"AAAAAH3375E=",0)</f>
        <v>#REF!</v>
      </c>
      <c r="EQ37" t="e">
        <f>IF(#REF!,"AAAAAH3375I=",0)</f>
        <v>#REF!</v>
      </c>
      <c r="ER37" t="e">
        <f>IF(#REF!,"AAAAAH3375M=",0)</f>
        <v>#REF!</v>
      </c>
      <c r="ES37" t="e">
        <f>IF(#REF!,"AAAAAH3375Q=",0)</f>
        <v>#REF!</v>
      </c>
      <c r="ET37" t="e">
        <f>IF(#REF!,"AAAAAH3375U=",0)</f>
        <v>#REF!</v>
      </c>
      <c r="EU37" t="e">
        <f>IF(#REF!,"AAAAAH3375Y=",0)</f>
        <v>#REF!</v>
      </c>
      <c r="EV37" t="e">
        <f>IF(#REF!,"AAAAAH3375c=",0)</f>
        <v>#REF!</v>
      </c>
      <c r="EW37" t="e">
        <f>IF(#REF!,"AAAAAH3375g=",0)</f>
        <v>#REF!</v>
      </c>
      <c r="EX37" t="e">
        <f>IF(#REF!,"AAAAAH3375k=",0)</f>
        <v>#REF!</v>
      </c>
      <c r="EY37" t="e">
        <f>IF(#REF!,"AAAAAH3375o=",0)</f>
        <v>#REF!</v>
      </c>
      <c r="EZ37" t="e">
        <f>IF(#REF!,"AAAAAH3375s=",0)</f>
        <v>#REF!</v>
      </c>
      <c r="FA37" t="e">
        <f>IF(#REF!,"AAAAAH3375w=",0)</f>
        <v>#REF!</v>
      </c>
      <c r="FB37" t="e">
        <f>AND(#REF!,"AAAAAH33750=")</f>
        <v>#REF!</v>
      </c>
      <c r="FC37" t="e">
        <f>AND(#REF!,"AAAAAH33754=")</f>
        <v>#REF!</v>
      </c>
      <c r="FD37" t="e">
        <f>AND(#REF!,"AAAAAH33758=")</f>
        <v>#REF!</v>
      </c>
      <c r="FE37" t="e">
        <f>AND(#REF!,"AAAAAH3376A=")</f>
        <v>#REF!</v>
      </c>
      <c r="FF37" t="e">
        <f>AND(#REF!,"AAAAAH3376E=")</f>
        <v>#REF!</v>
      </c>
      <c r="FG37" t="e">
        <f>AND(#REF!,"AAAAAH3376I=")</f>
        <v>#REF!</v>
      </c>
      <c r="FH37" t="e">
        <f>AND(#REF!,"AAAAAH3376M=")</f>
        <v>#REF!</v>
      </c>
      <c r="FI37" t="e">
        <f>AND(#REF!,"AAAAAH3376Q=")</f>
        <v>#REF!</v>
      </c>
      <c r="FJ37" t="e">
        <f>AND(#REF!,"AAAAAH3376U=")</f>
        <v>#REF!</v>
      </c>
      <c r="FK37" t="e">
        <f>AND(#REF!,"AAAAAH3376Y=")</f>
        <v>#REF!</v>
      </c>
      <c r="FL37" t="e">
        <f>AND(#REF!,"AAAAAH3376c=")</f>
        <v>#REF!</v>
      </c>
      <c r="FM37" t="e">
        <f>AND(#REF!,"AAAAAH3376g=")</f>
        <v>#REF!</v>
      </c>
      <c r="FN37" t="e">
        <f>AND(#REF!,"AAAAAH3376k=")</f>
        <v>#REF!</v>
      </c>
      <c r="FO37" t="e">
        <f>AND(#REF!,"AAAAAH3376o=")</f>
        <v>#REF!</v>
      </c>
      <c r="FP37" t="e">
        <f>AND(#REF!,"AAAAAH3376s=")</f>
        <v>#REF!</v>
      </c>
      <c r="FQ37" t="e">
        <f>AND(#REF!,"AAAAAH3376w=")</f>
        <v>#REF!</v>
      </c>
      <c r="FR37" t="e">
        <f>AND(#REF!,"AAAAAH33760=")</f>
        <v>#REF!</v>
      </c>
      <c r="FS37" t="e">
        <f>AND(#REF!,"AAAAAH33764=")</f>
        <v>#REF!</v>
      </c>
      <c r="FT37" t="e">
        <f>AND(#REF!,"AAAAAH33768=")</f>
        <v>#REF!</v>
      </c>
      <c r="FU37" t="e">
        <f>AND(#REF!,"AAAAAH3377A=")</f>
        <v>#REF!</v>
      </c>
      <c r="FV37" t="e">
        <f>AND(#REF!,"AAAAAH3377E=")</f>
        <v>#REF!</v>
      </c>
      <c r="FW37" t="e">
        <f>AND(#REF!,"AAAAAH3377I=")</f>
        <v>#REF!</v>
      </c>
      <c r="FX37" t="e">
        <f>AND(#REF!,"AAAAAH3377M=")</f>
        <v>#REF!</v>
      </c>
      <c r="FY37" t="e">
        <f>AND(#REF!,"AAAAAH3377Q=")</f>
        <v>#REF!</v>
      </c>
      <c r="FZ37" t="e">
        <f>AND(#REF!,"AAAAAH3377U=")</f>
        <v>#REF!</v>
      </c>
      <c r="GA37" t="e">
        <f>AND(#REF!,"AAAAAH3377Y=")</f>
        <v>#REF!</v>
      </c>
      <c r="GB37" t="e">
        <f>AND(#REF!,"AAAAAH3377c=")</f>
        <v>#REF!</v>
      </c>
      <c r="GC37" t="e">
        <f>AND(#REF!,"AAAAAH3377g=")</f>
        <v>#REF!</v>
      </c>
      <c r="GD37" t="e">
        <f>AND(#REF!,"AAAAAH3377k=")</f>
        <v>#REF!</v>
      </c>
      <c r="GE37" t="e">
        <f>AND(#REF!,"AAAAAH3377o=")</f>
        <v>#REF!</v>
      </c>
      <c r="GF37" t="e">
        <f>AND(#REF!,"AAAAAH3377s=")</f>
        <v>#REF!</v>
      </c>
      <c r="GG37" t="e">
        <f>AND(#REF!,"AAAAAH3377w=")</f>
        <v>#REF!</v>
      </c>
      <c r="GH37" t="e">
        <f>AND(#REF!,"AAAAAH33770=")</f>
        <v>#REF!</v>
      </c>
      <c r="GI37" t="e">
        <f>AND(#REF!,"AAAAAH33774=")</f>
        <v>#REF!</v>
      </c>
      <c r="GJ37" t="e">
        <f>AND(#REF!,"AAAAAH33778=")</f>
        <v>#REF!</v>
      </c>
      <c r="GK37" t="e">
        <f>IF(#REF!,"AAAAAH3378A=",0)</f>
        <v>#REF!</v>
      </c>
      <c r="GL37" t="e">
        <f>AND(#REF!,"AAAAAH3378E=")</f>
        <v>#REF!</v>
      </c>
      <c r="GM37" t="e">
        <f>AND(#REF!,"AAAAAH3378I=")</f>
        <v>#REF!</v>
      </c>
      <c r="GN37" t="e">
        <f>AND(#REF!,"AAAAAH3378M=")</f>
        <v>#REF!</v>
      </c>
      <c r="GO37" t="e">
        <f>AND(#REF!,"AAAAAH3378Q=")</f>
        <v>#REF!</v>
      </c>
      <c r="GP37" t="e">
        <f>AND(#REF!,"AAAAAH3378U=")</f>
        <v>#REF!</v>
      </c>
      <c r="GQ37" t="e">
        <f>AND(#REF!,"AAAAAH3378Y=")</f>
        <v>#REF!</v>
      </c>
      <c r="GR37" t="e">
        <f>AND(#REF!,"AAAAAH3378c=")</f>
        <v>#REF!</v>
      </c>
      <c r="GS37" t="e">
        <f>AND(#REF!,"AAAAAH3378g=")</f>
        <v>#REF!</v>
      </c>
      <c r="GT37" t="e">
        <f>AND(#REF!,"AAAAAH3378k=")</f>
        <v>#REF!</v>
      </c>
      <c r="GU37" t="e">
        <f>AND(#REF!,"AAAAAH3378o=")</f>
        <v>#REF!</v>
      </c>
      <c r="GV37" t="e">
        <f>AND(#REF!,"AAAAAH3378s=")</f>
        <v>#REF!</v>
      </c>
      <c r="GW37" t="e">
        <f>AND(#REF!,"AAAAAH3378w=")</f>
        <v>#REF!</v>
      </c>
      <c r="GX37" t="e">
        <f>AND(#REF!,"AAAAAH33780=")</f>
        <v>#REF!</v>
      </c>
      <c r="GY37" t="e">
        <f>AND(#REF!,"AAAAAH33784=")</f>
        <v>#REF!</v>
      </c>
      <c r="GZ37" t="e">
        <f>AND(#REF!,"AAAAAH33788=")</f>
        <v>#REF!</v>
      </c>
      <c r="HA37" t="e">
        <f>AND(#REF!,"AAAAAH3379A=")</f>
        <v>#REF!</v>
      </c>
      <c r="HB37" t="e">
        <f>AND(#REF!,"AAAAAH3379E=")</f>
        <v>#REF!</v>
      </c>
      <c r="HC37" t="e">
        <f>AND(#REF!,"AAAAAH3379I=")</f>
        <v>#REF!</v>
      </c>
      <c r="HD37" t="e">
        <f>AND(#REF!,"AAAAAH3379M=")</f>
        <v>#REF!</v>
      </c>
      <c r="HE37" t="e">
        <f>AND(#REF!,"AAAAAH3379Q=")</f>
        <v>#REF!</v>
      </c>
      <c r="HF37" t="e">
        <f>AND(#REF!,"AAAAAH3379U=")</f>
        <v>#REF!</v>
      </c>
      <c r="HG37" t="e">
        <f>AND(#REF!,"AAAAAH3379Y=")</f>
        <v>#REF!</v>
      </c>
      <c r="HH37" t="e">
        <f>AND(#REF!,"AAAAAH3379c=")</f>
        <v>#REF!</v>
      </c>
      <c r="HI37" t="e">
        <f>AND(#REF!,"AAAAAH3379g=")</f>
        <v>#REF!</v>
      </c>
      <c r="HJ37" t="e">
        <f>AND(#REF!,"AAAAAH3379k=")</f>
        <v>#REF!</v>
      </c>
      <c r="HK37" t="e">
        <f>AND(#REF!,"AAAAAH3379o=")</f>
        <v>#REF!</v>
      </c>
      <c r="HL37" t="e">
        <f>AND(#REF!,"AAAAAH3379s=")</f>
        <v>#REF!</v>
      </c>
      <c r="HM37" t="e">
        <f>AND(#REF!,"AAAAAH3379w=")</f>
        <v>#REF!</v>
      </c>
      <c r="HN37" t="e">
        <f>AND(#REF!,"AAAAAH33790=")</f>
        <v>#REF!</v>
      </c>
      <c r="HO37" t="e">
        <f>AND(#REF!,"AAAAAH33794=")</f>
        <v>#REF!</v>
      </c>
      <c r="HP37" t="e">
        <f>AND(#REF!,"AAAAAH33798=")</f>
        <v>#REF!</v>
      </c>
      <c r="HQ37" t="e">
        <f>AND(#REF!,"AAAAAH337+A=")</f>
        <v>#REF!</v>
      </c>
      <c r="HR37" t="e">
        <f>AND(#REF!,"AAAAAH337+E=")</f>
        <v>#REF!</v>
      </c>
      <c r="HS37" t="e">
        <f>AND(#REF!,"AAAAAH337+I=")</f>
        <v>#REF!</v>
      </c>
      <c r="HT37" t="e">
        <f>AND(#REF!,"AAAAAH337+M=")</f>
        <v>#REF!</v>
      </c>
      <c r="HU37" t="e">
        <f>IF(#REF!,"AAAAAH337+Q=",0)</f>
        <v>#REF!</v>
      </c>
      <c r="HV37" t="e">
        <f>AND(#REF!,"AAAAAH337+U=")</f>
        <v>#REF!</v>
      </c>
      <c r="HW37" t="e">
        <f>AND(#REF!,"AAAAAH337+Y=")</f>
        <v>#REF!</v>
      </c>
      <c r="HX37" t="e">
        <f>AND(#REF!,"AAAAAH337+c=")</f>
        <v>#REF!</v>
      </c>
      <c r="HY37" t="e">
        <f>AND(#REF!,"AAAAAH337+g=")</f>
        <v>#REF!</v>
      </c>
      <c r="HZ37" t="e">
        <f>AND(#REF!,"AAAAAH337+k=")</f>
        <v>#REF!</v>
      </c>
      <c r="IA37" t="e">
        <f>AND(#REF!,"AAAAAH337+o=")</f>
        <v>#REF!</v>
      </c>
      <c r="IB37" t="e">
        <f>AND(#REF!,"AAAAAH337+s=")</f>
        <v>#REF!</v>
      </c>
      <c r="IC37" t="e">
        <f>AND(#REF!,"AAAAAH337+w=")</f>
        <v>#REF!</v>
      </c>
      <c r="ID37" t="e">
        <f>AND(#REF!,"AAAAAH337+0=")</f>
        <v>#REF!</v>
      </c>
      <c r="IE37" t="e">
        <f>AND(#REF!,"AAAAAH337+4=")</f>
        <v>#REF!</v>
      </c>
      <c r="IF37" t="e">
        <f>AND(#REF!,"AAAAAH337+8=")</f>
        <v>#REF!</v>
      </c>
      <c r="IG37" t="e">
        <f>AND(#REF!,"AAAAAH337/A=")</f>
        <v>#REF!</v>
      </c>
      <c r="IH37" t="e">
        <f>AND(#REF!,"AAAAAH337/E=")</f>
        <v>#REF!</v>
      </c>
      <c r="II37" t="e">
        <f>AND(#REF!,"AAAAAH337/I=")</f>
        <v>#REF!</v>
      </c>
      <c r="IJ37" t="e">
        <f>AND(#REF!,"AAAAAH337/M=")</f>
        <v>#REF!</v>
      </c>
      <c r="IK37" t="e">
        <f>AND(#REF!,"AAAAAH337/Q=")</f>
        <v>#REF!</v>
      </c>
      <c r="IL37" t="e">
        <f>AND(#REF!,"AAAAAH337/U=")</f>
        <v>#REF!</v>
      </c>
      <c r="IM37" t="e">
        <f>AND(#REF!,"AAAAAH337/Y=")</f>
        <v>#REF!</v>
      </c>
      <c r="IN37" t="e">
        <f>AND(#REF!,"AAAAAH337/c=")</f>
        <v>#REF!</v>
      </c>
      <c r="IO37" t="e">
        <f>AND(#REF!,"AAAAAH337/g=")</f>
        <v>#REF!</v>
      </c>
      <c r="IP37" t="e">
        <f>AND(#REF!,"AAAAAH337/k=")</f>
        <v>#REF!</v>
      </c>
      <c r="IQ37" t="e">
        <f>AND(#REF!,"AAAAAH337/o=")</f>
        <v>#REF!</v>
      </c>
      <c r="IR37" t="e">
        <f>AND(#REF!,"AAAAAH337/s=")</f>
        <v>#REF!</v>
      </c>
      <c r="IS37" t="e">
        <f>AND(#REF!,"AAAAAH337/w=")</f>
        <v>#REF!</v>
      </c>
      <c r="IT37" t="e">
        <f>AND(#REF!,"AAAAAH337/0=")</f>
        <v>#REF!</v>
      </c>
      <c r="IU37" t="e">
        <f>AND(#REF!,"AAAAAH337/4=")</f>
        <v>#REF!</v>
      </c>
      <c r="IV37" t="e">
        <f>AND(#REF!,"AAAAAH337/8=")</f>
        <v>#REF!</v>
      </c>
    </row>
    <row r="38" spans="1:256">
      <c r="A38" t="e">
        <f>AND(#REF!,"AAAAAHd/eQA=")</f>
        <v>#REF!</v>
      </c>
      <c r="B38" t="e">
        <f>AND(#REF!,"AAAAAHd/eQE=")</f>
        <v>#REF!</v>
      </c>
      <c r="C38" t="e">
        <f>AND(#REF!,"AAAAAHd/eQI=")</f>
        <v>#REF!</v>
      </c>
      <c r="D38" t="e">
        <f>AND(#REF!,"AAAAAHd/eQM=")</f>
        <v>#REF!</v>
      </c>
      <c r="E38" t="e">
        <f>AND(#REF!,"AAAAAHd/eQQ=")</f>
        <v>#REF!</v>
      </c>
      <c r="F38" t="e">
        <f>AND(#REF!,"AAAAAHd/eQU=")</f>
        <v>#REF!</v>
      </c>
      <c r="G38" t="e">
        <f>AND(#REF!,"AAAAAHd/eQY=")</f>
        <v>#REF!</v>
      </c>
      <c r="H38" t="e">
        <f>AND(#REF!,"AAAAAHd/eQc=")</f>
        <v>#REF!</v>
      </c>
      <c r="I38" t="e">
        <f>IF(#REF!,"AAAAAHd/eQg=",0)</f>
        <v>#REF!</v>
      </c>
      <c r="J38" t="e">
        <f>AND(#REF!,"AAAAAHd/eQk=")</f>
        <v>#REF!</v>
      </c>
      <c r="K38" t="e">
        <f>AND(#REF!,"AAAAAHd/eQo=")</f>
        <v>#REF!</v>
      </c>
      <c r="L38" t="e">
        <f>AND(#REF!,"AAAAAHd/eQs=")</f>
        <v>#REF!</v>
      </c>
      <c r="M38" t="e">
        <f>AND(#REF!,"AAAAAHd/eQw=")</f>
        <v>#REF!</v>
      </c>
      <c r="N38" t="e">
        <f>AND(#REF!,"AAAAAHd/eQ0=")</f>
        <v>#REF!</v>
      </c>
      <c r="O38" t="e">
        <f>AND(#REF!,"AAAAAHd/eQ4=")</f>
        <v>#REF!</v>
      </c>
      <c r="P38" t="e">
        <f>AND(#REF!,"AAAAAHd/eQ8=")</f>
        <v>#REF!</v>
      </c>
      <c r="Q38" t="e">
        <f>AND(#REF!,"AAAAAHd/eRA=")</f>
        <v>#REF!</v>
      </c>
      <c r="R38" t="e">
        <f>AND(#REF!,"AAAAAHd/eRE=")</f>
        <v>#REF!</v>
      </c>
      <c r="S38" t="e">
        <f>AND(#REF!,"AAAAAHd/eRI=")</f>
        <v>#REF!</v>
      </c>
      <c r="T38" t="e">
        <f>AND(#REF!,"AAAAAHd/eRM=")</f>
        <v>#REF!</v>
      </c>
      <c r="U38" t="e">
        <f>AND(#REF!,"AAAAAHd/eRQ=")</f>
        <v>#REF!</v>
      </c>
      <c r="V38" t="e">
        <f>AND(#REF!,"AAAAAHd/eRU=")</f>
        <v>#REF!</v>
      </c>
      <c r="W38" t="e">
        <f>AND(#REF!,"AAAAAHd/eRY=")</f>
        <v>#REF!</v>
      </c>
      <c r="X38" t="e">
        <f>AND(#REF!,"AAAAAHd/eRc=")</f>
        <v>#REF!</v>
      </c>
      <c r="Y38" t="e">
        <f>AND(#REF!,"AAAAAHd/eRg=")</f>
        <v>#REF!</v>
      </c>
      <c r="Z38" t="e">
        <f>AND(#REF!,"AAAAAHd/eRk=")</f>
        <v>#REF!</v>
      </c>
      <c r="AA38" t="e">
        <f>AND(#REF!,"AAAAAHd/eRo=")</f>
        <v>#REF!</v>
      </c>
      <c r="AB38" t="e">
        <f>AND(#REF!,"AAAAAHd/eRs=")</f>
        <v>#REF!</v>
      </c>
      <c r="AC38" t="e">
        <f>AND(#REF!,"AAAAAHd/eRw=")</f>
        <v>#REF!</v>
      </c>
      <c r="AD38" t="e">
        <f>AND(#REF!,"AAAAAHd/eR0=")</f>
        <v>#REF!</v>
      </c>
      <c r="AE38" t="e">
        <f>AND(#REF!,"AAAAAHd/eR4=")</f>
        <v>#REF!</v>
      </c>
      <c r="AF38" t="e">
        <f>AND(#REF!,"AAAAAHd/eR8=")</f>
        <v>#REF!</v>
      </c>
      <c r="AG38" t="e">
        <f>AND(#REF!,"AAAAAHd/eSA=")</f>
        <v>#REF!</v>
      </c>
      <c r="AH38" t="e">
        <f>AND(#REF!,"AAAAAHd/eSE=")</f>
        <v>#REF!</v>
      </c>
      <c r="AI38" t="e">
        <f>AND(#REF!,"AAAAAHd/eSI=")</f>
        <v>#REF!</v>
      </c>
      <c r="AJ38" t="e">
        <f>AND(#REF!,"AAAAAHd/eSM=")</f>
        <v>#REF!</v>
      </c>
      <c r="AK38" t="e">
        <f>AND(#REF!,"AAAAAHd/eSQ=")</f>
        <v>#REF!</v>
      </c>
      <c r="AL38" t="e">
        <f>AND(#REF!,"AAAAAHd/eSU=")</f>
        <v>#REF!</v>
      </c>
      <c r="AM38" t="e">
        <f>AND(#REF!,"AAAAAHd/eSY=")</f>
        <v>#REF!</v>
      </c>
      <c r="AN38" t="e">
        <f>AND(#REF!,"AAAAAHd/eSc=")</f>
        <v>#REF!</v>
      </c>
      <c r="AO38" t="e">
        <f>AND(#REF!,"AAAAAHd/eSg=")</f>
        <v>#REF!</v>
      </c>
      <c r="AP38" t="e">
        <f>AND(#REF!,"AAAAAHd/eSk=")</f>
        <v>#REF!</v>
      </c>
      <c r="AQ38" t="e">
        <f>AND(#REF!,"AAAAAHd/eSo=")</f>
        <v>#REF!</v>
      </c>
      <c r="AR38" t="e">
        <f>AND(#REF!,"AAAAAHd/eSs=")</f>
        <v>#REF!</v>
      </c>
      <c r="AS38" t="e">
        <f>IF(#REF!,"AAAAAHd/eSw=",0)</f>
        <v>#REF!</v>
      </c>
      <c r="AT38" t="e">
        <f>AND(#REF!,"AAAAAHd/eS0=")</f>
        <v>#REF!</v>
      </c>
      <c r="AU38" t="e">
        <f>AND(#REF!,"AAAAAHd/eS4=")</f>
        <v>#REF!</v>
      </c>
      <c r="AV38" t="e">
        <f>AND(#REF!,"AAAAAHd/eS8=")</f>
        <v>#REF!</v>
      </c>
      <c r="AW38" t="e">
        <f>AND(#REF!,"AAAAAHd/eTA=")</f>
        <v>#REF!</v>
      </c>
      <c r="AX38" t="e">
        <f>AND(#REF!,"AAAAAHd/eTE=")</f>
        <v>#REF!</v>
      </c>
      <c r="AY38" t="e">
        <f>AND(#REF!,"AAAAAHd/eTI=")</f>
        <v>#REF!</v>
      </c>
      <c r="AZ38" t="e">
        <f>AND(#REF!,"AAAAAHd/eTM=")</f>
        <v>#REF!</v>
      </c>
      <c r="BA38" t="e">
        <f>AND(#REF!,"AAAAAHd/eTQ=")</f>
        <v>#REF!</v>
      </c>
      <c r="BB38" t="e">
        <f>AND(#REF!,"AAAAAHd/eTU=")</f>
        <v>#REF!</v>
      </c>
      <c r="BC38" t="e">
        <f>AND(#REF!,"AAAAAHd/eTY=")</f>
        <v>#REF!</v>
      </c>
      <c r="BD38" t="e">
        <f>AND(#REF!,"AAAAAHd/eTc=")</f>
        <v>#REF!</v>
      </c>
      <c r="BE38" t="e">
        <f>AND(#REF!,"AAAAAHd/eTg=")</f>
        <v>#REF!</v>
      </c>
      <c r="BF38" t="e">
        <f>AND(#REF!,"AAAAAHd/eTk=")</f>
        <v>#REF!</v>
      </c>
      <c r="BG38" t="e">
        <f>AND(#REF!,"AAAAAHd/eTo=")</f>
        <v>#REF!</v>
      </c>
      <c r="BH38" t="e">
        <f>AND(#REF!,"AAAAAHd/eTs=")</f>
        <v>#REF!</v>
      </c>
      <c r="BI38" t="e">
        <f>AND(#REF!,"AAAAAHd/eTw=")</f>
        <v>#REF!</v>
      </c>
      <c r="BJ38" t="e">
        <f>AND(#REF!,"AAAAAHd/eT0=")</f>
        <v>#REF!</v>
      </c>
      <c r="BK38" t="e">
        <f>AND(#REF!,"AAAAAHd/eT4=")</f>
        <v>#REF!</v>
      </c>
      <c r="BL38" t="e">
        <f>AND(#REF!,"AAAAAHd/eT8=")</f>
        <v>#REF!</v>
      </c>
      <c r="BM38" t="e">
        <f>AND(#REF!,"AAAAAHd/eUA=")</f>
        <v>#REF!</v>
      </c>
      <c r="BN38" t="e">
        <f>AND(#REF!,"AAAAAHd/eUE=")</f>
        <v>#REF!</v>
      </c>
      <c r="BO38" t="e">
        <f>AND(#REF!,"AAAAAHd/eUI=")</f>
        <v>#REF!</v>
      </c>
      <c r="BP38" t="e">
        <f>AND(#REF!,"AAAAAHd/eUM=")</f>
        <v>#REF!</v>
      </c>
      <c r="BQ38" t="e">
        <f>AND(#REF!,"AAAAAHd/eUQ=")</f>
        <v>#REF!</v>
      </c>
      <c r="BR38" t="e">
        <f>AND(#REF!,"AAAAAHd/eUU=")</f>
        <v>#REF!</v>
      </c>
      <c r="BS38" t="e">
        <f>AND(#REF!,"AAAAAHd/eUY=")</f>
        <v>#REF!</v>
      </c>
      <c r="BT38" t="e">
        <f>AND(#REF!,"AAAAAHd/eUc=")</f>
        <v>#REF!</v>
      </c>
      <c r="BU38" t="e">
        <f>AND(#REF!,"AAAAAHd/eUg=")</f>
        <v>#REF!</v>
      </c>
      <c r="BV38" t="e">
        <f>AND(#REF!,"AAAAAHd/eUk=")</f>
        <v>#REF!</v>
      </c>
      <c r="BW38" t="e">
        <f>AND(#REF!,"AAAAAHd/eUo=")</f>
        <v>#REF!</v>
      </c>
      <c r="BX38" t="e">
        <f>AND(#REF!,"AAAAAHd/eUs=")</f>
        <v>#REF!</v>
      </c>
      <c r="BY38" t="e">
        <f>AND(#REF!,"AAAAAHd/eUw=")</f>
        <v>#REF!</v>
      </c>
      <c r="BZ38" t="e">
        <f>AND(#REF!,"AAAAAHd/eU0=")</f>
        <v>#REF!</v>
      </c>
      <c r="CA38" t="e">
        <f>AND(#REF!,"AAAAAHd/eU4=")</f>
        <v>#REF!</v>
      </c>
      <c r="CB38" t="e">
        <f>AND(#REF!,"AAAAAHd/eU8=")</f>
        <v>#REF!</v>
      </c>
      <c r="CC38" t="e">
        <f>IF(#REF!,"AAAAAHd/eVA=",0)</f>
        <v>#REF!</v>
      </c>
      <c r="CD38" t="e">
        <f>AND(#REF!,"AAAAAHd/eVE=")</f>
        <v>#REF!</v>
      </c>
      <c r="CE38" t="e">
        <f>AND(#REF!,"AAAAAHd/eVI=")</f>
        <v>#REF!</v>
      </c>
      <c r="CF38" t="e">
        <f>AND(#REF!,"AAAAAHd/eVM=")</f>
        <v>#REF!</v>
      </c>
      <c r="CG38" t="e">
        <f>AND(#REF!,"AAAAAHd/eVQ=")</f>
        <v>#REF!</v>
      </c>
      <c r="CH38" t="e">
        <f>AND(#REF!,"AAAAAHd/eVU=")</f>
        <v>#REF!</v>
      </c>
      <c r="CI38" t="e">
        <f>AND(#REF!,"AAAAAHd/eVY=")</f>
        <v>#REF!</v>
      </c>
      <c r="CJ38" t="e">
        <f>AND(#REF!,"AAAAAHd/eVc=")</f>
        <v>#REF!</v>
      </c>
      <c r="CK38" t="e">
        <f>AND(#REF!,"AAAAAHd/eVg=")</f>
        <v>#REF!</v>
      </c>
      <c r="CL38" t="e">
        <f>AND(#REF!,"AAAAAHd/eVk=")</f>
        <v>#REF!</v>
      </c>
      <c r="CM38" t="e">
        <f>AND(#REF!,"AAAAAHd/eVo=")</f>
        <v>#REF!</v>
      </c>
      <c r="CN38" t="e">
        <f>AND(#REF!,"AAAAAHd/eVs=")</f>
        <v>#REF!</v>
      </c>
      <c r="CO38" t="e">
        <f>AND(#REF!,"AAAAAHd/eVw=")</f>
        <v>#REF!</v>
      </c>
      <c r="CP38" t="e">
        <f>AND(#REF!,"AAAAAHd/eV0=")</f>
        <v>#REF!</v>
      </c>
      <c r="CQ38" t="e">
        <f>AND(#REF!,"AAAAAHd/eV4=")</f>
        <v>#REF!</v>
      </c>
      <c r="CR38" t="e">
        <f>AND(#REF!,"AAAAAHd/eV8=")</f>
        <v>#REF!</v>
      </c>
      <c r="CS38" t="e">
        <f>AND(#REF!,"AAAAAHd/eWA=")</f>
        <v>#REF!</v>
      </c>
      <c r="CT38" t="e">
        <f>AND(#REF!,"AAAAAHd/eWE=")</f>
        <v>#REF!</v>
      </c>
      <c r="CU38" t="e">
        <f>AND(#REF!,"AAAAAHd/eWI=")</f>
        <v>#REF!</v>
      </c>
      <c r="CV38" t="e">
        <f>AND(#REF!,"AAAAAHd/eWM=")</f>
        <v>#REF!</v>
      </c>
      <c r="CW38" t="e">
        <f>AND(#REF!,"AAAAAHd/eWQ=")</f>
        <v>#REF!</v>
      </c>
      <c r="CX38" t="e">
        <f>AND(#REF!,"AAAAAHd/eWU=")</f>
        <v>#REF!</v>
      </c>
      <c r="CY38" t="e">
        <f>AND(#REF!,"AAAAAHd/eWY=")</f>
        <v>#REF!</v>
      </c>
      <c r="CZ38" t="e">
        <f>AND(#REF!,"AAAAAHd/eWc=")</f>
        <v>#REF!</v>
      </c>
      <c r="DA38" t="e">
        <f>AND(#REF!,"AAAAAHd/eWg=")</f>
        <v>#REF!</v>
      </c>
      <c r="DB38" t="e">
        <f>AND(#REF!,"AAAAAHd/eWk=")</f>
        <v>#REF!</v>
      </c>
      <c r="DC38" t="e">
        <f>AND(#REF!,"AAAAAHd/eWo=")</f>
        <v>#REF!</v>
      </c>
      <c r="DD38" t="e">
        <f>AND(#REF!,"AAAAAHd/eWs=")</f>
        <v>#REF!</v>
      </c>
      <c r="DE38" t="e">
        <f>AND(#REF!,"AAAAAHd/eWw=")</f>
        <v>#REF!</v>
      </c>
      <c r="DF38" t="e">
        <f>AND(#REF!,"AAAAAHd/eW0=")</f>
        <v>#REF!</v>
      </c>
      <c r="DG38" t="e">
        <f>AND(#REF!,"AAAAAHd/eW4=")</f>
        <v>#REF!</v>
      </c>
      <c r="DH38" t="e">
        <f>AND(#REF!,"AAAAAHd/eW8=")</f>
        <v>#REF!</v>
      </c>
      <c r="DI38" t="e">
        <f>AND(#REF!,"AAAAAHd/eXA=")</f>
        <v>#REF!</v>
      </c>
      <c r="DJ38" t="e">
        <f>AND(#REF!,"AAAAAHd/eXE=")</f>
        <v>#REF!</v>
      </c>
      <c r="DK38" t="e">
        <f>AND(#REF!,"AAAAAHd/eXI=")</f>
        <v>#REF!</v>
      </c>
      <c r="DL38" t="e">
        <f>AND(#REF!,"AAAAAHd/eXM=")</f>
        <v>#REF!</v>
      </c>
      <c r="DM38" t="e">
        <f>IF(#REF!,"AAAAAHd/eXQ=",0)</f>
        <v>#REF!</v>
      </c>
      <c r="DN38" t="e">
        <f>AND(#REF!,"AAAAAHd/eXU=")</f>
        <v>#REF!</v>
      </c>
      <c r="DO38" t="e">
        <f>AND(#REF!,"AAAAAHd/eXY=")</f>
        <v>#REF!</v>
      </c>
      <c r="DP38" t="e">
        <f>AND(#REF!,"AAAAAHd/eXc=")</f>
        <v>#REF!</v>
      </c>
      <c r="DQ38" t="e">
        <f>AND(#REF!,"AAAAAHd/eXg=")</f>
        <v>#REF!</v>
      </c>
      <c r="DR38" t="e">
        <f>AND(#REF!,"AAAAAHd/eXk=")</f>
        <v>#REF!</v>
      </c>
      <c r="DS38" t="e">
        <f>AND(#REF!,"AAAAAHd/eXo=")</f>
        <v>#REF!</v>
      </c>
      <c r="DT38" t="e">
        <f>AND(#REF!,"AAAAAHd/eXs=")</f>
        <v>#REF!</v>
      </c>
      <c r="DU38" t="e">
        <f>AND(#REF!,"AAAAAHd/eXw=")</f>
        <v>#REF!</v>
      </c>
      <c r="DV38" t="e">
        <f>AND(#REF!,"AAAAAHd/eX0=")</f>
        <v>#REF!</v>
      </c>
      <c r="DW38" t="e">
        <f>AND(#REF!,"AAAAAHd/eX4=")</f>
        <v>#REF!</v>
      </c>
      <c r="DX38" t="e">
        <f>AND(#REF!,"AAAAAHd/eX8=")</f>
        <v>#REF!</v>
      </c>
      <c r="DY38" t="e">
        <f>AND(#REF!,"AAAAAHd/eYA=")</f>
        <v>#REF!</v>
      </c>
      <c r="DZ38" t="e">
        <f>AND(#REF!,"AAAAAHd/eYE=")</f>
        <v>#REF!</v>
      </c>
      <c r="EA38" t="e">
        <f>AND(#REF!,"AAAAAHd/eYI=")</f>
        <v>#REF!</v>
      </c>
      <c r="EB38" t="e">
        <f>AND(#REF!,"AAAAAHd/eYM=")</f>
        <v>#REF!</v>
      </c>
      <c r="EC38" t="e">
        <f>AND(#REF!,"AAAAAHd/eYQ=")</f>
        <v>#REF!</v>
      </c>
      <c r="ED38" t="e">
        <f>AND(#REF!,"AAAAAHd/eYU=")</f>
        <v>#REF!</v>
      </c>
      <c r="EE38" t="e">
        <f>AND(#REF!,"AAAAAHd/eYY=")</f>
        <v>#REF!</v>
      </c>
      <c r="EF38" t="e">
        <f>AND(#REF!,"AAAAAHd/eYc=")</f>
        <v>#REF!</v>
      </c>
      <c r="EG38" t="e">
        <f>AND(#REF!,"AAAAAHd/eYg=")</f>
        <v>#REF!</v>
      </c>
      <c r="EH38" t="e">
        <f>AND(#REF!,"AAAAAHd/eYk=")</f>
        <v>#REF!</v>
      </c>
      <c r="EI38" t="e">
        <f>AND(#REF!,"AAAAAHd/eYo=")</f>
        <v>#REF!</v>
      </c>
      <c r="EJ38" t="e">
        <f>AND(#REF!,"AAAAAHd/eYs=")</f>
        <v>#REF!</v>
      </c>
      <c r="EK38" t="e">
        <f>AND(#REF!,"AAAAAHd/eYw=")</f>
        <v>#REF!</v>
      </c>
      <c r="EL38" t="e">
        <f>AND(#REF!,"AAAAAHd/eY0=")</f>
        <v>#REF!</v>
      </c>
      <c r="EM38" t="e">
        <f>AND(#REF!,"AAAAAHd/eY4=")</f>
        <v>#REF!</v>
      </c>
      <c r="EN38" t="e">
        <f>AND(#REF!,"AAAAAHd/eY8=")</f>
        <v>#REF!</v>
      </c>
      <c r="EO38" t="e">
        <f>AND(#REF!,"AAAAAHd/eZA=")</f>
        <v>#REF!</v>
      </c>
      <c r="EP38" t="e">
        <f>AND(#REF!,"AAAAAHd/eZE=")</f>
        <v>#REF!</v>
      </c>
      <c r="EQ38" t="e">
        <f>AND(#REF!,"AAAAAHd/eZI=")</f>
        <v>#REF!</v>
      </c>
      <c r="ER38" t="e">
        <f>AND(#REF!,"AAAAAHd/eZM=")</f>
        <v>#REF!</v>
      </c>
      <c r="ES38" t="e">
        <f>AND(#REF!,"AAAAAHd/eZQ=")</f>
        <v>#REF!</v>
      </c>
      <c r="ET38" t="e">
        <f>AND(#REF!,"AAAAAHd/eZU=")</f>
        <v>#REF!</v>
      </c>
      <c r="EU38" t="e">
        <f>AND(#REF!,"AAAAAHd/eZY=")</f>
        <v>#REF!</v>
      </c>
      <c r="EV38" t="e">
        <f>AND(#REF!,"AAAAAHd/eZc=")</f>
        <v>#REF!</v>
      </c>
      <c r="EW38" t="e">
        <f>IF(#REF!,"AAAAAHd/eZg=",0)</f>
        <v>#REF!</v>
      </c>
      <c r="EX38" t="e">
        <f>AND(#REF!,"AAAAAHd/eZk=")</f>
        <v>#REF!</v>
      </c>
      <c r="EY38" t="e">
        <f>AND(#REF!,"AAAAAHd/eZo=")</f>
        <v>#REF!</v>
      </c>
      <c r="EZ38" t="e">
        <f>AND(#REF!,"AAAAAHd/eZs=")</f>
        <v>#REF!</v>
      </c>
      <c r="FA38" t="e">
        <f>AND(#REF!,"AAAAAHd/eZw=")</f>
        <v>#REF!</v>
      </c>
      <c r="FB38" t="e">
        <f>AND(#REF!,"AAAAAHd/eZ0=")</f>
        <v>#REF!</v>
      </c>
      <c r="FC38" t="e">
        <f>AND(#REF!,"AAAAAHd/eZ4=")</f>
        <v>#REF!</v>
      </c>
      <c r="FD38" t="e">
        <f>AND(#REF!,"AAAAAHd/eZ8=")</f>
        <v>#REF!</v>
      </c>
      <c r="FE38" t="e">
        <f>AND(#REF!,"AAAAAHd/eaA=")</f>
        <v>#REF!</v>
      </c>
      <c r="FF38" t="e">
        <f>AND(#REF!,"AAAAAHd/eaE=")</f>
        <v>#REF!</v>
      </c>
      <c r="FG38" t="e">
        <f>AND(#REF!,"AAAAAHd/eaI=")</f>
        <v>#REF!</v>
      </c>
      <c r="FH38" t="e">
        <f>AND(#REF!,"AAAAAHd/eaM=")</f>
        <v>#REF!</v>
      </c>
      <c r="FI38" t="e">
        <f>AND(#REF!,"AAAAAHd/eaQ=")</f>
        <v>#REF!</v>
      </c>
      <c r="FJ38" t="e">
        <f>AND(#REF!,"AAAAAHd/eaU=")</f>
        <v>#REF!</v>
      </c>
      <c r="FK38" t="e">
        <f>AND(#REF!,"AAAAAHd/eaY=")</f>
        <v>#REF!</v>
      </c>
      <c r="FL38" t="e">
        <f>AND(#REF!,"AAAAAHd/eac=")</f>
        <v>#REF!</v>
      </c>
      <c r="FM38" t="e">
        <f>AND(#REF!,"AAAAAHd/eag=")</f>
        <v>#REF!</v>
      </c>
      <c r="FN38" t="e">
        <f>AND(#REF!,"AAAAAHd/eak=")</f>
        <v>#REF!</v>
      </c>
      <c r="FO38" t="e">
        <f>AND(#REF!,"AAAAAHd/eao=")</f>
        <v>#REF!</v>
      </c>
      <c r="FP38" t="e">
        <f>AND(#REF!,"AAAAAHd/eas=")</f>
        <v>#REF!</v>
      </c>
      <c r="FQ38" t="e">
        <f>AND(#REF!,"AAAAAHd/eaw=")</f>
        <v>#REF!</v>
      </c>
      <c r="FR38" t="e">
        <f>AND(#REF!,"AAAAAHd/ea0=")</f>
        <v>#REF!</v>
      </c>
      <c r="FS38" t="e">
        <f>AND(#REF!,"AAAAAHd/ea4=")</f>
        <v>#REF!</v>
      </c>
      <c r="FT38" t="e">
        <f>AND(#REF!,"AAAAAHd/ea8=")</f>
        <v>#REF!</v>
      </c>
      <c r="FU38" t="e">
        <f>AND(#REF!,"AAAAAHd/ebA=")</f>
        <v>#REF!</v>
      </c>
      <c r="FV38" t="e">
        <f>AND(#REF!,"AAAAAHd/ebE=")</f>
        <v>#REF!</v>
      </c>
      <c r="FW38" t="e">
        <f>AND(#REF!,"AAAAAHd/ebI=")</f>
        <v>#REF!</v>
      </c>
      <c r="FX38" t="e">
        <f>AND(#REF!,"AAAAAHd/ebM=")</f>
        <v>#REF!</v>
      </c>
      <c r="FY38" t="e">
        <f>AND(#REF!,"AAAAAHd/ebQ=")</f>
        <v>#REF!</v>
      </c>
      <c r="FZ38" t="e">
        <f>AND(#REF!,"AAAAAHd/ebU=")</f>
        <v>#REF!</v>
      </c>
      <c r="GA38" t="e">
        <f>AND(#REF!,"AAAAAHd/ebY=")</f>
        <v>#REF!</v>
      </c>
      <c r="GB38" t="e">
        <f>AND(#REF!,"AAAAAHd/ebc=")</f>
        <v>#REF!</v>
      </c>
      <c r="GC38" t="e">
        <f>AND(#REF!,"AAAAAHd/ebg=")</f>
        <v>#REF!</v>
      </c>
      <c r="GD38" t="e">
        <f>AND(#REF!,"AAAAAHd/ebk=")</f>
        <v>#REF!</v>
      </c>
      <c r="GE38" t="e">
        <f>AND(#REF!,"AAAAAHd/ebo=")</f>
        <v>#REF!</v>
      </c>
      <c r="GF38" t="e">
        <f>AND(#REF!,"AAAAAHd/ebs=")</f>
        <v>#REF!</v>
      </c>
      <c r="GG38" t="e">
        <f>IF(#REF!,"AAAAAHd/ebw=",0)</f>
        <v>#REF!</v>
      </c>
      <c r="GH38" t="e">
        <f>AND(#REF!,"AAAAAHd/eb0=")</f>
        <v>#REF!</v>
      </c>
      <c r="GI38" t="e">
        <f>AND(#REF!,"AAAAAHd/eb4=")</f>
        <v>#REF!</v>
      </c>
      <c r="GJ38" t="e">
        <f>AND(#REF!,"AAAAAHd/eb8=")</f>
        <v>#REF!</v>
      </c>
      <c r="GK38" t="e">
        <f>AND(#REF!,"AAAAAHd/ecA=")</f>
        <v>#REF!</v>
      </c>
      <c r="GL38" t="e">
        <f>AND(#REF!,"AAAAAHd/ecE=")</f>
        <v>#REF!</v>
      </c>
      <c r="GM38" t="e">
        <f>AND(#REF!,"AAAAAHd/ecI=")</f>
        <v>#REF!</v>
      </c>
      <c r="GN38" t="e">
        <f>AND(#REF!,"AAAAAHd/ecM=")</f>
        <v>#REF!</v>
      </c>
      <c r="GO38" t="e">
        <f>AND(#REF!,"AAAAAHd/ecQ=")</f>
        <v>#REF!</v>
      </c>
      <c r="GP38" t="e">
        <f>AND(#REF!,"AAAAAHd/ecU=")</f>
        <v>#REF!</v>
      </c>
      <c r="GQ38" t="e">
        <f>AND(#REF!,"AAAAAHd/ecY=")</f>
        <v>#REF!</v>
      </c>
      <c r="GR38" t="e">
        <f>AND(#REF!,"AAAAAHd/ecc=")</f>
        <v>#REF!</v>
      </c>
      <c r="GS38" t="e">
        <f>AND(#REF!,"AAAAAHd/ecg=")</f>
        <v>#REF!</v>
      </c>
      <c r="GT38" t="e">
        <f>AND(#REF!,"AAAAAHd/eck=")</f>
        <v>#REF!</v>
      </c>
      <c r="GU38" t="e">
        <f>AND(#REF!,"AAAAAHd/eco=")</f>
        <v>#REF!</v>
      </c>
      <c r="GV38" t="e">
        <f>AND(#REF!,"AAAAAHd/ecs=")</f>
        <v>#REF!</v>
      </c>
      <c r="GW38" t="e">
        <f>AND(#REF!,"AAAAAHd/ecw=")</f>
        <v>#REF!</v>
      </c>
      <c r="GX38" t="e">
        <f>AND(#REF!,"AAAAAHd/ec0=")</f>
        <v>#REF!</v>
      </c>
      <c r="GY38" t="e">
        <f>AND(#REF!,"AAAAAHd/ec4=")</f>
        <v>#REF!</v>
      </c>
      <c r="GZ38" t="e">
        <f>AND(#REF!,"AAAAAHd/ec8=")</f>
        <v>#REF!</v>
      </c>
      <c r="HA38" t="e">
        <f>AND(#REF!,"AAAAAHd/edA=")</f>
        <v>#REF!</v>
      </c>
      <c r="HB38" t="e">
        <f>AND(#REF!,"AAAAAHd/edE=")</f>
        <v>#REF!</v>
      </c>
      <c r="HC38" t="e">
        <f>AND(#REF!,"AAAAAHd/edI=")</f>
        <v>#REF!</v>
      </c>
      <c r="HD38" t="e">
        <f>AND(#REF!,"AAAAAHd/edM=")</f>
        <v>#REF!</v>
      </c>
      <c r="HE38" t="e">
        <f>AND(#REF!,"AAAAAHd/edQ=")</f>
        <v>#REF!</v>
      </c>
      <c r="HF38" t="e">
        <f>AND(#REF!,"AAAAAHd/edU=")</f>
        <v>#REF!</v>
      </c>
      <c r="HG38" t="e">
        <f>AND(#REF!,"AAAAAHd/edY=")</f>
        <v>#REF!</v>
      </c>
      <c r="HH38" t="e">
        <f>AND(#REF!,"AAAAAHd/edc=")</f>
        <v>#REF!</v>
      </c>
      <c r="HI38" t="e">
        <f>AND(#REF!,"AAAAAHd/edg=")</f>
        <v>#REF!</v>
      </c>
      <c r="HJ38" t="e">
        <f>AND(#REF!,"AAAAAHd/edk=")</f>
        <v>#REF!</v>
      </c>
      <c r="HK38" t="e">
        <f>AND(#REF!,"AAAAAHd/edo=")</f>
        <v>#REF!</v>
      </c>
      <c r="HL38" t="e">
        <f>AND(#REF!,"AAAAAHd/eds=")</f>
        <v>#REF!</v>
      </c>
      <c r="HM38" t="e">
        <f>AND(#REF!,"AAAAAHd/edw=")</f>
        <v>#REF!</v>
      </c>
      <c r="HN38" t="e">
        <f>AND(#REF!,"AAAAAHd/ed0=")</f>
        <v>#REF!</v>
      </c>
      <c r="HO38" t="e">
        <f>AND(#REF!,"AAAAAHd/ed4=")</f>
        <v>#REF!</v>
      </c>
      <c r="HP38" t="e">
        <f>AND(#REF!,"AAAAAHd/ed8=")</f>
        <v>#REF!</v>
      </c>
      <c r="HQ38" t="e">
        <f>IF(#REF!,"AAAAAHd/eeA=",0)</f>
        <v>#REF!</v>
      </c>
      <c r="HR38" t="e">
        <f>AND(#REF!,"AAAAAHd/eeE=")</f>
        <v>#REF!</v>
      </c>
      <c r="HS38" t="e">
        <f>AND(#REF!,"AAAAAHd/eeI=")</f>
        <v>#REF!</v>
      </c>
      <c r="HT38" t="e">
        <f>AND(#REF!,"AAAAAHd/eeM=")</f>
        <v>#REF!</v>
      </c>
      <c r="HU38" t="e">
        <f>AND(#REF!,"AAAAAHd/eeQ=")</f>
        <v>#REF!</v>
      </c>
      <c r="HV38" t="e">
        <f>AND(#REF!,"AAAAAHd/eeU=")</f>
        <v>#REF!</v>
      </c>
      <c r="HW38" t="e">
        <f>AND(#REF!,"AAAAAHd/eeY=")</f>
        <v>#REF!</v>
      </c>
      <c r="HX38" t="e">
        <f>AND(#REF!,"AAAAAHd/eec=")</f>
        <v>#REF!</v>
      </c>
      <c r="HY38" t="e">
        <f>AND(#REF!,"AAAAAHd/eeg=")</f>
        <v>#REF!</v>
      </c>
      <c r="HZ38" t="e">
        <f>AND(#REF!,"AAAAAHd/eek=")</f>
        <v>#REF!</v>
      </c>
      <c r="IA38" t="e">
        <f>AND(#REF!,"AAAAAHd/eeo=")</f>
        <v>#REF!</v>
      </c>
      <c r="IB38" t="e">
        <f>AND(#REF!,"AAAAAHd/ees=")</f>
        <v>#REF!</v>
      </c>
      <c r="IC38" t="e">
        <f>AND(#REF!,"AAAAAHd/eew=")</f>
        <v>#REF!</v>
      </c>
      <c r="ID38" t="e">
        <f>AND(#REF!,"AAAAAHd/ee0=")</f>
        <v>#REF!</v>
      </c>
      <c r="IE38" t="e">
        <f>AND(#REF!,"AAAAAHd/ee4=")</f>
        <v>#REF!</v>
      </c>
      <c r="IF38" t="e">
        <f>AND(#REF!,"AAAAAHd/ee8=")</f>
        <v>#REF!</v>
      </c>
      <c r="IG38" t="e">
        <f>AND(#REF!,"AAAAAHd/efA=")</f>
        <v>#REF!</v>
      </c>
      <c r="IH38" t="e">
        <f>AND(#REF!,"AAAAAHd/efE=")</f>
        <v>#REF!</v>
      </c>
      <c r="II38" t="e">
        <f>AND(#REF!,"AAAAAHd/efI=")</f>
        <v>#REF!</v>
      </c>
      <c r="IJ38" t="e">
        <f>AND(#REF!,"AAAAAHd/efM=")</f>
        <v>#REF!</v>
      </c>
      <c r="IK38" t="e">
        <f>AND(#REF!,"AAAAAHd/efQ=")</f>
        <v>#REF!</v>
      </c>
      <c r="IL38" t="e">
        <f>AND(#REF!,"AAAAAHd/efU=")</f>
        <v>#REF!</v>
      </c>
      <c r="IM38" t="e">
        <f>AND(#REF!,"AAAAAHd/efY=")</f>
        <v>#REF!</v>
      </c>
      <c r="IN38" t="e">
        <f>AND(#REF!,"AAAAAHd/efc=")</f>
        <v>#REF!</v>
      </c>
      <c r="IO38" t="e">
        <f>AND(#REF!,"AAAAAHd/efg=")</f>
        <v>#REF!</v>
      </c>
      <c r="IP38" t="e">
        <f>AND(#REF!,"AAAAAHd/efk=")</f>
        <v>#REF!</v>
      </c>
      <c r="IQ38" t="e">
        <f>AND(#REF!,"AAAAAHd/efo=")</f>
        <v>#REF!</v>
      </c>
      <c r="IR38" t="e">
        <f>AND(#REF!,"AAAAAHd/efs=")</f>
        <v>#REF!</v>
      </c>
      <c r="IS38" t="e">
        <f>AND(#REF!,"AAAAAHd/efw=")</f>
        <v>#REF!</v>
      </c>
      <c r="IT38" t="e">
        <f>AND(#REF!,"AAAAAHd/ef0=")</f>
        <v>#REF!</v>
      </c>
      <c r="IU38" t="e">
        <f>AND(#REF!,"AAAAAHd/ef4=")</f>
        <v>#REF!</v>
      </c>
      <c r="IV38" t="e">
        <f>AND(#REF!,"AAAAAHd/ef8=")</f>
        <v>#REF!</v>
      </c>
    </row>
    <row r="39" spans="1:256">
      <c r="A39" t="e">
        <f>AND(#REF!,"AAAAAF/ddQA=")</f>
        <v>#REF!</v>
      </c>
      <c r="B39" t="e">
        <f>AND(#REF!,"AAAAAF/ddQE=")</f>
        <v>#REF!</v>
      </c>
      <c r="C39" t="e">
        <f>AND(#REF!,"AAAAAF/ddQI=")</f>
        <v>#REF!</v>
      </c>
      <c r="D39" t="e">
        <f>AND(#REF!,"AAAAAF/ddQM=")</f>
        <v>#REF!</v>
      </c>
      <c r="E39" t="e">
        <f>IF(#REF!,"AAAAAF/ddQQ=",0)</f>
        <v>#REF!</v>
      </c>
      <c r="F39" t="e">
        <f>AND(#REF!,"AAAAAF/ddQU=")</f>
        <v>#REF!</v>
      </c>
      <c r="G39" t="e">
        <f>AND(#REF!,"AAAAAF/ddQY=")</f>
        <v>#REF!</v>
      </c>
      <c r="H39" t="e">
        <f>AND(#REF!,"AAAAAF/ddQc=")</f>
        <v>#REF!</v>
      </c>
      <c r="I39" t="e">
        <f>AND(#REF!,"AAAAAF/ddQg=")</f>
        <v>#REF!</v>
      </c>
      <c r="J39" t="e">
        <f>AND(#REF!,"AAAAAF/ddQk=")</f>
        <v>#REF!</v>
      </c>
      <c r="K39" t="e">
        <f>AND(#REF!,"AAAAAF/ddQo=")</f>
        <v>#REF!</v>
      </c>
      <c r="L39" t="e">
        <f>AND(#REF!,"AAAAAF/ddQs=")</f>
        <v>#REF!</v>
      </c>
      <c r="M39" t="e">
        <f>AND(#REF!,"AAAAAF/ddQw=")</f>
        <v>#REF!</v>
      </c>
      <c r="N39" t="e">
        <f>AND(#REF!,"AAAAAF/ddQ0=")</f>
        <v>#REF!</v>
      </c>
      <c r="O39" t="e">
        <f>AND(#REF!,"AAAAAF/ddQ4=")</f>
        <v>#REF!</v>
      </c>
      <c r="P39" t="e">
        <f>AND(#REF!,"AAAAAF/ddQ8=")</f>
        <v>#REF!</v>
      </c>
      <c r="Q39" t="e">
        <f>AND(#REF!,"AAAAAF/ddRA=")</f>
        <v>#REF!</v>
      </c>
      <c r="R39" t="e">
        <f>AND(#REF!,"AAAAAF/ddRE=")</f>
        <v>#REF!</v>
      </c>
      <c r="S39" t="e">
        <f>AND(#REF!,"AAAAAF/ddRI=")</f>
        <v>#REF!</v>
      </c>
      <c r="T39" t="e">
        <f>AND(#REF!,"AAAAAF/ddRM=")</f>
        <v>#REF!</v>
      </c>
      <c r="U39" t="e">
        <f>AND(#REF!,"AAAAAF/ddRQ=")</f>
        <v>#REF!</v>
      </c>
      <c r="V39" t="e">
        <f>AND(#REF!,"AAAAAF/ddRU=")</f>
        <v>#REF!</v>
      </c>
      <c r="W39" t="e">
        <f>AND(#REF!,"AAAAAF/ddRY=")</f>
        <v>#REF!</v>
      </c>
      <c r="X39" t="e">
        <f>AND(#REF!,"AAAAAF/ddRc=")</f>
        <v>#REF!</v>
      </c>
      <c r="Y39" t="e">
        <f>AND(#REF!,"AAAAAF/ddRg=")</f>
        <v>#REF!</v>
      </c>
      <c r="Z39" t="e">
        <f>AND(#REF!,"AAAAAF/ddRk=")</f>
        <v>#REF!</v>
      </c>
      <c r="AA39" t="e">
        <f>AND(#REF!,"AAAAAF/ddRo=")</f>
        <v>#REF!</v>
      </c>
      <c r="AB39" t="e">
        <f>AND(#REF!,"AAAAAF/ddRs=")</f>
        <v>#REF!</v>
      </c>
      <c r="AC39" t="e">
        <f>AND(#REF!,"AAAAAF/ddRw=")</f>
        <v>#REF!</v>
      </c>
      <c r="AD39" t="e">
        <f>AND(#REF!,"AAAAAF/ddR0=")</f>
        <v>#REF!</v>
      </c>
      <c r="AE39" t="e">
        <f>AND(#REF!,"AAAAAF/ddR4=")</f>
        <v>#REF!</v>
      </c>
      <c r="AF39" t="e">
        <f>AND(#REF!,"AAAAAF/ddR8=")</f>
        <v>#REF!</v>
      </c>
      <c r="AG39" t="e">
        <f>AND(#REF!,"AAAAAF/ddSA=")</f>
        <v>#REF!</v>
      </c>
      <c r="AH39" t="e">
        <f>AND(#REF!,"AAAAAF/ddSE=")</f>
        <v>#REF!</v>
      </c>
      <c r="AI39" t="e">
        <f>AND(#REF!,"AAAAAF/ddSI=")</f>
        <v>#REF!</v>
      </c>
      <c r="AJ39" t="e">
        <f>AND(#REF!,"AAAAAF/ddSM=")</f>
        <v>#REF!</v>
      </c>
      <c r="AK39" t="e">
        <f>AND(#REF!,"AAAAAF/ddSQ=")</f>
        <v>#REF!</v>
      </c>
      <c r="AL39" t="e">
        <f>AND(#REF!,"AAAAAF/ddSU=")</f>
        <v>#REF!</v>
      </c>
      <c r="AM39" t="e">
        <f>AND(#REF!,"AAAAAF/ddSY=")</f>
        <v>#REF!</v>
      </c>
      <c r="AN39" t="e">
        <f>AND(#REF!,"AAAAAF/ddSc=")</f>
        <v>#REF!</v>
      </c>
      <c r="AO39" t="e">
        <f>IF(#REF!,"AAAAAF/ddSg=",0)</f>
        <v>#REF!</v>
      </c>
      <c r="AP39" t="e">
        <f>AND(#REF!,"AAAAAF/ddSk=")</f>
        <v>#REF!</v>
      </c>
      <c r="AQ39" t="e">
        <f>AND(#REF!,"AAAAAF/ddSo=")</f>
        <v>#REF!</v>
      </c>
      <c r="AR39" t="e">
        <f>AND(#REF!,"AAAAAF/ddSs=")</f>
        <v>#REF!</v>
      </c>
      <c r="AS39" t="e">
        <f>AND(#REF!,"AAAAAF/ddSw=")</f>
        <v>#REF!</v>
      </c>
      <c r="AT39" t="e">
        <f>AND(#REF!,"AAAAAF/ddS0=")</f>
        <v>#REF!</v>
      </c>
      <c r="AU39" t="e">
        <f>AND(#REF!,"AAAAAF/ddS4=")</f>
        <v>#REF!</v>
      </c>
      <c r="AV39" t="e">
        <f>AND(#REF!,"AAAAAF/ddS8=")</f>
        <v>#REF!</v>
      </c>
      <c r="AW39" t="e">
        <f>AND(#REF!,"AAAAAF/ddTA=")</f>
        <v>#REF!</v>
      </c>
      <c r="AX39" t="e">
        <f>AND(#REF!,"AAAAAF/ddTE=")</f>
        <v>#REF!</v>
      </c>
      <c r="AY39" t="e">
        <f>AND(#REF!,"AAAAAF/ddTI=")</f>
        <v>#REF!</v>
      </c>
      <c r="AZ39" t="e">
        <f>AND(#REF!,"AAAAAF/ddTM=")</f>
        <v>#REF!</v>
      </c>
      <c r="BA39" t="e">
        <f>AND(#REF!,"AAAAAF/ddTQ=")</f>
        <v>#REF!</v>
      </c>
      <c r="BB39" t="e">
        <f>AND(#REF!,"AAAAAF/ddTU=")</f>
        <v>#REF!</v>
      </c>
      <c r="BC39" t="e">
        <f>AND(#REF!,"AAAAAF/ddTY=")</f>
        <v>#REF!</v>
      </c>
      <c r="BD39" t="e">
        <f>AND(#REF!,"AAAAAF/ddTc=")</f>
        <v>#REF!</v>
      </c>
      <c r="BE39" t="e">
        <f>AND(#REF!,"AAAAAF/ddTg=")</f>
        <v>#REF!</v>
      </c>
      <c r="BF39" t="e">
        <f>AND(#REF!,"AAAAAF/ddTk=")</f>
        <v>#REF!</v>
      </c>
      <c r="BG39" t="e">
        <f>AND(#REF!,"AAAAAF/ddTo=")</f>
        <v>#REF!</v>
      </c>
      <c r="BH39" t="e">
        <f>AND(#REF!,"AAAAAF/ddTs=")</f>
        <v>#REF!</v>
      </c>
      <c r="BI39" t="e">
        <f>AND(#REF!,"AAAAAF/ddTw=")</f>
        <v>#REF!</v>
      </c>
      <c r="BJ39" t="e">
        <f>AND(#REF!,"AAAAAF/ddT0=")</f>
        <v>#REF!</v>
      </c>
      <c r="BK39" t="e">
        <f>AND(#REF!,"AAAAAF/ddT4=")</f>
        <v>#REF!</v>
      </c>
      <c r="BL39" t="e">
        <f>AND(#REF!,"AAAAAF/ddT8=")</f>
        <v>#REF!</v>
      </c>
      <c r="BM39" t="e">
        <f>AND(#REF!,"AAAAAF/ddUA=")</f>
        <v>#REF!</v>
      </c>
      <c r="BN39" t="e">
        <f>AND(#REF!,"AAAAAF/ddUE=")</f>
        <v>#REF!</v>
      </c>
      <c r="BO39" t="e">
        <f>AND(#REF!,"AAAAAF/ddUI=")</f>
        <v>#REF!</v>
      </c>
      <c r="BP39" t="e">
        <f>AND(#REF!,"AAAAAF/ddUM=")</f>
        <v>#REF!</v>
      </c>
      <c r="BQ39" t="e">
        <f>AND(#REF!,"AAAAAF/ddUQ=")</f>
        <v>#REF!</v>
      </c>
      <c r="BR39" t="e">
        <f>AND(#REF!,"AAAAAF/ddUU=")</f>
        <v>#REF!</v>
      </c>
      <c r="BS39" t="e">
        <f>AND(#REF!,"AAAAAF/ddUY=")</f>
        <v>#REF!</v>
      </c>
      <c r="BT39" t="e">
        <f>AND(#REF!,"AAAAAF/ddUc=")</f>
        <v>#REF!</v>
      </c>
      <c r="BU39" t="e">
        <f>AND(#REF!,"AAAAAF/ddUg=")</f>
        <v>#REF!</v>
      </c>
      <c r="BV39" t="e">
        <f>AND(#REF!,"AAAAAF/ddUk=")</f>
        <v>#REF!</v>
      </c>
      <c r="BW39" t="e">
        <f>AND(#REF!,"AAAAAF/ddUo=")</f>
        <v>#REF!</v>
      </c>
      <c r="BX39" t="e">
        <f>AND(#REF!,"AAAAAF/ddUs=")</f>
        <v>#REF!</v>
      </c>
      <c r="BY39" t="e">
        <f>IF(#REF!,"AAAAAF/ddUw=",0)</f>
        <v>#REF!</v>
      </c>
      <c r="BZ39" t="e">
        <f>AND(#REF!,"AAAAAF/ddU0=")</f>
        <v>#REF!</v>
      </c>
      <c r="CA39" t="e">
        <f>AND(#REF!,"AAAAAF/ddU4=")</f>
        <v>#REF!</v>
      </c>
      <c r="CB39" t="e">
        <f>AND(#REF!,"AAAAAF/ddU8=")</f>
        <v>#REF!</v>
      </c>
      <c r="CC39" t="e">
        <f>AND(#REF!,"AAAAAF/ddVA=")</f>
        <v>#REF!</v>
      </c>
      <c r="CD39" t="e">
        <f>AND(#REF!,"AAAAAF/ddVE=")</f>
        <v>#REF!</v>
      </c>
      <c r="CE39" t="e">
        <f>AND(#REF!,"AAAAAF/ddVI=")</f>
        <v>#REF!</v>
      </c>
      <c r="CF39" t="e">
        <f>AND(#REF!,"AAAAAF/ddVM=")</f>
        <v>#REF!</v>
      </c>
      <c r="CG39" t="e">
        <f>AND(#REF!,"AAAAAF/ddVQ=")</f>
        <v>#REF!</v>
      </c>
      <c r="CH39" t="e">
        <f>AND(#REF!,"AAAAAF/ddVU=")</f>
        <v>#REF!</v>
      </c>
      <c r="CI39" t="e">
        <f>AND(#REF!,"AAAAAF/ddVY=")</f>
        <v>#REF!</v>
      </c>
      <c r="CJ39" t="e">
        <f>AND(#REF!,"AAAAAF/ddVc=")</f>
        <v>#REF!</v>
      </c>
      <c r="CK39" t="e">
        <f>AND(#REF!,"AAAAAF/ddVg=")</f>
        <v>#REF!</v>
      </c>
      <c r="CL39" t="e">
        <f>AND(#REF!,"AAAAAF/ddVk=")</f>
        <v>#REF!</v>
      </c>
      <c r="CM39" t="e">
        <f>AND(#REF!,"AAAAAF/ddVo=")</f>
        <v>#REF!</v>
      </c>
      <c r="CN39" t="e">
        <f>AND(#REF!,"AAAAAF/ddVs=")</f>
        <v>#REF!</v>
      </c>
      <c r="CO39" t="e">
        <f>AND(#REF!,"AAAAAF/ddVw=")</f>
        <v>#REF!</v>
      </c>
      <c r="CP39" t="e">
        <f>AND(#REF!,"AAAAAF/ddV0=")</f>
        <v>#REF!</v>
      </c>
      <c r="CQ39" t="e">
        <f>AND(#REF!,"AAAAAF/ddV4=")</f>
        <v>#REF!</v>
      </c>
      <c r="CR39" t="e">
        <f>AND(#REF!,"AAAAAF/ddV8=")</f>
        <v>#REF!</v>
      </c>
      <c r="CS39" t="e">
        <f>AND(#REF!,"AAAAAF/ddWA=")</f>
        <v>#REF!</v>
      </c>
      <c r="CT39" t="e">
        <f>AND(#REF!,"AAAAAF/ddWE=")</f>
        <v>#REF!</v>
      </c>
      <c r="CU39" t="e">
        <f>AND(#REF!,"AAAAAF/ddWI=")</f>
        <v>#REF!</v>
      </c>
      <c r="CV39" t="e">
        <f>AND(#REF!,"AAAAAF/ddWM=")</f>
        <v>#REF!</v>
      </c>
      <c r="CW39" t="e">
        <f>AND(#REF!,"AAAAAF/ddWQ=")</f>
        <v>#REF!</v>
      </c>
      <c r="CX39" t="e">
        <f>AND(#REF!,"AAAAAF/ddWU=")</f>
        <v>#REF!</v>
      </c>
      <c r="CY39" t="e">
        <f>AND(#REF!,"AAAAAF/ddWY=")</f>
        <v>#REF!</v>
      </c>
      <c r="CZ39" t="e">
        <f>AND(#REF!,"AAAAAF/ddWc=")</f>
        <v>#REF!</v>
      </c>
      <c r="DA39" t="e">
        <f>AND(#REF!,"AAAAAF/ddWg=")</f>
        <v>#REF!</v>
      </c>
      <c r="DB39" t="e">
        <f>AND(#REF!,"AAAAAF/ddWk=")</f>
        <v>#REF!</v>
      </c>
      <c r="DC39" t="e">
        <f>AND(#REF!,"AAAAAF/ddWo=")</f>
        <v>#REF!</v>
      </c>
      <c r="DD39" t="e">
        <f>AND(#REF!,"AAAAAF/ddWs=")</f>
        <v>#REF!</v>
      </c>
      <c r="DE39" t="e">
        <f>AND(#REF!,"AAAAAF/ddWw=")</f>
        <v>#REF!</v>
      </c>
      <c r="DF39" t="e">
        <f>AND(#REF!,"AAAAAF/ddW0=")</f>
        <v>#REF!</v>
      </c>
      <c r="DG39" t="e">
        <f>AND(#REF!,"AAAAAF/ddW4=")</f>
        <v>#REF!</v>
      </c>
      <c r="DH39" t="e">
        <f>AND(#REF!,"AAAAAF/ddW8=")</f>
        <v>#REF!</v>
      </c>
      <c r="DI39" t="e">
        <f>IF(#REF!,"AAAAAF/ddXA=",0)</f>
        <v>#REF!</v>
      </c>
      <c r="DJ39" t="e">
        <f>AND(#REF!,"AAAAAF/ddXE=")</f>
        <v>#REF!</v>
      </c>
      <c r="DK39" t="e">
        <f>AND(#REF!,"AAAAAF/ddXI=")</f>
        <v>#REF!</v>
      </c>
      <c r="DL39" t="e">
        <f>AND(#REF!,"AAAAAF/ddXM=")</f>
        <v>#REF!</v>
      </c>
      <c r="DM39" t="e">
        <f>AND(#REF!,"AAAAAF/ddXQ=")</f>
        <v>#REF!</v>
      </c>
      <c r="DN39" t="e">
        <f>AND(#REF!,"AAAAAF/ddXU=")</f>
        <v>#REF!</v>
      </c>
      <c r="DO39" t="e">
        <f>AND(#REF!,"AAAAAF/ddXY=")</f>
        <v>#REF!</v>
      </c>
      <c r="DP39" t="e">
        <f>AND(#REF!,"AAAAAF/ddXc=")</f>
        <v>#REF!</v>
      </c>
      <c r="DQ39" t="e">
        <f>AND(#REF!,"AAAAAF/ddXg=")</f>
        <v>#REF!</v>
      </c>
      <c r="DR39" t="e">
        <f>AND(#REF!,"AAAAAF/ddXk=")</f>
        <v>#REF!</v>
      </c>
      <c r="DS39" t="e">
        <f>AND(#REF!,"AAAAAF/ddXo=")</f>
        <v>#REF!</v>
      </c>
      <c r="DT39" t="e">
        <f>AND(#REF!,"AAAAAF/ddXs=")</f>
        <v>#REF!</v>
      </c>
      <c r="DU39" t="e">
        <f>AND(#REF!,"AAAAAF/ddXw=")</f>
        <v>#REF!</v>
      </c>
      <c r="DV39" t="e">
        <f>AND(#REF!,"AAAAAF/ddX0=")</f>
        <v>#REF!</v>
      </c>
      <c r="DW39" t="e">
        <f>AND(#REF!,"AAAAAF/ddX4=")</f>
        <v>#REF!</v>
      </c>
      <c r="DX39" t="e">
        <f>AND(#REF!,"AAAAAF/ddX8=")</f>
        <v>#REF!</v>
      </c>
      <c r="DY39" t="e">
        <f>AND(#REF!,"AAAAAF/ddYA=")</f>
        <v>#REF!</v>
      </c>
      <c r="DZ39" t="e">
        <f>AND(#REF!,"AAAAAF/ddYE=")</f>
        <v>#REF!</v>
      </c>
      <c r="EA39" t="e">
        <f>AND(#REF!,"AAAAAF/ddYI=")</f>
        <v>#REF!</v>
      </c>
      <c r="EB39" t="e">
        <f>AND(#REF!,"AAAAAF/ddYM=")</f>
        <v>#REF!</v>
      </c>
      <c r="EC39" t="e">
        <f>AND(#REF!,"AAAAAF/ddYQ=")</f>
        <v>#REF!</v>
      </c>
      <c r="ED39" t="e">
        <f>AND(#REF!,"AAAAAF/ddYU=")</f>
        <v>#REF!</v>
      </c>
      <c r="EE39" t="e">
        <f>AND(#REF!,"AAAAAF/ddYY=")</f>
        <v>#REF!</v>
      </c>
      <c r="EF39" t="e">
        <f>AND(#REF!,"AAAAAF/ddYc=")</f>
        <v>#REF!</v>
      </c>
      <c r="EG39" t="e">
        <f>AND(#REF!,"AAAAAF/ddYg=")</f>
        <v>#REF!</v>
      </c>
      <c r="EH39" t="e">
        <f>AND(#REF!,"AAAAAF/ddYk=")</f>
        <v>#REF!</v>
      </c>
      <c r="EI39" t="e">
        <f>AND(#REF!,"AAAAAF/ddYo=")</f>
        <v>#REF!</v>
      </c>
      <c r="EJ39" t="e">
        <f>AND(#REF!,"AAAAAF/ddYs=")</f>
        <v>#REF!</v>
      </c>
      <c r="EK39" t="e">
        <f>AND(#REF!,"AAAAAF/ddYw=")</f>
        <v>#REF!</v>
      </c>
      <c r="EL39" t="e">
        <f>AND(#REF!,"AAAAAF/ddY0=")</f>
        <v>#REF!</v>
      </c>
      <c r="EM39" t="e">
        <f>AND(#REF!,"AAAAAF/ddY4=")</f>
        <v>#REF!</v>
      </c>
      <c r="EN39" t="e">
        <f>AND(#REF!,"AAAAAF/ddY8=")</f>
        <v>#REF!</v>
      </c>
      <c r="EO39" t="e">
        <f>AND(#REF!,"AAAAAF/ddZA=")</f>
        <v>#REF!</v>
      </c>
      <c r="EP39" t="e">
        <f>AND(#REF!,"AAAAAF/ddZE=")</f>
        <v>#REF!</v>
      </c>
      <c r="EQ39" t="e">
        <f>AND(#REF!,"AAAAAF/ddZI=")</f>
        <v>#REF!</v>
      </c>
      <c r="ER39" t="e">
        <f>AND(#REF!,"AAAAAF/ddZM=")</f>
        <v>#REF!</v>
      </c>
      <c r="ES39" t="e">
        <f>IF(#REF!,"AAAAAF/ddZQ=",0)</f>
        <v>#REF!</v>
      </c>
      <c r="ET39" t="e">
        <f>AND(#REF!,"AAAAAF/ddZU=")</f>
        <v>#REF!</v>
      </c>
      <c r="EU39" t="e">
        <f>AND(#REF!,"AAAAAF/ddZY=")</f>
        <v>#REF!</v>
      </c>
      <c r="EV39" t="e">
        <f>AND(#REF!,"AAAAAF/ddZc=")</f>
        <v>#REF!</v>
      </c>
      <c r="EW39" t="e">
        <f>AND(#REF!,"AAAAAF/ddZg=")</f>
        <v>#REF!</v>
      </c>
      <c r="EX39" t="e">
        <f>AND(#REF!,"AAAAAF/ddZk=")</f>
        <v>#REF!</v>
      </c>
      <c r="EY39" t="e">
        <f>AND(#REF!,"AAAAAF/ddZo=")</f>
        <v>#REF!</v>
      </c>
      <c r="EZ39" t="e">
        <f>AND(#REF!,"AAAAAF/ddZs=")</f>
        <v>#REF!</v>
      </c>
      <c r="FA39" t="e">
        <f>AND(#REF!,"AAAAAF/ddZw=")</f>
        <v>#REF!</v>
      </c>
      <c r="FB39" t="e">
        <f>AND(#REF!,"AAAAAF/ddZ0=")</f>
        <v>#REF!</v>
      </c>
      <c r="FC39" t="e">
        <f>AND(#REF!,"AAAAAF/ddZ4=")</f>
        <v>#REF!</v>
      </c>
      <c r="FD39" t="e">
        <f>AND(#REF!,"AAAAAF/ddZ8=")</f>
        <v>#REF!</v>
      </c>
      <c r="FE39" t="e">
        <f>AND(#REF!,"AAAAAF/ddaA=")</f>
        <v>#REF!</v>
      </c>
      <c r="FF39" t="e">
        <f>AND(#REF!,"AAAAAF/ddaE=")</f>
        <v>#REF!</v>
      </c>
      <c r="FG39" t="e">
        <f>AND(#REF!,"AAAAAF/ddaI=")</f>
        <v>#REF!</v>
      </c>
      <c r="FH39" t="e">
        <f>AND(#REF!,"AAAAAF/ddaM=")</f>
        <v>#REF!</v>
      </c>
      <c r="FI39" t="e">
        <f>AND(#REF!,"AAAAAF/ddaQ=")</f>
        <v>#REF!</v>
      </c>
      <c r="FJ39" t="e">
        <f>AND(#REF!,"AAAAAF/ddaU=")</f>
        <v>#REF!</v>
      </c>
      <c r="FK39" t="e">
        <f>AND(#REF!,"AAAAAF/ddaY=")</f>
        <v>#REF!</v>
      </c>
      <c r="FL39" t="e">
        <f>AND(#REF!,"AAAAAF/ddac=")</f>
        <v>#REF!</v>
      </c>
      <c r="FM39" t="e">
        <f>AND(#REF!,"AAAAAF/ddag=")</f>
        <v>#REF!</v>
      </c>
      <c r="FN39" t="e">
        <f>AND(#REF!,"AAAAAF/ddak=")</f>
        <v>#REF!</v>
      </c>
      <c r="FO39" t="e">
        <f>AND(#REF!,"AAAAAF/ddao=")</f>
        <v>#REF!</v>
      </c>
      <c r="FP39" t="e">
        <f>AND(#REF!,"AAAAAF/ddas=")</f>
        <v>#REF!</v>
      </c>
      <c r="FQ39" t="e">
        <f>AND(#REF!,"AAAAAF/ddaw=")</f>
        <v>#REF!</v>
      </c>
      <c r="FR39" t="e">
        <f>AND(#REF!,"AAAAAF/dda0=")</f>
        <v>#REF!</v>
      </c>
      <c r="FS39" t="e">
        <f>AND(#REF!,"AAAAAF/dda4=")</f>
        <v>#REF!</v>
      </c>
      <c r="FT39" t="e">
        <f>AND(#REF!,"AAAAAF/dda8=")</f>
        <v>#REF!</v>
      </c>
      <c r="FU39" t="e">
        <f>AND(#REF!,"AAAAAF/ddbA=")</f>
        <v>#REF!</v>
      </c>
      <c r="FV39" t="e">
        <f>AND(#REF!,"AAAAAF/ddbE=")</f>
        <v>#REF!</v>
      </c>
      <c r="FW39" t="e">
        <f>AND(#REF!,"AAAAAF/ddbI=")</f>
        <v>#REF!</v>
      </c>
      <c r="FX39" t="e">
        <f>AND(#REF!,"AAAAAF/ddbM=")</f>
        <v>#REF!</v>
      </c>
      <c r="FY39" t="e">
        <f>AND(#REF!,"AAAAAF/ddbQ=")</f>
        <v>#REF!</v>
      </c>
      <c r="FZ39" t="e">
        <f>AND(#REF!,"AAAAAF/ddbU=")</f>
        <v>#REF!</v>
      </c>
      <c r="GA39" t="e">
        <f>AND(#REF!,"AAAAAF/ddbY=")</f>
        <v>#REF!</v>
      </c>
      <c r="GB39" t="e">
        <f>AND(#REF!,"AAAAAF/ddbc=")</f>
        <v>#REF!</v>
      </c>
      <c r="GC39" t="e">
        <f>IF(#REF!,"AAAAAF/ddbg=",0)</f>
        <v>#REF!</v>
      </c>
      <c r="GD39" t="e">
        <f>AND(#REF!,"AAAAAF/ddbk=")</f>
        <v>#REF!</v>
      </c>
      <c r="GE39" t="e">
        <f>AND(#REF!,"AAAAAF/ddbo=")</f>
        <v>#REF!</v>
      </c>
      <c r="GF39" t="e">
        <f>AND(#REF!,"AAAAAF/ddbs=")</f>
        <v>#REF!</v>
      </c>
      <c r="GG39" t="e">
        <f>AND(#REF!,"AAAAAF/ddbw=")</f>
        <v>#REF!</v>
      </c>
      <c r="GH39" t="e">
        <f>AND(#REF!,"AAAAAF/ddb0=")</f>
        <v>#REF!</v>
      </c>
      <c r="GI39" t="e">
        <f>AND(#REF!,"AAAAAF/ddb4=")</f>
        <v>#REF!</v>
      </c>
      <c r="GJ39" t="e">
        <f>AND(#REF!,"AAAAAF/ddb8=")</f>
        <v>#REF!</v>
      </c>
      <c r="GK39" t="e">
        <f>AND(#REF!,"AAAAAF/ddcA=")</f>
        <v>#REF!</v>
      </c>
      <c r="GL39" t="e">
        <f>AND(#REF!,"AAAAAF/ddcE=")</f>
        <v>#REF!</v>
      </c>
      <c r="GM39" t="e">
        <f>AND(#REF!,"AAAAAF/ddcI=")</f>
        <v>#REF!</v>
      </c>
      <c r="GN39" t="e">
        <f>AND(#REF!,"AAAAAF/ddcM=")</f>
        <v>#REF!</v>
      </c>
      <c r="GO39" t="e">
        <f>AND(#REF!,"AAAAAF/ddcQ=")</f>
        <v>#REF!</v>
      </c>
      <c r="GP39" t="e">
        <f>AND(#REF!,"AAAAAF/ddcU=")</f>
        <v>#REF!</v>
      </c>
      <c r="GQ39" t="e">
        <f>AND(#REF!,"AAAAAF/ddcY=")</f>
        <v>#REF!</v>
      </c>
      <c r="GR39" t="e">
        <f>AND(#REF!,"AAAAAF/ddcc=")</f>
        <v>#REF!</v>
      </c>
      <c r="GS39" t="e">
        <f>AND(#REF!,"AAAAAF/ddcg=")</f>
        <v>#REF!</v>
      </c>
      <c r="GT39" t="e">
        <f>AND(#REF!,"AAAAAF/ddck=")</f>
        <v>#REF!</v>
      </c>
      <c r="GU39" t="e">
        <f>AND(#REF!,"AAAAAF/ddco=")</f>
        <v>#REF!</v>
      </c>
      <c r="GV39" t="e">
        <f>AND(#REF!,"AAAAAF/ddcs=")</f>
        <v>#REF!</v>
      </c>
      <c r="GW39" t="e">
        <f>AND(#REF!,"AAAAAF/ddcw=")</f>
        <v>#REF!</v>
      </c>
      <c r="GX39" t="e">
        <f>AND(#REF!,"AAAAAF/ddc0=")</f>
        <v>#REF!</v>
      </c>
      <c r="GY39" t="e">
        <f>AND(#REF!,"AAAAAF/ddc4=")</f>
        <v>#REF!</v>
      </c>
      <c r="GZ39" t="e">
        <f>AND(#REF!,"AAAAAF/ddc8=")</f>
        <v>#REF!</v>
      </c>
      <c r="HA39" t="e">
        <f>AND(#REF!,"AAAAAF/dddA=")</f>
        <v>#REF!</v>
      </c>
      <c r="HB39" t="e">
        <f>AND(#REF!,"AAAAAF/dddE=")</f>
        <v>#REF!</v>
      </c>
      <c r="HC39" t="e">
        <f>AND(#REF!,"AAAAAF/dddI=")</f>
        <v>#REF!</v>
      </c>
      <c r="HD39" t="e">
        <f>AND(#REF!,"AAAAAF/dddM=")</f>
        <v>#REF!</v>
      </c>
      <c r="HE39" t="e">
        <f>AND(#REF!,"AAAAAF/dddQ=")</f>
        <v>#REF!</v>
      </c>
      <c r="HF39" t="e">
        <f>AND(#REF!,"AAAAAF/dddU=")</f>
        <v>#REF!</v>
      </c>
      <c r="HG39" t="e">
        <f>AND(#REF!,"AAAAAF/dddY=")</f>
        <v>#REF!</v>
      </c>
      <c r="HH39" t="e">
        <f>AND(#REF!,"AAAAAF/dddc=")</f>
        <v>#REF!</v>
      </c>
      <c r="HI39" t="e">
        <f>AND(#REF!,"AAAAAF/dddg=")</f>
        <v>#REF!</v>
      </c>
      <c r="HJ39" t="e">
        <f>AND(#REF!,"AAAAAF/dddk=")</f>
        <v>#REF!</v>
      </c>
      <c r="HK39" t="e">
        <f>AND(#REF!,"AAAAAF/dddo=")</f>
        <v>#REF!</v>
      </c>
      <c r="HL39" t="e">
        <f>AND(#REF!,"AAAAAF/ddds=")</f>
        <v>#REF!</v>
      </c>
      <c r="HM39" t="e">
        <f>IF(#REF!,"AAAAAF/dddw=",0)</f>
        <v>#REF!</v>
      </c>
      <c r="HN39" t="e">
        <f>AND(#REF!,"AAAAAF/ddd0=")</f>
        <v>#REF!</v>
      </c>
      <c r="HO39" t="e">
        <f>AND(#REF!,"AAAAAF/ddd4=")</f>
        <v>#REF!</v>
      </c>
      <c r="HP39" t="e">
        <f>AND(#REF!,"AAAAAF/ddd8=")</f>
        <v>#REF!</v>
      </c>
      <c r="HQ39" t="e">
        <f>AND(#REF!,"AAAAAF/ddeA=")</f>
        <v>#REF!</v>
      </c>
      <c r="HR39" t="e">
        <f>AND(#REF!,"AAAAAF/ddeE=")</f>
        <v>#REF!</v>
      </c>
      <c r="HS39" t="e">
        <f>AND(#REF!,"AAAAAF/ddeI=")</f>
        <v>#REF!</v>
      </c>
      <c r="HT39" t="e">
        <f>AND(#REF!,"AAAAAF/ddeM=")</f>
        <v>#REF!</v>
      </c>
      <c r="HU39" t="e">
        <f>AND(#REF!,"AAAAAF/ddeQ=")</f>
        <v>#REF!</v>
      </c>
      <c r="HV39" t="e">
        <f>AND(#REF!,"AAAAAF/ddeU=")</f>
        <v>#REF!</v>
      </c>
      <c r="HW39" t="e">
        <f>AND(#REF!,"AAAAAF/ddeY=")</f>
        <v>#REF!</v>
      </c>
      <c r="HX39" t="e">
        <f>AND(#REF!,"AAAAAF/ddec=")</f>
        <v>#REF!</v>
      </c>
      <c r="HY39" t="e">
        <f>AND(#REF!,"AAAAAF/ddeg=")</f>
        <v>#REF!</v>
      </c>
      <c r="HZ39" t="e">
        <f>AND(#REF!,"AAAAAF/ddek=")</f>
        <v>#REF!</v>
      </c>
      <c r="IA39" t="e">
        <f>AND(#REF!,"AAAAAF/ddeo=")</f>
        <v>#REF!</v>
      </c>
      <c r="IB39" t="e">
        <f>AND(#REF!,"AAAAAF/ddes=")</f>
        <v>#REF!</v>
      </c>
      <c r="IC39" t="e">
        <f>AND(#REF!,"AAAAAF/ddew=")</f>
        <v>#REF!</v>
      </c>
      <c r="ID39" t="e">
        <f>AND(#REF!,"AAAAAF/dde0=")</f>
        <v>#REF!</v>
      </c>
      <c r="IE39" t="e">
        <f>AND(#REF!,"AAAAAF/dde4=")</f>
        <v>#REF!</v>
      </c>
      <c r="IF39" t="e">
        <f>AND(#REF!,"AAAAAF/dde8=")</f>
        <v>#REF!</v>
      </c>
      <c r="IG39" t="e">
        <f>AND(#REF!,"AAAAAF/ddfA=")</f>
        <v>#REF!</v>
      </c>
      <c r="IH39" t="e">
        <f>AND(#REF!,"AAAAAF/ddfE=")</f>
        <v>#REF!</v>
      </c>
      <c r="II39" t="e">
        <f>AND(#REF!,"AAAAAF/ddfI=")</f>
        <v>#REF!</v>
      </c>
      <c r="IJ39" t="e">
        <f>AND(#REF!,"AAAAAF/ddfM=")</f>
        <v>#REF!</v>
      </c>
      <c r="IK39" t="e">
        <f>AND(#REF!,"AAAAAF/ddfQ=")</f>
        <v>#REF!</v>
      </c>
      <c r="IL39" t="e">
        <f>AND(#REF!,"AAAAAF/ddfU=")</f>
        <v>#REF!</v>
      </c>
      <c r="IM39" t="e">
        <f>AND(#REF!,"AAAAAF/ddfY=")</f>
        <v>#REF!</v>
      </c>
      <c r="IN39" t="e">
        <f>AND(#REF!,"AAAAAF/ddfc=")</f>
        <v>#REF!</v>
      </c>
      <c r="IO39" t="e">
        <f>AND(#REF!,"AAAAAF/ddfg=")</f>
        <v>#REF!</v>
      </c>
      <c r="IP39" t="e">
        <f>AND(#REF!,"AAAAAF/ddfk=")</f>
        <v>#REF!</v>
      </c>
      <c r="IQ39" t="e">
        <f>AND(#REF!,"AAAAAF/ddfo=")</f>
        <v>#REF!</v>
      </c>
      <c r="IR39" t="e">
        <f>AND(#REF!,"AAAAAF/ddfs=")</f>
        <v>#REF!</v>
      </c>
      <c r="IS39" t="e">
        <f>AND(#REF!,"AAAAAF/ddfw=")</f>
        <v>#REF!</v>
      </c>
      <c r="IT39" t="e">
        <f>AND(#REF!,"AAAAAF/ddf0=")</f>
        <v>#REF!</v>
      </c>
      <c r="IU39" t="e">
        <f>AND(#REF!,"AAAAAF/ddf4=")</f>
        <v>#REF!</v>
      </c>
      <c r="IV39" t="e">
        <f>AND(#REF!,"AAAAAF/ddf8=")</f>
        <v>#REF!</v>
      </c>
    </row>
    <row r="40" spans="1:256">
      <c r="A40" t="e">
        <f>IF(#REF!,"AAAAAD7vuwA=",0)</f>
        <v>#REF!</v>
      </c>
      <c r="B40" t="e">
        <f>AND(#REF!,"AAAAAD7vuwE=")</f>
        <v>#REF!</v>
      </c>
      <c r="C40" t="e">
        <f>AND(#REF!,"AAAAAD7vuwI=")</f>
        <v>#REF!</v>
      </c>
      <c r="D40" t="e">
        <f>AND(#REF!,"AAAAAD7vuwM=")</f>
        <v>#REF!</v>
      </c>
      <c r="E40" t="e">
        <f>AND(#REF!,"AAAAAD7vuwQ=")</f>
        <v>#REF!</v>
      </c>
      <c r="F40" t="e">
        <f>AND(#REF!,"AAAAAD7vuwU=")</f>
        <v>#REF!</v>
      </c>
      <c r="G40" t="e">
        <f>AND(#REF!,"AAAAAD7vuwY=")</f>
        <v>#REF!</v>
      </c>
      <c r="H40" t="e">
        <f>AND(#REF!,"AAAAAD7vuwc=")</f>
        <v>#REF!</v>
      </c>
      <c r="I40" t="e">
        <f>AND(#REF!,"AAAAAD7vuwg=")</f>
        <v>#REF!</v>
      </c>
      <c r="J40" t="e">
        <f>AND(#REF!,"AAAAAD7vuwk=")</f>
        <v>#REF!</v>
      </c>
      <c r="K40" t="e">
        <f>AND(#REF!,"AAAAAD7vuwo=")</f>
        <v>#REF!</v>
      </c>
      <c r="L40" t="e">
        <f>AND(#REF!,"AAAAAD7vuws=")</f>
        <v>#REF!</v>
      </c>
      <c r="M40" t="e">
        <f>AND(#REF!,"AAAAAD7vuww=")</f>
        <v>#REF!</v>
      </c>
      <c r="N40" t="e">
        <f>AND(#REF!,"AAAAAD7vuw0=")</f>
        <v>#REF!</v>
      </c>
      <c r="O40" t="e">
        <f>AND(#REF!,"AAAAAD7vuw4=")</f>
        <v>#REF!</v>
      </c>
      <c r="P40" t="e">
        <f>AND(#REF!,"AAAAAD7vuw8=")</f>
        <v>#REF!</v>
      </c>
      <c r="Q40" t="e">
        <f>AND(#REF!,"AAAAAD7vuxA=")</f>
        <v>#REF!</v>
      </c>
      <c r="R40" t="e">
        <f>AND(#REF!,"AAAAAD7vuxE=")</f>
        <v>#REF!</v>
      </c>
      <c r="S40" t="e">
        <f>AND(#REF!,"AAAAAD7vuxI=")</f>
        <v>#REF!</v>
      </c>
      <c r="T40" t="e">
        <f>AND(#REF!,"AAAAAD7vuxM=")</f>
        <v>#REF!</v>
      </c>
      <c r="U40" t="e">
        <f>AND(#REF!,"AAAAAD7vuxQ=")</f>
        <v>#REF!</v>
      </c>
      <c r="V40" t="e">
        <f>AND(#REF!,"AAAAAD7vuxU=")</f>
        <v>#REF!</v>
      </c>
      <c r="W40" t="e">
        <f>AND(#REF!,"AAAAAD7vuxY=")</f>
        <v>#REF!</v>
      </c>
      <c r="X40" t="e">
        <f>AND(#REF!,"AAAAAD7vuxc=")</f>
        <v>#REF!</v>
      </c>
      <c r="Y40" t="e">
        <f>AND(#REF!,"AAAAAD7vuxg=")</f>
        <v>#REF!</v>
      </c>
      <c r="Z40" t="e">
        <f>AND(#REF!,"AAAAAD7vuxk=")</f>
        <v>#REF!</v>
      </c>
      <c r="AA40" t="e">
        <f>AND(#REF!,"AAAAAD7vuxo=")</f>
        <v>#REF!</v>
      </c>
      <c r="AB40" t="e">
        <f>AND(#REF!,"AAAAAD7vuxs=")</f>
        <v>#REF!</v>
      </c>
      <c r="AC40" t="e">
        <f>AND(#REF!,"AAAAAD7vuxw=")</f>
        <v>#REF!</v>
      </c>
      <c r="AD40" t="e">
        <f>AND(#REF!,"AAAAAD7vux0=")</f>
        <v>#REF!</v>
      </c>
      <c r="AE40" t="e">
        <f>AND(#REF!,"AAAAAD7vux4=")</f>
        <v>#REF!</v>
      </c>
      <c r="AF40" t="e">
        <f>AND(#REF!,"AAAAAD7vux8=")</f>
        <v>#REF!</v>
      </c>
      <c r="AG40" t="e">
        <f>AND(#REF!,"AAAAAD7vuyA=")</f>
        <v>#REF!</v>
      </c>
      <c r="AH40" t="e">
        <f>AND(#REF!,"AAAAAD7vuyE=")</f>
        <v>#REF!</v>
      </c>
      <c r="AI40" t="e">
        <f>AND(#REF!,"AAAAAD7vuyI=")</f>
        <v>#REF!</v>
      </c>
      <c r="AJ40" t="e">
        <f>AND(#REF!,"AAAAAD7vuyM=")</f>
        <v>#REF!</v>
      </c>
      <c r="AK40" t="e">
        <f>IF(#REF!,"AAAAAD7vuyQ=",0)</f>
        <v>#REF!</v>
      </c>
      <c r="AL40" t="e">
        <f>AND(#REF!,"AAAAAD7vuyU=")</f>
        <v>#REF!</v>
      </c>
      <c r="AM40" t="e">
        <f>AND(#REF!,"AAAAAD7vuyY=")</f>
        <v>#REF!</v>
      </c>
      <c r="AN40" t="e">
        <f>AND(#REF!,"AAAAAD7vuyc=")</f>
        <v>#REF!</v>
      </c>
      <c r="AO40" t="e">
        <f>AND(#REF!,"AAAAAD7vuyg=")</f>
        <v>#REF!</v>
      </c>
      <c r="AP40" t="e">
        <f>AND(#REF!,"AAAAAD7vuyk=")</f>
        <v>#REF!</v>
      </c>
      <c r="AQ40" t="e">
        <f>AND(#REF!,"AAAAAD7vuyo=")</f>
        <v>#REF!</v>
      </c>
      <c r="AR40" t="e">
        <f>AND(#REF!,"AAAAAD7vuys=")</f>
        <v>#REF!</v>
      </c>
      <c r="AS40" t="e">
        <f>AND(#REF!,"AAAAAD7vuyw=")</f>
        <v>#REF!</v>
      </c>
      <c r="AT40" t="e">
        <f>AND(#REF!,"AAAAAD7vuy0=")</f>
        <v>#REF!</v>
      </c>
      <c r="AU40" t="e">
        <f>AND(#REF!,"AAAAAD7vuy4=")</f>
        <v>#REF!</v>
      </c>
      <c r="AV40" t="e">
        <f>AND(#REF!,"AAAAAD7vuy8=")</f>
        <v>#REF!</v>
      </c>
      <c r="AW40" t="e">
        <f>AND(#REF!,"AAAAAD7vuzA=")</f>
        <v>#REF!</v>
      </c>
      <c r="AX40" t="e">
        <f>AND(#REF!,"AAAAAD7vuzE=")</f>
        <v>#REF!</v>
      </c>
      <c r="AY40" t="e">
        <f>AND(#REF!,"AAAAAD7vuzI=")</f>
        <v>#REF!</v>
      </c>
      <c r="AZ40" t="e">
        <f>AND(#REF!,"AAAAAD7vuzM=")</f>
        <v>#REF!</v>
      </c>
      <c r="BA40" t="e">
        <f>AND(#REF!,"AAAAAD7vuzQ=")</f>
        <v>#REF!</v>
      </c>
      <c r="BB40" t="e">
        <f>AND(#REF!,"AAAAAD7vuzU=")</f>
        <v>#REF!</v>
      </c>
      <c r="BC40" t="e">
        <f>AND(#REF!,"AAAAAD7vuzY=")</f>
        <v>#REF!</v>
      </c>
      <c r="BD40" t="e">
        <f>AND(#REF!,"AAAAAD7vuzc=")</f>
        <v>#REF!</v>
      </c>
      <c r="BE40" t="e">
        <f>AND(#REF!,"AAAAAD7vuzg=")</f>
        <v>#REF!</v>
      </c>
      <c r="BF40" t="e">
        <f>AND(#REF!,"AAAAAD7vuzk=")</f>
        <v>#REF!</v>
      </c>
      <c r="BG40" t="e">
        <f>AND(#REF!,"AAAAAD7vuzo=")</f>
        <v>#REF!</v>
      </c>
      <c r="BH40" t="e">
        <f>AND(#REF!,"AAAAAD7vuzs=")</f>
        <v>#REF!</v>
      </c>
      <c r="BI40" t="e">
        <f>AND(#REF!,"AAAAAD7vuzw=")</f>
        <v>#REF!</v>
      </c>
      <c r="BJ40" t="e">
        <f>AND(#REF!,"AAAAAD7vuz0=")</f>
        <v>#REF!</v>
      </c>
      <c r="BK40" t="e">
        <f>AND(#REF!,"AAAAAD7vuz4=")</f>
        <v>#REF!</v>
      </c>
      <c r="BL40" t="e">
        <f>AND(#REF!,"AAAAAD7vuz8=")</f>
        <v>#REF!</v>
      </c>
      <c r="BM40" t="e">
        <f>AND(#REF!,"AAAAAD7vu0A=")</f>
        <v>#REF!</v>
      </c>
      <c r="BN40" t="e">
        <f>AND(#REF!,"AAAAAD7vu0E=")</f>
        <v>#REF!</v>
      </c>
      <c r="BO40" t="e">
        <f>AND(#REF!,"AAAAAD7vu0I=")</f>
        <v>#REF!</v>
      </c>
      <c r="BP40" t="e">
        <f>AND(#REF!,"AAAAAD7vu0M=")</f>
        <v>#REF!</v>
      </c>
      <c r="BQ40" t="e">
        <f>AND(#REF!,"AAAAAD7vu0Q=")</f>
        <v>#REF!</v>
      </c>
      <c r="BR40" t="e">
        <f>AND(#REF!,"AAAAAD7vu0U=")</f>
        <v>#REF!</v>
      </c>
      <c r="BS40" t="e">
        <f>AND(#REF!,"AAAAAD7vu0Y=")</f>
        <v>#REF!</v>
      </c>
      <c r="BT40" t="e">
        <f>AND(#REF!,"AAAAAD7vu0c=")</f>
        <v>#REF!</v>
      </c>
      <c r="BU40" t="e">
        <f>IF(#REF!,"AAAAAD7vu0g=",0)</f>
        <v>#REF!</v>
      </c>
      <c r="BV40" t="e">
        <f>AND(#REF!,"AAAAAD7vu0k=")</f>
        <v>#REF!</v>
      </c>
      <c r="BW40" t="e">
        <f>AND(#REF!,"AAAAAD7vu0o=")</f>
        <v>#REF!</v>
      </c>
      <c r="BX40" t="e">
        <f>AND(#REF!,"AAAAAD7vu0s=")</f>
        <v>#REF!</v>
      </c>
      <c r="BY40" t="e">
        <f>AND(#REF!,"AAAAAD7vu0w=")</f>
        <v>#REF!</v>
      </c>
      <c r="BZ40" t="e">
        <f>AND(#REF!,"AAAAAD7vu00=")</f>
        <v>#REF!</v>
      </c>
      <c r="CA40" t="e">
        <f>AND(#REF!,"AAAAAD7vu04=")</f>
        <v>#REF!</v>
      </c>
      <c r="CB40" t="e">
        <f>AND(#REF!,"AAAAAD7vu08=")</f>
        <v>#REF!</v>
      </c>
      <c r="CC40" t="e">
        <f>AND(#REF!,"AAAAAD7vu1A=")</f>
        <v>#REF!</v>
      </c>
      <c r="CD40" t="e">
        <f>AND(#REF!,"AAAAAD7vu1E=")</f>
        <v>#REF!</v>
      </c>
      <c r="CE40" t="e">
        <f>AND(#REF!,"AAAAAD7vu1I=")</f>
        <v>#REF!</v>
      </c>
      <c r="CF40" t="e">
        <f>AND(#REF!,"AAAAAD7vu1M=")</f>
        <v>#REF!</v>
      </c>
      <c r="CG40" t="e">
        <f>AND(#REF!,"AAAAAD7vu1Q=")</f>
        <v>#REF!</v>
      </c>
      <c r="CH40" t="e">
        <f>AND(#REF!,"AAAAAD7vu1U=")</f>
        <v>#REF!</v>
      </c>
      <c r="CI40" t="e">
        <f>AND(#REF!,"AAAAAD7vu1Y=")</f>
        <v>#REF!</v>
      </c>
      <c r="CJ40" t="e">
        <f>AND(#REF!,"AAAAAD7vu1c=")</f>
        <v>#REF!</v>
      </c>
      <c r="CK40" t="e">
        <f>AND(#REF!,"AAAAAD7vu1g=")</f>
        <v>#REF!</v>
      </c>
      <c r="CL40" t="e">
        <f>AND(#REF!,"AAAAAD7vu1k=")</f>
        <v>#REF!</v>
      </c>
      <c r="CM40" t="e">
        <f>AND(#REF!,"AAAAAD7vu1o=")</f>
        <v>#REF!</v>
      </c>
      <c r="CN40" t="e">
        <f>AND(#REF!,"AAAAAD7vu1s=")</f>
        <v>#REF!</v>
      </c>
      <c r="CO40" t="e">
        <f>AND(#REF!,"AAAAAD7vu1w=")</f>
        <v>#REF!</v>
      </c>
      <c r="CP40" t="e">
        <f>AND(#REF!,"AAAAAD7vu10=")</f>
        <v>#REF!</v>
      </c>
      <c r="CQ40" t="e">
        <f>AND(#REF!,"AAAAAD7vu14=")</f>
        <v>#REF!</v>
      </c>
      <c r="CR40" t="e">
        <f>AND(#REF!,"AAAAAD7vu18=")</f>
        <v>#REF!</v>
      </c>
      <c r="CS40" t="e">
        <f>AND(#REF!,"AAAAAD7vu2A=")</f>
        <v>#REF!</v>
      </c>
      <c r="CT40" t="e">
        <f>AND(#REF!,"AAAAAD7vu2E=")</f>
        <v>#REF!</v>
      </c>
      <c r="CU40" t="e">
        <f>AND(#REF!,"AAAAAD7vu2I=")</f>
        <v>#REF!</v>
      </c>
      <c r="CV40" t="e">
        <f>AND(#REF!,"AAAAAD7vu2M=")</f>
        <v>#REF!</v>
      </c>
      <c r="CW40" t="e">
        <f>AND(#REF!,"AAAAAD7vu2Q=")</f>
        <v>#REF!</v>
      </c>
      <c r="CX40" t="e">
        <f>AND(#REF!,"AAAAAD7vu2U=")</f>
        <v>#REF!</v>
      </c>
      <c r="CY40" t="e">
        <f>AND(#REF!,"AAAAAD7vu2Y=")</f>
        <v>#REF!</v>
      </c>
      <c r="CZ40" t="e">
        <f>AND(#REF!,"AAAAAD7vu2c=")</f>
        <v>#REF!</v>
      </c>
      <c r="DA40" t="e">
        <f>AND(#REF!,"AAAAAD7vu2g=")</f>
        <v>#REF!</v>
      </c>
      <c r="DB40" t="e">
        <f>AND(#REF!,"AAAAAD7vu2k=")</f>
        <v>#REF!</v>
      </c>
      <c r="DC40" t="e">
        <f>AND(#REF!,"AAAAAD7vu2o=")</f>
        <v>#REF!</v>
      </c>
      <c r="DD40" t="e">
        <f>AND(#REF!,"AAAAAD7vu2s=")</f>
        <v>#REF!</v>
      </c>
      <c r="DE40" t="e">
        <f>IF(#REF!,"AAAAAD7vu2w=",0)</f>
        <v>#REF!</v>
      </c>
      <c r="DF40" t="e">
        <f>AND(#REF!,"AAAAAD7vu20=")</f>
        <v>#REF!</v>
      </c>
      <c r="DG40" t="e">
        <f>AND(#REF!,"AAAAAD7vu24=")</f>
        <v>#REF!</v>
      </c>
      <c r="DH40" t="e">
        <f>AND(#REF!,"AAAAAD7vu28=")</f>
        <v>#REF!</v>
      </c>
      <c r="DI40" t="e">
        <f>AND(#REF!,"AAAAAD7vu3A=")</f>
        <v>#REF!</v>
      </c>
      <c r="DJ40" t="e">
        <f>AND(#REF!,"AAAAAD7vu3E=")</f>
        <v>#REF!</v>
      </c>
      <c r="DK40" t="e">
        <f>AND(#REF!,"AAAAAD7vu3I=")</f>
        <v>#REF!</v>
      </c>
      <c r="DL40" t="e">
        <f>AND(#REF!,"AAAAAD7vu3M=")</f>
        <v>#REF!</v>
      </c>
      <c r="DM40" t="e">
        <f>AND(#REF!,"AAAAAD7vu3Q=")</f>
        <v>#REF!</v>
      </c>
      <c r="DN40" t="e">
        <f>AND(#REF!,"AAAAAD7vu3U=")</f>
        <v>#REF!</v>
      </c>
      <c r="DO40" t="e">
        <f>AND(#REF!,"AAAAAD7vu3Y=")</f>
        <v>#REF!</v>
      </c>
      <c r="DP40" t="e">
        <f>AND(#REF!,"AAAAAD7vu3c=")</f>
        <v>#REF!</v>
      </c>
      <c r="DQ40" t="e">
        <f>AND(#REF!,"AAAAAD7vu3g=")</f>
        <v>#REF!</v>
      </c>
      <c r="DR40" t="e">
        <f>AND(#REF!,"AAAAAD7vu3k=")</f>
        <v>#REF!</v>
      </c>
      <c r="DS40" t="e">
        <f>AND(#REF!,"AAAAAD7vu3o=")</f>
        <v>#REF!</v>
      </c>
      <c r="DT40" t="e">
        <f>AND(#REF!,"AAAAAD7vu3s=")</f>
        <v>#REF!</v>
      </c>
      <c r="DU40" t="e">
        <f>AND(#REF!,"AAAAAD7vu3w=")</f>
        <v>#REF!</v>
      </c>
      <c r="DV40" t="e">
        <f>AND(#REF!,"AAAAAD7vu30=")</f>
        <v>#REF!</v>
      </c>
      <c r="DW40" t="e">
        <f>AND(#REF!,"AAAAAD7vu34=")</f>
        <v>#REF!</v>
      </c>
      <c r="DX40" t="e">
        <f>AND(#REF!,"AAAAAD7vu38=")</f>
        <v>#REF!</v>
      </c>
      <c r="DY40" t="e">
        <f>AND(#REF!,"AAAAAD7vu4A=")</f>
        <v>#REF!</v>
      </c>
      <c r="DZ40" t="e">
        <f>AND(#REF!,"AAAAAD7vu4E=")</f>
        <v>#REF!</v>
      </c>
      <c r="EA40" t="e">
        <f>AND(#REF!,"AAAAAD7vu4I=")</f>
        <v>#REF!</v>
      </c>
      <c r="EB40" t="e">
        <f>AND(#REF!,"AAAAAD7vu4M=")</f>
        <v>#REF!</v>
      </c>
      <c r="EC40" t="e">
        <f>AND(#REF!,"AAAAAD7vu4Q=")</f>
        <v>#REF!</v>
      </c>
      <c r="ED40" t="e">
        <f>AND(#REF!,"AAAAAD7vu4U=")</f>
        <v>#REF!</v>
      </c>
      <c r="EE40" t="e">
        <f>AND(#REF!,"AAAAAD7vu4Y=")</f>
        <v>#REF!</v>
      </c>
      <c r="EF40" t="e">
        <f>AND(#REF!,"AAAAAD7vu4c=")</f>
        <v>#REF!</v>
      </c>
      <c r="EG40" t="e">
        <f>AND(#REF!,"AAAAAD7vu4g=")</f>
        <v>#REF!</v>
      </c>
      <c r="EH40" t="e">
        <f>AND(#REF!,"AAAAAD7vu4k=")</f>
        <v>#REF!</v>
      </c>
      <c r="EI40" t="e">
        <f>AND(#REF!,"AAAAAD7vu4o=")</f>
        <v>#REF!</v>
      </c>
      <c r="EJ40" t="e">
        <f>AND(#REF!,"AAAAAD7vu4s=")</f>
        <v>#REF!</v>
      </c>
      <c r="EK40" t="e">
        <f>AND(#REF!,"AAAAAD7vu4w=")</f>
        <v>#REF!</v>
      </c>
      <c r="EL40" t="e">
        <f>AND(#REF!,"AAAAAD7vu40=")</f>
        <v>#REF!</v>
      </c>
      <c r="EM40" t="e">
        <f>AND(#REF!,"AAAAAD7vu44=")</f>
        <v>#REF!</v>
      </c>
      <c r="EN40" t="e">
        <f>AND(#REF!,"AAAAAD7vu48=")</f>
        <v>#REF!</v>
      </c>
      <c r="EO40" t="e">
        <f>IF(#REF!,"AAAAAD7vu5A=",0)</f>
        <v>#REF!</v>
      </c>
      <c r="EP40" t="e">
        <f>AND(#REF!,"AAAAAD7vu5E=")</f>
        <v>#REF!</v>
      </c>
      <c r="EQ40" t="e">
        <f>AND(#REF!,"AAAAAD7vu5I=")</f>
        <v>#REF!</v>
      </c>
      <c r="ER40" t="e">
        <f>AND(#REF!,"AAAAAD7vu5M=")</f>
        <v>#REF!</v>
      </c>
      <c r="ES40" t="e">
        <f>AND(#REF!,"AAAAAD7vu5Q=")</f>
        <v>#REF!</v>
      </c>
      <c r="ET40" t="e">
        <f>AND(#REF!,"AAAAAD7vu5U=")</f>
        <v>#REF!</v>
      </c>
      <c r="EU40" t="e">
        <f>AND(#REF!,"AAAAAD7vu5Y=")</f>
        <v>#REF!</v>
      </c>
      <c r="EV40" t="e">
        <f>AND(#REF!,"AAAAAD7vu5c=")</f>
        <v>#REF!</v>
      </c>
      <c r="EW40" t="e">
        <f>AND(#REF!,"AAAAAD7vu5g=")</f>
        <v>#REF!</v>
      </c>
      <c r="EX40" t="e">
        <f>AND(#REF!,"AAAAAD7vu5k=")</f>
        <v>#REF!</v>
      </c>
      <c r="EY40" t="e">
        <f>AND(#REF!,"AAAAAD7vu5o=")</f>
        <v>#REF!</v>
      </c>
      <c r="EZ40" t="e">
        <f>AND(#REF!,"AAAAAD7vu5s=")</f>
        <v>#REF!</v>
      </c>
      <c r="FA40" t="e">
        <f>AND(#REF!,"AAAAAD7vu5w=")</f>
        <v>#REF!</v>
      </c>
      <c r="FB40" t="e">
        <f>AND(#REF!,"AAAAAD7vu50=")</f>
        <v>#REF!</v>
      </c>
      <c r="FC40" t="e">
        <f>AND(#REF!,"AAAAAD7vu54=")</f>
        <v>#REF!</v>
      </c>
      <c r="FD40" t="e">
        <f>AND(#REF!,"AAAAAD7vu58=")</f>
        <v>#REF!</v>
      </c>
      <c r="FE40" t="e">
        <f>AND(#REF!,"AAAAAD7vu6A=")</f>
        <v>#REF!</v>
      </c>
      <c r="FF40" t="e">
        <f>AND(#REF!,"AAAAAD7vu6E=")</f>
        <v>#REF!</v>
      </c>
      <c r="FG40" t="e">
        <f>AND(#REF!,"AAAAAD7vu6I=")</f>
        <v>#REF!</v>
      </c>
      <c r="FH40" t="e">
        <f>AND(#REF!,"AAAAAD7vu6M=")</f>
        <v>#REF!</v>
      </c>
      <c r="FI40" t="e">
        <f>AND(#REF!,"AAAAAD7vu6Q=")</f>
        <v>#REF!</v>
      </c>
      <c r="FJ40" t="e">
        <f>AND(#REF!,"AAAAAD7vu6U=")</f>
        <v>#REF!</v>
      </c>
      <c r="FK40" t="e">
        <f>AND(#REF!,"AAAAAD7vu6Y=")</f>
        <v>#REF!</v>
      </c>
      <c r="FL40" t="e">
        <f>AND(#REF!,"AAAAAD7vu6c=")</f>
        <v>#REF!</v>
      </c>
      <c r="FM40" t="e">
        <f>AND(#REF!,"AAAAAD7vu6g=")</f>
        <v>#REF!</v>
      </c>
      <c r="FN40" t="e">
        <f>AND(#REF!,"AAAAAD7vu6k=")</f>
        <v>#REF!</v>
      </c>
      <c r="FO40" t="e">
        <f>AND(#REF!,"AAAAAD7vu6o=")</f>
        <v>#REF!</v>
      </c>
      <c r="FP40" t="e">
        <f>AND(#REF!,"AAAAAD7vu6s=")</f>
        <v>#REF!</v>
      </c>
      <c r="FQ40" t="e">
        <f>AND(#REF!,"AAAAAD7vu6w=")</f>
        <v>#REF!</v>
      </c>
      <c r="FR40" t="e">
        <f>AND(#REF!,"AAAAAD7vu60=")</f>
        <v>#REF!</v>
      </c>
      <c r="FS40" t="e">
        <f>AND(#REF!,"AAAAAD7vu64=")</f>
        <v>#REF!</v>
      </c>
      <c r="FT40" t="e">
        <f>AND(#REF!,"AAAAAD7vu68=")</f>
        <v>#REF!</v>
      </c>
      <c r="FU40" t="e">
        <f>AND(#REF!,"AAAAAD7vu7A=")</f>
        <v>#REF!</v>
      </c>
      <c r="FV40" t="e">
        <f>AND(#REF!,"AAAAAD7vu7E=")</f>
        <v>#REF!</v>
      </c>
      <c r="FW40" t="e">
        <f>AND(#REF!,"AAAAAD7vu7I=")</f>
        <v>#REF!</v>
      </c>
      <c r="FX40" t="e">
        <f>AND(#REF!,"AAAAAD7vu7M=")</f>
        <v>#REF!</v>
      </c>
      <c r="FY40" t="e">
        <f>IF(#REF!,"AAAAAD7vu7Q=",0)</f>
        <v>#REF!</v>
      </c>
      <c r="FZ40" t="e">
        <f>AND(#REF!,"AAAAAD7vu7U=")</f>
        <v>#REF!</v>
      </c>
      <c r="GA40" t="e">
        <f>AND(#REF!,"AAAAAD7vu7Y=")</f>
        <v>#REF!</v>
      </c>
      <c r="GB40" t="e">
        <f>AND(#REF!,"AAAAAD7vu7c=")</f>
        <v>#REF!</v>
      </c>
      <c r="GC40" t="e">
        <f>AND(#REF!,"AAAAAD7vu7g=")</f>
        <v>#REF!</v>
      </c>
      <c r="GD40" t="e">
        <f>AND(#REF!,"AAAAAD7vu7k=")</f>
        <v>#REF!</v>
      </c>
      <c r="GE40" t="e">
        <f>AND(#REF!,"AAAAAD7vu7o=")</f>
        <v>#REF!</v>
      </c>
      <c r="GF40" t="e">
        <f>AND(#REF!,"AAAAAD7vu7s=")</f>
        <v>#REF!</v>
      </c>
      <c r="GG40" t="e">
        <f>AND(#REF!,"AAAAAD7vu7w=")</f>
        <v>#REF!</v>
      </c>
      <c r="GH40" t="e">
        <f>AND(#REF!,"AAAAAD7vu70=")</f>
        <v>#REF!</v>
      </c>
      <c r="GI40" t="e">
        <f>AND(#REF!,"AAAAAD7vu74=")</f>
        <v>#REF!</v>
      </c>
      <c r="GJ40" t="e">
        <f>AND(#REF!,"AAAAAD7vu78=")</f>
        <v>#REF!</v>
      </c>
      <c r="GK40" t="e">
        <f>AND(#REF!,"AAAAAD7vu8A=")</f>
        <v>#REF!</v>
      </c>
      <c r="GL40" t="e">
        <f>AND(#REF!,"AAAAAD7vu8E=")</f>
        <v>#REF!</v>
      </c>
      <c r="GM40" t="e">
        <f>AND(#REF!,"AAAAAD7vu8I=")</f>
        <v>#REF!</v>
      </c>
      <c r="GN40" t="e">
        <f>AND(#REF!,"AAAAAD7vu8M=")</f>
        <v>#REF!</v>
      </c>
      <c r="GO40" t="e">
        <f>AND(#REF!,"AAAAAD7vu8Q=")</f>
        <v>#REF!</v>
      </c>
      <c r="GP40" t="e">
        <f>AND(#REF!,"AAAAAD7vu8U=")</f>
        <v>#REF!</v>
      </c>
      <c r="GQ40" t="e">
        <f>AND(#REF!,"AAAAAD7vu8Y=")</f>
        <v>#REF!</v>
      </c>
      <c r="GR40" t="e">
        <f>AND(#REF!,"AAAAAD7vu8c=")</f>
        <v>#REF!</v>
      </c>
      <c r="GS40" t="e">
        <f>AND(#REF!,"AAAAAD7vu8g=")</f>
        <v>#REF!</v>
      </c>
      <c r="GT40" t="e">
        <f>AND(#REF!,"AAAAAD7vu8k=")</f>
        <v>#REF!</v>
      </c>
      <c r="GU40" t="e">
        <f>AND(#REF!,"AAAAAD7vu8o=")</f>
        <v>#REF!</v>
      </c>
      <c r="GV40" t="e">
        <f>AND(#REF!,"AAAAAD7vu8s=")</f>
        <v>#REF!</v>
      </c>
      <c r="GW40" t="e">
        <f>AND(#REF!,"AAAAAD7vu8w=")</f>
        <v>#REF!</v>
      </c>
      <c r="GX40" t="e">
        <f>AND(#REF!,"AAAAAD7vu80=")</f>
        <v>#REF!</v>
      </c>
      <c r="GY40" t="e">
        <f>AND(#REF!,"AAAAAD7vu84=")</f>
        <v>#REF!</v>
      </c>
      <c r="GZ40" t="e">
        <f>AND(#REF!,"AAAAAD7vu88=")</f>
        <v>#REF!</v>
      </c>
      <c r="HA40" t="e">
        <f>AND(#REF!,"AAAAAD7vu9A=")</f>
        <v>#REF!</v>
      </c>
      <c r="HB40" t="e">
        <f>AND(#REF!,"AAAAAD7vu9E=")</f>
        <v>#REF!</v>
      </c>
      <c r="HC40" t="e">
        <f>AND(#REF!,"AAAAAD7vu9I=")</f>
        <v>#REF!</v>
      </c>
      <c r="HD40" t="e">
        <f>AND(#REF!,"AAAAAD7vu9M=")</f>
        <v>#REF!</v>
      </c>
      <c r="HE40" t="e">
        <f>AND(#REF!,"AAAAAD7vu9Q=")</f>
        <v>#REF!</v>
      </c>
      <c r="HF40" t="e">
        <f>AND(#REF!,"AAAAAD7vu9U=")</f>
        <v>#REF!</v>
      </c>
      <c r="HG40" t="e">
        <f>AND(#REF!,"AAAAAD7vu9Y=")</f>
        <v>#REF!</v>
      </c>
      <c r="HH40" t="e">
        <f>AND(#REF!,"AAAAAD7vu9c=")</f>
        <v>#REF!</v>
      </c>
      <c r="HI40" t="e">
        <f>IF(#REF!,"AAAAAD7vu9g=",0)</f>
        <v>#REF!</v>
      </c>
      <c r="HJ40" t="e">
        <f>AND(#REF!,"AAAAAD7vu9k=")</f>
        <v>#REF!</v>
      </c>
      <c r="HK40" t="e">
        <f>AND(#REF!,"AAAAAD7vu9o=")</f>
        <v>#REF!</v>
      </c>
      <c r="HL40" t="e">
        <f>AND(#REF!,"AAAAAD7vu9s=")</f>
        <v>#REF!</v>
      </c>
      <c r="HM40" t="e">
        <f>AND(#REF!,"AAAAAD7vu9w=")</f>
        <v>#REF!</v>
      </c>
      <c r="HN40" t="e">
        <f>AND(#REF!,"AAAAAD7vu90=")</f>
        <v>#REF!</v>
      </c>
      <c r="HO40" t="e">
        <f>AND(#REF!,"AAAAAD7vu94=")</f>
        <v>#REF!</v>
      </c>
      <c r="HP40" t="e">
        <f>AND(#REF!,"AAAAAD7vu98=")</f>
        <v>#REF!</v>
      </c>
      <c r="HQ40" t="e">
        <f>AND(#REF!,"AAAAAD7vu+A=")</f>
        <v>#REF!</v>
      </c>
      <c r="HR40" t="e">
        <f>AND(#REF!,"AAAAAD7vu+E=")</f>
        <v>#REF!</v>
      </c>
      <c r="HS40" t="e">
        <f>AND(#REF!,"AAAAAD7vu+I=")</f>
        <v>#REF!</v>
      </c>
      <c r="HT40" t="e">
        <f>AND(#REF!,"AAAAAD7vu+M=")</f>
        <v>#REF!</v>
      </c>
      <c r="HU40" t="e">
        <f>AND(#REF!,"AAAAAD7vu+Q=")</f>
        <v>#REF!</v>
      </c>
      <c r="HV40" t="e">
        <f>AND(#REF!,"AAAAAD7vu+U=")</f>
        <v>#REF!</v>
      </c>
      <c r="HW40" t="e">
        <f>AND(#REF!,"AAAAAD7vu+Y=")</f>
        <v>#REF!</v>
      </c>
      <c r="HX40" t="e">
        <f>AND(#REF!,"AAAAAD7vu+c=")</f>
        <v>#REF!</v>
      </c>
      <c r="HY40" t="e">
        <f>AND(#REF!,"AAAAAD7vu+g=")</f>
        <v>#REF!</v>
      </c>
      <c r="HZ40" t="e">
        <f>AND(#REF!,"AAAAAD7vu+k=")</f>
        <v>#REF!</v>
      </c>
      <c r="IA40" t="e">
        <f>AND(#REF!,"AAAAAD7vu+o=")</f>
        <v>#REF!</v>
      </c>
      <c r="IB40" t="e">
        <f>AND(#REF!,"AAAAAD7vu+s=")</f>
        <v>#REF!</v>
      </c>
      <c r="IC40" t="e">
        <f>AND(#REF!,"AAAAAD7vu+w=")</f>
        <v>#REF!</v>
      </c>
      <c r="ID40" t="e">
        <f>AND(#REF!,"AAAAAD7vu+0=")</f>
        <v>#REF!</v>
      </c>
      <c r="IE40" t="e">
        <f>AND(#REF!,"AAAAAD7vu+4=")</f>
        <v>#REF!</v>
      </c>
      <c r="IF40" t="e">
        <f>AND(#REF!,"AAAAAD7vu+8=")</f>
        <v>#REF!</v>
      </c>
      <c r="IG40" t="e">
        <f>AND(#REF!,"AAAAAD7vu/A=")</f>
        <v>#REF!</v>
      </c>
      <c r="IH40" t="e">
        <f>AND(#REF!,"AAAAAD7vu/E=")</f>
        <v>#REF!</v>
      </c>
      <c r="II40" t="e">
        <f>AND(#REF!,"AAAAAD7vu/I=")</f>
        <v>#REF!</v>
      </c>
      <c r="IJ40" t="e">
        <f>AND(#REF!,"AAAAAD7vu/M=")</f>
        <v>#REF!</v>
      </c>
      <c r="IK40" t="e">
        <f>AND(#REF!,"AAAAAD7vu/Q=")</f>
        <v>#REF!</v>
      </c>
      <c r="IL40" t="e">
        <f>AND(#REF!,"AAAAAD7vu/U=")</f>
        <v>#REF!</v>
      </c>
      <c r="IM40" t="e">
        <f>AND(#REF!,"AAAAAD7vu/Y=")</f>
        <v>#REF!</v>
      </c>
      <c r="IN40" t="e">
        <f>AND(#REF!,"AAAAAD7vu/c=")</f>
        <v>#REF!</v>
      </c>
      <c r="IO40" t="e">
        <f>AND(#REF!,"AAAAAD7vu/g=")</f>
        <v>#REF!</v>
      </c>
      <c r="IP40" t="e">
        <f>AND(#REF!,"AAAAAD7vu/k=")</f>
        <v>#REF!</v>
      </c>
      <c r="IQ40" t="e">
        <f>AND(#REF!,"AAAAAD7vu/o=")</f>
        <v>#REF!</v>
      </c>
      <c r="IR40" t="e">
        <f>AND(#REF!,"AAAAAD7vu/s=")</f>
        <v>#REF!</v>
      </c>
      <c r="IS40" t="e">
        <f>IF(#REF!,"AAAAAD7vu/w=",0)</f>
        <v>#REF!</v>
      </c>
      <c r="IT40" t="e">
        <f>AND(#REF!,"AAAAAD7vu/0=")</f>
        <v>#REF!</v>
      </c>
      <c r="IU40" t="e">
        <f>AND(#REF!,"AAAAAD7vu/4=")</f>
        <v>#REF!</v>
      </c>
      <c r="IV40" t="e">
        <f>AND(#REF!,"AAAAAD7vu/8=")</f>
        <v>#REF!</v>
      </c>
    </row>
    <row r="41" spans="1:256">
      <c r="A41" t="e">
        <f>AND(#REF!,"AAAAAH3fzgA=")</f>
        <v>#REF!</v>
      </c>
      <c r="B41" t="e">
        <f>AND(#REF!,"AAAAAH3fzgE=")</f>
        <v>#REF!</v>
      </c>
      <c r="C41" t="e">
        <f>AND(#REF!,"AAAAAH3fzgI=")</f>
        <v>#REF!</v>
      </c>
      <c r="D41" t="e">
        <f>AND(#REF!,"AAAAAH3fzgM=")</f>
        <v>#REF!</v>
      </c>
      <c r="E41" t="e">
        <f>AND(#REF!,"AAAAAH3fzgQ=")</f>
        <v>#REF!</v>
      </c>
      <c r="F41" t="e">
        <f>AND(#REF!,"AAAAAH3fzgU=")</f>
        <v>#REF!</v>
      </c>
      <c r="G41" t="e">
        <f>AND(#REF!,"AAAAAH3fzgY=")</f>
        <v>#REF!</v>
      </c>
      <c r="H41" t="e">
        <f>AND(#REF!,"AAAAAH3fzgc=")</f>
        <v>#REF!</v>
      </c>
      <c r="I41" t="e">
        <f>AND(#REF!,"AAAAAH3fzgg=")</f>
        <v>#REF!</v>
      </c>
      <c r="J41" t="e">
        <f>AND(#REF!,"AAAAAH3fzgk=")</f>
        <v>#REF!</v>
      </c>
      <c r="K41" t="e">
        <f>AND(#REF!,"AAAAAH3fzgo=")</f>
        <v>#REF!</v>
      </c>
      <c r="L41" t="e">
        <f>AND(#REF!,"AAAAAH3fzgs=")</f>
        <v>#REF!</v>
      </c>
      <c r="M41" t="e">
        <f>AND(#REF!,"AAAAAH3fzgw=")</f>
        <v>#REF!</v>
      </c>
      <c r="N41" t="e">
        <f>AND(#REF!,"AAAAAH3fzg0=")</f>
        <v>#REF!</v>
      </c>
      <c r="O41" t="e">
        <f>AND(#REF!,"AAAAAH3fzg4=")</f>
        <v>#REF!</v>
      </c>
      <c r="P41" t="e">
        <f>AND(#REF!,"AAAAAH3fzg8=")</f>
        <v>#REF!</v>
      </c>
      <c r="Q41" t="e">
        <f>AND(#REF!,"AAAAAH3fzhA=")</f>
        <v>#REF!</v>
      </c>
      <c r="R41" t="e">
        <f>AND(#REF!,"AAAAAH3fzhE=")</f>
        <v>#REF!</v>
      </c>
      <c r="S41" t="e">
        <f>AND(#REF!,"AAAAAH3fzhI=")</f>
        <v>#REF!</v>
      </c>
      <c r="T41" t="e">
        <f>AND(#REF!,"AAAAAH3fzhM=")</f>
        <v>#REF!</v>
      </c>
      <c r="U41" t="e">
        <f>AND(#REF!,"AAAAAH3fzhQ=")</f>
        <v>#REF!</v>
      </c>
      <c r="V41" t="e">
        <f>AND(#REF!,"AAAAAH3fzhU=")</f>
        <v>#REF!</v>
      </c>
      <c r="W41" t="e">
        <f>AND(#REF!,"AAAAAH3fzhY=")</f>
        <v>#REF!</v>
      </c>
      <c r="X41" t="e">
        <f>AND(#REF!,"AAAAAH3fzhc=")</f>
        <v>#REF!</v>
      </c>
      <c r="Y41" t="e">
        <f>AND(#REF!,"AAAAAH3fzhg=")</f>
        <v>#REF!</v>
      </c>
      <c r="Z41" t="e">
        <f>AND(#REF!,"AAAAAH3fzhk=")</f>
        <v>#REF!</v>
      </c>
      <c r="AA41" t="e">
        <f>AND(#REF!,"AAAAAH3fzho=")</f>
        <v>#REF!</v>
      </c>
      <c r="AB41" t="e">
        <f>AND(#REF!,"AAAAAH3fzhs=")</f>
        <v>#REF!</v>
      </c>
      <c r="AC41" t="e">
        <f>AND(#REF!,"AAAAAH3fzhw=")</f>
        <v>#REF!</v>
      </c>
      <c r="AD41" t="e">
        <f>AND(#REF!,"AAAAAH3fzh0=")</f>
        <v>#REF!</v>
      </c>
      <c r="AE41" t="e">
        <f>AND(#REF!,"AAAAAH3fzh4=")</f>
        <v>#REF!</v>
      </c>
      <c r="AF41" t="e">
        <f>AND(#REF!,"AAAAAH3fzh8=")</f>
        <v>#REF!</v>
      </c>
      <c r="AG41" t="e">
        <f>IF(#REF!,"AAAAAH3fziA=",0)</f>
        <v>#REF!</v>
      </c>
      <c r="AH41" t="e">
        <f>AND(#REF!,"AAAAAH3fziE=")</f>
        <v>#REF!</v>
      </c>
      <c r="AI41" t="e">
        <f>AND(#REF!,"AAAAAH3fziI=")</f>
        <v>#REF!</v>
      </c>
      <c r="AJ41" t="e">
        <f>AND(#REF!,"AAAAAH3fziM=")</f>
        <v>#REF!</v>
      </c>
      <c r="AK41" t="e">
        <f>AND(#REF!,"AAAAAH3fziQ=")</f>
        <v>#REF!</v>
      </c>
      <c r="AL41" t="e">
        <f>AND(#REF!,"AAAAAH3fziU=")</f>
        <v>#REF!</v>
      </c>
      <c r="AM41" t="e">
        <f>AND(#REF!,"AAAAAH3fziY=")</f>
        <v>#REF!</v>
      </c>
      <c r="AN41" t="e">
        <f>AND(#REF!,"AAAAAH3fzic=")</f>
        <v>#REF!</v>
      </c>
      <c r="AO41" t="e">
        <f>AND(#REF!,"AAAAAH3fzig=")</f>
        <v>#REF!</v>
      </c>
      <c r="AP41" t="e">
        <f>AND(#REF!,"AAAAAH3fzik=")</f>
        <v>#REF!</v>
      </c>
      <c r="AQ41" t="e">
        <f>AND(#REF!,"AAAAAH3fzio=")</f>
        <v>#REF!</v>
      </c>
      <c r="AR41" t="e">
        <f>AND(#REF!,"AAAAAH3fzis=")</f>
        <v>#REF!</v>
      </c>
      <c r="AS41" t="e">
        <f>AND(#REF!,"AAAAAH3fziw=")</f>
        <v>#REF!</v>
      </c>
      <c r="AT41" t="e">
        <f>AND(#REF!,"AAAAAH3fzi0=")</f>
        <v>#REF!</v>
      </c>
      <c r="AU41" t="e">
        <f>AND(#REF!,"AAAAAH3fzi4=")</f>
        <v>#REF!</v>
      </c>
      <c r="AV41" t="e">
        <f>AND(#REF!,"AAAAAH3fzi8=")</f>
        <v>#REF!</v>
      </c>
      <c r="AW41" t="e">
        <f>AND(#REF!,"AAAAAH3fzjA=")</f>
        <v>#REF!</v>
      </c>
      <c r="AX41" t="e">
        <f>AND(#REF!,"AAAAAH3fzjE=")</f>
        <v>#REF!</v>
      </c>
      <c r="AY41" t="e">
        <f>AND(#REF!,"AAAAAH3fzjI=")</f>
        <v>#REF!</v>
      </c>
      <c r="AZ41" t="e">
        <f>AND(#REF!,"AAAAAH3fzjM=")</f>
        <v>#REF!</v>
      </c>
      <c r="BA41" t="e">
        <f>AND(#REF!,"AAAAAH3fzjQ=")</f>
        <v>#REF!</v>
      </c>
      <c r="BB41" t="e">
        <f>AND(#REF!,"AAAAAH3fzjU=")</f>
        <v>#REF!</v>
      </c>
      <c r="BC41" t="e">
        <f>AND(#REF!,"AAAAAH3fzjY=")</f>
        <v>#REF!</v>
      </c>
      <c r="BD41" t="e">
        <f>AND(#REF!,"AAAAAH3fzjc=")</f>
        <v>#REF!</v>
      </c>
      <c r="BE41" t="e">
        <f>AND(#REF!,"AAAAAH3fzjg=")</f>
        <v>#REF!</v>
      </c>
      <c r="BF41" t="e">
        <f>AND(#REF!,"AAAAAH3fzjk=")</f>
        <v>#REF!</v>
      </c>
      <c r="BG41" t="e">
        <f>AND(#REF!,"AAAAAH3fzjo=")</f>
        <v>#REF!</v>
      </c>
      <c r="BH41" t="e">
        <f>AND(#REF!,"AAAAAH3fzjs=")</f>
        <v>#REF!</v>
      </c>
      <c r="BI41" t="e">
        <f>AND(#REF!,"AAAAAH3fzjw=")</f>
        <v>#REF!</v>
      </c>
      <c r="BJ41" t="e">
        <f>AND(#REF!,"AAAAAH3fzj0=")</f>
        <v>#REF!</v>
      </c>
      <c r="BK41" t="e">
        <f>AND(#REF!,"AAAAAH3fzj4=")</f>
        <v>#REF!</v>
      </c>
      <c r="BL41" t="e">
        <f>AND(#REF!,"AAAAAH3fzj8=")</f>
        <v>#REF!</v>
      </c>
      <c r="BM41" t="e">
        <f>AND(#REF!,"AAAAAH3fzkA=")</f>
        <v>#REF!</v>
      </c>
      <c r="BN41" t="e">
        <f>AND(#REF!,"AAAAAH3fzkE=")</f>
        <v>#REF!</v>
      </c>
      <c r="BO41" t="e">
        <f>AND(#REF!,"AAAAAH3fzkI=")</f>
        <v>#REF!</v>
      </c>
      <c r="BP41" t="e">
        <f>AND(#REF!,"AAAAAH3fzkM=")</f>
        <v>#REF!</v>
      </c>
      <c r="BQ41" t="e">
        <f>IF(#REF!,"AAAAAH3fzkQ=",0)</f>
        <v>#REF!</v>
      </c>
      <c r="BR41" t="e">
        <f>AND(#REF!,"AAAAAH3fzkU=")</f>
        <v>#REF!</v>
      </c>
      <c r="BS41" t="e">
        <f>AND(#REF!,"AAAAAH3fzkY=")</f>
        <v>#REF!</v>
      </c>
      <c r="BT41" t="e">
        <f>AND(#REF!,"AAAAAH3fzkc=")</f>
        <v>#REF!</v>
      </c>
      <c r="BU41" t="e">
        <f>AND(#REF!,"AAAAAH3fzkg=")</f>
        <v>#REF!</v>
      </c>
      <c r="BV41" t="e">
        <f>AND(#REF!,"AAAAAH3fzkk=")</f>
        <v>#REF!</v>
      </c>
      <c r="BW41" t="e">
        <f>AND(#REF!,"AAAAAH3fzko=")</f>
        <v>#REF!</v>
      </c>
      <c r="BX41" t="e">
        <f>AND(#REF!,"AAAAAH3fzks=")</f>
        <v>#REF!</v>
      </c>
      <c r="BY41" t="e">
        <f>AND(#REF!,"AAAAAH3fzkw=")</f>
        <v>#REF!</v>
      </c>
      <c r="BZ41" t="e">
        <f>AND(#REF!,"AAAAAH3fzk0=")</f>
        <v>#REF!</v>
      </c>
      <c r="CA41" t="e">
        <f>AND(#REF!,"AAAAAH3fzk4=")</f>
        <v>#REF!</v>
      </c>
      <c r="CB41" t="e">
        <f>AND(#REF!,"AAAAAH3fzk8=")</f>
        <v>#REF!</v>
      </c>
      <c r="CC41" t="e">
        <f>AND(#REF!,"AAAAAH3fzlA=")</f>
        <v>#REF!</v>
      </c>
      <c r="CD41" t="e">
        <f>AND(#REF!,"AAAAAH3fzlE=")</f>
        <v>#REF!</v>
      </c>
      <c r="CE41" t="e">
        <f>AND(#REF!,"AAAAAH3fzlI=")</f>
        <v>#REF!</v>
      </c>
      <c r="CF41" t="e">
        <f>AND(#REF!,"AAAAAH3fzlM=")</f>
        <v>#REF!</v>
      </c>
      <c r="CG41" t="e">
        <f>AND(#REF!,"AAAAAH3fzlQ=")</f>
        <v>#REF!</v>
      </c>
      <c r="CH41" t="e">
        <f>AND(#REF!,"AAAAAH3fzlU=")</f>
        <v>#REF!</v>
      </c>
      <c r="CI41" t="e">
        <f>AND(#REF!,"AAAAAH3fzlY=")</f>
        <v>#REF!</v>
      </c>
      <c r="CJ41" t="e">
        <f>AND(#REF!,"AAAAAH3fzlc=")</f>
        <v>#REF!</v>
      </c>
      <c r="CK41" t="e">
        <f>AND(#REF!,"AAAAAH3fzlg=")</f>
        <v>#REF!</v>
      </c>
      <c r="CL41" t="e">
        <f>AND(#REF!,"AAAAAH3fzlk=")</f>
        <v>#REF!</v>
      </c>
      <c r="CM41" t="e">
        <f>AND(#REF!,"AAAAAH3fzlo=")</f>
        <v>#REF!</v>
      </c>
      <c r="CN41" t="e">
        <f>AND(#REF!,"AAAAAH3fzls=")</f>
        <v>#REF!</v>
      </c>
      <c r="CO41" t="e">
        <f>AND(#REF!,"AAAAAH3fzlw=")</f>
        <v>#REF!</v>
      </c>
      <c r="CP41" t="e">
        <f>AND(#REF!,"AAAAAH3fzl0=")</f>
        <v>#REF!</v>
      </c>
      <c r="CQ41" t="e">
        <f>AND(#REF!,"AAAAAH3fzl4=")</f>
        <v>#REF!</v>
      </c>
      <c r="CR41" t="e">
        <f>AND(#REF!,"AAAAAH3fzl8=")</f>
        <v>#REF!</v>
      </c>
      <c r="CS41" t="e">
        <f>AND(#REF!,"AAAAAH3fzmA=")</f>
        <v>#REF!</v>
      </c>
      <c r="CT41" t="e">
        <f>AND(#REF!,"AAAAAH3fzmE=")</f>
        <v>#REF!</v>
      </c>
      <c r="CU41" t="e">
        <f>AND(#REF!,"AAAAAH3fzmI=")</f>
        <v>#REF!</v>
      </c>
      <c r="CV41" t="e">
        <f>AND(#REF!,"AAAAAH3fzmM=")</f>
        <v>#REF!</v>
      </c>
      <c r="CW41" t="e">
        <f>AND(#REF!,"AAAAAH3fzmQ=")</f>
        <v>#REF!</v>
      </c>
      <c r="CX41" t="e">
        <f>AND(#REF!,"AAAAAH3fzmU=")</f>
        <v>#REF!</v>
      </c>
      <c r="CY41" t="e">
        <f>AND(#REF!,"AAAAAH3fzmY=")</f>
        <v>#REF!</v>
      </c>
      <c r="CZ41" t="e">
        <f>AND(#REF!,"AAAAAH3fzmc=")</f>
        <v>#REF!</v>
      </c>
      <c r="DA41" t="e">
        <f>IF(#REF!,"AAAAAH3fzmg=",0)</f>
        <v>#REF!</v>
      </c>
      <c r="DB41" t="e">
        <f>AND(#REF!,"AAAAAH3fzmk=")</f>
        <v>#REF!</v>
      </c>
      <c r="DC41" t="e">
        <f>AND(#REF!,"AAAAAH3fzmo=")</f>
        <v>#REF!</v>
      </c>
      <c r="DD41" t="e">
        <f>AND(#REF!,"AAAAAH3fzms=")</f>
        <v>#REF!</v>
      </c>
      <c r="DE41" t="e">
        <f>AND(#REF!,"AAAAAH3fzmw=")</f>
        <v>#REF!</v>
      </c>
      <c r="DF41" t="e">
        <f>AND(#REF!,"AAAAAH3fzm0=")</f>
        <v>#REF!</v>
      </c>
      <c r="DG41" t="e">
        <f>AND(#REF!,"AAAAAH3fzm4=")</f>
        <v>#REF!</v>
      </c>
      <c r="DH41" t="e">
        <f>AND(#REF!,"AAAAAH3fzm8=")</f>
        <v>#REF!</v>
      </c>
      <c r="DI41" t="e">
        <f>AND(#REF!,"AAAAAH3fznA=")</f>
        <v>#REF!</v>
      </c>
      <c r="DJ41" t="e">
        <f>AND(#REF!,"AAAAAH3fznE=")</f>
        <v>#REF!</v>
      </c>
      <c r="DK41" t="e">
        <f>AND(#REF!,"AAAAAH3fznI=")</f>
        <v>#REF!</v>
      </c>
      <c r="DL41" t="e">
        <f>AND(#REF!,"AAAAAH3fznM=")</f>
        <v>#REF!</v>
      </c>
      <c r="DM41" t="e">
        <f>AND(#REF!,"AAAAAH3fznQ=")</f>
        <v>#REF!</v>
      </c>
      <c r="DN41" t="e">
        <f>AND(#REF!,"AAAAAH3fznU=")</f>
        <v>#REF!</v>
      </c>
      <c r="DO41" t="e">
        <f>AND(#REF!,"AAAAAH3fznY=")</f>
        <v>#REF!</v>
      </c>
      <c r="DP41" t="e">
        <f>AND(#REF!,"AAAAAH3fznc=")</f>
        <v>#REF!</v>
      </c>
      <c r="DQ41" t="e">
        <f>AND(#REF!,"AAAAAH3fzng=")</f>
        <v>#REF!</v>
      </c>
      <c r="DR41" t="e">
        <f>AND(#REF!,"AAAAAH3fznk=")</f>
        <v>#REF!</v>
      </c>
      <c r="DS41" t="e">
        <f>AND(#REF!,"AAAAAH3fzno=")</f>
        <v>#REF!</v>
      </c>
      <c r="DT41" t="e">
        <f>AND(#REF!,"AAAAAH3fzns=")</f>
        <v>#REF!</v>
      </c>
      <c r="DU41" t="e">
        <f>AND(#REF!,"AAAAAH3fznw=")</f>
        <v>#REF!</v>
      </c>
      <c r="DV41" t="e">
        <f>AND(#REF!,"AAAAAH3fzn0=")</f>
        <v>#REF!</v>
      </c>
      <c r="DW41" t="e">
        <f>AND(#REF!,"AAAAAH3fzn4=")</f>
        <v>#REF!</v>
      </c>
      <c r="DX41" t="e">
        <f>AND(#REF!,"AAAAAH3fzn8=")</f>
        <v>#REF!</v>
      </c>
      <c r="DY41" t="e">
        <f>AND(#REF!,"AAAAAH3fzoA=")</f>
        <v>#REF!</v>
      </c>
      <c r="DZ41" t="e">
        <f>AND(#REF!,"AAAAAH3fzoE=")</f>
        <v>#REF!</v>
      </c>
      <c r="EA41" t="e">
        <f>AND(#REF!,"AAAAAH3fzoI=")</f>
        <v>#REF!</v>
      </c>
      <c r="EB41" t="e">
        <f>AND(#REF!,"AAAAAH3fzoM=")</f>
        <v>#REF!</v>
      </c>
      <c r="EC41" t="e">
        <f>AND(#REF!,"AAAAAH3fzoQ=")</f>
        <v>#REF!</v>
      </c>
      <c r="ED41" t="e">
        <f>AND(#REF!,"AAAAAH3fzoU=")</f>
        <v>#REF!</v>
      </c>
      <c r="EE41" t="e">
        <f>AND(#REF!,"AAAAAH3fzoY=")</f>
        <v>#REF!</v>
      </c>
      <c r="EF41" t="e">
        <f>AND(#REF!,"AAAAAH3fzoc=")</f>
        <v>#REF!</v>
      </c>
      <c r="EG41" t="e">
        <f>AND(#REF!,"AAAAAH3fzog=")</f>
        <v>#REF!</v>
      </c>
      <c r="EH41" t="e">
        <f>AND(#REF!,"AAAAAH3fzok=")</f>
        <v>#REF!</v>
      </c>
      <c r="EI41" t="e">
        <f>AND(#REF!,"AAAAAH3fzoo=")</f>
        <v>#REF!</v>
      </c>
      <c r="EJ41" t="e">
        <f>AND(#REF!,"AAAAAH3fzos=")</f>
        <v>#REF!</v>
      </c>
      <c r="EK41" t="e">
        <f>IF(#REF!,"AAAAAH3fzow=",0)</f>
        <v>#REF!</v>
      </c>
      <c r="EL41" t="e">
        <f>AND(#REF!,"AAAAAH3fzo0=")</f>
        <v>#REF!</v>
      </c>
      <c r="EM41" t="e">
        <f>AND(#REF!,"AAAAAH3fzo4=")</f>
        <v>#REF!</v>
      </c>
      <c r="EN41" t="e">
        <f>AND(#REF!,"AAAAAH3fzo8=")</f>
        <v>#REF!</v>
      </c>
      <c r="EO41" t="e">
        <f>AND(#REF!,"AAAAAH3fzpA=")</f>
        <v>#REF!</v>
      </c>
      <c r="EP41" t="e">
        <f>AND(#REF!,"AAAAAH3fzpE=")</f>
        <v>#REF!</v>
      </c>
      <c r="EQ41" t="e">
        <f>AND(#REF!,"AAAAAH3fzpI=")</f>
        <v>#REF!</v>
      </c>
      <c r="ER41" t="e">
        <f>AND(#REF!,"AAAAAH3fzpM=")</f>
        <v>#REF!</v>
      </c>
      <c r="ES41" t="e">
        <f>AND(#REF!,"AAAAAH3fzpQ=")</f>
        <v>#REF!</v>
      </c>
      <c r="ET41" t="e">
        <f>AND(#REF!,"AAAAAH3fzpU=")</f>
        <v>#REF!</v>
      </c>
      <c r="EU41" t="e">
        <f>AND(#REF!,"AAAAAH3fzpY=")</f>
        <v>#REF!</v>
      </c>
      <c r="EV41" t="e">
        <f>AND(#REF!,"AAAAAH3fzpc=")</f>
        <v>#REF!</v>
      </c>
      <c r="EW41" t="e">
        <f>AND(#REF!,"AAAAAH3fzpg=")</f>
        <v>#REF!</v>
      </c>
      <c r="EX41" t="e">
        <f>AND(#REF!,"AAAAAH3fzpk=")</f>
        <v>#REF!</v>
      </c>
      <c r="EY41" t="e">
        <f>AND(#REF!,"AAAAAH3fzpo=")</f>
        <v>#REF!</v>
      </c>
      <c r="EZ41" t="e">
        <f>AND(#REF!,"AAAAAH3fzps=")</f>
        <v>#REF!</v>
      </c>
      <c r="FA41" t="e">
        <f>AND(#REF!,"AAAAAH3fzpw=")</f>
        <v>#REF!</v>
      </c>
      <c r="FB41" t="e">
        <f>AND(#REF!,"AAAAAH3fzp0=")</f>
        <v>#REF!</v>
      </c>
      <c r="FC41" t="e">
        <f>AND(#REF!,"AAAAAH3fzp4=")</f>
        <v>#REF!</v>
      </c>
      <c r="FD41" t="e">
        <f>AND(#REF!,"AAAAAH3fzp8=")</f>
        <v>#REF!</v>
      </c>
      <c r="FE41" t="e">
        <f>AND(#REF!,"AAAAAH3fzqA=")</f>
        <v>#REF!</v>
      </c>
      <c r="FF41" t="e">
        <f>AND(#REF!,"AAAAAH3fzqE=")</f>
        <v>#REF!</v>
      </c>
      <c r="FG41" t="e">
        <f>AND(#REF!,"AAAAAH3fzqI=")</f>
        <v>#REF!</v>
      </c>
      <c r="FH41" t="e">
        <f>AND(#REF!,"AAAAAH3fzqM=")</f>
        <v>#REF!</v>
      </c>
      <c r="FI41" t="e">
        <f>AND(#REF!,"AAAAAH3fzqQ=")</f>
        <v>#REF!</v>
      </c>
      <c r="FJ41" t="e">
        <f>AND(#REF!,"AAAAAH3fzqU=")</f>
        <v>#REF!</v>
      </c>
      <c r="FK41" t="e">
        <f>AND(#REF!,"AAAAAH3fzqY=")</f>
        <v>#REF!</v>
      </c>
      <c r="FL41" t="e">
        <f>AND(#REF!,"AAAAAH3fzqc=")</f>
        <v>#REF!</v>
      </c>
      <c r="FM41" t="e">
        <f>AND(#REF!,"AAAAAH3fzqg=")</f>
        <v>#REF!</v>
      </c>
      <c r="FN41" t="e">
        <f>AND(#REF!,"AAAAAH3fzqk=")</f>
        <v>#REF!</v>
      </c>
      <c r="FO41" t="e">
        <f>AND(#REF!,"AAAAAH3fzqo=")</f>
        <v>#REF!</v>
      </c>
      <c r="FP41" t="e">
        <f>AND(#REF!,"AAAAAH3fzqs=")</f>
        <v>#REF!</v>
      </c>
      <c r="FQ41" t="e">
        <f>AND(#REF!,"AAAAAH3fzqw=")</f>
        <v>#REF!</v>
      </c>
      <c r="FR41" t="e">
        <f>AND(#REF!,"AAAAAH3fzq0=")</f>
        <v>#REF!</v>
      </c>
      <c r="FS41" t="e">
        <f>AND(#REF!,"AAAAAH3fzq4=")</f>
        <v>#REF!</v>
      </c>
      <c r="FT41" t="e">
        <f>AND(#REF!,"AAAAAH3fzq8=")</f>
        <v>#REF!</v>
      </c>
      <c r="FU41" t="e">
        <f>IF(#REF!,"AAAAAH3fzrA=",0)</f>
        <v>#REF!</v>
      </c>
      <c r="FV41" t="e">
        <f>AND(#REF!,"AAAAAH3fzrE=")</f>
        <v>#REF!</v>
      </c>
      <c r="FW41" t="e">
        <f>AND(#REF!,"AAAAAH3fzrI=")</f>
        <v>#REF!</v>
      </c>
      <c r="FX41" t="e">
        <f>AND(#REF!,"AAAAAH3fzrM=")</f>
        <v>#REF!</v>
      </c>
      <c r="FY41" t="e">
        <f>AND(#REF!,"AAAAAH3fzrQ=")</f>
        <v>#REF!</v>
      </c>
      <c r="FZ41" t="e">
        <f>AND(#REF!,"AAAAAH3fzrU=")</f>
        <v>#REF!</v>
      </c>
      <c r="GA41" t="e">
        <f>AND(#REF!,"AAAAAH3fzrY=")</f>
        <v>#REF!</v>
      </c>
      <c r="GB41" t="e">
        <f>AND(#REF!,"AAAAAH3fzrc=")</f>
        <v>#REF!</v>
      </c>
      <c r="GC41" t="e">
        <f>AND(#REF!,"AAAAAH3fzrg=")</f>
        <v>#REF!</v>
      </c>
      <c r="GD41" t="e">
        <f>AND(#REF!,"AAAAAH3fzrk=")</f>
        <v>#REF!</v>
      </c>
      <c r="GE41" t="e">
        <f>AND(#REF!,"AAAAAH3fzro=")</f>
        <v>#REF!</v>
      </c>
      <c r="GF41" t="e">
        <f>AND(#REF!,"AAAAAH3fzrs=")</f>
        <v>#REF!</v>
      </c>
      <c r="GG41" t="e">
        <f>AND(#REF!,"AAAAAH3fzrw=")</f>
        <v>#REF!</v>
      </c>
      <c r="GH41" t="e">
        <f>AND(#REF!,"AAAAAH3fzr0=")</f>
        <v>#REF!</v>
      </c>
      <c r="GI41" t="e">
        <f>AND(#REF!,"AAAAAH3fzr4=")</f>
        <v>#REF!</v>
      </c>
      <c r="GJ41" t="e">
        <f>AND(#REF!,"AAAAAH3fzr8=")</f>
        <v>#REF!</v>
      </c>
      <c r="GK41" t="e">
        <f>AND(#REF!,"AAAAAH3fzsA=")</f>
        <v>#REF!</v>
      </c>
      <c r="GL41" t="e">
        <f>AND(#REF!,"AAAAAH3fzsE=")</f>
        <v>#REF!</v>
      </c>
      <c r="GM41" t="e">
        <f>AND(#REF!,"AAAAAH3fzsI=")</f>
        <v>#REF!</v>
      </c>
      <c r="GN41" t="e">
        <f>AND(#REF!,"AAAAAH3fzsM=")</f>
        <v>#REF!</v>
      </c>
      <c r="GO41" t="e">
        <f>AND(#REF!,"AAAAAH3fzsQ=")</f>
        <v>#REF!</v>
      </c>
      <c r="GP41" t="e">
        <f>AND(#REF!,"AAAAAH3fzsU=")</f>
        <v>#REF!</v>
      </c>
      <c r="GQ41" t="e">
        <f>AND(#REF!,"AAAAAH3fzsY=")</f>
        <v>#REF!</v>
      </c>
      <c r="GR41" t="e">
        <f>AND(#REF!,"AAAAAH3fzsc=")</f>
        <v>#REF!</v>
      </c>
      <c r="GS41" t="e">
        <f>AND(#REF!,"AAAAAH3fzsg=")</f>
        <v>#REF!</v>
      </c>
      <c r="GT41" t="e">
        <f>AND(#REF!,"AAAAAH3fzsk=")</f>
        <v>#REF!</v>
      </c>
      <c r="GU41" t="e">
        <f>AND(#REF!,"AAAAAH3fzso=")</f>
        <v>#REF!</v>
      </c>
      <c r="GV41" t="e">
        <f>AND(#REF!,"AAAAAH3fzss=")</f>
        <v>#REF!</v>
      </c>
      <c r="GW41" t="e">
        <f>AND(#REF!,"AAAAAH3fzsw=")</f>
        <v>#REF!</v>
      </c>
      <c r="GX41" t="e">
        <f>AND(#REF!,"AAAAAH3fzs0=")</f>
        <v>#REF!</v>
      </c>
      <c r="GY41" t="e">
        <f>AND(#REF!,"AAAAAH3fzs4=")</f>
        <v>#REF!</v>
      </c>
      <c r="GZ41" t="e">
        <f>AND(#REF!,"AAAAAH3fzs8=")</f>
        <v>#REF!</v>
      </c>
      <c r="HA41" t="e">
        <f>AND(#REF!,"AAAAAH3fztA=")</f>
        <v>#REF!</v>
      </c>
      <c r="HB41" t="e">
        <f>AND(#REF!,"AAAAAH3fztE=")</f>
        <v>#REF!</v>
      </c>
      <c r="HC41" t="e">
        <f>AND(#REF!,"AAAAAH3fztI=")</f>
        <v>#REF!</v>
      </c>
      <c r="HD41" t="e">
        <f>AND(#REF!,"AAAAAH3fztM=")</f>
        <v>#REF!</v>
      </c>
      <c r="HE41" t="e">
        <f>IF(#REF!,"AAAAAH3fztQ=",0)</f>
        <v>#REF!</v>
      </c>
      <c r="HF41" t="e">
        <f>AND(#REF!,"AAAAAH3fztU=")</f>
        <v>#REF!</v>
      </c>
      <c r="HG41" t="e">
        <f>AND(#REF!,"AAAAAH3fztY=")</f>
        <v>#REF!</v>
      </c>
      <c r="HH41" t="e">
        <f>AND(#REF!,"AAAAAH3fztc=")</f>
        <v>#REF!</v>
      </c>
      <c r="HI41" t="e">
        <f>AND(#REF!,"AAAAAH3fztg=")</f>
        <v>#REF!</v>
      </c>
      <c r="HJ41" t="e">
        <f>AND(#REF!,"AAAAAH3fztk=")</f>
        <v>#REF!</v>
      </c>
      <c r="HK41" t="e">
        <f>AND(#REF!,"AAAAAH3fzto=")</f>
        <v>#REF!</v>
      </c>
      <c r="HL41" t="e">
        <f>AND(#REF!,"AAAAAH3fzts=")</f>
        <v>#REF!</v>
      </c>
      <c r="HM41" t="e">
        <f>AND(#REF!,"AAAAAH3fztw=")</f>
        <v>#REF!</v>
      </c>
      <c r="HN41" t="e">
        <f>AND(#REF!,"AAAAAH3fzt0=")</f>
        <v>#REF!</v>
      </c>
      <c r="HO41" t="e">
        <f>AND(#REF!,"AAAAAH3fzt4=")</f>
        <v>#REF!</v>
      </c>
      <c r="HP41" t="e">
        <f>AND(#REF!,"AAAAAH3fzt8=")</f>
        <v>#REF!</v>
      </c>
      <c r="HQ41" t="e">
        <f>AND(#REF!,"AAAAAH3fzuA=")</f>
        <v>#REF!</v>
      </c>
      <c r="HR41" t="e">
        <f>AND(#REF!,"AAAAAH3fzuE=")</f>
        <v>#REF!</v>
      </c>
      <c r="HS41" t="e">
        <f>AND(#REF!,"AAAAAH3fzuI=")</f>
        <v>#REF!</v>
      </c>
      <c r="HT41" t="e">
        <f>AND(#REF!,"AAAAAH3fzuM=")</f>
        <v>#REF!</v>
      </c>
      <c r="HU41" t="e">
        <f>AND(#REF!,"AAAAAH3fzuQ=")</f>
        <v>#REF!</v>
      </c>
      <c r="HV41" t="e">
        <f>AND(#REF!,"AAAAAH3fzuU=")</f>
        <v>#REF!</v>
      </c>
      <c r="HW41" t="e">
        <f>AND(#REF!,"AAAAAH3fzuY=")</f>
        <v>#REF!</v>
      </c>
      <c r="HX41" t="e">
        <f>AND(#REF!,"AAAAAH3fzuc=")</f>
        <v>#REF!</v>
      </c>
      <c r="HY41" t="e">
        <f>AND(#REF!,"AAAAAH3fzug=")</f>
        <v>#REF!</v>
      </c>
      <c r="HZ41" t="e">
        <f>AND(#REF!,"AAAAAH3fzuk=")</f>
        <v>#REF!</v>
      </c>
      <c r="IA41" t="e">
        <f>AND(#REF!,"AAAAAH3fzuo=")</f>
        <v>#REF!</v>
      </c>
      <c r="IB41" t="e">
        <f>AND(#REF!,"AAAAAH3fzus=")</f>
        <v>#REF!</v>
      </c>
      <c r="IC41" t="e">
        <f>AND(#REF!,"AAAAAH3fzuw=")</f>
        <v>#REF!</v>
      </c>
      <c r="ID41" t="e">
        <f>AND(#REF!,"AAAAAH3fzu0=")</f>
        <v>#REF!</v>
      </c>
      <c r="IE41" t="e">
        <f>AND(#REF!,"AAAAAH3fzu4=")</f>
        <v>#REF!</v>
      </c>
      <c r="IF41" t="e">
        <f>AND(#REF!,"AAAAAH3fzu8=")</f>
        <v>#REF!</v>
      </c>
      <c r="IG41" t="e">
        <f>AND(#REF!,"AAAAAH3fzvA=")</f>
        <v>#REF!</v>
      </c>
      <c r="IH41" t="e">
        <f>AND(#REF!,"AAAAAH3fzvE=")</f>
        <v>#REF!</v>
      </c>
      <c r="II41" t="e">
        <f>AND(#REF!,"AAAAAH3fzvI=")</f>
        <v>#REF!</v>
      </c>
      <c r="IJ41" t="e">
        <f>AND(#REF!,"AAAAAH3fzvM=")</f>
        <v>#REF!</v>
      </c>
      <c r="IK41" t="e">
        <f>AND(#REF!,"AAAAAH3fzvQ=")</f>
        <v>#REF!</v>
      </c>
      <c r="IL41" t="e">
        <f>AND(#REF!,"AAAAAH3fzvU=")</f>
        <v>#REF!</v>
      </c>
      <c r="IM41" t="e">
        <f>AND(#REF!,"AAAAAH3fzvY=")</f>
        <v>#REF!</v>
      </c>
      <c r="IN41" t="e">
        <f>AND(#REF!,"AAAAAH3fzvc=")</f>
        <v>#REF!</v>
      </c>
      <c r="IO41" t="e">
        <f>IF(#REF!,"AAAAAH3fzvg=",0)</f>
        <v>#REF!</v>
      </c>
      <c r="IP41" t="e">
        <f>AND(#REF!,"AAAAAH3fzvk=")</f>
        <v>#REF!</v>
      </c>
      <c r="IQ41" t="e">
        <f>AND(#REF!,"AAAAAH3fzvo=")</f>
        <v>#REF!</v>
      </c>
      <c r="IR41" t="e">
        <f>AND(#REF!,"AAAAAH3fzvs=")</f>
        <v>#REF!</v>
      </c>
      <c r="IS41" t="e">
        <f>AND(#REF!,"AAAAAH3fzvw=")</f>
        <v>#REF!</v>
      </c>
      <c r="IT41" t="e">
        <f>AND(#REF!,"AAAAAH3fzv0=")</f>
        <v>#REF!</v>
      </c>
      <c r="IU41" t="e">
        <f>AND(#REF!,"AAAAAH3fzv4=")</f>
        <v>#REF!</v>
      </c>
      <c r="IV41" t="e">
        <f>AND(#REF!,"AAAAAH3fzv8=")</f>
        <v>#REF!</v>
      </c>
    </row>
    <row r="42" spans="1:256">
      <c r="A42" t="e">
        <f>AND(#REF!,"AAAAAFH77QA=")</f>
        <v>#REF!</v>
      </c>
      <c r="B42" t="e">
        <f>AND(#REF!,"AAAAAFH77QE=")</f>
        <v>#REF!</v>
      </c>
      <c r="C42" t="e">
        <f>AND(#REF!,"AAAAAFH77QI=")</f>
        <v>#REF!</v>
      </c>
      <c r="D42" t="e">
        <f>AND(#REF!,"AAAAAFH77QM=")</f>
        <v>#REF!</v>
      </c>
      <c r="E42" t="e">
        <f>AND(#REF!,"AAAAAFH77QQ=")</f>
        <v>#REF!</v>
      </c>
      <c r="F42" t="e">
        <f>AND(#REF!,"AAAAAFH77QU=")</f>
        <v>#REF!</v>
      </c>
      <c r="G42" t="e">
        <f>AND(#REF!,"AAAAAFH77QY=")</f>
        <v>#REF!</v>
      </c>
      <c r="H42" t="e">
        <f>AND(#REF!,"AAAAAFH77Qc=")</f>
        <v>#REF!</v>
      </c>
      <c r="I42" t="e">
        <f>AND(#REF!,"AAAAAFH77Qg=")</f>
        <v>#REF!</v>
      </c>
      <c r="J42" t="e">
        <f>AND(#REF!,"AAAAAFH77Qk=")</f>
        <v>#REF!</v>
      </c>
      <c r="K42" t="e">
        <f>AND(#REF!,"AAAAAFH77Qo=")</f>
        <v>#REF!</v>
      </c>
      <c r="L42" t="e">
        <f>AND(#REF!,"AAAAAFH77Qs=")</f>
        <v>#REF!</v>
      </c>
      <c r="M42" t="e">
        <f>AND(#REF!,"AAAAAFH77Qw=")</f>
        <v>#REF!</v>
      </c>
      <c r="N42" t="e">
        <f>AND(#REF!,"AAAAAFH77Q0=")</f>
        <v>#REF!</v>
      </c>
      <c r="O42" t="e">
        <f>AND(#REF!,"AAAAAFH77Q4=")</f>
        <v>#REF!</v>
      </c>
      <c r="P42" t="e">
        <f>AND(#REF!,"AAAAAFH77Q8=")</f>
        <v>#REF!</v>
      </c>
      <c r="Q42" t="e">
        <f>AND(#REF!,"AAAAAFH77RA=")</f>
        <v>#REF!</v>
      </c>
      <c r="R42" t="e">
        <f>AND(#REF!,"AAAAAFH77RE=")</f>
        <v>#REF!</v>
      </c>
      <c r="S42" t="e">
        <f>AND(#REF!,"AAAAAFH77RI=")</f>
        <v>#REF!</v>
      </c>
      <c r="T42" t="e">
        <f>AND(#REF!,"AAAAAFH77RM=")</f>
        <v>#REF!</v>
      </c>
      <c r="U42" t="e">
        <f>AND(#REF!,"AAAAAFH77RQ=")</f>
        <v>#REF!</v>
      </c>
      <c r="V42" t="e">
        <f>AND(#REF!,"AAAAAFH77RU=")</f>
        <v>#REF!</v>
      </c>
      <c r="W42" t="e">
        <f>AND(#REF!,"AAAAAFH77RY=")</f>
        <v>#REF!</v>
      </c>
      <c r="X42" t="e">
        <f>AND(#REF!,"AAAAAFH77Rc=")</f>
        <v>#REF!</v>
      </c>
      <c r="Y42" t="e">
        <f>AND(#REF!,"AAAAAFH77Rg=")</f>
        <v>#REF!</v>
      </c>
      <c r="Z42" t="e">
        <f>AND(#REF!,"AAAAAFH77Rk=")</f>
        <v>#REF!</v>
      </c>
      <c r="AA42" t="e">
        <f>AND(#REF!,"AAAAAFH77Ro=")</f>
        <v>#REF!</v>
      </c>
      <c r="AB42" t="e">
        <f>AND(#REF!,"AAAAAFH77Rs=")</f>
        <v>#REF!</v>
      </c>
      <c r="AC42" t="e">
        <f>IF(#REF!,"AAAAAFH77Rw=",0)</f>
        <v>#REF!</v>
      </c>
      <c r="AD42" t="e">
        <f>IF(#REF!,"AAAAAFH77R0=",0)</f>
        <v>#REF!</v>
      </c>
      <c r="AE42" t="e">
        <f>IF(#REF!,"AAAAAFH77R4=",0)</f>
        <v>#REF!</v>
      </c>
      <c r="AF42" t="e">
        <f>IF(#REF!,"AAAAAFH77R8=",0)</f>
        <v>#REF!</v>
      </c>
      <c r="AG42" t="e">
        <f>IF(#REF!,"AAAAAFH77SA=",0)</f>
        <v>#REF!</v>
      </c>
      <c r="AH42" t="e">
        <f>IF(#REF!,"AAAAAFH77SE=",0)</f>
        <v>#REF!</v>
      </c>
      <c r="AI42" t="e">
        <f>IF(#REF!,"AAAAAFH77SI=",0)</f>
        <v>#REF!</v>
      </c>
      <c r="AJ42" t="e">
        <f>IF(#REF!,"AAAAAFH77SM=",0)</f>
        <v>#REF!</v>
      </c>
      <c r="AK42" t="e">
        <f>IF(#REF!,"AAAAAFH77SQ=",0)</f>
        <v>#REF!</v>
      </c>
      <c r="AL42" t="e">
        <f>IF(#REF!,"AAAAAFH77SU=",0)</f>
        <v>#REF!</v>
      </c>
      <c r="AM42" t="e">
        <f>IF(#REF!,"AAAAAFH77SY=",0)</f>
        <v>#REF!</v>
      </c>
      <c r="AN42" t="e">
        <f>IF(#REF!,"AAAAAFH77Sc=",0)</f>
        <v>#REF!</v>
      </c>
      <c r="AO42" t="e">
        <f>IF(#REF!,"AAAAAFH77Sg=",0)</f>
        <v>#REF!</v>
      </c>
      <c r="AP42" t="e">
        <f>IF(#REF!,"AAAAAFH77Sk=",0)</f>
        <v>#REF!</v>
      </c>
      <c r="AQ42" t="e">
        <f>IF(#REF!,"AAAAAFH77So=",0)</f>
        <v>#REF!</v>
      </c>
      <c r="AR42" t="e">
        <f>IF(#REF!,"AAAAAFH77Ss=",0)</f>
        <v>#REF!</v>
      </c>
      <c r="AS42" t="e">
        <f>IF(#REF!,"AAAAAFH77Sw=",0)</f>
        <v>#REF!</v>
      </c>
      <c r="AT42" t="e">
        <f>IF(#REF!,"AAAAAFH77S0=",0)</f>
        <v>#REF!</v>
      </c>
      <c r="AU42" t="e">
        <f>IF(#REF!,"AAAAAFH77S4=",0)</f>
        <v>#REF!</v>
      </c>
      <c r="AV42" t="e">
        <f>IF(#REF!,"AAAAAFH77S8=",0)</f>
        <v>#REF!</v>
      </c>
      <c r="AW42" t="e">
        <f>IF(#REF!,"AAAAAFH77TA=",0)</f>
        <v>#REF!</v>
      </c>
      <c r="AX42" t="e">
        <f>IF(#REF!,"AAAAAFH77TE=",0)</f>
        <v>#REF!</v>
      </c>
      <c r="AY42" t="e">
        <f>IF(#REF!,"AAAAAFH77TI=",0)</f>
        <v>#REF!</v>
      </c>
      <c r="AZ42" t="e">
        <f>IF(#REF!,"AAAAAFH77TM=",0)</f>
        <v>#REF!</v>
      </c>
      <c r="BA42" t="e">
        <f>IF(#REF!,"AAAAAFH77TQ=",0)</f>
        <v>#REF!</v>
      </c>
      <c r="BB42" t="e">
        <f>IF(#REF!,"AAAAAFH77TU=",0)</f>
        <v>#REF!</v>
      </c>
      <c r="BC42" t="e">
        <f>IF(#REF!,"AAAAAFH77TY=",0)</f>
        <v>#REF!</v>
      </c>
      <c r="BD42" t="e">
        <f>IF(#REF!,"AAAAAFH77Tc=",0)</f>
        <v>#REF!</v>
      </c>
      <c r="BE42" t="e">
        <f>IF(#REF!,"AAAAAFH77Tg=",0)</f>
        <v>#REF!</v>
      </c>
      <c r="BF42" t="e">
        <f>IF(#REF!,"AAAAAFH77Tk=",0)</f>
        <v>#REF!</v>
      </c>
      <c r="BG42" t="e">
        <f>IF(#REF!,"AAAAAFH77To=",0)</f>
        <v>#REF!</v>
      </c>
      <c r="BH42" t="e">
        <f>IF(#REF!,"AAAAAFH77Ts=",0)</f>
        <v>#REF!</v>
      </c>
      <c r="BI42" t="e">
        <f>IF(#REF!,"AAAAAFH77Tw=",0)</f>
        <v>#REF!</v>
      </c>
      <c r="BJ42" t="e">
        <f>IF(#REF!,"AAAAAFH77T0=",0)</f>
        <v>#REF!</v>
      </c>
      <c r="BK42" t="e">
        <f>IF(#REF!,"AAAAAFH77T4=",0)</f>
        <v>#REF!</v>
      </c>
      <c r="BL42" t="e">
        <f>IF(#REF!,"AAAAAFH77T8=",0)</f>
        <v>#REF!</v>
      </c>
      <c r="BM42" t="e">
        <f>IF(#REF!,"AAAAAFH77UA=",0)</f>
        <v>#REF!</v>
      </c>
      <c r="BN42" t="e">
        <f>IF(#REF!,"AAAAAFH77UE=",0)</f>
        <v>#REF!</v>
      </c>
      <c r="BO42" t="e">
        <f>IF(#REF!,"AAAAAFH77UI=",0)</f>
        <v>#REF!</v>
      </c>
      <c r="BP42" t="e">
        <f>IF(#REF!,"AAAAAFH77UM=",0)</f>
        <v>#REF!</v>
      </c>
      <c r="BQ42" t="e">
        <f>IF(#REF!,"AAAAAFH77UQ=",0)</f>
        <v>#REF!</v>
      </c>
      <c r="BR42" t="e">
        <f>IF(#REF!,"AAAAAFH77UU=",0)</f>
        <v>#REF!</v>
      </c>
      <c r="BS42" t="e">
        <f>IF(#REF!,"AAAAAFH77UY=",0)</f>
        <v>#REF!</v>
      </c>
      <c r="BT42" t="e">
        <f>IF(#REF!,"AAAAAFH77Uc=",0)</f>
        <v>#REF!</v>
      </c>
      <c r="BU42" t="e">
        <f>IF(#REF!,"AAAAAFH77Ug=",0)</f>
        <v>#REF!</v>
      </c>
      <c r="BV42" t="e">
        <f>IF(#REF!,"AAAAAFH77Uk=",0)</f>
        <v>#REF!</v>
      </c>
      <c r="BW42" t="e">
        <f>IF(#REF!,"AAAAAFH77Uo=",0)</f>
        <v>#REF!</v>
      </c>
      <c r="BX42" t="e">
        <f>IF(#REF!,"AAAAAFH77Us=",0)</f>
        <v>#REF!</v>
      </c>
      <c r="BY42" t="e">
        <f>IF(#REF!,"AAAAAFH77Uw=",0)</f>
        <v>#REF!</v>
      </c>
      <c r="BZ42" t="e">
        <f>IF(#REF!,"AAAAAFH77U0=",0)</f>
        <v>#REF!</v>
      </c>
      <c r="CA42" t="e">
        <f>IF(#REF!,"AAAAAFH77U4=",0)</f>
        <v>#REF!</v>
      </c>
      <c r="CB42" t="e">
        <f>IF(#REF!,"AAAAAFH77U8=",0)</f>
        <v>#REF!</v>
      </c>
      <c r="CC42" t="e">
        <f>IF(#REF!,"AAAAAFH77VA=",0)</f>
        <v>#REF!</v>
      </c>
      <c r="CD42" t="e">
        <f>IF(#REF!,"AAAAAFH77VE=",0)</f>
        <v>#REF!</v>
      </c>
      <c r="CE42" t="e">
        <f>IF(#REF!,"AAAAAFH77VI=",0)</f>
        <v>#REF!</v>
      </c>
      <c r="CF42" t="e">
        <f>IF(#REF!,"AAAAAFH77VM=",0)</f>
        <v>#REF!</v>
      </c>
      <c r="CG42" t="e">
        <f>IF(#REF!,"AAAAAFH77VQ=",0)</f>
        <v>#REF!</v>
      </c>
      <c r="CH42" t="e">
        <f>AND(#REF!,"AAAAAFH77VU=")</f>
        <v>#REF!</v>
      </c>
      <c r="CI42" t="e">
        <f>AND(#REF!,"AAAAAFH77VY=")</f>
        <v>#REF!</v>
      </c>
      <c r="CJ42" t="e">
        <f>AND(#REF!,"AAAAAFH77Vc=")</f>
        <v>#REF!</v>
      </c>
      <c r="CK42" t="e">
        <f>AND(#REF!,"AAAAAFH77Vg=")</f>
        <v>#REF!</v>
      </c>
      <c r="CL42" t="e">
        <f>AND(#REF!,"AAAAAFH77Vk=")</f>
        <v>#REF!</v>
      </c>
      <c r="CM42" t="e">
        <f>AND(#REF!,"AAAAAFH77Vo=")</f>
        <v>#REF!</v>
      </c>
      <c r="CN42" t="e">
        <f>AND(#REF!,"AAAAAFH77Vs=")</f>
        <v>#REF!</v>
      </c>
      <c r="CO42" t="e">
        <f>AND(#REF!,"AAAAAFH77Vw=")</f>
        <v>#REF!</v>
      </c>
      <c r="CP42" t="e">
        <f>AND(#REF!,"AAAAAFH77V0=")</f>
        <v>#REF!</v>
      </c>
      <c r="CQ42" t="e">
        <f>AND(#REF!,"AAAAAFH77V4=")</f>
        <v>#REF!</v>
      </c>
      <c r="CR42" t="e">
        <f>AND(#REF!,"AAAAAFH77V8=")</f>
        <v>#REF!</v>
      </c>
      <c r="CS42" t="e">
        <f>AND(#REF!,"AAAAAFH77WA=")</f>
        <v>#REF!</v>
      </c>
      <c r="CT42" t="e">
        <f>AND(#REF!,"AAAAAFH77WE=")</f>
        <v>#REF!</v>
      </c>
      <c r="CU42" t="e">
        <f>AND(#REF!,"AAAAAFH77WI=")</f>
        <v>#REF!</v>
      </c>
      <c r="CV42" t="e">
        <f>AND(#REF!,"AAAAAFH77WM=")</f>
        <v>#REF!</v>
      </c>
      <c r="CW42" t="e">
        <f>AND(#REF!,"AAAAAFH77WQ=")</f>
        <v>#REF!</v>
      </c>
      <c r="CX42" t="e">
        <f>AND(#REF!,"AAAAAFH77WU=")</f>
        <v>#REF!</v>
      </c>
      <c r="CY42" t="e">
        <f>AND(#REF!,"AAAAAFH77WY=")</f>
        <v>#REF!</v>
      </c>
      <c r="CZ42" t="e">
        <f>AND(#REF!,"AAAAAFH77Wc=")</f>
        <v>#REF!</v>
      </c>
      <c r="DA42" t="e">
        <f>AND(#REF!,"AAAAAFH77Wg=")</f>
        <v>#REF!</v>
      </c>
      <c r="DB42" t="e">
        <f>AND(#REF!,"AAAAAFH77Wk=")</f>
        <v>#REF!</v>
      </c>
      <c r="DC42" t="e">
        <f>AND(#REF!,"AAAAAFH77Wo=")</f>
        <v>#REF!</v>
      </c>
      <c r="DD42" t="e">
        <f>AND(#REF!,"AAAAAFH77Ws=")</f>
        <v>#REF!</v>
      </c>
      <c r="DE42" t="e">
        <f>AND(#REF!,"AAAAAFH77Ww=")</f>
        <v>#REF!</v>
      </c>
      <c r="DF42" t="e">
        <f>AND(#REF!,"AAAAAFH77W0=")</f>
        <v>#REF!</v>
      </c>
      <c r="DG42" t="e">
        <f>AND(#REF!,"AAAAAFH77W4=")</f>
        <v>#REF!</v>
      </c>
      <c r="DH42" t="e">
        <f>AND(#REF!,"AAAAAFH77W8=")</f>
        <v>#REF!</v>
      </c>
      <c r="DI42" t="e">
        <f>AND(#REF!,"AAAAAFH77XA=")</f>
        <v>#REF!</v>
      </c>
      <c r="DJ42" t="e">
        <f>AND(#REF!,"AAAAAFH77XE=")</f>
        <v>#REF!</v>
      </c>
      <c r="DK42" t="e">
        <f>AND(#REF!,"AAAAAFH77XI=")</f>
        <v>#REF!</v>
      </c>
      <c r="DL42" t="e">
        <f>AND(#REF!,"AAAAAFH77XM=")</f>
        <v>#REF!</v>
      </c>
      <c r="DM42" t="e">
        <f>AND(#REF!,"AAAAAFH77XQ=")</f>
        <v>#REF!</v>
      </c>
      <c r="DN42" t="e">
        <f>AND(#REF!,"AAAAAFH77XU=")</f>
        <v>#REF!</v>
      </c>
      <c r="DO42" t="e">
        <f>AND(#REF!,"AAAAAFH77XY=")</f>
        <v>#REF!</v>
      </c>
      <c r="DP42" t="e">
        <f>AND(#REF!,"AAAAAFH77Xc=")</f>
        <v>#REF!</v>
      </c>
      <c r="DQ42" t="e">
        <f>IF(#REF!,"AAAAAFH77Xg=",0)</f>
        <v>#REF!</v>
      </c>
      <c r="DR42" t="e">
        <f>AND(#REF!,"AAAAAFH77Xk=")</f>
        <v>#REF!</v>
      </c>
      <c r="DS42" t="e">
        <f>AND(#REF!,"AAAAAFH77Xo=")</f>
        <v>#REF!</v>
      </c>
      <c r="DT42" t="e">
        <f>AND(#REF!,"AAAAAFH77Xs=")</f>
        <v>#REF!</v>
      </c>
      <c r="DU42" t="e">
        <f>AND(#REF!,"AAAAAFH77Xw=")</f>
        <v>#REF!</v>
      </c>
      <c r="DV42" t="e">
        <f>AND(#REF!,"AAAAAFH77X0=")</f>
        <v>#REF!</v>
      </c>
      <c r="DW42" t="e">
        <f>AND(#REF!,"AAAAAFH77X4=")</f>
        <v>#REF!</v>
      </c>
      <c r="DX42" t="e">
        <f>AND(#REF!,"AAAAAFH77X8=")</f>
        <v>#REF!</v>
      </c>
      <c r="DY42" t="e">
        <f>AND(#REF!,"AAAAAFH77YA=")</f>
        <v>#REF!</v>
      </c>
      <c r="DZ42" t="e">
        <f>AND(#REF!,"AAAAAFH77YE=")</f>
        <v>#REF!</v>
      </c>
      <c r="EA42" t="e">
        <f>AND(#REF!,"AAAAAFH77YI=")</f>
        <v>#REF!</v>
      </c>
      <c r="EB42" t="e">
        <f>AND(#REF!,"AAAAAFH77YM=")</f>
        <v>#REF!</v>
      </c>
      <c r="EC42" t="e">
        <f>AND(#REF!,"AAAAAFH77YQ=")</f>
        <v>#REF!</v>
      </c>
      <c r="ED42" t="e">
        <f>AND(#REF!,"AAAAAFH77YU=")</f>
        <v>#REF!</v>
      </c>
      <c r="EE42" t="e">
        <f>AND(#REF!,"AAAAAFH77YY=")</f>
        <v>#REF!</v>
      </c>
      <c r="EF42" t="e">
        <f>AND(#REF!,"AAAAAFH77Yc=")</f>
        <v>#REF!</v>
      </c>
      <c r="EG42" t="e">
        <f>AND(#REF!,"AAAAAFH77Yg=")</f>
        <v>#REF!</v>
      </c>
      <c r="EH42" t="e">
        <f>AND(#REF!,"AAAAAFH77Yk=")</f>
        <v>#REF!</v>
      </c>
      <c r="EI42" t="e">
        <f>AND(#REF!,"AAAAAFH77Yo=")</f>
        <v>#REF!</v>
      </c>
      <c r="EJ42" t="e">
        <f>AND(#REF!,"AAAAAFH77Ys=")</f>
        <v>#REF!</v>
      </c>
      <c r="EK42" t="e">
        <f>AND(#REF!,"AAAAAFH77Yw=")</f>
        <v>#REF!</v>
      </c>
      <c r="EL42" t="e">
        <f>AND(#REF!,"AAAAAFH77Y0=")</f>
        <v>#REF!</v>
      </c>
      <c r="EM42" t="e">
        <f>AND(#REF!,"AAAAAFH77Y4=")</f>
        <v>#REF!</v>
      </c>
      <c r="EN42" t="e">
        <f>AND(#REF!,"AAAAAFH77Y8=")</f>
        <v>#REF!</v>
      </c>
      <c r="EO42" t="e">
        <f>AND(#REF!,"AAAAAFH77ZA=")</f>
        <v>#REF!</v>
      </c>
      <c r="EP42" t="e">
        <f>AND(#REF!,"AAAAAFH77ZE=")</f>
        <v>#REF!</v>
      </c>
      <c r="EQ42" t="e">
        <f>AND(#REF!,"AAAAAFH77ZI=")</f>
        <v>#REF!</v>
      </c>
      <c r="ER42" t="e">
        <f>AND(#REF!,"AAAAAFH77ZM=")</f>
        <v>#REF!</v>
      </c>
      <c r="ES42" t="e">
        <f>AND(#REF!,"AAAAAFH77ZQ=")</f>
        <v>#REF!</v>
      </c>
      <c r="ET42" t="e">
        <f>AND(#REF!,"AAAAAFH77ZU=")</f>
        <v>#REF!</v>
      </c>
      <c r="EU42" t="e">
        <f>AND(#REF!,"AAAAAFH77ZY=")</f>
        <v>#REF!</v>
      </c>
      <c r="EV42" t="e">
        <f>AND(#REF!,"AAAAAFH77Zc=")</f>
        <v>#REF!</v>
      </c>
      <c r="EW42" t="e">
        <f>AND(#REF!,"AAAAAFH77Zg=")</f>
        <v>#REF!</v>
      </c>
      <c r="EX42" t="e">
        <f>AND(#REF!,"AAAAAFH77Zk=")</f>
        <v>#REF!</v>
      </c>
      <c r="EY42" t="e">
        <f>AND(#REF!,"AAAAAFH77Zo=")</f>
        <v>#REF!</v>
      </c>
      <c r="EZ42" t="e">
        <f>AND(#REF!,"AAAAAFH77Zs=")</f>
        <v>#REF!</v>
      </c>
      <c r="FA42" t="e">
        <f>IF(#REF!,"AAAAAFH77Zw=",0)</f>
        <v>#REF!</v>
      </c>
      <c r="FB42" t="e">
        <f>AND(#REF!,"AAAAAFH77Z0=")</f>
        <v>#REF!</v>
      </c>
      <c r="FC42" t="e">
        <f>AND(#REF!,"AAAAAFH77Z4=")</f>
        <v>#REF!</v>
      </c>
      <c r="FD42" t="e">
        <f>AND(#REF!,"AAAAAFH77Z8=")</f>
        <v>#REF!</v>
      </c>
      <c r="FE42" t="e">
        <f>AND(#REF!,"AAAAAFH77aA=")</f>
        <v>#REF!</v>
      </c>
      <c r="FF42" t="e">
        <f>AND(#REF!,"AAAAAFH77aE=")</f>
        <v>#REF!</v>
      </c>
      <c r="FG42" t="e">
        <f>AND(#REF!,"AAAAAFH77aI=")</f>
        <v>#REF!</v>
      </c>
      <c r="FH42" t="e">
        <f>AND(#REF!,"AAAAAFH77aM=")</f>
        <v>#REF!</v>
      </c>
      <c r="FI42" t="e">
        <f>AND(#REF!,"AAAAAFH77aQ=")</f>
        <v>#REF!</v>
      </c>
      <c r="FJ42" t="e">
        <f>AND(#REF!,"AAAAAFH77aU=")</f>
        <v>#REF!</v>
      </c>
      <c r="FK42" t="e">
        <f>AND(#REF!,"AAAAAFH77aY=")</f>
        <v>#REF!</v>
      </c>
      <c r="FL42" t="e">
        <f>AND(#REF!,"AAAAAFH77ac=")</f>
        <v>#REF!</v>
      </c>
      <c r="FM42" t="e">
        <f>AND(#REF!,"AAAAAFH77ag=")</f>
        <v>#REF!</v>
      </c>
      <c r="FN42" t="e">
        <f>AND(#REF!,"AAAAAFH77ak=")</f>
        <v>#REF!</v>
      </c>
      <c r="FO42" t="e">
        <f>AND(#REF!,"AAAAAFH77ao=")</f>
        <v>#REF!</v>
      </c>
      <c r="FP42" t="e">
        <f>AND(#REF!,"AAAAAFH77as=")</f>
        <v>#REF!</v>
      </c>
      <c r="FQ42" t="e">
        <f>AND(#REF!,"AAAAAFH77aw=")</f>
        <v>#REF!</v>
      </c>
      <c r="FR42" t="e">
        <f>AND(#REF!,"AAAAAFH77a0=")</f>
        <v>#REF!</v>
      </c>
      <c r="FS42" t="e">
        <f>AND(#REF!,"AAAAAFH77a4=")</f>
        <v>#REF!</v>
      </c>
      <c r="FT42" t="e">
        <f>AND(#REF!,"AAAAAFH77a8=")</f>
        <v>#REF!</v>
      </c>
      <c r="FU42" t="e">
        <f>AND(#REF!,"AAAAAFH77bA=")</f>
        <v>#REF!</v>
      </c>
      <c r="FV42" t="e">
        <f>AND(#REF!,"AAAAAFH77bE=")</f>
        <v>#REF!</v>
      </c>
      <c r="FW42" t="e">
        <f>AND(#REF!,"AAAAAFH77bI=")</f>
        <v>#REF!</v>
      </c>
      <c r="FX42" t="e">
        <f>AND(#REF!,"AAAAAFH77bM=")</f>
        <v>#REF!</v>
      </c>
      <c r="FY42" t="e">
        <f>AND(#REF!,"AAAAAFH77bQ=")</f>
        <v>#REF!</v>
      </c>
      <c r="FZ42" t="e">
        <f>AND(#REF!,"AAAAAFH77bU=")</f>
        <v>#REF!</v>
      </c>
      <c r="GA42" t="e">
        <f>AND(#REF!,"AAAAAFH77bY=")</f>
        <v>#REF!</v>
      </c>
      <c r="GB42" t="e">
        <f>AND(#REF!,"AAAAAFH77bc=")</f>
        <v>#REF!</v>
      </c>
      <c r="GC42" t="e">
        <f>AND(#REF!,"AAAAAFH77bg=")</f>
        <v>#REF!</v>
      </c>
      <c r="GD42" t="e">
        <f>AND(#REF!,"AAAAAFH77bk=")</f>
        <v>#REF!</v>
      </c>
      <c r="GE42" t="e">
        <f>AND(#REF!,"AAAAAFH77bo=")</f>
        <v>#REF!</v>
      </c>
      <c r="GF42" t="e">
        <f>AND(#REF!,"AAAAAFH77bs=")</f>
        <v>#REF!</v>
      </c>
      <c r="GG42" t="e">
        <f>AND(#REF!,"AAAAAFH77bw=")</f>
        <v>#REF!</v>
      </c>
      <c r="GH42" t="e">
        <f>AND(#REF!,"AAAAAFH77b0=")</f>
        <v>#REF!</v>
      </c>
      <c r="GI42" t="e">
        <f>AND(#REF!,"AAAAAFH77b4=")</f>
        <v>#REF!</v>
      </c>
      <c r="GJ42" t="e">
        <f>AND(#REF!,"AAAAAFH77b8=")</f>
        <v>#REF!</v>
      </c>
      <c r="GK42" t="e">
        <f>IF(#REF!,"AAAAAFH77cA=",0)</f>
        <v>#REF!</v>
      </c>
      <c r="GL42" t="e">
        <f>AND(#REF!,"AAAAAFH77cE=")</f>
        <v>#REF!</v>
      </c>
      <c r="GM42" t="e">
        <f>AND(#REF!,"AAAAAFH77cI=")</f>
        <v>#REF!</v>
      </c>
      <c r="GN42" t="e">
        <f>AND(#REF!,"AAAAAFH77cM=")</f>
        <v>#REF!</v>
      </c>
      <c r="GO42" t="e">
        <f>AND(#REF!,"AAAAAFH77cQ=")</f>
        <v>#REF!</v>
      </c>
      <c r="GP42" t="e">
        <f>AND(#REF!,"AAAAAFH77cU=")</f>
        <v>#REF!</v>
      </c>
      <c r="GQ42" t="e">
        <f>AND(#REF!,"AAAAAFH77cY=")</f>
        <v>#REF!</v>
      </c>
      <c r="GR42" t="e">
        <f>AND(#REF!,"AAAAAFH77cc=")</f>
        <v>#REF!</v>
      </c>
      <c r="GS42" t="e">
        <f>AND(#REF!,"AAAAAFH77cg=")</f>
        <v>#REF!</v>
      </c>
      <c r="GT42" t="e">
        <f>AND(#REF!,"AAAAAFH77ck=")</f>
        <v>#REF!</v>
      </c>
      <c r="GU42" t="e">
        <f>AND(#REF!,"AAAAAFH77co=")</f>
        <v>#REF!</v>
      </c>
      <c r="GV42" t="e">
        <f>AND(#REF!,"AAAAAFH77cs=")</f>
        <v>#REF!</v>
      </c>
      <c r="GW42" t="e">
        <f>AND(#REF!,"AAAAAFH77cw=")</f>
        <v>#REF!</v>
      </c>
      <c r="GX42" t="e">
        <f>AND(#REF!,"AAAAAFH77c0=")</f>
        <v>#REF!</v>
      </c>
      <c r="GY42" t="e">
        <f>AND(#REF!,"AAAAAFH77c4=")</f>
        <v>#REF!</v>
      </c>
      <c r="GZ42" t="e">
        <f>AND(#REF!,"AAAAAFH77c8=")</f>
        <v>#REF!</v>
      </c>
      <c r="HA42" t="e">
        <f>AND(#REF!,"AAAAAFH77dA=")</f>
        <v>#REF!</v>
      </c>
      <c r="HB42" t="e">
        <f>AND(#REF!,"AAAAAFH77dE=")</f>
        <v>#REF!</v>
      </c>
      <c r="HC42" t="e">
        <f>AND(#REF!,"AAAAAFH77dI=")</f>
        <v>#REF!</v>
      </c>
      <c r="HD42" t="e">
        <f>AND(#REF!,"AAAAAFH77dM=")</f>
        <v>#REF!</v>
      </c>
      <c r="HE42" t="e">
        <f>AND(#REF!,"AAAAAFH77dQ=")</f>
        <v>#REF!</v>
      </c>
      <c r="HF42" t="e">
        <f>AND(#REF!,"AAAAAFH77dU=")</f>
        <v>#REF!</v>
      </c>
      <c r="HG42" t="e">
        <f>AND(#REF!,"AAAAAFH77dY=")</f>
        <v>#REF!</v>
      </c>
      <c r="HH42" t="e">
        <f>AND(#REF!,"AAAAAFH77dc=")</f>
        <v>#REF!</v>
      </c>
      <c r="HI42" t="e">
        <f>AND(#REF!,"AAAAAFH77dg=")</f>
        <v>#REF!</v>
      </c>
      <c r="HJ42" t="e">
        <f>AND(#REF!,"AAAAAFH77dk=")</f>
        <v>#REF!</v>
      </c>
      <c r="HK42" t="e">
        <f>AND(#REF!,"AAAAAFH77do=")</f>
        <v>#REF!</v>
      </c>
      <c r="HL42" t="e">
        <f>AND(#REF!,"AAAAAFH77ds=")</f>
        <v>#REF!</v>
      </c>
      <c r="HM42" t="e">
        <f>AND(#REF!,"AAAAAFH77dw=")</f>
        <v>#REF!</v>
      </c>
      <c r="HN42" t="e">
        <f>AND(#REF!,"AAAAAFH77d0=")</f>
        <v>#REF!</v>
      </c>
      <c r="HO42" t="e">
        <f>AND(#REF!,"AAAAAFH77d4=")</f>
        <v>#REF!</v>
      </c>
      <c r="HP42" t="e">
        <f>AND(#REF!,"AAAAAFH77d8=")</f>
        <v>#REF!</v>
      </c>
      <c r="HQ42" t="e">
        <f>AND(#REF!,"AAAAAFH77eA=")</f>
        <v>#REF!</v>
      </c>
      <c r="HR42" t="e">
        <f>AND(#REF!,"AAAAAFH77eE=")</f>
        <v>#REF!</v>
      </c>
      <c r="HS42" t="e">
        <f>AND(#REF!,"AAAAAFH77eI=")</f>
        <v>#REF!</v>
      </c>
      <c r="HT42" t="e">
        <f>AND(#REF!,"AAAAAFH77eM=")</f>
        <v>#REF!</v>
      </c>
      <c r="HU42" t="e">
        <f>IF(#REF!,"AAAAAFH77eQ=",0)</f>
        <v>#REF!</v>
      </c>
      <c r="HV42" t="e">
        <f>AND(#REF!,"AAAAAFH77eU=")</f>
        <v>#REF!</v>
      </c>
      <c r="HW42" t="e">
        <f>AND(#REF!,"AAAAAFH77eY=")</f>
        <v>#REF!</v>
      </c>
      <c r="HX42" t="e">
        <f>AND(#REF!,"AAAAAFH77ec=")</f>
        <v>#REF!</v>
      </c>
      <c r="HY42" t="e">
        <f>AND(#REF!,"AAAAAFH77eg=")</f>
        <v>#REF!</v>
      </c>
      <c r="HZ42" t="e">
        <f>AND(#REF!,"AAAAAFH77ek=")</f>
        <v>#REF!</v>
      </c>
      <c r="IA42" t="e">
        <f>AND(#REF!,"AAAAAFH77eo=")</f>
        <v>#REF!</v>
      </c>
      <c r="IB42" t="e">
        <f>AND(#REF!,"AAAAAFH77es=")</f>
        <v>#REF!</v>
      </c>
      <c r="IC42" t="e">
        <f>AND(#REF!,"AAAAAFH77ew=")</f>
        <v>#REF!</v>
      </c>
      <c r="ID42" t="e">
        <f>AND(#REF!,"AAAAAFH77e0=")</f>
        <v>#REF!</v>
      </c>
      <c r="IE42" t="e">
        <f>AND(#REF!,"AAAAAFH77e4=")</f>
        <v>#REF!</v>
      </c>
      <c r="IF42" t="e">
        <f>AND(#REF!,"AAAAAFH77e8=")</f>
        <v>#REF!</v>
      </c>
      <c r="IG42" t="e">
        <f>AND(#REF!,"AAAAAFH77fA=")</f>
        <v>#REF!</v>
      </c>
      <c r="IH42" t="e">
        <f>AND(#REF!,"AAAAAFH77fE=")</f>
        <v>#REF!</v>
      </c>
      <c r="II42" t="e">
        <f>AND(#REF!,"AAAAAFH77fI=")</f>
        <v>#REF!</v>
      </c>
      <c r="IJ42" t="e">
        <f>AND(#REF!,"AAAAAFH77fM=")</f>
        <v>#REF!</v>
      </c>
      <c r="IK42" t="e">
        <f>AND(#REF!,"AAAAAFH77fQ=")</f>
        <v>#REF!</v>
      </c>
      <c r="IL42" t="e">
        <f>AND(#REF!,"AAAAAFH77fU=")</f>
        <v>#REF!</v>
      </c>
      <c r="IM42" t="e">
        <f>AND(#REF!,"AAAAAFH77fY=")</f>
        <v>#REF!</v>
      </c>
      <c r="IN42" t="e">
        <f>AND(#REF!,"AAAAAFH77fc=")</f>
        <v>#REF!</v>
      </c>
      <c r="IO42" t="e">
        <f>AND(#REF!,"AAAAAFH77fg=")</f>
        <v>#REF!</v>
      </c>
      <c r="IP42" t="e">
        <f>AND(#REF!,"AAAAAFH77fk=")</f>
        <v>#REF!</v>
      </c>
      <c r="IQ42" t="e">
        <f>AND(#REF!,"AAAAAFH77fo=")</f>
        <v>#REF!</v>
      </c>
      <c r="IR42" t="e">
        <f>AND(#REF!,"AAAAAFH77fs=")</f>
        <v>#REF!</v>
      </c>
      <c r="IS42" t="e">
        <f>AND(#REF!,"AAAAAFH77fw=")</f>
        <v>#REF!</v>
      </c>
      <c r="IT42" t="e">
        <f>AND(#REF!,"AAAAAFH77f0=")</f>
        <v>#REF!</v>
      </c>
      <c r="IU42" t="e">
        <f>AND(#REF!,"AAAAAFH77f4=")</f>
        <v>#REF!</v>
      </c>
      <c r="IV42" t="e">
        <f>AND(#REF!,"AAAAAFH77f8=")</f>
        <v>#REF!</v>
      </c>
    </row>
    <row r="43" spans="1:256">
      <c r="A43" t="e">
        <f>AND(#REF!,"AAAAADG+/AA=")</f>
        <v>#REF!</v>
      </c>
      <c r="B43" t="e">
        <f>AND(#REF!,"AAAAADG+/AE=")</f>
        <v>#REF!</v>
      </c>
      <c r="C43" t="e">
        <f>AND(#REF!,"AAAAADG+/AI=")</f>
        <v>#REF!</v>
      </c>
      <c r="D43" t="e">
        <f>AND(#REF!,"AAAAADG+/AM=")</f>
        <v>#REF!</v>
      </c>
      <c r="E43" t="e">
        <f>AND(#REF!,"AAAAADG+/AQ=")</f>
        <v>#REF!</v>
      </c>
      <c r="F43" t="e">
        <f>AND(#REF!,"AAAAADG+/AU=")</f>
        <v>#REF!</v>
      </c>
      <c r="G43" t="e">
        <f>AND(#REF!,"AAAAADG+/AY=")</f>
        <v>#REF!</v>
      </c>
      <c r="H43" t="e">
        <f>AND(#REF!,"AAAAADG+/Ac=")</f>
        <v>#REF!</v>
      </c>
      <c r="I43" t="e">
        <f>IF(#REF!,"AAAAADG+/Ag=",0)</f>
        <v>#REF!</v>
      </c>
      <c r="J43" t="e">
        <f>AND(#REF!,"AAAAADG+/Ak=")</f>
        <v>#REF!</v>
      </c>
      <c r="K43" t="e">
        <f>AND(#REF!,"AAAAADG+/Ao=")</f>
        <v>#REF!</v>
      </c>
      <c r="L43" t="e">
        <f>AND(#REF!,"AAAAADG+/As=")</f>
        <v>#REF!</v>
      </c>
      <c r="M43" t="e">
        <f>AND(#REF!,"AAAAADG+/Aw=")</f>
        <v>#REF!</v>
      </c>
      <c r="N43" t="e">
        <f>AND(#REF!,"AAAAADG+/A0=")</f>
        <v>#REF!</v>
      </c>
      <c r="O43" t="e">
        <f>AND(#REF!,"AAAAADG+/A4=")</f>
        <v>#REF!</v>
      </c>
      <c r="P43" t="e">
        <f>AND(#REF!,"AAAAADG+/A8=")</f>
        <v>#REF!</v>
      </c>
      <c r="Q43" t="e">
        <f>AND(#REF!,"AAAAADG+/BA=")</f>
        <v>#REF!</v>
      </c>
      <c r="R43" t="e">
        <f>AND(#REF!,"AAAAADG+/BE=")</f>
        <v>#REF!</v>
      </c>
      <c r="S43" t="e">
        <f>AND(#REF!,"AAAAADG+/BI=")</f>
        <v>#REF!</v>
      </c>
      <c r="T43" t="e">
        <f>AND(#REF!,"AAAAADG+/BM=")</f>
        <v>#REF!</v>
      </c>
      <c r="U43" t="e">
        <f>AND(#REF!,"AAAAADG+/BQ=")</f>
        <v>#REF!</v>
      </c>
      <c r="V43" t="e">
        <f>AND(#REF!,"AAAAADG+/BU=")</f>
        <v>#REF!</v>
      </c>
      <c r="W43" t="e">
        <f>AND(#REF!,"AAAAADG+/BY=")</f>
        <v>#REF!</v>
      </c>
      <c r="X43" t="e">
        <f>AND(#REF!,"AAAAADG+/Bc=")</f>
        <v>#REF!</v>
      </c>
      <c r="Y43" t="e">
        <f>AND(#REF!,"AAAAADG+/Bg=")</f>
        <v>#REF!</v>
      </c>
      <c r="Z43" t="e">
        <f>AND(#REF!,"AAAAADG+/Bk=")</f>
        <v>#REF!</v>
      </c>
      <c r="AA43" t="e">
        <f>AND(#REF!,"AAAAADG+/Bo=")</f>
        <v>#REF!</v>
      </c>
      <c r="AB43" t="e">
        <f>AND(#REF!,"AAAAADG+/Bs=")</f>
        <v>#REF!</v>
      </c>
      <c r="AC43" t="e">
        <f>AND(#REF!,"AAAAADG+/Bw=")</f>
        <v>#REF!</v>
      </c>
      <c r="AD43" t="e">
        <f>AND(#REF!,"AAAAADG+/B0=")</f>
        <v>#REF!</v>
      </c>
      <c r="AE43" t="e">
        <f>AND(#REF!,"AAAAADG+/B4=")</f>
        <v>#REF!</v>
      </c>
      <c r="AF43" t="e">
        <f>AND(#REF!,"AAAAADG+/B8=")</f>
        <v>#REF!</v>
      </c>
      <c r="AG43" t="e">
        <f>AND(#REF!,"AAAAADG+/CA=")</f>
        <v>#REF!</v>
      </c>
      <c r="AH43" t="e">
        <f>AND(#REF!,"AAAAADG+/CE=")</f>
        <v>#REF!</v>
      </c>
      <c r="AI43" t="e">
        <f>AND(#REF!,"AAAAADG+/CI=")</f>
        <v>#REF!</v>
      </c>
      <c r="AJ43" t="e">
        <f>AND(#REF!,"AAAAADG+/CM=")</f>
        <v>#REF!</v>
      </c>
      <c r="AK43" t="e">
        <f>AND(#REF!,"AAAAADG+/CQ=")</f>
        <v>#REF!</v>
      </c>
      <c r="AL43" t="e">
        <f>AND(#REF!,"AAAAADG+/CU=")</f>
        <v>#REF!</v>
      </c>
      <c r="AM43" t="e">
        <f>AND(#REF!,"AAAAADG+/CY=")</f>
        <v>#REF!</v>
      </c>
      <c r="AN43" t="e">
        <f>AND(#REF!,"AAAAADG+/Cc=")</f>
        <v>#REF!</v>
      </c>
      <c r="AO43" t="e">
        <f>AND(#REF!,"AAAAADG+/Cg=")</f>
        <v>#REF!</v>
      </c>
      <c r="AP43" t="e">
        <f>AND(#REF!,"AAAAADG+/Ck=")</f>
        <v>#REF!</v>
      </c>
      <c r="AQ43" t="e">
        <f>AND(#REF!,"AAAAADG+/Co=")</f>
        <v>#REF!</v>
      </c>
      <c r="AR43" t="e">
        <f>AND(#REF!,"AAAAADG+/Cs=")</f>
        <v>#REF!</v>
      </c>
      <c r="AS43" t="e">
        <f>IF(#REF!,"AAAAADG+/Cw=",0)</f>
        <v>#REF!</v>
      </c>
      <c r="AT43" t="e">
        <f>AND(#REF!,"AAAAADG+/C0=")</f>
        <v>#REF!</v>
      </c>
      <c r="AU43" t="e">
        <f>AND(#REF!,"AAAAADG+/C4=")</f>
        <v>#REF!</v>
      </c>
      <c r="AV43" t="e">
        <f>AND(#REF!,"AAAAADG+/C8=")</f>
        <v>#REF!</v>
      </c>
      <c r="AW43" t="e">
        <f>AND(#REF!,"AAAAADG+/DA=")</f>
        <v>#REF!</v>
      </c>
      <c r="AX43" t="e">
        <f>AND(#REF!,"AAAAADG+/DE=")</f>
        <v>#REF!</v>
      </c>
      <c r="AY43" t="e">
        <f>AND(#REF!,"AAAAADG+/DI=")</f>
        <v>#REF!</v>
      </c>
      <c r="AZ43" t="e">
        <f>AND(#REF!,"AAAAADG+/DM=")</f>
        <v>#REF!</v>
      </c>
      <c r="BA43" t="e">
        <f>AND(#REF!,"AAAAADG+/DQ=")</f>
        <v>#REF!</v>
      </c>
      <c r="BB43" t="e">
        <f>AND(#REF!,"AAAAADG+/DU=")</f>
        <v>#REF!</v>
      </c>
      <c r="BC43" t="e">
        <f>AND(#REF!,"AAAAADG+/DY=")</f>
        <v>#REF!</v>
      </c>
      <c r="BD43" t="e">
        <f>AND(#REF!,"AAAAADG+/Dc=")</f>
        <v>#REF!</v>
      </c>
      <c r="BE43" t="e">
        <f>AND(#REF!,"AAAAADG+/Dg=")</f>
        <v>#REF!</v>
      </c>
      <c r="BF43" t="e">
        <f>AND(#REF!,"AAAAADG+/Dk=")</f>
        <v>#REF!</v>
      </c>
      <c r="BG43" t="e">
        <f>AND(#REF!,"AAAAADG+/Do=")</f>
        <v>#REF!</v>
      </c>
      <c r="BH43" t="e">
        <f>AND(#REF!,"AAAAADG+/Ds=")</f>
        <v>#REF!</v>
      </c>
      <c r="BI43" t="e">
        <f>AND(#REF!,"AAAAADG+/Dw=")</f>
        <v>#REF!</v>
      </c>
      <c r="BJ43" t="e">
        <f>AND(#REF!,"AAAAADG+/D0=")</f>
        <v>#REF!</v>
      </c>
      <c r="BK43" t="e">
        <f>AND(#REF!,"AAAAADG+/D4=")</f>
        <v>#REF!</v>
      </c>
      <c r="BL43" t="e">
        <f>AND(#REF!,"AAAAADG+/D8=")</f>
        <v>#REF!</v>
      </c>
      <c r="BM43" t="e">
        <f>AND(#REF!,"AAAAADG+/EA=")</f>
        <v>#REF!</v>
      </c>
      <c r="BN43" t="e">
        <f>AND(#REF!,"AAAAADG+/EE=")</f>
        <v>#REF!</v>
      </c>
      <c r="BO43" t="e">
        <f>AND(#REF!,"AAAAADG+/EI=")</f>
        <v>#REF!</v>
      </c>
      <c r="BP43" t="e">
        <f>AND(#REF!,"AAAAADG+/EM=")</f>
        <v>#REF!</v>
      </c>
      <c r="BQ43" t="e">
        <f>AND(#REF!,"AAAAADG+/EQ=")</f>
        <v>#REF!</v>
      </c>
      <c r="BR43" t="e">
        <f>AND(#REF!,"AAAAADG+/EU=")</f>
        <v>#REF!</v>
      </c>
      <c r="BS43" t="e">
        <f>AND(#REF!,"AAAAADG+/EY=")</f>
        <v>#REF!</v>
      </c>
      <c r="BT43" t="e">
        <f>AND(#REF!,"AAAAADG+/Ec=")</f>
        <v>#REF!</v>
      </c>
      <c r="BU43" t="e">
        <f>AND(#REF!,"AAAAADG+/Eg=")</f>
        <v>#REF!</v>
      </c>
      <c r="BV43" t="e">
        <f>AND(#REF!,"AAAAADG+/Ek=")</f>
        <v>#REF!</v>
      </c>
      <c r="BW43" t="e">
        <f>AND(#REF!,"AAAAADG+/Eo=")</f>
        <v>#REF!</v>
      </c>
      <c r="BX43" t="e">
        <f>AND(#REF!,"AAAAADG+/Es=")</f>
        <v>#REF!</v>
      </c>
      <c r="BY43" t="e">
        <f>AND(#REF!,"AAAAADG+/Ew=")</f>
        <v>#REF!</v>
      </c>
      <c r="BZ43" t="e">
        <f>AND(#REF!,"AAAAADG+/E0=")</f>
        <v>#REF!</v>
      </c>
      <c r="CA43" t="e">
        <f>AND(#REF!,"AAAAADG+/E4=")</f>
        <v>#REF!</v>
      </c>
      <c r="CB43" t="e">
        <f>AND(#REF!,"AAAAADG+/E8=")</f>
        <v>#REF!</v>
      </c>
      <c r="CC43" t="e">
        <f>IF(#REF!,"AAAAADG+/FA=",0)</f>
        <v>#REF!</v>
      </c>
      <c r="CD43" t="e">
        <f>AND(#REF!,"AAAAADG+/FE=")</f>
        <v>#REF!</v>
      </c>
      <c r="CE43" t="e">
        <f>AND(#REF!,"AAAAADG+/FI=")</f>
        <v>#REF!</v>
      </c>
      <c r="CF43" t="e">
        <f>AND(#REF!,"AAAAADG+/FM=")</f>
        <v>#REF!</v>
      </c>
      <c r="CG43" t="e">
        <f>AND(#REF!,"AAAAADG+/FQ=")</f>
        <v>#REF!</v>
      </c>
      <c r="CH43" t="e">
        <f>AND(#REF!,"AAAAADG+/FU=")</f>
        <v>#REF!</v>
      </c>
      <c r="CI43" t="e">
        <f>AND(#REF!,"AAAAADG+/FY=")</f>
        <v>#REF!</v>
      </c>
      <c r="CJ43" t="e">
        <f>AND(#REF!,"AAAAADG+/Fc=")</f>
        <v>#REF!</v>
      </c>
      <c r="CK43" t="e">
        <f>AND(#REF!,"AAAAADG+/Fg=")</f>
        <v>#REF!</v>
      </c>
      <c r="CL43" t="e">
        <f>AND(#REF!,"AAAAADG+/Fk=")</f>
        <v>#REF!</v>
      </c>
      <c r="CM43" t="e">
        <f>AND(#REF!,"AAAAADG+/Fo=")</f>
        <v>#REF!</v>
      </c>
      <c r="CN43" t="e">
        <f>AND(#REF!,"AAAAADG+/Fs=")</f>
        <v>#REF!</v>
      </c>
      <c r="CO43" t="e">
        <f>AND(#REF!,"AAAAADG+/Fw=")</f>
        <v>#REF!</v>
      </c>
      <c r="CP43" t="e">
        <f>AND(#REF!,"AAAAADG+/F0=")</f>
        <v>#REF!</v>
      </c>
      <c r="CQ43" t="e">
        <f>AND(#REF!,"AAAAADG+/F4=")</f>
        <v>#REF!</v>
      </c>
      <c r="CR43" t="e">
        <f>AND(#REF!,"AAAAADG+/F8=")</f>
        <v>#REF!</v>
      </c>
      <c r="CS43" t="e">
        <f>AND(#REF!,"AAAAADG+/GA=")</f>
        <v>#REF!</v>
      </c>
      <c r="CT43" t="e">
        <f>AND(#REF!,"AAAAADG+/GE=")</f>
        <v>#REF!</v>
      </c>
      <c r="CU43" t="e">
        <f>AND(#REF!,"AAAAADG+/GI=")</f>
        <v>#REF!</v>
      </c>
      <c r="CV43" t="e">
        <f>AND(#REF!,"AAAAADG+/GM=")</f>
        <v>#REF!</v>
      </c>
      <c r="CW43" t="e">
        <f>AND(#REF!,"AAAAADG+/GQ=")</f>
        <v>#REF!</v>
      </c>
      <c r="CX43" t="e">
        <f>AND(#REF!,"AAAAADG+/GU=")</f>
        <v>#REF!</v>
      </c>
      <c r="CY43" t="e">
        <f>AND(#REF!,"AAAAADG+/GY=")</f>
        <v>#REF!</v>
      </c>
      <c r="CZ43" t="e">
        <f>AND(#REF!,"AAAAADG+/Gc=")</f>
        <v>#REF!</v>
      </c>
      <c r="DA43" t="e">
        <f>AND(#REF!,"AAAAADG+/Gg=")</f>
        <v>#REF!</v>
      </c>
      <c r="DB43" t="e">
        <f>AND(#REF!,"AAAAADG+/Gk=")</f>
        <v>#REF!</v>
      </c>
      <c r="DC43" t="e">
        <f>AND(#REF!,"AAAAADG+/Go=")</f>
        <v>#REF!</v>
      </c>
      <c r="DD43" t="e">
        <f>AND(#REF!,"AAAAADG+/Gs=")</f>
        <v>#REF!</v>
      </c>
      <c r="DE43" t="e">
        <f>AND(#REF!,"AAAAADG+/Gw=")</f>
        <v>#REF!</v>
      </c>
      <c r="DF43" t="e">
        <f>AND(#REF!,"AAAAADG+/G0=")</f>
        <v>#REF!</v>
      </c>
      <c r="DG43" t="e">
        <f>AND(#REF!,"AAAAADG+/G4=")</f>
        <v>#REF!</v>
      </c>
      <c r="DH43" t="e">
        <f>AND(#REF!,"AAAAADG+/G8=")</f>
        <v>#REF!</v>
      </c>
      <c r="DI43" t="e">
        <f>AND(#REF!,"AAAAADG+/HA=")</f>
        <v>#REF!</v>
      </c>
      <c r="DJ43" t="e">
        <f>AND(#REF!,"AAAAADG+/HE=")</f>
        <v>#REF!</v>
      </c>
      <c r="DK43" t="e">
        <f>AND(#REF!,"AAAAADG+/HI=")</f>
        <v>#REF!</v>
      </c>
      <c r="DL43" t="e">
        <f>AND(#REF!,"AAAAADG+/HM=")</f>
        <v>#REF!</v>
      </c>
      <c r="DM43" t="e">
        <f>IF(#REF!,"AAAAADG+/HQ=",0)</f>
        <v>#REF!</v>
      </c>
      <c r="DN43" t="e">
        <f>AND(#REF!,"AAAAADG+/HU=")</f>
        <v>#REF!</v>
      </c>
      <c r="DO43" t="e">
        <f>AND(#REF!,"AAAAADG+/HY=")</f>
        <v>#REF!</v>
      </c>
      <c r="DP43" t="e">
        <f>AND(#REF!,"AAAAADG+/Hc=")</f>
        <v>#REF!</v>
      </c>
      <c r="DQ43" t="e">
        <f>AND(#REF!,"AAAAADG+/Hg=")</f>
        <v>#REF!</v>
      </c>
      <c r="DR43" t="e">
        <f>AND(#REF!,"AAAAADG+/Hk=")</f>
        <v>#REF!</v>
      </c>
      <c r="DS43" t="e">
        <f>AND(#REF!,"AAAAADG+/Ho=")</f>
        <v>#REF!</v>
      </c>
      <c r="DT43" t="e">
        <f>AND(#REF!,"AAAAADG+/Hs=")</f>
        <v>#REF!</v>
      </c>
      <c r="DU43" t="e">
        <f>AND(#REF!,"AAAAADG+/Hw=")</f>
        <v>#REF!</v>
      </c>
      <c r="DV43" t="e">
        <f>AND(#REF!,"AAAAADG+/H0=")</f>
        <v>#REF!</v>
      </c>
      <c r="DW43" t="e">
        <f>AND(#REF!,"AAAAADG+/H4=")</f>
        <v>#REF!</v>
      </c>
      <c r="DX43" t="e">
        <f>AND(#REF!,"AAAAADG+/H8=")</f>
        <v>#REF!</v>
      </c>
      <c r="DY43" t="e">
        <f>AND(#REF!,"AAAAADG+/IA=")</f>
        <v>#REF!</v>
      </c>
      <c r="DZ43" t="e">
        <f>AND(#REF!,"AAAAADG+/IE=")</f>
        <v>#REF!</v>
      </c>
      <c r="EA43" t="e">
        <f>AND(#REF!,"AAAAADG+/II=")</f>
        <v>#REF!</v>
      </c>
      <c r="EB43" t="e">
        <f>AND(#REF!,"AAAAADG+/IM=")</f>
        <v>#REF!</v>
      </c>
      <c r="EC43" t="e">
        <f>AND(#REF!,"AAAAADG+/IQ=")</f>
        <v>#REF!</v>
      </c>
      <c r="ED43" t="e">
        <f>AND(#REF!,"AAAAADG+/IU=")</f>
        <v>#REF!</v>
      </c>
      <c r="EE43" t="e">
        <f>AND(#REF!,"AAAAADG+/IY=")</f>
        <v>#REF!</v>
      </c>
      <c r="EF43" t="e">
        <f>AND(#REF!,"AAAAADG+/Ic=")</f>
        <v>#REF!</v>
      </c>
      <c r="EG43" t="e">
        <f>AND(#REF!,"AAAAADG+/Ig=")</f>
        <v>#REF!</v>
      </c>
      <c r="EH43" t="e">
        <f>AND(#REF!,"AAAAADG+/Ik=")</f>
        <v>#REF!</v>
      </c>
      <c r="EI43" t="e">
        <f>AND(#REF!,"AAAAADG+/Io=")</f>
        <v>#REF!</v>
      </c>
      <c r="EJ43" t="e">
        <f>AND(#REF!,"AAAAADG+/Is=")</f>
        <v>#REF!</v>
      </c>
      <c r="EK43" t="e">
        <f>AND(#REF!,"AAAAADG+/Iw=")</f>
        <v>#REF!</v>
      </c>
      <c r="EL43" t="e">
        <f>AND(#REF!,"AAAAADG+/I0=")</f>
        <v>#REF!</v>
      </c>
      <c r="EM43" t="e">
        <f>AND(#REF!,"AAAAADG+/I4=")</f>
        <v>#REF!</v>
      </c>
      <c r="EN43" t="e">
        <f>AND(#REF!,"AAAAADG+/I8=")</f>
        <v>#REF!</v>
      </c>
      <c r="EO43" t="e">
        <f>AND(#REF!,"AAAAADG+/JA=")</f>
        <v>#REF!</v>
      </c>
      <c r="EP43" t="e">
        <f>AND(#REF!,"AAAAADG+/JE=")</f>
        <v>#REF!</v>
      </c>
      <c r="EQ43" t="e">
        <f>AND(#REF!,"AAAAADG+/JI=")</f>
        <v>#REF!</v>
      </c>
      <c r="ER43" t="e">
        <f>AND(#REF!,"AAAAADG+/JM=")</f>
        <v>#REF!</v>
      </c>
      <c r="ES43" t="e">
        <f>AND(#REF!,"AAAAADG+/JQ=")</f>
        <v>#REF!</v>
      </c>
      <c r="ET43" t="e">
        <f>AND(#REF!,"AAAAADG+/JU=")</f>
        <v>#REF!</v>
      </c>
      <c r="EU43" t="e">
        <f>AND(#REF!,"AAAAADG+/JY=")</f>
        <v>#REF!</v>
      </c>
      <c r="EV43" t="e">
        <f>AND(#REF!,"AAAAADG+/Jc=")</f>
        <v>#REF!</v>
      </c>
      <c r="EW43" t="e">
        <f>IF(#REF!,"AAAAADG+/Jg=",0)</f>
        <v>#REF!</v>
      </c>
      <c r="EX43" t="e">
        <f>AND(#REF!,"AAAAADG+/Jk=")</f>
        <v>#REF!</v>
      </c>
      <c r="EY43" t="e">
        <f>AND(#REF!,"AAAAADG+/Jo=")</f>
        <v>#REF!</v>
      </c>
      <c r="EZ43" t="e">
        <f>AND(#REF!,"AAAAADG+/Js=")</f>
        <v>#REF!</v>
      </c>
      <c r="FA43" t="e">
        <f>AND(#REF!,"AAAAADG+/Jw=")</f>
        <v>#REF!</v>
      </c>
      <c r="FB43" t="e">
        <f>AND(#REF!,"AAAAADG+/J0=")</f>
        <v>#REF!</v>
      </c>
      <c r="FC43" t="e">
        <f>AND(#REF!,"AAAAADG+/J4=")</f>
        <v>#REF!</v>
      </c>
      <c r="FD43" t="e">
        <f>AND(#REF!,"AAAAADG+/J8=")</f>
        <v>#REF!</v>
      </c>
      <c r="FE43" t="e">
        <f>AND(#REF!,"AAAAADG+/KA=")</f>
        <v>#REF!</v>
      </c>
      <c r="FF43" t="e">
        <f>AND(#REF!,"AAAAADG+/KE=")</f>
        <v>#REF!</v>
      </c>
      <c r="FG43" t="e">
        <f>AND(#REF!,"AAAAADG+/KI=")</f>
        <v>#REF!</v>
      </c>
      <c r="FH43" t="e">
        <f>AND(#REF!,"AAAAADG+/KM=")</f>
        <v>#REF!</v>
      </c>
      <c r="FI43" t="e">
        <f>AND(#REF!,"AAAAADG+/KQ=")</f>
        <v>#REF!</v>
      </c>
      <c r="FJ43" t="e">
        <f>AND(#REF!,"AAAAADG+/KU=")</f>
        <v>#REF!</v>
      </c>
      <c r="FK43" t="e">
        <f>AND(#REF!,"AAAAADG+/KY=")</f>
        <v>#REF!</v>
      </c>
      <c r="FL43" t="e">
        <f>AND(#REF!,"AAAAADG+/Kc=")</f>
        <v>#REF!</v>
      </c>
      <c r="FM43" t="e">
        <f>AND(#REF!,"AAAAADG+/Kg=")</f>
        <v>#REF!</v>
      </c>
      <c r="FN43" t="e">
        <f>AND(#REF!,"AAAAADG+/Kk=")</f>
        <v>#REF!</v>
      </c>
      <c r="FO43" t="e">
        <f>AND(#REF!,"AAAAADG+/Ko=")</f>
        <v>#REF!</v>
      </c>
      <c r="FP43" t="e">
        <f>AND(#REF!,"AAAAADG+/Ks=")</f>
        <v>#REF!</v>
      </c>
      <c r="FQ43" t="e">
        <f>AND(#REF!,"AAAAADG+/Kw=")</f>
        <v>#REF!</v>
      </c>
      <c r="FR43" t="e">
        <f>AND(#REF!,"AAAAADG+/K0=")</f>
        <v>#REF!</v>
      </c>
      <c r="FS43" t="e">
        <f>AND(#REF!,"AAAAADG+/K4=")</f>
        <v>#REF!</v>
      </c>
      <c r="FT43" t="e">
        <f>AND(#REF!,"AAAAADG+/K8=")</f>
        <v>#REF!</v>
      </c>
      <c r="FU43" t="e">
        <f>AND(#REF!,"AAAAADG+/LA=")</f>
        <v>#REF!</v>
      </c>
      <c r="FV43" t="e">
        <f>AND(#REF!,"AAAAADG+/LE=")</f>
        <v>#REF!</v>
      </c>
      <c r="FW43" t="e">
        <f>AND(#REF!,"AAAAADG+/LI=")</f>
        <v>#REF!</v>
      </c>
      <c r="FX43" t="e">
        <f>AND(#REF!,"AAAAADG+/LM=")</f>
        <v>#REF!</v>
      </c>
      <c r="FY43" t="e">
        <f>AND(#REF!,"AAAAADG+/LQ=")</f>
        <v>#REF!</v>
      </c>
      <c r="FZ43" t="e">
        <f>AND(#REF!,"AAAAADG+/LU=")</f>
        <v>#REF!</v>
      </c>
      <c r="GA43" t="e">
        <f>AND(#REF!,"AAAAADG+/LY=")</f>
        <v>#REF!</v>
      </c>
      <c r="GB43" t="e">
        <f>AND(#REF!,"AAAAADG+/Lc=")</f>
        <v>#REF!</v>
      </c>
      <c r="GC43" t="e">
        <f>AND(#REF!,"AAAAADG+/Lg=")</f>
        <v>#REF!</v>
      </c>
      <c r="GD43" t="e">
        <f>AND(#REF!,"AAAAADG+/Lk=")</f>
        <v>#REF!</v>
      </c>
      <c r="GE43" t="e">
        <f>AND(#REF!,"AAAAADG+/Lo=")</f>
        <v>#REF!</v>
      </c>
      <c r="GF43" t="e">
        <f>AND(#REF!,"AAAAADG+/Ls=")</f>
        <v>#REF!</v>
      </c>
      <c r="GG43" t="e">
        <f>IF(#REF!,"AAAAADG+/Lw=",0)</f>
        <v>#REF!</v>
      </c>
      <c r="GH43" t="e">
        <f>AND(#REF!,"AAAAADG+/L0=")</f>
        <v>#REF!</v>
      </c>
      <c r="GI43" t="e">
        <f>AND(#REF!,"AAAAADG+/L4=")</f>
        <v>#REF!</v>
      </c>
      <c r="GJ43" t="e">
        <f>AND(#REF!,"AAAAADG+/L8=")</f>
        <v>#REF!</v>
      </c>
      <c r="GK43" t="e">
        <f>AND(#REF!,"AAAAADG+/MA=")</f>
        <v>#REF!</v>
      </c>
      <c r="GL43" t="e">
        <f>AND(#REF!,"AAAAADG+/ME=")</f>
        <v>#REF!</v>
      </c>
      <c r="GM43" t="e">
        <f>AND(#REF!,"AAAAADG+/MI=")</f>
        <v>#REF!</v>
      </c>
      <c r="GN43" t="e">
        <f>AND(#REF!,"AAAAADG+/MM=")</f>
        <v>#REF!</v>
      </c>
      <c r="GO43" t="e">
        <f>AND(#REF!,"AAAAADG+/MQ=")</f>
        <v>#REF!</v>
      </c>
      <c r="GP43" t="e">
        <f>AND(#REF!,"AAAAADG+/MU=")</f>
        <v>#REF!</v>
      </c>
      <c r="GQ43" t="e">
        <f>AND(#REF!,"AAAAADG+/MY=")</f>
        <v>#REF!</v>
      </c>
      <c r="GR43" t="e">
        <f>AND(#REF!,"AAAAADG+/Mc=")</f>
        <v>#REF!</v>
      </c>
      <c r="GS43" t="e">
        <f>AND(#REF!,"AAAAADG+/Mg=")</f>
        <v>#REF!</v>
      </c>
      <c r="GT43" t="e">
        <f>AND(#REF!,"AAAAADG+/Mk=")</f>
        <v>#REF!</v>
      </c>
      <c r="GU43" t="e">
        <f>AND(#REF!,"AAAAADG+/Mo=")</f>
        <v>#REF!</v>
      </c>
      <c r="GV43" t="e">
        <f>AND(#REF!,"AAAAADG+/Ms=")</f>
        <v>#REF!</v>
      </c>
      <c r="GW43" t="e">
        <f>AND(#REF!,"AAAAADG+/Mw=")</f>
        <v>#REF!</v>
      </c>
      <c r="GX43" t="e">
        <f>AND(#REF!,"AAAAADG+/M0=")</f>
        <v>#REF!</v>
      </c>
      <c r="GY43" t="e">
        <f>AND(#REF!,"AAAAADG+/M4=")</f>
        <v>#REF!</v>
      </c>
      <c r="GZ43" t="e">
        <f>AND(#REF!,"AAAAADG+/M8=")</f>
        <v>#REF!</v>
      </c>
      <c r="HA43" t="e">
        <f>AND(#REF!,"AAAAADG+/NA=")</f>
        <v>#REF!</v>
      </c>
      <c r="HB43" t="e">
        <f>AND(#REF!,"AAAAADG+/NE=")</f>
        <v>#REF!</v>
      </c>
      <c r="HC43" t="e">
        <f>AND(#REF!,"AAAAADG+/NI=")</f>
        <v>#REF!</v>
      </c>
      <c r="HD43" t="e">
        <f>AND(#REF!,"AAAAADG+/NM=")</f>
        <v>#REF!</v>
      </c>
      <c r="HE43" t="e">
        <f>AND(#REF!,"AAAAADG+/NQ=")</f>
        <v>#REF!</v>
      </c>
      <c r="HF43" t="e">
        <f>AND(#REF!,"AAAAADG+/NU=")</f>
        <v>#REF!</v>
      </c>
      <c r="HG43" t="e">
        <f>AND(#REF!,"AAAAADG+/NY=")</f>
        <v>#REF!</v>
      </c>
      <c r="HH43" t="e">
        <f>AND(#REF!,"AAAAADG+/Nc=")</f>
        <v>#REF!</v>
      </c>
      <c r="HI43" t="e">
        <f>AND(#REF!,"AAAAADG+/Ng=")</f>
        <v>#REF!</v>
      </c>
      <c r="HJ43" t="e">
        <f>AND(#REF!,"AAAAADG+/Nk=")</f>
        <v>#REF!</v>
      </c>
      <c r="HK43" t="e">
        <f>AND(#REF!,"AAAAADG+/No=")</f>
        <v>#REF!</v>
      </c>
      <c r="HL43" t="e">
        <f>AND(#REF!,"AAAAADG+/Ns=")</f>
        <v>#REF!</v>
      </c>
      <c r="HM43" t="e">
        <f>AND(#REF!,"AAAAADG+/Nw=")</f>
        <v>#REF!</v>
      </c>
      <c r="HN43" t="e">
        <f>AND(#REF!,"AAAAADG+/N0=")</f>
        <v>#REF!</v>
      </c>
      <c r="HO43" t="e">
        <f>AND(#REF!,"AAAAADG+/N4=")</f>
        <v>#REF!</v>
      </c>
      <c r="HP43" t="e">
        <f>AND(#REF!,"AAAAADG+/N8=")</f>
        <v>#REF!</v>
      </c>
      <c r="HQ43" t="e">
        <f>IF(#REF!,"AAAAADG+/OA=",0)</f>
        <v>#REF!</v>
      </c>
      <c r="HR43" t="e">
        <f>AND(#REF!,"AAAAADG+/OE=")</f>
        <v>#REF!</v>
      </c>
      <c r="HS43" t="e">
        <f>AND(#REF!,"AAAAADG+/OI=")</f>
        <v>#REF!</v>
      </c>
      <c r="HT43" t="e">
        <f>AND(#REF!,"AAAAADG+/OM=")</f>
        <v>#REF!</v>
      </c>
      <c r="HU43" t="e">
        <f>AND(#REF!,"AAAAADG+/OQ=")</f>
        <v>#REF!</v>
      </c>
      <c r="HV43" t="e">
        <f>AND(#REF!,"AAAAADG+/OU=")</f>
        <v>#REF!</v>
      </c>
      <c r="HW43" t="e">
        <f>AND(#REF!,"AAAAADG+/OY=")</f>
        <v>#REF!</v>
      </c>
      <c r="HX43" t="e">
        <f>AND(#REF!,"AAAAADG+/Oc=")</f>
        <v>#REF!</v>
      </c>
      <c r="HY43" t="e">
        <f>AND(#REF!,"AAAAADG+/Og=")</f>
        <v>#REF!</v>
      </c>
      <c r="HZ43" t="e">
        <f>AND(#REF!,"AAAAADG+/Ok=")</f>
        <v>#REF!</v>
      </c>
      <c r="IA43" t="e">
        <f>AND(#REF!,"AAAAADG+/Oo=")</f>
        <v>#REF!</v>
      </c>
      <c r="IB43" t="e">
        <f>AND(#REF!,"AAAAADG+/Os=")</f>
        <v>#REF!</v>
      </c>
      <c r="IC43" t="e">
        <f>AND(#REF!,"AAAAADG+/Ow=")</f>
        <v>#REF!</v>
      </c>
      <c r="ID43" t="e">
        <f>AND(#REF!,"AAAAADG+/O0=")</f>
        <v>#REF!</v>
      </c>
      <c r="IE43" t="e">
        <f>AND(#REF!,"AAAAADG+/O4=")</f>
        <v>#REF!</v>
      </c>
      <c r="IF43" t="e">
        <f>AND(#REF!,"AAAAADG+/O8=")</f>
        <v>#REF!</v>
      </c>
      <c r="IG43" t="e">
        <f>AND(#REF!,"AAAAADG+/PA=")</f>
        <v>#REF!</v>
      </c>
      <c r="IH43" t="e">
        <f>AND(#REF!,"AAAAADG+/PE=")</f>
        <v>#REF!</v>
      </c>
      <c r="II43" t="e">
        <f>AND(#REF!,"AAAAADG+/PI=")</f>
        <v>#REF!</v>
      </c>
      <c r="IJ43" t="e">
        <f>AND(#REF!,"AAAAADG+/PM=")</f>
        <v>#REF!</v>
      </c>
      <c r="IK43" t="e">
        <f>AND(#REF!,"AAAAADG+/PQ=")</f>
        <v>#REF!</v>
      </c>
      <c r="IL43" t="e">
        <f>AND(#REF!,"AAAAADG+/PU=")</f>
        <v>#REF!</v>
      </c>
      <c r="IM43" t="e">
        <f>AND(#REF!,"AAAAADG+/PY=")</f>
        <v>#REF!</v>
      </c>
      <c r="IN43" t="e">
        <f>AND(#REF!,"AAAAADG+/Pc=")</f>
        <v>#REF!</v>
      </c>
      <c r="IO43" t="e">
        <f>AND(#REF!,"AAAAADG+/Pg=")</f>
        <v>#REF!</v>
      </c>
      <c r="IP43" t="e">
        <f>AND(#REF!,"AAAAADG+/Pk=")</f>
        <v>#REF!</v>
      </c>
      <c r="IQ43" t="e">
        <f>AND(#REF!,"AAAAADG+/Po=")</f>
        <v>#REF!</v>
      </c>
      <c r="IR43" t="e">
        <f>AND(#REF!,"AAAAADG+/Ps=")</f>
        <v>#REF!</v>
      </c>
      <c r="IS43" t="e">
        <f>AND(#REF!,"AAAAADG+/Pw=")</f>
        <v>#REF!</v>
      </c>
      <c r="IT43" t="e">
        <f>AND(#REF!,"AAAAADG+/P0=")</f>
        <v>#REF!</v>
      </c>
      <c r="IU43" t="e">
        <f>AND(#REF!,"AAAAADG+/P4=")</f>
        <v>#REF!</v>
      </c>
      <c r="IV43" t="e">
        <f>AND(#REF!,"AAAAADG+/P8=")</f>
        <v>#REF!</v>
      </c>
    </row>
    <row r="44" spans="1:256">
      <c r="A44" t="e">
        <f>AND(#REF!,"AAAAAEb/zQA=")</f>
        <v>#REF!</v>
      </c>
      <c r="B44" t="e">
        <f>AND(#REF!,"AAAAAEb/zQE=")</f>
        <v>#REF!</v>
      </c>
      <c r="C44" t="e">
        <f>AND(#REF!,"AAAAAEb/zQI=")</f>
        <v>#REF!</v>
      </c>
      <c r="D44" t="e">
        <f>AND(#REF!,"AAAAAEb/zQM=")</f>
        <v>#REF!</v>
      </c>
      <c r="E44" t="e">
        <f>IF(#REF!,"AAAAAEb/zQQ=",0)</f>
        <v>#REF!</v>
      </c>
      <c r="F44" t="e">
        <f>AND(#REF!,"AAAAAEb/zQU=")</f>
        <v>#REF!</v>
      </c>
      <c r="G44" t="e">
        <f>AND(#REF!,"AAAAAEb/zQY=")</f>
        <v>#REF!</v>
      </c>
      <c r="H44" t="e">
        <f>AND(#REF!,"AAAAAEb/zQc=")</f>
        <v>#REF!</v>
      </c>
      <c r="I44" t="e">
        <f>AND(#REF!,"AAAAAEb/zQg=")</f>
        <v>#REF!</v>
      </c>
      <c r="J44" t="e">
        <f>AND(#REF!,"AAAAAEb/zQk=")</f>
        <v>#REF!</v>
      </c>
      <c r="K44" t="e">
        <f>AND(#REF!,"AAAAAEb/zQo=")</f>
        <v>#REF!</v>
      </c>
      <c r="L44" t="e">
        <f>AND(#REF!,"AAAAAEb/zQs=")</f>
        <v>#REF!</v>
      </c>
      <c r="M44" t="e">
        <f>AND(#REF!,"AAAAAEb/zQw=")</f>
        <v>#REF!</v>
      </c>
      <c r="N44" t="e">
        <f>AND(#REF!,"AAAAAEb/zQ0=")</f>
        <v>#REF!</v>
      </c>
      <c r="O44" t="e">
        <f>AND(#REF!,"AAAAAEb/zQ4=")</f>
        <v>#REF!</v>
      </c>
      <c r="P44" t="e">
        <f>AND(#REF!,"AAAAAEb/zQ8=")</f>
        <v>#REF!</v>
      </c>
      <c r="Q44" t="e">
        <f>AND(#REF!,"AAAAAEb/zRA=")</f>
        <v>#REF!</v>
      </c>
      <c r="R44" t="e">
        <f>AND(#REF!,"AAAAAEb/zRE=")</f>
        <v>#REF!</v>
      </c>
      <c r="S44" t="e">
        <f>AND(#REF!,"AAAAAEb/zRI=")</f>
        <v>#REF!</v>
      </c>
      <c r="T44" t="e">
        <f>AND(#REF!,"AAAAAEb/zRM=")</f>
        <v>#REF!</v>
      </c>
      <c r="U44" t="e">
        <f>AND(#REF!,"AAAAAEb/zRQ=")</f>
        <v>#REF!</v>
      </c>
      <c r="V44" t="e">
        <f>AND(#REF!,"AAAAAEb/zRU=")</f>
        <v>#REF!</v>
      </c>
      <c r="W44" t="e">
        <f>AND(#REF!,"AAAAAEb/zRY=")</f>
        <v>#REF!</v>
      </c>
      <c r="X44" t="e">
        <f>AND(#REF!,"AAAAAEb/zRc=")</f>
        <v>#REF!</v>
      </c>
      <c r="Y44" t="e">
        <f>AND(#REF!,"AAAAAEb/zRg=")</f>
        <v>#REF!</v>
      </c>
      <c r="Z44" t="e">
        <f>AND(#REF!,"AAAAAEb/zRk=")</f>
        <v>#REF!</v>
      </c>
      <c r="AA44" t="e">
        <f>AND(#REF!,"AAAAAEb/zRo=")</f>
        <v>#REF!</v>
      </c>
      <c r="AB44" t="e">
        <f>AND(#REF!,"AAAAAEb/zRs=")</f>
        <v>#REF!</v>
      </c>
      <c r="AC44" t="e">
        <f>AND(#REF!,"AAAAAEb/zRw=")</f>
        <v>#REF!</v>
      </c>
      <c r="AD44" t="e">
        <f>AND(#REF!,"AAAAAEb/zR0=")</f>
        <v>#REF!</v>
      </c>
      <c r="AE44" t="e">
        <f>AND(#REF!,"AAAAAEb/zR4=")</f>
        <v>#REF!</v>
      </c>
      <c r="AF44" t="e">
        <f>AND(#REF!,"AAAAAEb/zR8=")</f>
        <v>#REF!</v>
      </c>
      <c r="AG44" t="e">
        <f>AND(#REF!,"AAAAAEb/zSA=")</f>
        <v>#REF!</v>
      </c>
      <c r="AH44" t="e">
        <f>AND(#REF!,"AAAAAEb/zSE=")</f>
        <v>#REF!</v>
      </c>
      <c r="AI44" t="e">
        <f>AND(#REF!,"AAAAAEb/zSI=")</f>
        <v>#REF!</v>
      </c>
      <c r="AJ44" t="e">
        <f>AND(#REF!,"AAAAAEb/zSM=")</f>
        <v>#REF!</v>
      </c>
      <c r="AK44" t="e">
        <f>AND(#REF!,"AAAAAEb/zSQ=")</f>
        <v>#REF!</v>
      </c>
      <c r="AL44" t="e">
        <f>AND(#REF!,"AAAAAEb/zSU=")</f>
        <v>#REF!</v>
      </c>
      <c r="AM44" t="e">
        <f>AND(#REF!,"AAAAAEb/zSY=")</f>
        <v>#REF!</v>
      </c>
      <c r="AN44" t="e">
        <f>AND(#REF!,"AAAAAEb/zSc=")</f>
        <v>#REF!</v>
      </c>
      <c r="AO44" t="e">
        <f>IF(#REF!,"AAAAAEb/zSg=",0)</f>
        <v>#REF!</v>
      </c>
      <c r="AP44" t="e">
        <f>AND(#REF!,"AAAAAEb/zSk=")</f>
        <v>#REF!</v>
      </c>
      <c r="AQ44" t="e">
        <f>AND(#REF!,"AAAAAEb/zSo=")</f>
        <v>#REF!</v>
      </c>
      <c r="AR44" t="e">
        <f>AND(#REF!,"AAAAAEb/zSs=")</f>
        <v>#REF!</v>
      </c>
      <c r="AS44" t="e">
        <f>AND(#REF!,"AAAAAEb/zSw=")</f>
        <v>#REF!</v>
      </c>
      <c r="AT44" t="e">
        <f>AND(#REF!,"AAAAAEb/zS0=")</f>
        <v>#REF!</v>
      </c>
      <c r="AU44" t="e">
        <f>AND(#REF!,"AAAAAEb/zS4=")</f>
        <v>#REF!</v>
      </c>
      <c r="AV44" t="e">
        <f>AND(#REF!,"AAAAAEb/zS8=")</f>
        <v>#REF!</v>
      </c>
      <c r="AW44" t="e">
        <f>AND(#REF!,"AAAAAEb/zTA=")</f>
        <v>#REF!</v>
      </c>
      <c r="AX44" t="e">
        <f>AND(#REF!,"AAAAAEb/zTE=")</f>
        <v>#REF!</v>
      </c>
      <c r="AY44" t="e">
        <f>AND(#REF!,"AAAAAEb/zTI=")</f>
        <v>#REF!</v>
      </c>
      <c r="AZ44" t="e">
        <f>AND(#REF!,"AAAAAEb/zTM=")</f>
        <v>#REF!</v>
      </c>
      <c r="BA44" t="e">
        <f>AND(#REF!,"AAAAAEb/zTQ=")</f>
        <v>#REF!</v>
      </c>
      <c r="BB44" t="e">
        <f>AND(#REF!,"AAAAAEb/zTU=")</f>
        <v>#REF!</v>
      </c>
      <c r="BC44" t="e">
        <f>AND(#REF!,"AAAAAEb/zTY=")</f>
        <v>#REF!</v>
      </c>
      <c r="BD44" t="e">
        <f>AND(#REF!,"AAAAAEb/zTc=")</f>
        <v>#REF!</v>
      </c>
      <c r="BE44" t="e">
        <f>AND(#REF!,"AAAAAEb/zTg=")</f>
        <v>#REF!</v>
      </c>
      <c r="BF44" t="e">
        <f>AND(#REF!,"AAAAAEb/zTk=")</f>
        <v>#REF!</v>
      </c>
      <c r="BG44" t="e">
        <f>AND(#REF!,"AAAAAEb/zTo=")</f>
        <v>#REF!</v>
      </c>
      <c r="BH44" t="e">
        <f>AND(#REF!,"AAAAAEb/zTs=")</f>
        <v>#REF!</v>
      </c>
      <c r="BI44" t="e">
        <f>AND(#REF!,"AAAAAEb/zTw=")</f>
        <v>#REF!</v>
      </c>
      <c r="BJ44" t="e">
        <f>AND(#REF!,"AAAAAEb/zT0=")</f>
        <v>#REF!</v>
      </c>
      <c r="BK44" t="e">
        <f>AND(#REF!,"AAAAAEb/zT4=")</f>
        <v>#REF!</v>
      </c>
      <c r="BL44" t="e">
        <f>AND(#REF!,"AAAAAEb/zT8=")</f>
        <v>#REF!</v>
      </c>
      <c r="BM44" t="e">
        <f>AND(#REF!,"AAAAAEb/zUA=")</f>
        <v>#REF!</v>
      </c>
      <c r="BN44" t="e">
        <f>AND(#REF!,"AAAAAEb/zUE=")</f>
        <v>#REF!</v>
      </c>
      <c r="BO44" t="e">
        <f>AND(#REF!,"AAAAAEb/zUI=")</f>
        <v>#REF!</v>
      </c>
      <c r="BP44" t="e">
        <f>AND(#REF!,"AAAAAEb/zUM=")</f>
        <v>#REF!</v>
      </c>
      <c r="BQ44" t="e">
        <f>AND(#REF!,"AAAAAEb/zUQ=")</f>
        <v>#REF!</v>
      </c>
      <c r="BR44" t="e">
        <f>AND(#REF!,"AAAAAEb/zUU=")</f>
        <v>#REF!</v>
      </c>
      <c r="BS44" t="e">
        <f>AND(#REF!,"AAAAAEb/zUY=")</f>
        <v>#REF!</v>
      </c>
      <c r="BT44" t="e">
        <f>AND(#REF!,"AAAAAEb/zUc=")</f>
        <v>#REF!</v>
      </c>
      <c r="BU44" t="e">
        <f>AND(#REF!,"AAAAAEb/zUg=")</f>
        <v>#REF!</v>
      </c>
      <c r="BV44" t="e">
        <f>AND(#REF!,"AAAAAEb/zUk=")</f>
        <v>#REF!</v>
      </c>
      <c r="BW44" t="e">
        <f>AND(#REF!,"AAAAAEb/zUo=")</f>
        <v>#REF!</v>
      </c>
      <c r="BX44" t="e">
        <f>AND(#REF!,"AAAAAEb/zUs=")</f>
        <v>#REF!</v>
      </c>
      <c r="BY44" t="e">
        <f>IF(#REF!,"AAAAAEb/zUw=",0)</f>
        <v>#REF!</v>
      </c>
      <c r="BZ44" t="e">
        <f>AND(#REF!,"AAAAAEb/zU0=")</f>
        <v>#REF!</v>
      </c>
      <c r="CA44" t="e">
        <f>AND(#REF!,"AAAAAEb/zU4=")</f>
        <v>#REF!</v>
      </c>
      <c r="CB44" t="e">
        <f>AND(#REF!,"AAAAAEb/zU8=")</f>
        <v>#REF!</v>
      </c>
      <c r="CC44" t="e">
        <f>AND(#REF!,"AAAAAEb/zVA=")</f>
        <v>#REF!</v>
      </c>
      <c r="CD44" t="e">
        <f>AND(#REF!,"AAAAAEb/zVE=")</f>
        <v>#REF!</v>
      </c>
      <c r="CE44" t="e">
        <f>AND(#REF!,"AAAAAEb/zVI=")</f>
        <v>#REF!</v>
      </c>
      <c r="CF44" t="e">
        <f>AND(#REF!,"AAAAAEb/zVM=")</f>
        <v>#REF!</v>
      </c>
      <c r="CG44" t="e">
        <f>AND(#REF!,"AAAAAEb/zVQ=")</f>
        <v>#REF!</v>
      </c>
      <c r="CH44" t="e">
        <f>AND(#REF!,"AAAAAEb/zVU=")</f>
        <v>#REF!</v>
      </c>
      <c r="CI44" t="e">
        <f>AND(#REF!,"AAAAAEb/zVY=")</f>
        <v>#REF!</v>
      </c>
      <c r="CJ44" t="e">
        <f>AND(#REF!,"AAAAAEb/zVc=")</f>
        <v>#REF!</v>
      </c>
      <c r="CK44" t="e">
        <f>AND(#REF!,"AAAAAEb/zVg=")</f>
        <v>#REF!</v>
      </c>
      <c r="CL44" t="e">
        <f>AND(#REF!,"AAAAAEb/zVk=")</f>
        <v>#REF!</v>
      </c>
      <c r="CM44" t="e">
        <f>AND(#REF!,"AAAAAEb/zVo=")</f>
        <v>#REF!</v>
      </c>
      <c r="CN44" t="e">
        <f>AND(#REF!,"AAAAAEb/zVs=")</f>
        <v>#REF!</v>
      </c>
      <c r="CO44" t="e">
        <f>AND(#REF!,"AAAAAEb/zVw=")</f>
        <v>#REF!</v>
      </c>
      <c r="CP44" t="e">
        <f>AND(#REF!,"AAAAAEb/zV0=")</f>
        <v>#REF!</v>
      </c>
      <c r="CQ44" t="e">
        <f>AND(#REF!,"AAAAAEb/zV4=")</f>
        <v>#REF!</v>
      </c>
      <c r="CR44" t="e">
        <f>AND(#REF!,"AAAAAEb/zV8=")</f>
        <v>#REF!</v>
      </c>
      <c r="CS44" t="e">
        <f>AND(#REF!,"AAAAAEb/zWA=")</f>
        <v>#REF!</v>
      </c>
      <c r="CT44" t="e">
        <f>AND(#REF!,"AAAAAEb/zWE=")</f>
        <v>#REF!</v>
      </c>
      <c r="CU44" t="e">
        <f>AND(#REF!,"AAAAAEb/zWI=")</f>
        <v>#REF!</v>
      </c>
      <c r="CV44" t="e">
        <f>AND(#REF!,"AAAAAEb/zWM=")</f>
        <v>#REF!</v>
      </c>
      <c r="CW44" t="e">
        <f>AND(#REF!,"AAAAAEb/zWQ=")</f>
        <v>#REF!</v>
      </c>
      <c r="CX44" t="e">
        <f>AND(#REF!,"AAAAAEb/zWU=")</f>
        <v>#REF!</v>
      </c>
      <c r="CY44" t="e">
        <f>AND(#REF!,"AAAAAEb/zWY=")</f>
        <v>#REF!</v>
      </c>
      <c r="CZ44" t="e">
        <f>AND(#REF!,"AAAAAEb/zWc=")</f>
        <v>#REF!</v>
      </c>
      <c r="DA44" t="e">
        <f>AND(#REF!,"AAAAAEb/zWg=")</f>
        <v>#REF!</v>
      </c>
      <c r="DB44" t="e">
        <f>AND(#REF!,"AAAAAEb/zWk=")</f>
        <v>#REF!</v>
      </c>
      <c r="DC44" t="e">
        <f>AND(#REF!,"AAAAAEb/zWo=")</f>
        <v>#REF!</v>
      </c>
      <c r="DD44" t="e">
        <f>AND(#REF!,"AAAAAEb/zWs=")</f>
        <v>#REF!</v>
      </c>
      <c r="DE44" t="e">
        <f>AND(#REF!,"AAAAAEb/zWw=")</f>
        <v>#REF!</v>
      </c>
      <c r="DF44" t="e">
        <f>AND(#REF!,"AAAAAEb/zW0=")</f>
        <v>#REF!</v>
      </c>
      <c r="DG44" t="e">
        <f>AND(#REF!,"AAAAAEb/zW4=")</f>
        <v>#REF!</v>
      </c>
      <c r="DH44" t="e">
        <f>AND(#REF!,"AAAAAEb/zW8=")</f>
        <v>#REF!</v>
      </c>
      <c r="DI44" t="e">
        <f>IF(#REF!,"AAAAAEb/zXA=",0)</f>
        <v>#REF!</v>
      </c>
      <c r="DJ44" t="e">
        <f>AND(#REF!,"AAAAAEb/zXE=")</f>
        <v>#REF!</v>
      </c>
      <c r="DK44" t="e">
        <f>AND(#REF!,"AAAAAEb/zXI=")</f>
        <v>#REF!</v>
      </c>
      <c r="DL44" t="e">
        <f>AND(#REF!,"AAAAAEb/zXM=")</f>
        <v>#REF!</v>
      </c>
      <c r="DM44" t="e">
        <f>AND(#REF!,"AAAAAEb/zXQ=")</f>
        <v>#REF!</v>
      </c>
      <c r="DN44" t="e">
        <f>AND(#REF!,"AAAAAEb/zXU=")</f>
        <v>#REF!</v>
      </c>
      <c r="DO44" t="e">
        <f>AND(#REF!,"AAAAAEb/zXY=")</f>
        <v>#REF!</v>
      </c>
      <c r="DP44" t="e">
        <f>AND(#REF!,"AAAAAEb/zXc=")</f>
        <v>#REF!</v>
      </c>
      <c r="DQ44" t="e">
        <f>AND(#REF!,"AAAAAEb/zXg=")</f>
        <v>#REF!</v>
      </c>
      <c r="DR44" t="e">
        <f>AND(#REF!,"AAAAAEb/zXk=")</f>
        <v>#REF!</v>
      </c>
      <c r="DS44" t="e">
        <f>AND(#REF!,"AAAAAEb/zXo=")</f>
        <v>#REF!</v>
      </c>
      <c r="DT44" t="e">
        <f>AND(#REF!,"AAAAAEb/zXs=")</f>
        <v>#REF!</v>
      </c>
      <c r="DU44" t="e">
        <f>AND(#REF!,"AAAAAEb/zXw=")</f>
        <v>#REF!</v>
      </c>
      <c r="DV44" t="e">
        <f>AND(#REF!,"AAAAAEb/zX0=")</f>
        <v>#REF!</v>
      </c>
      <c r="DW44" t="e">
        <f>AND(#REF!,"AAAAAEb/zX4=")</f>
        <v>#REF!</v>
      </c>
      <c r="DX44" t="e">
        <f>AND(#REF!,"AAAAAEb/zX8=")</f>
        <v>#REF!</v>
      </c>
      <c r="DY44" t="e">
        <f>AND(#REF!,"AAAAAEb/zYA=")</f>
        <v>#REF!</v>
      </c>
      <c r="DZ44" t="e">
        <f>AND(#REF!,"AAAAAEb/zYE=")</f>
        <v>#REF!</v>
      </c>
      <c r="EA44" t="e">
        <f>AND(#REF!,"AAAAAEb/zYI=")</f>
        <v>#REF!</v>
      </c>
      <c r="EB44" t="e">
        <f>AND(#REF!,"AAAAAEb/zYM=")</f>
        <v>#REF!</v>
      </c>
      <c r="EC44" t="e">
        <f>AND(#REF!,"AAAAAEb/zYQ=")</f>
        <v>#REF!</v>
      </c>
      <c r="ED44" t="e">
        <f>AND(#REF!,"AAAAAEb/zYU=")</f>
        <v>#REF!</v>
      </c>
      <c r="EE44" t="e">
        <f>AND(#REF!,"AAAAAEb/zYY=")</f>
        <v>#REF!</v>
      </c>
      <c r="EF44" t="e">
        <f>AND(#REF!,"AAAAAEb/zYc=")</f>
        <v>#REF!</v>
      </c>
      <c r="EG44" t="e">
        <f>AND(#REF!,"AAAAAEb/zYg=")</f>
        <v>#REF!</v>
      </c>
      <c r="EH44" t="e">
        <f>AND(#REF!,"AAAAAEb/zYk=")</f>
        <v>#REF!</v>
      </c>
      <c r="EI44" t="e">
        <f>AND(#REF!,"AAAAAEb/zYo=")</f>
        <v>#REF!</v>
      </c>
      <c r="EJ44" t="e">
        <f>AND(#REF!,"AAAAAEb/zYs=")</f>
        <v>#REF!</v>
      </c>
      <c r="EK44" t="e">
        <f>AND(#REF!,"AAAAAEb/zYw=")</f>
        <v>#REF!</v>
      </c>
      <c r="EL44" t="e">
        <f>AND(#REF!,"AAAAAEb/zY0=")</f>
        <v>#REF!</v>
      </c>
      <c r="EM44" t="e">
        <f>AND(#REF!,"AAAAAEb/zY4=")</f>
        <v>#REF!</v>
      </c>
      <c r="EN44" t="e">
        <f>AND(#REF!,"AAAAAEb/zY8=")</f>
        <v>#REF!</v>
      </c>
      <c r="EO44" t="e">
        <f>AND(#REF!,"AAAAAEb/zZA=")</f>
        <v>#REF!</v>
      </c>
      <c r="EP44" t="e">
        <f>AND(#REF!,"AAAAAEb/zZE=")</f>
        <v>#REF!</v>
      </c>
      <c r="EQ44" t="e">
        <f>AND(#REF!,"AAAAAEb/zZI=")</f>
        <v>#REF!</v>
      </c>
      <c r="ER44" t="e">
        <f>AND(#REF!,"AAAAAEb/zZM=")</f>
        <v>#REF!</v>
      </c>
      <c r="ES44" t="e">
        <f>IF(#REF!,"AAAAAEb/zZQ=",0)</f>
        <v>#REF!</v>
      </c>
      <c r="ET44" t="e">
        <f>AND(#REF!,"AAAAAEb/zZU=")</f>
        <v>#REF!</v>
      </c>
      <c r="EU44" t="e">
        <f>AND(#REF!,"AAAAAEb/zZY=")</f>
        <v>#REF!</v>
      </c>
      <c r="EV44" t="e">
        <f>AND(#REF!,"AAAAAEb/zZc=")</f>
        <v>#REF!</v>
      </c>
      <c r="EW44" t="e">
        <f>AND(#REF!,"AAAAAEb/zZg=")</f>
        <v>#REF!</v>
      </c>
      <c r="EX44" t="e">
        <f>AND(#REF!,"AAAAAEb/zZk=")</f>
        <v>#REF!</v>
      </c>
      <c r="EY44" t="e">
        <f>AND(#REF!,"AAAAAEb/zZo=")</f>
        <v>#REF!</v>
      </c>
      <c r="EZ44" t="e">
        <f>AND(#REF!,"AAAAAEb/zZs=")</f>
        <v>#REF!</v>
      </c>
      <c r="FA44" t="e">
        <f>AND(#REF!,"AAAAAEb/zZw=")</f>
        <v>#REF!</v>
      </c>
      <c r="FB44" t="e">
        <f>AND(#REF!,"AAAAAEb/zZ0=")</f>
        <v>#REF!</v>
      </c>
      <c r="FC44" t="e">
        <f>AND(#REF!,"AAAAAEb/zZ4=")</f>
        <v>#REF!</v>
      </c>
      <c r="FD44" t="e">
        <f>AND(#REF!,"AAAAAEb/zZ8=")</f>
        <v>#REF!</v>
      </c>
      <c r="FE44" t="e">
        <f>AND(#REF!,"AAAAAEb/zaA=")</f>
        <v>#REF!</v>
      </c>
      <c r="FF44" t="e">
        <f>AND(#REF!,"AAAAAEb/zaE=")</f>
        <v>#REF!</v>
      </c>
      <c r="FG44" t="e">
        <f>AND(#REF!,"AAAAAEb/zaI=")</f>
        <v>#REF!</v>
      </c>
      <c r="FH44" t="e">
        <f>AND(#REF!,"AAAAAEb/zaM=")</f>
        <v>#REF!</v>
      </c>
      <c r="FI44" t="e">
        <f>AND(#REF!,"AAAAAEb/zaQ=")</f>
        <v>#REF!</v>
      </c>
      <c r="FJ44" t="e">
        <f>AND(#REF!,"AAAAAEb/zaU=")</f>
        <v>#REF!</v>
      </c>
      <c r="FK44" t="e">
        <f>AND(#REF!,"AAAAAEb/zaY=")</f>
        <v>#REF!</v>
      </c>
      <c r="FL44" t="e">
        <f>AND(#REF!,"AAAAAEb/zac=")</f>
        <v>#REF!</v>
      </c>
      <c r="FM44" t="e">
        <f>AND(#REF!,"AAAAAEb/zag=")</f>
        <v>#REF!</v>
      </c>
      <c r="FN44" t="e">
        <f>AND(#REF!,"AAAAAEb/zak=")</f>
        <v>#REF!</v>
      </c>
      <c r="FO44" t="e">
        <f>AND(#REF!,"AAAAAEb/zao=")</f>
        <v>#REF!</v>
      </c>
      <c r="FP44" t="e">
        <f>AND(#REF!,"AAAAAEb/zas=")</f>
        <v>#REF!</v>
      </c>
      <c r="FQ44" t="e">
        <f>AND(#REF!,"AAAAAEb/zaw=")</f>
        <v>#REF!</v>
      </c>
      <c r="FR44" t="e">
        <f>AND(#REF!,"AAAAAEb/za0=")</f>
        <v>#REF!</v>
      </c>
      <c r="FS44" t="e">
        <f>AND(#REF!,"AAAAAEb/za4=")</f>
        <v>#REF!</v>
      </c>
      <c r="FT44" t="e">
        <f>AND(#REF!,"AAAAAEb/za8=")</f>
        <v>#REF!</v>
      </c>
      <c r="FU44" t="e">
        <f>AND(#REF!,"AAAAAEb/zbA=")</f>
        <v>#REF!</v>
      </c>
      <c r="FV44" t="e">
        <f>AND(#REF!,"AAAAAEb/zbE=")</f>
        <v>#REF!</v>
      </c>
      <c r="FW44" t="e">
        <f>AND(#REF!,"AAAAAEb/zbI=")</f>
        <v>#REF!</v>
      </c>
      <c r="FX44" t="e">
        <f>AND(#REF!,"AAAAAEb/zbM=")</f>
        <v>#REF!</v>
      </c>
      <c r="FY44" t="e">
        <f>AND(#REF!,"AAAAAEb/zbQ=")</f>
        <v>#REF!</v>
      </c>
      <c r="FZ44" t="e">
        <f>AND(#REF!,"AAAAAEb/zbU=")</f>
        <v>#REF!</v>
      </c>
      <c r="GA44" t="e">
        <f>AND(#REF!,"AAAAAEb/zbY=")</f>
        <v>#REF!</v>
      </c>
      <c r="GB44" t="e">
        <f>AND(#REF!,"AAAAAEb/zbc=")</f>
        <v>#REF!</v>
      </c>
      <c r="GC44" t="e">
        <f>IF(#REF!,"AAAAAEb/zbg=",0)</f>
        <v>#REF!</v>
      </c>
      <c r="GD44" t="e">
        <f>AND(#REF!,"AAAAAEb/zbk=")</f>
        <v>#REF!</v>
      </c>
      <c r="GE44" t="e">
        <f>AND(#REF!,"AAAAAEb/zbo=")</f>
        <v>#REF!</v>
      </c>
      <c r="GF44" t="e">
        <f>AND(#REF!,"AAAAAEb/zbs=")</f>
        <v>#REF!</v>
      </c>
      <c r="GG44" t="e">
        <f>AND(#REF!,"AAAAAEb/zbw=")</f>
        <v>#REF!</v>
      </c>
      <c r="GH44" t="e">
        <f>AND(#REF!,"AAAAAEb/zb0=")</f>
        <v>#REF!</v>
      </c>
      <c r="GI44" t="e">
        <f>AND(#REF!,"AAAAAEb/zb4=")</f>
        <v>#REF!</v>
      </c>
      <c r="GJ44" t="e">
        <f>AND(#REF!,"AAAAAEb/zb8=")</f>
        <v>#REF!</v>
      </c>
      <c r="GK44" t="e">
        <f>AND(#REF!,"AAAAAEb/zcA=")</f>
        <v>#REF!</v>
      </c>
      <c r="GL44" t="e">
        <f>AND(#REF!,"AAAAAEb/zcE=")</f>
        <v>#REF!</v>
      </c>
      <c r="GM44" t="e">
        <f>AND(#REF!,"AAAAAEb/zcI=")</f>
        <v>#REF!</v>
      </c>
      <c r="GN44" t="e">
        <f>AND(#REF!,"AAAAAEb/zcM=")</f>
        <v>#REF!</v>
      </c>
      <c r="GO44" t="e">
        <f>AND(#REF!,"AAAAAEb/zcQ=")</f>
        <v>#REF!</v>
      </c>
      <c r="GP44" t="e">
        <f>AND(#REF!,"AAAAAEb/zcU=")</f>
        <v>#REF!</v>
      </c>
      <c r="GQ44" t="e">
        <f>AND(#REF!,"AAAAAEb/zcY=")</f>
        <v>#REF!</v>
      </c>
      <c r="GR44" t="e">
        <f>AND(#REF!,"AAAAAEb/zcc=")</f>
        <v>#REF!</v>
      </c>
      <c r="GS44" t="e">
        <f>AND(#REF!,"AAAAAEb/zcg=")</f>
        <v>#REF!</v>
      </c>
      <c r="GT44" t="e">
        <f>AND(#REF!,"AAAAAEb/zck=")</f>
        <v>#REF!</v>
      </c>
      <c r="GU44" t="e">
        <f>AND(#REF!,"AAAAAEb/zco=")</f>
        <v>#REF!</v>
      </c>
      <c r="GV44" t="e">
        <f>AND(#REF!,"AAAAAEb/zcs=")</f>
        <v>#REF!</v>
      </c>
      <c r="GW44" t="e">
        <f>AND(#REF!,"AAAAAEb/zcw=")</f>
        <v>#REF!</v>
      </c>
      <c r="GX44" t="e">
        <f>AND(#REF!,"AAAAAEb/zc0=")</f>
        <v>#REF!</v>
      </c>
      <c r="GY44" t="e">
        <f>AND(#REF!,"AAAAAEb/zc4=")</f>
        <v>#REF!</v>
      </c>
      <c r="GZ44" t="e">
        <f>AND(#REF!,"AAAAAEb/zc8=")</f>
        <v>#REF!</v>
      </c>
      <c r="HA44" t="e">
        <f>AND(#REF!,"AAAAAEb/zdA=")</f>
        <v>#REF!</v>
      </c>
      <c r="HB44" t="e">
        <f>AND(#REF!,"AAAAAEb/zdE=")</f>
        <v>#REF!</v>
      </c>
      <c r="HC44" t="e">
        <f>AND(#REF!,"AAAAAEb/zdI=")</f>
        <v>#REF!</v>
      </c>
      <c r="HD44" t="e">
        <f>AND(#REF!,"AAAAAEb/zdM=")</f>
        <v>#REF!</v>
      </c>
      <c r="HE44" t="e">
        <f>AND(#REF!,"AAAAAEb/zdQ=")</f>
        <v>#REF!</v>
      </c>
      <c r="HF44" t="e">
        <f>AND(#REF!,"AAAAAEb/zdU=")</f>
        <v>#REF!</v>
      </c>
      <c r="HG44" t="e">
        <f>AND(#REF!,"AAAAAEb/zdY=")</f>
        <v>#REF!</v>
      </c>
      <c r="HH44" t="e">
        <f>AND(#REF!,"AAAAAEb/zdc=")</f>
        <v>#REF!</v>
      </c>
      <c r="HI44" t="e">
        <f>AND(#REF!,"AAAAAEb/zdg=")</f>
        <v>#REF!</v>
      </c>
      <c r="HJ44" t="e">
        <f>AND(#REF!,"AAAAAEb/zdk=")</f>
        <v>#REF!</v>
      </c>
      <c r="HK44" t="e">
        <f>AND(#REF!,"AAAAAEb/zdo=")</f>
        <v>#REF!</v>
      </c>
      <c r="HL44" t="e">
        <f>AND(#REF!,"AAAAAEb/zds=")</f>
        <v>#REF!</v>
      </c>
      <c r="HM44" t="e">
        <f>IF(#REF!,"AAAAAEb/zdw=",0)</f>
        <v>#REF!</v>
      </c>
      <c r="HN44" t="e">
        <f>AND(#REF!,"AAAAAEb/zd0=")</f>
        <v>#REF!</v>
      </c>
      <c r="HO44" t="e">
        <f>AND(#REF!,"AAAAAEb/zd4=")</f>
        <v>#REF!</v>
      </c>
      <c r="HP44" t="e">
        <f>AND(#REF!,"AAAAAEb/zd8=")</f>
        <v>#REF!</v>
      </c>
      <c r="HQ44" t="e">
        <f>AND(#REF!,"AAAAAEb/zeA=")</f>
        <v>#REF!</v>
      </c>
      <c r="HR44" t="e">
        <f>AND(#REF!,"AAAAAEb/zeE=")</f>
        <v>#REF!</v>
      </c>
      <c r="HS44" t="e">
        <f>AND(#REF!,"AAAAAEb/zeI=")</f>
        <v>#REF!</v>
      </c>
      <c r="HT44" t="e">
        <f>AND(#REF!,"AAAAAEb/zeM=")</f>
        <v>#REF!</v>
      </c>
      <c r="HU44" t="e">
        <f>AND(#REF!,"AAAAAEb/zeQ=")</f>
        <v>#REF!</v>
      </c>
      <c r="HV44" t="e">
        <f>AND(#REF!,"AAAAAEb/zeU=")</f>
        <v>#REF!</v>
      </c>
      <c r="HW44" t="e">
        <f>AND(#REF!,"AAAAAEb/zeY=")</f>
        <v>#REF!</v>
      </c>
      <c r="HX44" t="e">
        <f>AND(#REF!,"AAAAAEb/zec=")</f>
        <v>#REF!</v>
      </c>
      <c r="HY44" t="e">
        <f>AND(#REF!,"AAAAAEb/zeg=")</f>
        <v>#REF!</v>
      </c>
      <c r="HZ44" t="e">
        <f>AND(#REF!,"AAAAAEb/zek=")</f>
        <v>#REF!</v>
      </c>
      <c r="IA44" t="e">
        <f>AND(#REF!,"AAAAAEb/zeo=")</f>
        <v>#REF!</v>
      </c>
      <c r="IB44" t="e">
        <f>AND(#REF!,"AAAAAEb/zes=")</f>
        <v>#REF!</v>
      </c>
      <c r="IC44" t="e">
        <f>AND(#REF!,"AAAAAEb/zew=")</f>
        <v>#REF!</v>
      </c>
      <c r="ID44" t="e">
        <f>AND(#REF!,"AAAAAEb/ze0=")</f>
        <v>#REF!</v>
      </c>
      <c r="IE44" t="e">
        <f>AND(#REF!,"AAAAAEb/ze4=")</f>
        <v>#REF!</v>
      </c>
      <c r="IF44" t="e">
        <f>AND(#REF!,"AAAAAEb/ze8=")</f>
        <v>#REF!</v>
      </c>
      <c r="IG44" t="e">
        <f>AND(#REF!,"AAAAAEb/zfA=")</f>
        <v>#REF!</v>
      </c>
      <c r="IH44" t="e">
        <f>AND(#REF!,"AAAAAEb/zfE=")</f>
        <v>#REF!</v>
      </c>
      <c r="II44" t="e">
        <f>AND(#REF!,"AAAAAEb/zfI=")</f>
        <v>#REF!</v>
      </c>
      <c r="IJ44" t="e">
        <f>AND(#REF!,"AAAAAEb/zfM=")</f>
        <v>#REF!</v>
      </c>
      <c r="IK44" t="e">
        <f>AND(#REF!,"AAAAAEb/zfQ=")</f>
        <v>#REF!</v>
      </c>
      <c r="IL44" t="e">
        <f>AND(#REF!,"AAAAAEb/zfU=")</f>
        <v>#REF!</v>
      </c>
      <c r="IM44" t="e">
        <f>AND(#REF!,"AAAAAEb/zfY=")</f>
        <v>#REF!</v>
      </c>
      <c r="IN44" t="e">
        <f>AND(#REF!,"AAAAAEb/zfc=")</f>
        <v>#REF!</v>
      </c>
      <c r="IO44" t="e">
        <f>AND(#REF!,"AAAAAEb/zfg=")</f>
        <v>#REF!</v>
      </c>
      <c r="IP44" t="e">
        <f>AND(#REF!,"AAAAAEb/zfk=")</f>
        <v>#REF!</v>
      </c>
      <c r="IQ44" t="e">
        <f>AND(#REF!,"AAAAAEb/zfo=")</f>
        <v>#REF!</v>
      </c>
      <c r="IR44" t="e">
        <f>AND(#REF!,"AAAAAEb/zfs=")</f>
        <v>#REF!</v>
      </c>
      <c r="IS44" t="e">
        <f>AND(#REF!,"AAAAAEb/zfw=")</f>
        <v>#REF!</v>
      </c>
      <c r="IT44" t="e">
        <f>AND(#REF!,"AAAAAEb/zf0=")</f>
        <v>#REF!</v>
      </c>
      <c r="IU44" t="e">
        <f>AND(#REF!,"AAAAAEb/zf4=")</f>
        <v>#REF!</v>
      </c>
      <c r="IV44" t="e">
        <f>AND(#REF!,"AAAAAEb/zf8=")</f>
        <v>#REF!</v>
      </c>
    </row>
    <row r="45" spans="1:256">
      <c r="A45" t="e">
        <f>IF(#REF!,"AAAAAHhn4wA=",0)</f>
        <v>#REF!</v>
      </c>
      <c r="B45" t="e">
        <f>AND(#REF!,"AAAAAHhn4wE=")</f>
        <v>#REF!</v>
      </c>
      <c r="C45" t="e">
        <f>AND(#REF!,"AAAAAHhn4wI=")</f>
        <v>#REF!</v>
      </c>
      <c r="D45" t="e">
        <f>AND(#REF!,"AAAAAHhn4wM=")</f>
        <v>#REF!</v>
      </c>
      <c r="E45" t="e">
        <f>AND(#REF!,"AAAAAHhn4wQ=")</f>
        <v>#REF!</v>
      </c>
      <c r="F45" t="e">
        <f>AND(#REF!,"AAAAAHhn4wU=")</f>
        <v>#REF!</v>
      </c>
      <c r="G45" t="e">
        <f>AND(#REF!,"AAAAAHhn4wY=")</f>
        <v>#REF!</v>
      </c>
      <c r="H45" t="e">
        <f>AND(#REF!,"AAAAAHhn4wc=")</f>
        <v>#REF!</v>
      </c>
      <c r="I45" t="e">
        <f>AND(#REF!,"AAAAAHhn4wg=")</f>
        <v>#REF!</v>
      </c>
      <c r="J45" t="e">
        <f>AND(#REF!,"AAAAAHhn4wk=")</f>
        <v>#REF!</v>
      </c>
      <c r="K45" t="e">
        <f>AND(#REF!,"AAAAAHhn4wo=")</f>
        <v>#REF!</v>
      </c>
      <c r="L45" t="e">
        <f>AND(#REF!,"AAAAAHhn4ws=")</f>
        <v>#REF!</v>
      </c>
      <c r="M45" t="e">
        <f>AND(#REF!,"AAAAAHhn4ww=")</f>
        <v>#REF!</v>
      </c>
      <c r="N45" t="e">
        <f>AND(#REF!,"AAAAAHhn4w0=")</f>
        <v>#REF!</v>
      </c>
      <c r="O45" t="e">
        <f>AND(#REF!,"AAAAAHhn4w4=")</f>
        <v>#REF!</v>
      </c>
      <c r="P45" t="e">
        <f>AND(#REF!,"AAAAAHhn4w8=")</f>
        <v>#REF!</v>
      </c>
      <c r="Q45" t="e">
        <f>AND(#REF!,"AAAAAHhn4xA=")</f>
        <v>#REF!</v>
      </c>
      <c r="R45" t="e">
        <f>AND(#REF!,"AAAAAHhn4xE=")</f>
        <v>#REF!</v>
      </c>
      <c r="S45" t="e">
        <f>AND(#REF!,"AAAAAHhn4xI=")</f>
        <v>#REF!</v>
      </c>
      <c r="T45" t="e">
        <f>AND(#REF!,"AAAAAHhn4xM=")</f>
        <v>#REF!</v>
      </c>
      <c r="U45" t="e">
        <f>AND(#REF!,"AAAAAHhn4xQ=")</f>
        <v>#REF!</v>
      </c>
      <c r="V45" t="e">
        <f>AND(#REF!,"AAAAAHhn4xU=")</f>
        <v>#REF!</v>
      </c>
      <c r="W45" t="e">
        <f>AND(#REF!,"AAAAAHhn4xY=")</f>
        <v>#REF!</v>
      </c>
      <c r="X45" t="e">
        <f>AND(#REF!,"AAAAAHhn4xc=")</f>
        <v>#REF!</v>
      </c>
      <c r="Y45" t="e">
        <f>AND(#REF!,"AAAAAHhn4xg=")</f>
        <v>#REF!</v>
      </c>
      <c r="Z45" t="e">
        <f>AND(#REF!,"AAAAAHhn4xk=")</f>
        <v>#REF!</v>
      </c>
      <c r="AA45" t="e">
        <f>AND(#REF!,"AAAAAHhn4xo=")</f>
        <v>#REF!</v>
      </c>
      <c r="AB45" t="e">
        <f>AND(#REF!,"AAAAAHhn4xs=")</f>
        <v>#REF!</v>
      </c>
      <c r="AC45" t="e">
        <f>AND(#REF!,"AAAAAHhn4xw=")</f>
        <v>#REF!</v>
      </c>
      <c r="AD45" t="e">
        <f>AND(#REF!,"AAAAAHhn4x0=")</f>
        <v>#REF!</v>
      </c>
      <c r="AE45" t="e">
        <f>AND(#REF!,"AAAAAHhn4x4=")</f>
        <v>#REF!</v>
      </c>
      <c r="AF45" t="e">
        <f>AND(#REF!,"AAAAAHhn4x8=")</f>
        <v>#REF!</v>
      </c>
      <c r="AG45" t="e">
        <f>AND(#REF!,"AAAAAHhn4yA=")</f>
        <v>#REF!</v>
      </c>
      <c r="AH45" t="e">
        <f>AND(#REF!,"AAAAAHhn4yE=")</f>
        <v>#REF!</v>
      </c>
      <c r="AI45" t="e">
        <f>AND(#REF!,"AAAAAHhn4yI=")</f>
        <v>#REF!</v>
      </c>
      <c r="AJ45" t="e">
        <f>AND(#REF!,"AAAAAHhn4yM=")</f>
        <v>#REF!</v>
      </c>
      <c r="AK45" t="e">
        <f>IF(#REF!,"AAAAAHhn4yQ=",0)</f>
        <v>#REF!</v>
      </c>
      <c r="AL45" t="e">
        <f>AND(#REF!,"AAAAAHhn4yU=")</f>
        <v>#REF!</v>
      </c>
      <c r="AM45" t="e">
        <f>AND(#REF!,"AAAAAHhn4yY=")</f>
        <v>#REF!</v>
      </c>
      <c r="AN45" t="e">
        <f>AND(#REF!,"AAAAAHhn4yc=")</f>
        <v>#REF!</v>
      </c>
      <c r="AO45" t="e">
        <f>AND(#REF!,"AAAAAHhn4yg=")</f>
        <v>#REF!</v>
      </c>
      <c r="AP45" t="e">
        <f>AND(#REF!,"AAAAAHhn4yk=")</f>
        <v>#REF!</v>
      </c>
      <c r="AQ45" t="e">
        <f>AND(#REF!,"AAAAAHhn4yo=")</f>
        <v>#REF!</v>
      </c>
      <c r="AR45" t="e">
        <f>AND(#REF!,"AAAAAHhn4ys=")</f>
        <v>#REF!</v>
      </c>
      <c r="AS45" t="e">
        <f>AND(#REF!,"AAAAAHhn4yw=")</f>
        <v>#REF!</v>
      </c>
      <c r="AT45" t="e">
        <f>AND(#REF!,"AAAAAHhn4y0=")</f>
        <v>#REF!</v>
      </c>
      <c r="AU45" t="e">
        <f>AND(#REF!,"AAAAAHhn4y4=")</f>
        <v>#REF!</v>
      </c>
      <c r="AV45" t="e">
        <f>AND(#REF!,"AAAAAHhn4y8=")</f>
        <v>#REF!</v>
      </c>
      <c r="AW45" t="e">
        <f>AND(#REF!,"AAAAAHhn4zA=")</f>
        <v>#REF!</v>
      </c>
      <c r="AX45" t="e">
        <f>AND(#REF!,"AAAAAHhn4zE=")</f>
        <v>#REF!</v>
      </c>
      <c r="AY45" t="e">
        <f>AND(#REF!,"AAAAAHhn4zI=")</f>
        <v>#REF!</v>
      </c>
      <c r="AZ45" t="e">
        <f>AND(#REF!,"AAAAAHhn4zM=")</f>
        <v>#REF!</v>
      </c>
      <c r="BA45" t="e">
        <f>AND(#REF!,"AAAAAHhn4zQ=")</f>
        <v>#REF!</v>
      </c>
      <c r="BB45" t="e">
        <f>AND(#REF!,"AAAAAHhn4zU=")</f>
        <v>#REF!</v>
      </c>
      <c r="BC45" t="e">
        <f>AND(#REF!,"AAAAAHhn4zY=")</f>
        <v>#REF!</v>
      </c>
      <c r="BD45" t="e">
        <f>AND(#REF!,"AAAAAHhn4zc=")</f>
        <v>#REF!</v>
      </c>
      <c r="BE45" t="e">
        <f>AND(#REF!,"AAAAAHhn4zg=")</f>
        <v>#REF!</v>
      </c>
      <c r="BF45" t="e">
        <f>AND(#REF!,"AAAAAHhn4zk=")</f>
        <v>#REF!</v>
      </c>
      <c r="BG45" t="e">
        <f>AND(#REF!,"AAAAAHhn4zo=")</f>
        <v>#REF!</v>
      </c>
      <c r="BH45" t="e">
        <f>AND(#REF!,"AAAAAHhn4zs=")</f>
        <v>#REF!</v>
      </c>
      <c r="BI45" t="e">
        <f>AND(#REF!,"AAAAAHhn4zw=")</f>
        <v>#REF!</v>
      </c>
      <c r="BJ45" t="e">
        <f>AND(#REF!,"AAAAAHhn4z0=")</f>
        <v>#REF!</v>
      </c>
      <c r="BK45" t="e">
        <f>AND(#REF!,"AAAAAHhn4z4=")</f>
        <v>#REF!</v>
      </c>
      <c r="BL45" t="e">
        <f>AND(#REF!,"AAAAAHhn4z8=")</f>
        <v>#REF!</v>
      </c>
      <c r="BM45" t="e">
        <f>AND(#REF!,"AAAAAHhn40A=")</f>
        <v>#REF!</v>
      </c>
      <c r="BN45" t="e">
        <f>AND(#REF!,"AAAAAHhn40E=")</f>
        <v>#REF!</v>
      </c>
      <c r="BO45" t="e">
        <f>AND(#REF!,"AAAAAHhn40I=")</f>
        <v>#REF!</v>
      </c>
      <c r="BP45" t="e">
        <f>AND(#REF!,"AAAAAHhn40M=")</f>
        <v>#REF!</v>
      </c>
      <c r="BQ45" t="e">
        <f>AND(#REF!,"AAAAAHhn40Q=")</f>
        <v>#REF!</v>
      </c>
      <c r="BR45" t="e">
        <f>AND(#REF!,"AAAAAHhn40U=")</f>
        <v>#REF!</v>
      </c>
      <c r="BS45" t="e">
        <f>AND(#REF!,"AAAAAHhn40Y=")</f>
        <v>#REF!</v>
      </c>
      <c r="BT45" t="e">
        <f>AND(#REF!,"AAAAAHhn40c=")</f>
        <v>#REF!</v>
      </c>
      <c r="BU45" t="e">
        <f>IF(#REF!,"AAAAAHhn40g=",0)</f>
        <v>#REF!</v>
      </c>
      <c r="BV45" t="e">
        <f>AND(#REF!,"AAAAAHhn40k=")</f>
        <v>#REF!</v>
      </c>
      <c r="BW45" t="e">
        <f>AND(#REF!,"AAAAAHhn40o=")</f>
        <v>#REF!</v>
      </c>
      <c r="BX45" t="e">
        <f>AND(#REF!,"AAAAAHhn40s=")</f>
        <v>#REF!</v>
      </c>
      <c r="BY45" t="e">
        <f>AND(#REF!,"AAAAAHhn40w=")</f>
        <v>#REF!</v>
      </c>
      <c r="BZ45" t="e">
        <f>AND(#REF!,"AAAAAHhn400=")</f>
        <v>#REF!</v>
      </c>
      <c r="CA45" t="e">
        <f>AND(#REF!,"AAAAAHhn404=")</f>
        <v>#REF!</v>
      </c>
      <c r="CB45" t="e">
        <f>AND(#REF!,"AAAAAHhn408=")</f>
        <v>#REF!</v>
      </c>
      <c r="CC45" t="e">
        <f>AND(#REF!,"AAAAAHhn41A=")</f>
        <v>#REF!</v>
      </c>
      <c r="CD45" t="e">
        <f>AND(#REF!,"AAAAAHhn41E=")</f>
        <v>#REF!</v>
      </c>
      <c r="CE45" t="e">
        <f>AND(#REF!,"AAAAAHhn41I=")</f>
        <v>#REF!</v>
      </c>
      <c r="CF45" t="e">
        <f>AND(#REF!,"AAAAAHhn41M=")</f>
        <v>#REF!</v>
      </c>
      <c r="CG45" t="e">
        <f>AND(#REF!,"AAAAAHhn41Q=")</f>
        <v>#REF!</v>
      </c>
      <c r="CH45" t="e">
        <f>AND(#REF!,"AAAAAHhn41U=")</f>
        <v>#REF!</v>
      </c>
      <c r="CI45" t="e">
        <f>AND(#REF!,"AAAAAHhn41Y=")</f>
        <v>#REF!</v>
      </c>
      <c r="CJ45" t="e">
        <f>AND(#REF!,"AAAAAHhn41c=")</f>
        <v>#REF!</v>
      </c>
      <c r="CK45" t="e">
        <f>AND(#REF!,"AAAAAHhn41g=")</f>
        <v>#REF!</v>
      </c>
      <c r="CL45" t="e">
        <f>AND(#REF!,"AAAAAHhn41k=")</f>
        <v>#REF!</v>
      </c>
      <c r="CM45" t="e">
        <f>AND(#REF!,"AAAAAHhn41o=")</f>
        <v>#REF!</v>
      </c>
      <c r="CN45" t="e">
        <f>AND(#REF!,"AAAAAHhn41s=")</f>
        <v>#REF!</v>
      </c>
      <c r="CO45" t="e">
        <f>AND(#REF!,"AAAAAHhn41w=")</f>
        <v>#REF!</v>
      </c>
      <c r="CP45" t="e">
        <f>AND(#REF!,"AAAAAHhn410=")</f>
        <v>#REF!</v>
      </c>
      <c r="CQ45" t="e">
        <f>AND(#REF!,"AAAAAHhn414=")</f>
        <v>#REF!</v>
      </c>
      <c r="CR45" t="e">
        <f>AND(#REF!,"AAAAAHhn418=")</f>
        <v>#REF!</v>
      </c>
      <c r="CS45" t="e">
        <f>AND(#REF!,"AAAAAHhn42A=")</f>
        <v>#REF!</v>
      </c>
      <c r="CT45" t="e">
        <f>AND(#REF!,"AAAAAHhn42E=")</f>
        <v>#REF!</v>
      </c>
      <c r="CU45" t="e">
        <f>AND(#REF!,"AAAAAHhn42I=")</f>
        <v>#REF!</v>
      </c>
      <c r="CV45" t="e">
        <f>AND(#REF!,"AAAAAHhn42M=")</f>
        <v>#REF!</v>
      </c>
      <c r="CW45" t="e">
        <f>AND(#REF!,"AAAAAHhn42Q=")</f>
        <v>#REF!</v>
      </c>
      <c r="CX45" t="e">
        <f>AND(#REF!,"AAAAAHhn42U=")</f>
        <v>#REF!</v>
      </c>
      <c r="CY45" t="e">
        <f>AND(#REF!,"AAAAAHhn42Y=")</f>
        <v>#REF!</v>
      </c>
      <c r="CZ45" t="e">
        <f>AND(#REF!,"AAAAAHhn42c=")</f>
        <v>#REF!</v>
      </c>
      <c r="DA45" t="e">
        <f>AND(#REF!,"AAAAAHhn42g=")</f>
        <v>#REF!</v>
      </c>
      <c r="DB45" t="e">
        <f>AND(#REF!,"AAAAAHhn42k=")</f>
        <v>#REF!</v>
      </c>
      <c r="DC45" t="e">
        <f>AND(#REF!,"AAAAAHhn42o=")</f>
        <v>#REF!</v>
      </c>
      <c r="DD45" t="e">
        <f>AND(#REF!,"AAAAAHhn42s=")</f>
        <v>#REF!</v>
      </c>
      <c r="DE45" t="e">
        <f>IF(#REF!,"AAAAAHhn42w=",0)</f>
        <v>#REF!</v>
      </c>
      <c r="DF45" t="e">
        <f>AND(#REF!,"AAAAAHhn420=")</f>
        <v>#REF!</v>
      </c>
      <c r="DG45" t="e">
        <f>AND(#REF!,"AAAAAHhn424=")</f>
        <v>#REF!</v>
      </c>
      <c r="DH45" t="e">
        <f>AND(#REF!,"AAAAAHhn428=")</f>
        <v>#REF!</v>
      </c>
      <c r="DI45" t="e">
        <f>AND(#REF!,"AAAAAHhn43A=")</f>
        <v>#REF!</v>
      </c>
      <c r="DJ45" t="e">
        <f>AND(#REF!,"AAAAAHhn43E=")</f>
        <v>#REF!</v>
      </c>
      <c r="DK45" t="e">
        <f>AND(#REF!,"AAAAAHhn43I=")</f>
        <v>#REF!</v>
      </c>
      <c r="DL45" t="e">
        <f>AND(#REF!,"AAAAAHhn43M=")</f>
        <v>#REF!</v>
      </c>
      <c r="DM45" t="e">
        <f>AND(#REF!,"AAAAAHhn43Q=")</f>
        <v>#REF!</v>
      </c>
      <c r="DN45" t="e">
        <f>AND(#REF!,"AAAAAHhn43U=")</f>
        <v>#REF!</v>
      </c>
      <c r="DO45" t="e">
        <f>AND(#REF!,"AAAAAHhn43Y=")</f>
        <v>#REF!</v>
      </c>
      <c r="DP45" t="e">
        <f>AND(#REF!,"AAAAAHhn43c=")</f>
        <v>#REF!</v>
      </c>
      <c r="DQ45" t="e">
        <f>AND(#REF!,"AAAAAHhn43g=")</f>
        <v>#REF!</v>
      </c>
      <c r="DR45" t="e">
        <f>AND(#REF!,"AAAAAHhn43k=")</f>
        <v>#REF!</v>
      </c>
      <c r="DS45" t="e">
        <f>AND(#REF!,"AAAAAHhn43o=")</f>
        <v>#REF!</v>
      </c>
      <c r="DT45" t="e">
        <f>AND(#REF!,"AAAAAHhn43s=")</f>
        <v>#REF!</v>
      </c>
      <c r="DU45" t="e">
        <f>AND(#REF!,"AAAAAHhn43w=")</f>
        <v>#REF!</v>
      </c>
      <c r="DV45" t="e">
        <f>AND(#REF!,"AAAAAHhn430=")</f>
        <v>#REF!</v>
      </c>
      <c r="DW45" t="e">
        <f>AND(#REF!,"AAAAAHhn434=")</f>
        <v>#REF!</v>
      </c>
      <c r="DX45" t="e">
        <f>AND(#REF!,"AAAAAHhn438=")</f>
        <v>#REF!</v>
      </c>
      <c r="DY45" t="e">
        <f>AND(#REF!,"AAAAAHhn44A=")</f>
        <v>#REF!</v>
      </c>
      <c r="DZ45" t="e">
        <f>AND(#REF!,"AAAAAHhn44E=")</f>
        <v>#REF!</v>
      </c>
      <c r="EA45" t="e">
        <f>AND(#REF!,"AAAAAHhn44I=")</f>
        <v>#REF!</v>
      </c>
      <c r="EB45" t="e">
        <f>AND(#REF!,"AAAAAHhn44M=")</f>
        <v>#REF!</v>
      </c>
      <c r="EC45" t="e">
        <f>AND(#REF!,"AAAAAHhn44Q=")</f>
        <v>#REF!</v>
      </c>
      <c r="ED45" t="e">
        <f>AND(#REF!,"AAAAAHhn44U=")</f>
        <v>#REF!</v>
      </c>
      <c r="EE45" t="e">
        <f>AND(#REF!,"AAAAAHhn44Y=")</f>
        <v>#REF!</v>
      </c>
      <c r="EF45" t="e">
        <f>AND(#REF!,"AAAAAHhn44c=")</f>
        <v>#REF!</v>
      </c>
      <c r="EG45" t="e">
        <f>AND(#REF!,"AAAAAHhn44g=")</f>
        <v>#REF!</v>
      </c>
      <c r="EH45" t="e">
        <f>AND(#REF!,"AAAAAHhn44k=")</f>
        <v>#REF!</v>
      </c>
      <c r="EI45" t="e">
        <f>AND(#REF!,"AAAAAHhn44o=")</f>
        <v>#REF!</v>
      </c>
      <c r="EJ45" t="e">
        <f>AND(#REF!,"AAAAAHhn44s=")</f>
        <v>#REF!</v>
      </c>
      <c r="EK45" t="e">
        <f>AND(#REF!,"AAAAAHhn44w=")</f>
        <v>#REF!</v>
      </c>
      <c r="EL45" t="e">
        <f>AND(#REF!,"AAAAAHhn440=")</f>
        <v>#REF!</v>
      </c>
      <c r="EM45" t="e">
        <f>AND(#REF!,"AAAAAHhn444=")</f>
        <v>#REF!</v>
      </c>
      <c r="EN45" t="e">
        <f>AND(#REF!,"AAAAAHhn448=")</f>
        <v>#REF!</v>
      </c>
      <c r="EO45" t="e">
        <f>IF(#REF!,"AAAAAHhn45A=",0)</f>
        <v>#REF!</v>
      </c>
      <c r="EP45" t="e">
        <f>AND(#REF!,"AAAAAHhn45E=")</f>
        <v>#REF!</v>
      </c>
      <c r="EQ45" t="e">
        <f>AND(#REF!,"AAAAAHhn45I=")</f>
        <v>#REF!</v>
      </c>
      <c r="ER45" t="e">
        <f>AND(#REF!,"AAAAAHhn45M=")</f>
        <v>#REF!</v>
      </c>
      <c r="ES45" t="e">
        <f>AND(#REF!,"AAAAAHhn45Q=")</f>
        <v>#REF!</v>
      </c>
      <c r="ET45" t="e">
        <f>AND(#REF!,"AAAAAHhn45U=")</f>
        <v>#REF!</v>
      </c>
      <c r="EU45" t="e">
        <f>AND(#REF!,"AAAAAHhn45Y=")</f>
        <v>#REF!</v>
      </c>
      <c r="EV45" t="e">
        <f>AND(#REF!,"AAAAAHhn45c=")</f>
        <v>#REF!</v>
      </c>
      <c r="EW45" t="e">
        <f>AND(#REF!,"AAAAAHhn45g=")</f>
        <v>#REF!</v>
      </c>
      <c r="EX45" t="e">
        <f>AND(#REF!,"AAAAAHhn45k=")</f>
        <v>#REF!</v>
      </c>
      <c r="EY45" t="e">
        <f>AND(#REF!,"AAAAAHhn45o=")</f>
        <v>#REF!</v>
      </c>
      <c r="EZ45" t="e">
        <f>AND(#REF!,"AAAAAHhn45s=")</f>
        <v>#REF!</v>
      </c>
      <c r="FA45" t="e">
        <f>AND(#REF!,"AAAAAHhn45w=")</f>
        <v>#REF!</v>
      </c>
      <c r="FB45" t="e">
        <f>AND(#REF!,"AAAAAHhn450=")</f>
        <v>#REF!</v>
      </c>
      <c r="FC45" t="e">
        <f>AND(#REF!,"AAAAAHhn454=")</f>
        <v>#REF!</v>
      </c>
      <c r="FD45" t="e">
        <f>AND(#REF!,"AAAAAHhn458=")</f>
        <v>#REF!</v>
      </c>
      <c r="FE45" t="e">
        <f>AND(#REF!,"AAAAAHhn46A=")</f>
        <v>#REF!</v>
      </c>
      <c r="FF45" t="e">
        <f>AND(#REF!,"AAAAAHhn46E=")</f>
        <v>#REF!</v>
      </c>
      <c r="FG45" t="e">
        <f>AND(#REF!,"AAAAAHhn46I=")</f>
        <v>#REF!</v>
      </c>
      <c r="FH45" t="e">
        <f>AND(#REF!,"AAAAAHhn46M=")</f>
        <v>#REF!</v>
      </c>
      <c r="FI45" t="e">
        <f>AND(#REF!,"AAAAAHhn46Q=")</f>
        <v>#REF!</v>
      </c>
      <c r="FJ45" t="e">
        <f>AND(#REF!,"AAAAAHhn46U=")</f>
        <v>#REF!</v>
      </c>
      <c r="FK45" t="e">
        <f>AND(#REF!,"AAAAAHhn46Y=")</f>
        <v>#REF!</v>
      </c>
      <c r="FL45" t="e">
        <f>AND(#REF!,"AAAAAHhn46c=")</f>
        <v>#REF!</v>
      </c>
      <c r="FM45" t="e">
        <f>AND(#REF!,"AAAAAHhn46g=")</f>
        <v>#REF!</v>
      </c>
      <c r="FN45" t="e">
        <f>AND(#REF!,"AAAAAHhn46k=")</f>
        <v>#REF!</v>
      </c>
      <c r="FO45" t="e">
        <f>AND(#REF!,"AAAAAHhn46o=")</f>
        <v>#REF!</v>
      </c>
      <c r="FP45" t="e">
        <f>AND(#REF!,"AAAAAHhn46s=")</f>
        <v>#REF!</v>
      </c>
      <c r="FQ45" t="e">
        <f>AND(#REF!,"AAAAAHhn46w=")</f>
        <v>#REF!</v>
      </c>
      <c r="FR45" t="e">
        <f>AND(#REF!,"AAAAAHhn460=")</f>
        <v>#REF!</v>
      </c>
      <c r="FS45" t="e">
        <f>AND(#REF!,"AAAAAHhn464=")</f>
        <v>#REF!</v>
      </c>
      <c r="FT45" t="e">
        <f>AND(#REF!,"AAAAAHhn468=")</f>
        <v>#REF!</v>
      </c>
      <c r="FU45" t="e">
        <f>AND(#REF!,"AAAAAHhn47A=")</f>
        <v>#REF!</v>
      </c>
      <c r="FV45" t="e">
        <f>AND(#REF!,"AAAAAHhn47E=")</f>
        <v>#REF!</v>
      </c>
      <c r="FW45" t="e">
        <f>AND(#REF!,"AAAAAHhn47I=")</f>
        <v>#REF!</v>
      </c>
      <c r="FX45" t="e">
        <f>AND(#REF!,"AAAAAHhn47M=")</f>
        <v>#REF!</v>
      </c>
      <c r="FY45" t="e">
        <f>IF(#REF!,"AAAAAHhn47Q=",0)</f>
        <v>#REF!</v>
      </c>
      <c r="FZ45" t="e">
        <f>AND(#REF!,"AAAAAHhn47U=")</f>
        <v>#REF!</v>
      </c>
      <c r="GA45" t="e">
        <f>AND(#REF!,"AAAAAHhn47Y=")</f>
        <v>#REF!</v>
      </c>
      <c r="GB45" t="e">
        <f>AND(#REF!,"AAAAAHhn47c=")</f>
        <v>#REF!</v>
      </c>
      <c r="GC45" t="e">
        <f>AND(#REF!,"AAAAAHhn47g=")</f>
        <v>#REF!</v>
      </c>
      <c r="GD45" t="e">
        <f>AND(#REF!,"AAAAAHhn47k=")</f>
        <v>#REF!</v>
      </c>
      <c r="GE45" t="e">
        <f>AND(#REF!,"AAAAAHhn47o=")</f>
        <v>#REF!</v>
      </c>
      <c r="GF45" t="e">
        <f>AND(#REF!,"AAAAAHhn47s=")</f>
        <v>#REF!</v>
      </c>
      <c r="GG45" t="e">
        <f>AND(#REF!,"AAAAAHhn47w=")</f>
        <v>#REF!</v>
      </c>
      <c r="GH45" t="e">
        <f>AND(#REF!,"AAAAAHhn470=")</f>
        <v>#REF!</v>
      </c>
      <c r="GI45" t="e">
        <f>AND(#REF!,"AAAAAHhn474=")</f>
        <v>#REF!</v>
      </c>
      <c r="GJ45" t="e">
        <f>AND(#REF!,"AAAAAHhn478=")</f>
        <v>#REF!</v>
      </c>
      <c r="GK45" t="e">
        <f>AND(#REF!,"AAAAAHhn48A=")</f>
        <v>#REF!</v>
      </c>
      <c r="GL45" t="e">
        <f>AND(#REF!,"AAAAAHhn48E=")</f>
        <v>#REF!</v>
      </c>
      <c r="GM45" t="e">
        <f>AND(#REF!,"AAAAAHhn48I=")</f>
        <v>#REF!</v>
      </c>
      <c r="GN45" t="e">
        <f>AND(#REF!,"AAAAAHhn48M=")</f>
        <v>#REF!</v>
      </c>
      <c r="GO45" t="e">
        <f>AND(#REF!,"AAAAAHhn48Q=")</f>
        <v>#REF!</v>
      </c>
      <c r="GP45" t="e">
        <f>AND(#REF!,"AAAAAHhn48U=")</f>
        <v>#REF!</v>
      </c>
      <c r="GQ45" t="e">
        <f>AND(#REF!,"AAAAAHhn48Y=")</f>
        <v>#REF!</v>
      </c>
      <c r="GR45" t="e">
        <f>AND(#REF!,"AAAAAHhn48c=")</f>
        <v>#REF!</v>
      </c>
      <c r="GS45" t="e">
        <f>AND(#REF!,"AAAAAHhn48g=")</f>
        <v>#REF!</v>
      </c>
      <c r="GT45" t="e">
        <f>AND(#REF!,"AAAAAHhn48k=")</f>
        <v>#REF!</v>
      </c>
      <c r="GU45" t="e">
        <f>AND(#REF!,"AAAAAHhn48o=")</f>
        <v>#REF!</v>
      </c>
      <c r="GV45" t="e">
        <f>AND(#REF!,"AAAAAHhn48s=")</f>
        <v>#REF!</v>
      </c>
      <c r="GW45" t="e">
        <f>AND(#REF!,"AAAAAHhn48w=")</f>
        <v>#REF!</v>
      </c>
      <c r="GX45" t="e">
        <f>AND(#REF!,"AAAAAHhn480=")</f>
        <v>#REF!</v>
      </c>
      <c r="GY45" t="e">
        <f>AND(#REF!,"AAAAAHhn484=")</f>
        <v>#REF!</v>
      </c>
      <c r="GZ45" t="e">
        <f>AND(#REF!,"AAAAAHhn488=")</f>
        <v>#REF!</v>
      </c>
      <c r="HA45" t="e">
        <f>AND(#REF!,"AAAAAHhn49A=")</f>
        <v>#REF!</v>
      </c>
      <c r="HB45" t="e">
        <f>AND(#REF!,"AAAAAHhn49E=")</f>
        <v>#REF!</v>
      </c>
      <c r="HC45" t="e">
        <f>AND(#REF!,"AAAAAHhn49I=")</f>
        <v>#REF!</v>
      </c>
      <c r="HD45" t="e">
        <f>AND(#REF!,"AAAAAHhn49M=")</f>
        <v>#REF!</v>
      </c>
      <c r="HE45" t="e">
        <f>AND(#REF!,"AAAAAHhn49Q=")</f>
        <v>#REF!</v>
      </c>
      <c r="HF45" t="e">
        <f>AND(#REF!,"AAAAAHhn49U=")</f>
        <v>#REF!</v>
      </c>
      <c r="HG45" t="e">
        <f>AND(#REF!,"AAAAAHhn49Y=")</f>
        <v>#REF!</v>
      </c>
      <c r="HH45" t="e">
        <f>AND(#REF!,"AAAAAHhn49c=")</f>
        <v>#REF!</v>
      </c>
      <c r="HI45" t="e">
        <f>IF(#REF!,"AAAAAHhn49g=",0)</f>
        <v>#REF!</v>
      </c>
      <c r="HJ45" t="e">
        <f>AND(#REF!,"AAAAAHhn49k=")</f>
        <v>#REF!</v>
      </c>
      <c r="HK45" t="e">
        <f>AND(#REF!,"AAAAAHhn49o=")</f>
        <v>#REF!</v>
      </c>
      <c r="HL45" t="e">
        <f>AND(#REF!,"AAAAAHhn49s=")</f>
        <v>#REF!</v>
      </c>
      <c r="HM45" t="e">
        <f>AND(#REF!,"AAAAAHhn49w=")</f>
        <v>#REF!</v>
      </c>
      <c r="HN45" t="e">
        <f>AND(#REF!,"AAAAAHhn490=")</f>
        <v>#REF!</v>
      </c>
      <c r="HO45" t="e">
        <f>AND(#REF!,"AAAAAHhn494=")</f>
        <v>#REF!</v>
      </c>
      <c r="HP45" t="e">
        <f>AND(#REF!,"AAAAAHhn498=")</f>
        <v>#REF!</v>
      </c>
      <c r="HQ45" t="e">
        <f>AND(#REF!,"AAAAAHhn4+A=")</f>
        <v>#REF!</v>
      </c>
      <c r="HR45" t="e">
        <f>AND(#REF!,"AAAAAHhn4+E=")</f>
        <v>#REF!</v>
      </c>
      <c r="HS45" t="e">
        <f>AND(#REF!,"AAAAAHhn4+I=")</f>
        <v>#REF!</v>
      </c>
      <c r="HT45" t="e">
        <f>AND(#REF!,"AAAAAHhn4+M=")</f>
        <v>#REF!</v>
      </c>
      <c r="HU45" t="e">
        <f>AND(#REF!,"AAAAAHhn4+Q=")</f>
        <v>#REF!</v>
      </c>
      <c r="HV45" t="e">
        <f>AND(#REF!,"AAAAAHhn4+U=")</f>
        <v>#REF!</v>
      </c>
      <c r="HW45" t="e">
        <f>AND(#REF!,"AAAAAHhn4+Y=")</f>
        <v>#REF!</v>
      </c>
      <c r="HX45" t="e">
        <f>AND(#REF!,"AAAAAHhn4+c=")</f>
        <v>#REF!</v>
      </c>
      <c r="HY45" t="e">
        <f>AND(#REF!,"AAAAAHhn4+g=")</f>
        <v>#REF!</v>
      </c>
      <c r="HZ45" t="e">
        <f>AND(#REF!,"AAAAAHhn4+k=")</f>
        <v>#REF!</v>
      </c>
      <c r="IA45" t="e">
        <f>AND(#REF!,"AAAAAHhn4+o=")</f>
        <v>#REF!</v>
      </c>
      <c r="IB45" t="e">
        <f>AND(#REF!,"AAAAAHhn4+s=")</f>
        <v>#REF!</v>
      </c>
      <c r="IC45" t="e">
        <f>AND(#REF!,"AAAAAHhn4+w=")</f>
        <v>#REF!</v>
      </c>
      <c r="ID45" t="e">
        <f>AND(#REF!,"AAAAAHhn4+0=")</f>
        <v>#REF!</v>
      </c>
      <c r="IE45" t="e">
        <f>AND(#REF!,"AAAAAHhn4+4=")</f>
        <v>#REF!</v>
      </c>
      <c r="IF45" t="e">
        <f>AND(#REF!,"AAAAAHhn4+8=")</f>
        <v>#REF!</v>
      </c>
      <c r="IG45" t="e">
        <f>AND(#REF!,"AAAAAHhn4/A=")</f>
        <v>#REF!</v>
      </c>
      <c r="IH45" t="e">
        <f>AND(#REF!,"AAAAAHhn4/E=")</f>
        <v>#REF!</v>
      </c>
      <c r="II45" t="e">
        <f>AND(#REF!,"AAAAAHhn4/I=")</f>
        <v>#REF!</v>
      </c>
      <c r="IJ45" t="e">
        <f>AND(#REF!,"AAAAAHhn4/M=")</f>
        <v>#REF!</v>
      </c>
      <c r="IK45" t="e">
        <f>AND(#REF!,"AAAAAHhn4/Q=")</f>
        <v>#REF!</v>
      </c>
      <c r="IL45" t="e">
        <f>AND(#REF!,"AAAAAHhn4/U=")</f>
        <v>#REF!</v>
      </c>
      <c r="IM45" t="e">
        <f>AND(#REF!,"AAAAAHhn4/Y=")</f>
        <v>#REF!</v>
      </c>
      <c r="IN45" t="e">
        <f>AND(#REF!,"AAAAAHhn4/c=")</f>
        <v>#REF!</v>
      </c>
      <c r="IO45" t="e">
        <f>AND(#REF!,"AAAAAHhn4/g=")</f>
        <v>#REF!</v>
      </c>
      <c r="IP45" t="e">
        <f>AND(#REF!,"AAAAAHhn4/k=")</f>
        <v>#REF!</v>
      </c>
      <c r="IQ45" t="e">
        <f>AND(#REF!,"AAAAAHhn4/o=")</f>
        <v>#REF!</v>
      </c>
      <c r="IR45" t="e">
        <f>AND(#REF!,"AAAAAHhn4/s=")</f>
        <v>#REF!</v>
      </c>
      <c r="IS45" t="e">
        <f>IF(#REF!,"AAAAAHhn4/w=",0)</f>
        <v>#REF!</v>
      </c>
      <c r="IT45" t="e">
        <f>AND(#REF!,"AAAAAHhn4/0=")</f>
        <v>#REF!</v>
      </c>
      <c r="IU45" t="e">
        <f>AND(#REF!,"AAAAAHhn4/4=")</f>
        <v>#REF!</v>
      </c>
      <c r="IV45" t="e">
        <f>AND(#REF!,"AAAAAHhn4/8=")</f>
        <v>#REF!</v>
      </c>
    </row>
    <row r="46" spans="1:256">
      <c r="A46" t="e">
        <f>AND(#REF!,"AAAAADa9/wA=")</f>
        <v>#REF!</v>
      </c>
      <c r="B46" t="e">
        <f>AND(#REF!,"AAAAADa9/wE=")</f>
        <v>#REF!</v>
      </c>
      <c r="C46" t="e">
        <f>AND(#REF!,"AAAAADa9/wI=")</f>
        <v>#REF!</v>
      </c>
      <c r="D46" t="e">
        <f>AND(#REF!,"AAAAADa9/wM=")</f>
        <v>#REF!</v>
      </c>
      <c r="E46" t="e">
        <f>AND(#REF!,"AAAAADa9/wQ=")</f>
        <v>#REF!</v>
      </c>
      <c r="F46" t="e">
        <f>AND(#REF!,"AAAAADa9/wU=")</f>
        <v>#REF!</v>
      </c>
      <c r="G46" t="e">
        <f>AND(#REF!,"AAAAADa9/wY=")</f>
        <v>#REF!</v>
      </c>
      <c r="H46" t="e">
        <f>AND(#REF!,"AAAAADa9/wc=")</f>
        <v>#REF!</v>
      </c>
      <c r="I46" t="e">
        <f>AND(#REF!,"AAAAADa9/wg=")</f>
        <v>#REF!</v>
      </c>
      <c r="J46" t="e">
        <f>AND(#REF!,"AAAAADa9/wk=")</f>
        <v>#REF!</v>
      </c>
      <c r="K46" t="e">
        <f>AND(#REF!,"AAAAADa9/wo=")</f>
        <v>#REF!</v>
      </c>
      <c r="L46" t="e">
        <f>AND(#REF!,"AAAAADa9/ws=")</f>
        <v>#REF!</v>
      </c>
      <c r="M46" t="e">
        <f>AND(#REF!,"AAAAADa9/ww=")</f>
        <v>#REF!</v>
      </c>
      <c r="N46" t="e">
        <f>AND(#REF!,"AAAAADa9/w0=")</f>
        <v>#REF!</v>
      </c>
      <c r="O46" t="e">
        <f>AND(#REF!,"AAAAADa9/w4=")</f>
        <v>#REF!</v>
      </c>
      <c r="P46" t="e">
        <f>AND(#REF!,"AAAAADa9/w8=")</f>
        <v>#REF!</v>
      </c>
      <c r="Q46" t="e">
        <f>AND(#REF!,"AAAAADa9/xA=")</f>
        <v>#REF!</v>
      </c>
      <c r="R46" t="e">
        <f>AND(#REF!,"AAAAADa9/xE=")</f>
        <v>#REF!</v>
      </c>
      <c r="S46" t="e">
        <f>AND(#REF!,"AAAAADa9/xI=")</f>
        <v>#REF!</v>
      </c>
      <c r="T46" t="e">
        <f>AND(#REF!,"AAAAADa9/xM=")</f>
        <v>#REF!</v>
      </c>
      <c r="U46" t="e">
        <f>AND(#REF!,"AAAAADa9/xQ=")</f>
        <v>#REF!</v>
      </c>
      <c r="V46" t="e">
        <f>AND(#REF!,"AAAAADa9/xU=")</f>
        <v>#REF!</v>
      </c>
      <c r="W46" t="e">
        <f>AND(#REF!,"AAAAADa9/xY=")</f>
        <v>#REF!</v>
      </c>
      <c r="X46" t="e">
        <f>AND(#REF!,"AAAAADa9/xc=")</f>
        <v>#REF!</v>
      </c>
      <c r="Y46" t="e">
        <f>AND(#REF!,"AAAAADa9/xg=")</f>
        <v>#REF!</v>
      </c>
      <c r="Z46" t="e">
        <f>AND(#REF!,"AAAAADa9/xk=")</f>
        <v>#REF!</v>
      </c>
      <c r="AA46" t="e">
        <f>AND(#REF!,"AAAAADa9/xo=")</f>
        <v>#REF!</v>
      </c>
      <c r="AB46" t="e">
        <f>AND(#REF!,"AAAAADa9/xs=")</f>
        <v>#REF!</v>
      </c>
      <c r="AC46" t="e">
        <f>AND(#REF!,"AAAAADa9/xw=")</f>
        <v>#REF!</v>
      </c>
      <c r="AD46" t="e">
        <f>AND(#REF!,"AAAAADa9/x0=")</f>
        <v>#REF!</v>
      </c>
      <c r="AE46" t="e">
        <f>AND(#REF!,"AAAAADa9/x4=")</f>
        <v>#REF!</v>
      </c>
      <c r="AF46" t="e">
        <f>AND(#REF!,"AAAAADa9/x8=")</f>
        <v>#REF!</v>
      </c>
      <c r="AG46" t="e">
        <f>IF(#REF!,"AAAAADa9/yA=",0)</f>
        <v>#REF!</v>
      </c>
      <c r="AH46" t="e">
        <f>AND(#REF!,"AAAAADa9/yE=")</f>
        <v>#REF!</v>
      </c>
      <c r="AI46" t="e">
        <f>AND(#REF!,"AAAAADa9/yI=")</f>
        <v>#REF!</v>
      </c>
      <c r="AJ46" t="e">
        <f>AND(#REF!,"AAAAADa9/yM=")</f>
        <v>#REF!</v>
      </c>
      <c r="AK46" t="e">
        <f>AND(#REF!,"AAAAADa9/yQ=")</f>
        <v>#REF!</v>
      </c>
      <c r="AL46" t="e">
        <f>AND(#REF!,"AAAAADa9/yU=")</f>
        <v>#REF!</v>
      </c>
      <c r="AM46" t="e">
        <f>AND(#REF!,"AAAAADa9/yY=")</f>
        <v>#REF!</v>
      </c>
      <c r="AN46" t="e">
        <f>AND(#REF!,"AAAAADa9/yc=")</f>
        <v>#REF!</v>
      </c>
      <c r="AO46" t="e">
        <f>AND(#REF!,"AAAAADa9/yg=")</f>
        <v>#REF!</v>
      </c>
      <c r="AP46" t="e">
        <f>AND(#REF!,"AAAAADa9/yk=")</f>
        <v>#REF!</v>
      </c>
      <c r="AQ46" t="e">
        <f>AND(#REF!,"AAAAADa9/yo=")</f>
        <v>#REF!</v>
      </c>
      <c r="AR46" t="e">
        <f>AND(#REF!,"AAAAADa9/ys=")</f>
        <v>#REF!</v>
      </c>
      <c r="AS46" t="e">
        <f>AND(#REF!,"AAAAADa9/yw=")</f>
        <v>#REF!</v>
      </c>
      <c r="AT46" t="e">
        <f>AND(#REF!,"AAAAADa9/y0=")</f>
        <v>#REF!</v>
      </c>
      <c r="AU46" t="e">
        <f>AND(#REF!,"AAAAADa9/y4=")</f>
        <v>#REF!</v>
      </c>
      <c r="AV46" t="e">
        <f>AND(#REF!,"AAAAADa9/y8=")</f>
        <v>#REF!</v>
      </c>
      <c r="AW46" t="e">
        <f>AND(#REF!,"AAAAADa9/zA=")</f>
        <v>#REF!</v>
      </c>
      <c r="AX46" t="e">
        <f>AND(#REF!,"AAAAADa9/zE=")</f>
        <v>#REF!</v>
      </c>
      <c r="AY46" t="e">
        <f>AND(#REF!,"AAAAADa9/zI=")</f>
        <v>#REF!</v>
      </c>
      <c r="AZ46" t="e">
        <f>AND(#REF!,"AAAAADa9/zM=")</f>
        <v>#REF!</v>
      </c>
      <c r="BA46" t="e">
        <f>AND(#REF!,"AAAAADa9/zQ=")</f>
        <v>#REF!</v>
      </c>
      <c r="BB46" t="e">
        <f>AND(#REF!,"AAAAADa9/zU=")</f>
        <v>#REF!</v>
      </c>
      <c r="BC46" t="e">
        <f>AND(#REF!,"AAAAADa9/zY=")</f>
        <v>#REF!</v>
      </c>
      <c r="BD46" t="e">
        <f>AND(#REF!,"AAAAADa9/zc=")</f>
        <v>#REF!</v>
      </c>
      <c r="BE46" t="e">
        <f>AND(#REF!,"AAAAADa9/zg=")</f>
        <v>#REF!</v>
      </c>
      <c r="BF46" t="e">
        <f>AND(#REF!,"AAAAADa9/zk=")</f>
        <v>#REF!</v>
      </c>
      <c r="BG46" t="e">
        <f>AND(#REF!,"AAAAADa9/zo=")</f>
        <v>#REF!</v>
      </c>
      <c r="BH46" t="e">
        <f>AND(#REF!,"AAAAADa9/zs=")</f>
        <v>#REF!</v>
      </c>
      <c r="BI46" t="e">
        <f>AND(#REF!,"AAAAADa9/zw=")</f>
        <v>#REF!</v>
      </c>
      <c r="BJ46" t="e">
        <f>AND(#REF!,"AAAAADa9/z0=")</f>
        <v>#REF!</v>
      </c>
      <c r="BK46" t="e">
        <f>AND(#REF!,"AAAAADa9/z4=")</f>
        <v>#REF!</v>
      </c>
      <c r="BL46" t="e">
        <f>AND(#REF!,"AAAAADa9/z8=")</f>
        <v>#REF!</v>
      </c>
      <c r="BM46" t="e">
        <f>AND(#REF!,"AAAAADa9/0A=")</f>
        <v>#REF!</v>
      </c>
      <c r="BN46" t="e">
        <f>AND(#REF!,"AAAAADa9/0E=")</f>
        <v>#REF!</v>
      </c>
      <c r="BO46" t="e">
        <f>AND(#REF!,"AAAAADa9/0I=")</f>
        <v>#REF!</v>
      </c>
      <c r="BP46" t="e">
        <f>AND(#REF!,"AAAAADa9/0M=")</f>
        <v>#REF!</v>
      </c>
      <c r="BQ46" t="e">
        <f>IF(#REF!,"AAAAADa9/0Q=",0)</f>
        <v>#REF!</v>
      </c>
      <c r="BR46" t="e">
        <f>AND(#REF!,"AAAAADa9/0U=")</f>
        <v>#REF!</v>
      </c>
      <c r="BS46" t="e">
        <f>AND(#REF!,"AAAAADa9/0Y=")</f>
        <v>#REF!</v>
      </c>
      <c r="BT46" t="e">
        <f>AND(#REF!,"AAAAADa9/0c=")</f>
        <v>#REF!</v>
      </c>
      <c r="BU46" t="e">
        <f>AND(#REF!,"AAAAADa9/0g=")</f>
        <v>#REF!</v>
      </c>
      <c r="BV46" t="e">
        <f>AND(#REF!,"AAAAADa9/0k=")</f>
        <v>#REF!</v>
      </c>
      <c r="BW46" t="e">
        <f>AND(#REF!,"AAAAADa9/0o=")</f>
        <v>#REF!</v>
      </c>
      <c r="BX46" t="e">
        <f>AND(#REF!,"AAAAADa9/0s=")</f>
        <v>#REF!</v>
      </c>
      <c r="BY46" t="e">
        <f>AND(#REF!,"AAAAADa9/0w=")</f>
        <v>#REF!</v>
      </c>
      <c r="BZ46" t="e">
        <f>AND(#REF!,"AAAAADa9/00=")</f>
        <v>#REF!</v>
      </c>
      <c r="CA46" t="e">
        <f>AND(#REF!,"AAAAADa9/04=")</f>
        <v>#REF!</v>
      </c>
      <c r="CB46" t="e">
        <f>AND(#REF!,"AAAAADa9/08=")</f>
        <v>#REF!</v>
      </c>
      <c r="CC46" t="e">
        <f>AND(#REF!,"AAAAADa9/1A=")</f>
        <v>#REF!</v>
      </c>
      <c r="CD46" t="e">
        <f>AND(#REF!,"AAAAADa9/1E=")</f>
        <v>#REF!</v>
      </c>
      <c r="CE46" t="e">
        <f>AND(#REF!,"AAAAADa9/1I=")</f>
        <v>#REF!</v>
      </c>
      <c r="CF46" t="e">
        <f>AND(#REF!,"AAAAADa9/1M=")</f>
        <v>#REF!</v>
      </c>
      <c r="CG46" t="e">
        <f>AND(#REF!,"AAAAADa9/1Q=")</f>
        <v>#REF!</v>
      </c>
      <c r="CH46" t="e">
        <f>AND(#REF!,"AAAAADa9/1U=")</f>
        <v>#REF!</v>
      </c>
      <c r="CI46" t="e">
        <f>AND(#REF!,"AAAAADa9/1Y=")</f>
        <v>#REF!</v>
      </c>
      <c r="CJ46" t="e">
        <f>AND(#REF!,"AAAAADa9/1c=")</f>
        <v>#REF!</v>
      </c>
      <c r="CK46" t="e">
        <f>AND(#REF!,"AAAAADa9/1g=")</f>
        <v>#REF!</v>
      </c>
      <c r="CL46" t="e">
        <f>AND(#REF!,"AAAAADa9/1k=")</f>
        <v>#REF!</v>
      </c>
      <c r="CM46" t="e">
        <f>AND(#REF!,"AAAAADa9/1o=")</f>
        <v>#REF!</v>
      </c>
      <c r="CN46" t="e">
        <f>AND(#REF!,"AAAAADa9/1s=")</f>
        <v>#REF!</v>
      </c>
      <c r="CO46" t="e">
        <f>AND(#REF!,"AAAAADa9/1w=")</f>
        <v>#REF!</v>
      </c>
      <c r="CP46" t="e">
        <f>AND(#REF!,"AAAAADa9/10=")</f>
        <v>#REF!</v>
      </c>
      <c r="CQ46" t="e">
        <f>AND(#REF!,"AAAAADa9/14=")</f>
        <v>#REF!</v>
      </c>
      <c r="CR46" t="e">
        <f>AND(#REF!,"AAAAADa9/18=")</f>
        <v>#REF!</v>
      </c>
      <c r="CS46" t="e">
        <f>AND(#REF!,"AAAAADa9/2A=")</f>
        <v>#REF!</v>
      </c>
      <c r="CT46" t="e">
        <f>AND(#REF!,"AAAAADa9/2E=")</f>
        <v>#REF!</v>
      </c>
      <c r="CU46" t="e">
        <f>AND(#REF!,"AAAAADa9/2I=")</f>
        <v>#REF!</v>
      </c>
      <c r="CV46" t="e">
        <f>AND(#REF!,"AAAAADa9/2M=")</f>
        <v>#REF!</v>
      </c>
      <c r="CW46" t="e">
        <f>AND(#REF!,"AAAAADa9/2Q=")</f>
        <v>#REF!</v>
      </c>
      <c r="CX46" t="e">
        <f>AND(#REF!,"AAAAADa9/2U=")</f>
        <v>#REF!</v>
      </c>
      <c r="CY46" t="e">
        <f>AND(#REF!,"AAAAADa9/2Y=")</f>
        <v>#REF!</v>
      </c>
      <c r="CZ46" t="e">
        <f>AND(#REF!,"AAAAADa9/2c=")</f>
        <v>#REF!</v>
      </c>
      <c r="DA46" t="e">
        <f>IF(#REF!,"AAAAADa9/2g=",0)</f>
        <v>#REF!</v>
      </c>
      <c r="DB46" t="e">
        <f>AND(#REF!,"AAAAADa9/2k=")</f>
        <v>#REF!</v>
      </c>
      <c r="DC46" t="e">
        <f>AND(#REF!,"AAAAADa9/2o=")</f>
        <v>#REF!</v>
      </c>
      <c r="DD46" t="e">
        <f>AND(#REF!,"AAAAADa9/2s=")</f>
        <v>#REF!</v>
      </c>
      <c r="DE46" t="e">
        <f>AND(#REF!,"AAAAADa9/2w=")</f>
        <v>#REF!</v>
      </c>
      <c r="DF46" t="e">
        <f>AND(#REF!,"AAAAADa9/20=")</f>
        <v>#REF!</v>
      </c>
      <c r="DG46" t="e">
        <f>AND(#REF!,"AAAAADa9/24=")</f>
        <v>#REF!</v>
      </c>
      <c r="DH46" t="e">
        <f>AND(#REF!,"AAAAADa9/28=")</f>
        <v>#REF!</v>
      </c>
      <c r="DI46" t="e">
        <f>AND(#REF!,"AAAAADa9/3A=")</f>
        <v>#REF!</v>
      </c>
      <c r="DJ46" t="e">
        <f>AND(#REF!,"AAAAADa9/3E=")</f>
        <v>#REF!</v>
      </c>
      <c r="DK46" t="e">
        <f>AND(#REF!,"AAAAADa9/3I=")</f>
        <v>#REF!</v>
      </c>
      <c r="DL46" t="e">
        <f>AND(#REF!,"AAAAADa9/3M=")</f>
        <v>#REF!</v>
      </c>
      <c r="DM46" t="e">
        <f>AND(#REF!,"AAAAADa9/3Q=")</f>
        <v>#REF!</v>
      </c>
      <c r="DN46" t="e">
        <f>AND(#REF!,"AAAAADa9/3U=")</f>
        <v>#REF!</v>
      </c>
      <c r="DO46" t="e">
        <f>AND(#REF!,"AAAAADa9/3Y=")</f>
        <v>#REF!</v>
      </c>
      <c r="DP46" t="e">
        <f>AND(#REF!,"AAAAADa9/3c=")</f>
        <v>#REF!</v>
      </c>
      <c r="DQ46" t="e">
        <f>AND(#REF!,"AAAAADa9/3g=")</f>
        <v>#REF!</v>
      </c>
      <c r="DR46" t="e">
        <f>AND(#REF!,"AAAAADa9/3k=")</f>
        <v>#REF!</v>
      </c>
      <c r="DS46" t="e">
        <f>AND(#REF!,"AAAAADa9/3o=")</f>
        <v>#REF!</v>
      </c>
      <c r="DT46" t="e">
        <f>AND(#REF!,"AAAAADa9/3s=")</f>
        <v>#REF!</v>
      </c>
      <c r="DU46" t="e">
        <f>AND(#REF!,"AAAAADa9/3w=")</f>
        <v>#REF!</v>
      </c>
      <c r="DV46" t="e">
        <f>AND(#REF!,"AAAAADa9/30=")</f>
        <v>#REF!</v>
      </c>
      <c r="DW46" t="e">
        <f>AND(#REF!,"AAAAADa9/34=")</f>
        <v>#REF!</v>
      </c>
      <c r="DX46" t="e">
        <f>AND(#REF!,"AAAAADa9/38=")</f>
        <v>#REF!</v>
      </c>
      <c r="DY46" t="e">
        <f>AND(#REF!,"AAAAADa9/4A=")</f>
        <v>#REF!</v>
      </c>
      <c r="DZ46" t="e">
        <f>AND(#REF!,"AAAAADa9/4E=")</f>
        <v>#REF!</v>
      </c>
      <c r="EA46" t="e">
        <f>AND(#REF!,"AAAAADa9/4I=")</f>
        <v>#REF!</v>
      </c>
      <c r="EB46" t="e">
        <f>AND(#REF!,"AAAAADa9/4M=")</f>
        <v>#REF!</v>
      </c>
      <c r="EC46" t="e">
        <f>AND(#REF!,"AAAAADa9/4Q=")</f>
        <v>#REF!</v>
      </c>
      <c r="ED46" t="e">
        <f>AND(#REF!,"AAAAADa9/4U=")</f>
        <v>#REF!</v>
      </c>
      <c r="EE46" t="e">
        <f>AND(#REF!,"AAAAADa9/4Y=")</f>
        <v>#REF!</v>
      </c>
      <c r="EF46" t="e">
        <f>AND(#REF!,"AAAAADa9/4c=")</f>
        <v>#REF!</v>
      </c>
      <c r="EG46" t="e">
        <f>AND(#REF!,"AAAAADa9/4g=")</f>
        <v>#REF!</v>
      </c>
      <c r="EH46" t="e">
        <f>AND(#REF!,"AAAAADa9/4k=")</f>
        <v>#REF!</v>
      </c>
      <c r="EI46" t="e">
        <f>AND(#REF!,"AAAAADa9/4o=")</f>
        <v>#REF!</v>
      </c>
      <c r="EJ46" t="e">
        <f>AND(#REF!,"AAAAADa9/4s=")</f>
        <v>#REF!</v>
      </c>
      <c r="EK46" t="e">
        <f>IF(#REF!,"AAAAADa9/4w=",0)</f>
        <v>#REF!</v>
      </c>
      <c r="EL46" t="e">
        <f>AND(#REF!,"AAAAADa9/40=")</f>
        <v>#REF!</v>
      </c>
      <c r="EM46" t="e">
        <f>AND(#REF!,"AAAAADa9/44=")</f>
        <v>#REF!</v>
      </c>
      <c r="EN46" t="e">
        <f>AND(#REF!,"AAAAADa9/48=")</f>
        <v>#REF!</v>
      </c>
      <c r="EO46" t="e">
        <f>AND(#REF!,"AAAAADa9/5A=")</f>
        <v>#REF!</v>
      </c>
      <c r="EP46" t="e">
        <f>AND(#REF!,"AAAAADa9/5E=")</f>
        <v>#REF!</v>
      </c>
      <c r="EQ46" t="e">
        <f>AND(#REF!,"AAAAADa9/5I=")</f>
        <v>#REF!</v>
      </c>
      <c r="ER46" t="e">
        <f>AND(#REF!,"AAAAADa9/5M=")</f>
        <v>#REF!</v>
      </c>
      <c r="ES46" t="e">
        <f>AND(#REF!,"AAAAADa9/5Q=")</f>
        <v>#REF!</v>
      </c>
      <c r="ET46" t="e">
        <f>AND(#REF!,"AAAAADa9/5U=")</f>
        <v>#REF!</v>
      </c>
      <c r="EU46" t="e">
        <f>AND(#REF!,"AAAAADa9/5Y=")</f>
        <v>#REF!</v>
      </c>
      <c r="EV46" t="e">
        <f>AND(#REF!,"AAAAADa9/5c=")</f>
        <v>#REF!</v>
      </c>
      <c r="EW46" t="e">
        <f>AND(#REF!,"AAAAADa9/5g=")</f>
        <v>#REF!</v>
      </c>
      <c r="EX46" t="e">
        <f>AND(#REF!,"AAAAADa9/5k=")</f>
        <v>#REF!</v>
      </c>
      <c r="EY46" t="e">
        <f>AND(#REF!,"AAAAADa9/5o=")</f>
        <v>#REF!</v>
      </c>
      <c r="EZ46" t="e">
        <f>AND(#REF!,"AAAAADa9/5s=")</f>
        <v>#REF!</v>
      </c>
      <c r="FA46" t="e">
        <f>AND(#REF!,"AAAAADa9/5w=")</f>
        <v>#REF!</v>
      </c>
      <c r="FB46" t="e">
        <f>AND(#REF!,"AAAAADa9/50=")</f>
        <v>#REF!</v>
      </c>
      <c r="FC46" t="e">
        <f>AND(#REF!,"AAAAADa9/54=")</f>
        <v>#REF!</v>
      </c>
      <c r="FD46" t="e">
        <f>AND(#REF!,"AAAAADa9/58=")</f>
        <v>#REF!</v>
      </c>
      <c r="FE46" t="e">
        <f>AND(#REF!,"AAAAADa9/6A=")</f>
        <v>#REF!</v>
      </c>
      <c r="FF46" t="e">
        <f>AND(#REF!,"AAAAADa9/6E=")</f>
        <v>#REF!</v>
      </c>
      <c r="FG46" t="e">
        <f>AND(#REF!,"AAAAADa9/6I=")</f>
        <v>#REF!</v>
      </c>
      <c r="FH46" t="e">
        <f>AND(#REF!,"AAAAADa9/6M=")</f>
        <v>#REF!</v>
      </c>
      <c r="FI46" t="e">
        <f>AND(#REF!,"AAAAADa9/6Q=")</f>
        <v>#REF!</v>
      </c>
      <c r="FJ46" t="e">
        <f>AND(#REF!,"AAAAADa9/6U=")</f>
        <v>#REF!</v>
      </c>
      <c r="FK46" t="e">
        <f>AND(#REF!,"AAAAADa9/6Y=")</f>
        <v>#REF!</v>
      </c>
      <c r="FL46" t="e">
        <f>AND(#REF!,"AAAAADa9/6c=")</f>
        <v>#REF!</v>
      </c>
      <c r="FM46" t="e">
        <f>AND(#REF!,"AAAAADa9/6g=")</f>
        <v>#REF!</v>
      </c>
      <c r="FN46" t="e">
        <f>AND(#REF!,"AAAAADa9/6k=")</f>
        <v>#REF!</v>
      </c>
      <c r="FO46" t="e">
        <f>AND(#REF!,"AAAAADa9/6o=")</f>
        <v>#REF!</v>
      </c>
      <c r="FP46" t="e">
        <f>AND(#REF!,"AAAAADa9/6s=")</f>
        <v>#REF!</v>
      </c>
      <c r="FQ46" t="e">
        <f>AND(#REF!,"AAAAADa9/6w=")</f>
        <v>#REF!</v>
      </c>
      <c r="FR46" t="e">
        <f>AND(#REF!,"AAAAADa9/60=")</f>
        <v>#REF!</v>
      </c>
      <c r="FS46" t="e">
        <f>AND(#REF!,"AAAAADa9/64=")</f>
        <v>#REF!</v>
      </c>
      <c r="FT46" t="e">
        <f>AND(#REF!,"AAAAADa9/68=")</f>
        <v>#REF!</v>
      </c>
      <c r="FU46" t="e">
        <f>IF(#REF!,"AAAAADa9/7A=",0)</f>
        <v>#REF!</v>
      </c>
      <c r="FV46" t="e">
        <f>AND(#REF!,"AAAAADa9/7E=")</f>
        <v>#REF!</v>
      </c>
      <c r="FW46" t="e">
        <f>AND(#REF!,"AAAAADa9/7I=")</f>
        <v>#REF!</v>
      </c>
      <c r="FX46" t="e">
        <f>AND(#REF!,"AAAAADa9/7M=")</f>
        <v>#REF!</v>
      </c>
      <c r="FY46" t="e">
        <f>AND(#REF!,"AAAAADa9/7Q=")</f>
        <v>#REF!</v>
      </c>
      <c r="FZ46" t="e">
        <f>AND(#REF!,"AAAAADa9/7U=")</f>
        <v>#REF!</v>
      </c>
      <c r="GA46" t="e">
        <f>AND(#REF!,"AAAAADa9/7Y=")</f>
        <v>#REF!</v>
      </c>
      <c r="GB46" t="e">
        <f>AND(#REF!,"AAAAADa9/7c=")</f>
        <v>#REF!</v>
      </c>
      <c r="GC46" t="e">
        <f>AND(#REF!,"AAAAADa9/7g=")</f>
        <v>#REF!</v>
      </c>
      <c r="GD46" t="e">
        <f>AND(#REF!,"AAAAADa9/7k=")</f>
        <v>#REF!</v>
      </c>
      <c r="GE46" t="e">
        <f>AND(#REF!,"AAAAADa9/7o=")</f>
        <v>#REF!</v>
      </c>
      <c r="GF46" t="e">
        <f>AND(#REF!,"AAAAADa9/7s=")</f>
        <v>#REF!</v>
      </c>
      <c r="GG46" t="e">
        <f>AND(#REF!,"AAAAADa9/7w=")</f>
        <v>#REF!</v>
      </c>
      <c r="GH46" t="e">
        <f>AND(#REF!,"AAAAADa9/70=")</f>
        <v>#REF!</v>
      </c>
      <c r="GI46" t="e">
        <f>AND(#REF!,"AAAAADa9/74=")</f>
        <v>#REF!</v>
      </c>
      <c r="GJ46" t="e">
        <f>AND(#REF!,"AAAAADa9/78=")</f>
        <v>#REF!</v>
      </c>
      <c r="GK46" t="e">
        <f>AND(#REF!,"AAAAADa9/8A=")</f>
        <v>#REF!</v>
      </c>
      <c r="GL46" t="e">
        <f>AND(#REF!,"AAAAADa9/8E=")</f>
        <v>#REF!</v>
      </c>
      <c r="GM46" t="e">
        <f>AND(#REF!,"AAAAADa9/8I=")</f>
        <v>#REF!</v>
      </c>
      <c r="GN46" t="e">
        <f>AND(#REF!,"AAAAADa9/8M=")</f>
        <v>#REF!</v>
      </c>
      <c r="GO46" t="e">
        <f>AND(#REF!,"AAAAADa9/8Q=")</f>
        <v>#REF!</v>
      </c>
      <c r="GP46" t="e">
        <f>AND(#REF!,"AAAAADa9/8U=")</f>
        <v>#REF!</v>
      </c>
      <c r="GQ46" t="e">
        <f>AND(#REF!,"AAAAADa9/8Y=")</f>
        <v>#REF!</v>
      </c>
      <c r="GR46" t="e">
        <f>AND(#REF!,"AAAAADa9/8c=")</f>
        <v>#REF!</v>
      </c>
      <c r="GS46" t="e">
        <f>AND(#REF!,"AAAAADa9/8g=")</f>
        <v>#REF!</v>
      </c>
      <c r="GT46" t="e">
        <f>AND(#REF!,"AAAAADa9/8k=")</f>
        <v>#REF!</v>
      </c>
      <c r="GU46" t="e">
        <f>AND(#REF!,"AAAAADa9/8o=")</f>
        <v>#REF!</v>
      </c>
      <c r="GV46" t="e">
        <f>AND(#REF!,"AAAAADa9/8s=")</f>
        <v>#REF!</v>
      </c>
      <c r="GW46" t="e">
        <f>AND(#REF!,"AAAAADa9/8w=")</f>
        <v>#REF!</v>
      </c>
      <c r="GX46" t="e">
        <f>AND(#REF!,"AAAAADa9/80=")</f>
        <v>#REF!</v>
      </c>
      <c r="GY46" t="e">
        <f>AND(#REF!,"AAAAADa9/84=")</f>
        <v>#REF!</v>
      </c>
      <c r="GZ46" t="e">
        <f>AND(#REF!,"AAAAADa9/88=")</f>
        <v>#REF!</v>
      </c>
      <c r="HA46" t="e">
        <f>AND(#REF!,"AAAAADa9/9A=")</f>
        <v>#REF!</v>
      </c>
      <c r="HB46" t="e">
        <f>AND(#REF!,"AAAAADa9/9E=")</f>
        <v>#REF!</v>
      </c>
      <c r="HC46" t="e">
        <f>AND(#REF!,"AAAAADa9/9I=")</f>
        <v>#REF!</v>
      </c>
      <c r="HD46" t="e">
        <f>AND(#REF!,"AAAAADa9/9M=")</f>
        <v>#REF!</v>
      </c>
      <c r="HE46" t="e">
        <f>IF(#REF!,"AAAAADa9/9Q=",0)</f>
        <v>#REF!</v>
      </c>
      <c r="HF46" t="e">
        <f>AND(#REF!,"AAAAADa9/9U=")</f>
        <v>#REF!</v>
      </c>
      <c r="HG46" t="e">
        <f>AND(#REF!,"AAAAADa9/9Y=")</f>
        <v>#REF!</v>
      </c>
      <c r="HH46" t="e">
        <f>AND(#REF!,"AAAAADa9/9c=")</f>
        <v>#REF!</v>
      </c>
      <c r="HI46" t="e">
        <f>AND(#REF!,"AAAAADa9/9g=")</f>
        <v>#REF!</v>
      </c>
      <c r="HJ46" t="e">
        <f>AND(#REF!,"AAAAADa9/9k=")</f>
        <v>#REF!</v>
      </c>
      <c r="HK46" t="e">
        <f>AND(#REF!,"AAAAADa9/9o=")</f>
        <v>#REF!</v>
      </c>
      <c r="HL46" t="e">
        <f>AND(#REF!,"AAAAADa9/9s=")</f>
        <v>#REF!</v>
      </c>
      <c r="HM46" t="e">
        <f>AND(#REF!,"AAAAADa9/9w=")</f>
        <v>#REF!</v>
      </c>
      <c r="HN46" t="e">
        <f>AND(#REF!,"AAAAADa9/90=")</f>
        <v>#REF!</v>
      </c>
      <c r="HO46" t="e">
        <f>AND(#REF!,"AAAAADa9/94=")</f>
        <v>#REF!</v>
      </c>
      <c r="HP46" t="e">
        <f>AND(#REF!,"AAAAADa9/98=")</f>
        <v>#REF!</v>
      </c>
      <c r="HQ46" t="e">
        <f>AND(#REF!,"AAAAADa9/+A=")</f>
        <v>#REF!</v>
      </c>
      <c r="HR46" t="e">
        <f>AND(#REF!,"AAAAADa9/+E=")</f>
        <v>#REF!</v>
      </c>
      <c r="HS46" t="e">
        <f>AND(#REF!,"AAAAADa9/+I=")</f>
        <v>#REF!</v>
      </c>
      <c r="HT46" t="e">
        <f>AND(#REF!,"AAAAADa9/+M=")</f>
        <v>#REF!</v>
      </c>
      <c r="HU46" t="e">
        <f>AND(#REF!,"AAAAADa9/+Q=")</f>
        <v>#REF!</v>
      </c>
      <c r="HV46" t="e">
        <f>AND(#REF!,"AAAAADa9/+U=")</f>
        <v>#REF!</v>
      </c>
      <c r="HW46" t="e">
        <f>AND(#REF!,"AAAAADa9/+Y=")</f>
        <v>#REF!</v>
      </c>
      <c r="HX46" t="e">
        <f>AND(#REF!,"AAAAADa9/+c=")</f>
        <v>#REF!</v>
      </c>
      <c r="HY46" t="e">
        <f>AND(#REF!,"AAAAADa9/+g=")</f>
        <v>#REF!</v>
      </c>
      <c r="HZ46" t="e">
        <f>AND(#REF!,"AAAAADa9/+k=")</f>
        <v>#REF!</v>
      </c>
      <c r="IA46" t="e">
        <f>AND(#REF!,"AAAAADa9/+o=")</f>
        <v>#REF!</v>
      </c>
      <c r="IB46" t="e">
        <f>AND(#REF!,"AAAAADa9/+s=")</f>
        <v>#REF!</v>
      </c>
      <c r="IC46" t="e">
        <f>AND(#REF!,"AAAAADa9/+w=")</f>
        <v>#REF!</v>
      </c>
      <c r="ID46" t="e">
        <f>AND(#REF!,"AAAAADa9/+0=")</f>
        <v>#REF!</v>
      </c>
      <c r="IE46" t="e">
        <f>AND(#REF!,"AAAAADa9/+4=")</f>
        <v>#REF!</v>
      </c>
      <c r="IF46" t="e">
        <f>AND(#REF!,"AAAAADa9/+8=")</f>
        <v>#REF!</v>
      </c>
      <c r="IG46" t="e">
        <f>AND(#REF!,"AAAAADa9//A=")</f>
        <v>#REF!</v>
      </c>
      <c r="IH46" t="e">
        <f>AND(#REF!,"AAAAADa9//E=")</f>
        <v>#REF!</v>
      </c>
      <c r="II46" t="e">
        <f>AND(#REF!,"AAAAADa9//I=")</f>
        <v>#REF!</v>
      </c>
      <c r="IJ46" t="e">
        <f>AND(#REF!,"AAAAADa9//M=")</f>
        <v>#REF!</v>
      </c>
      <c r="IK46" t="e">
        <f>AND(#REF!,"AAAAADa9//Q=")</f>
        <v>#REF!</v>
      </c>
      <c r="IL46" t="e">
        <f>AND(#REF!,"AAAAADa9//U=")</f>
        <v>#REF!</v>
      </c>
      <c r="IM46" t="e">
        <f>AND(#REF!,"AAAAADa9//Y=")</f>
        <v>#REF!</v>
      </c>
      <c r="IN46" t="e">
        <f>AND(#REF!,"AAAAADa9//c=")</f>
        <v>#REF!</v>
      </c>
      <c r="IO46" t="e">
        <f>IF(#REF!,"AAAAADa9//g=",0)</f>
        <v>#REF!</v>
      </c>
      <c r="IP46" t="e">
        <f>AND(#REF!,"AAAAADa9//k=")</f>
        <v>#REF!</v>
      </c>
      <c r="IQ46" t="e">
        <f>AND(#REF!,"AAAAADa9//o=")</f>
        <v>#REF!</v>
      </c>
      <c r="IR46" t="e">
        <f>AND(#REF!,"AAAAADa9//s=")</f>
        <v>#REF!</v>
      </c>
      <c r="IS46" t="e">
        <f>AND(#REF!,"AAAAADa9//w=")</f>
        <v>#REF!</v>
      </c>
      <c r="IT46" t="e">
        <f>AND(#REF!,"AAAAADa9//0=")</f>
        <v>#REF!</v>
      </c>
      <c r="IU46" t="e">
        <f>AND(#REF!,"AAAAADa9//4=")</f>
        <v>#REF!</v>
      </c>
      <c r="IV46" t="e">
        <f>AND(#REF!,"AAAAADa9//8=")</f>
        <v>#REF!</v>
      </c>
    </row>
    <row r="47" spans="1:256">
      <c r="A47" t="e">
        <f>AND(#REF!,"AAAAAFaX7gA=")</f>
        <v>#REF!</v>
      </c>
      <c r="B47" t="e">
        <f>AND(#REF!,"AAAAAFaX7gE=")</f>
        <v>#REF!</v>
      </c>
      <c r="C47" t="e">
        <f>AND(#REF!,"AAAAAFaX7gI=")</f>
        <v>#REF!</v>
      </c>
      <c r="D47" t="e">
        <f>AND(#REF!,"AAAAAFaX7gM=")</f>
        <v>#REF!</v>
      </c>
      <c r="E47" t="e">
        <f>AND(#REF!,"AAAAAFaX7gQ=")</f>
        <v>#REF!</v>
      </c>
      <c r="F47" t="e">
        <f>AND(#REF!,"AAAAAFaX7gU=")</f>
        <v>#REF!</v>
      </c>
      <c r="G47" t="e">
        <f>AND(#REF!,"AAAAAFaX7gY=")</f>
        <v>#REF!</v>
      </c>
      <c r="H47" t="e">
        <f>AND(#REF!,"AAAAAFaX7gc=")</f>
        <v>#REF!</v>
      </c>
      <c r="I47" t="e">
        <f>AND(#REF!,"AAAAAFaX7gg=")</f>
        <v>#REF!</v>
      </c>
      <c r="J47" t="e">
        <f>AND(#REF!,"AAAAAFaX7gk=")</f>
        <v>#REF!</v>
      </c>
      <c r="K47" t="e">
        <f>AND(#REF!,"AAAAAFaX7go=")</f>
        <v>#REF!</v>
      </c>
      <c r="L47" t="e">
        <f>AND(#REF!,"AAAAAFaX7gs=")</f>
        <v>#REF!</v>
      </c>
      <c r="M47" t="e">
        <f>AND(#REF!,"AAAAAFaX7gw=")</f>
        <v>#REF!</v>
      </c>
      <c r="N47" t="e">
        <f>AND(#REF!,"AAAAAFaX7g0=")</f>
        <v>#REF!</v>
      </c>
      <c r="O47" t="e">
        <f>AND(#REF!,"AAAAAFaX7g4=")</f>
        <v>#REF!</v>
      </c>
      <c r="P47" t="e">
        <f>AND(#REF!,"AAAAAFaX7g8=")</f>
        <v>#REF!</v>
      </c>
      <c r="Q47" t="e">
        <f>AND(#REF!,"AAAAAFaX7hA=")</f>
        <v>#REF!</v>
      </c>
      <c r="R47" t="e">
        <f>AND(#REF!,"AAAAAFaX7hE=")</f>
        <v>#REF!</v>
      </c>
      <c r="S47" t="e">
        <f>AND(#REF!,"AAAAAFaX7hI=")</f>
        <v>#REF!</v>
      </c>
      <c r="T47" t="e">
        <f>AND(#REF!,"AAAAAFaX7hM=")</f>
        <v>#REF!</v>
      </c>
      <c r="U47" t="e">
        <f>AND(#REF!,"AAAAAFaX7hQ=")</f>
        <v>#REF!</v>
      </c>
      <c r="V47" t="e">
        <f>AND(#REF!,"AAAAAFaX7hU=")</f>
        <v>#REF!</v>
      </c>
      <c r="W47" t="e">
        <f>AND(#REF!,"AAAAAFaX7hY=")</f>
        <v>#REF!</v>
      </c>
      <c r="X47" t="e">
        <f>AND(#REF!,"AAAAAFaX7hc=")</f>
        <v>#REF!</v>
      </c>
      <c r="Y47" t="e">
        <f>AND(#REF!,"AAAAAFaX7hg=")</f>
        <v>#REF!</v>
      </c>
      <c r="Z47" t="e">
        <f>AND(#REF!,"AAAAAFaX7hk=")</f>
        <v>#REF!</v>
      </c>
      <c r="AA47" t="e">
        <f>AND(#REF!,"AAAAAFaX7ho=")</f>
        <v>#REF!</v>
      </c>
      <c r="AB47" t="e">
        <f>AND(#REF!,"AAAAAFaX7hs=")</f>
        <v>#REF!</v>
      </c>
      <c r="AC47" t="e">
        <f>IF(#REF!,"AAAAAFaX7hw=",0)</f>
        <v>#REF!</v>
      </c>
      <c r="AD47" t="e">
        <f>AND(#REF!,"AAAAAFaX7h0=")</f>
        <v>#REF!</v>
      </c>
      <c r="AE47" t="e">
        <f>AND(#REF!,"AAAAAFaX7h4=")</f>
        <v>#REF!</v>
      </c>
      <c r="AF47" t="e">
        <f>AND(#REF!,"AAAAAFaX7h8=")</f>
        <v>#REF!</v>
      </c>
      <c r="AG47" t="e">
        <f>AND(#REF!,"AAAAAFaX7iA=")</f>
        <v>#REF!</v>
      </c>
      <c r="AH47" t="e">
        <f>AND(#REF!,"AAAAAFaX7iE=")</f>
        <v>#REF!</v>
      </c>
      <c r="AI47" t="e">
        <f>AND(#REF!,"AAAAAFaX7iI=")</f>
        <v>#REF!</v>
      </c>
      <c r="AJ47" t="e">
        <f>AND(#REF!,"AAAAAFaX7iM=")</f>
        <v>#REF!</v>
      </c>
      <c r="AK47" t="e">
        <f>AND(#REF!,"AAAAAFaX7iQ=")</f>
        <v>#REF!</v>
      </c>
      <c r="AL47" t="e">
        <f>AND(#REF!,"AAAAAFaX7iU=")</f>
        <v>#REF!</v>
      </c>
      <c r="AM47" t="e">
        <f>AND(#REF!,"AAAAAFaX7iY=")</f>
        <v>#REF!</v>
      </c>
      <c r="AN47" t="e">
        <f>AND(#REF!,"AAAAAFaX7ic=")</f>
        <v>#REF!</v>
      </c>
      <c r="AO47" t="e">
        <f>AND(#REF!,"AAAAAFaX7ig=")</f>
        <v>#REF!</v>
      </c>
      <c r="AP47" t="e">
        <f>AND(#REF!,"AAAAAFaX7ik=")</f>
        <v>#REF!</v>
      </c>
      <c r="AQ47" t="e">
        <f>AND(#REF!,"AAAAAFaX7io=")</f>
        <v>#REF!</v>
      </c>
      <c r="AR47" t="e">
        <f>AND(#REF!,"AAAAAFaX7is=")</f>
        <v>#REF!</v>
      </c>
      <c r="AS47" t="e">
        <f>AND(#REF!,"AAAAAFaX7iw=")</f>
        <v>#REF!</v>
      </c>
      <c r="AT47" t="e">
        <f>AND(#REF!,"AAAAAFaX7i0=")</f>
        <v>#REF!</v>
      </c>
      <c r="AU47" t="e">
        <f>AND(#REF!,"AAAAAFaX7i4=")</f>
        <v>#REF!</v>
      </c>
      <c r="AV47" t="e">
        <f>AND(#REF!,"AAAAAFaX7i8=")</f>
        <v>#REF!</v>
      </c>
      <c r="AW47" t="e">
        <f>AND(#REF!,"AAAAAFaX7jA=")</f>
        <v>#REF!</v>
      </c>
      <c r="AX47" t="e">
        <f>AND(#REF!,"AAAAAFaX7jE=")</f>
        <v>#REF!</v>
      </c>
      <c r="AY47" t="e">
        <f>AND(#REF!,"AAAAAFaX7jI=")</f>
        <v>#REF!</v>
      </c>
      <c r="AZ47" t="e">
        <f>AND(#REF!,"AAAAAFaX7jM=")</f>
        <v>#REF!</v>
      </c>
      <c r="BA47" t="e">
        <f>AND(#REF!,"AAAAAFaX7jQ=")</f>
        <v>#REF!</v>
      </c>
      <c r="BB47" t="e">
        <f>AND(#REF!,"AAAAAFaX7jU=")</f>
        <v>#REF!</v>
      </c>
      <c r="BC47" t="e">
        <f>AND(#REF!,"AAAAAFaX7jY=")</f>
        <v>#REF!</v>
      </c>
      <c r="BD47" t="e">
        <f>AND(#REF!,"AAAAAFaX7jc=")</f>
        <v>#REF!</v>
      </c>
      <c r="BE47" t="e">
        <f>AND(#REF!,"AAAAAFaX7jg=")</f>
        <v>#REF!</v>
      </c>
      <c r="BF47" t="e">
        <f>AND(#REF!,"AAAAAFaX7jk=")</f>
        <v>#REF!</v>
      </c>
      <c r="BG47" t="e">
        <f>AND(#REF!,"AAAAAFaX7jo=")</f>
        <v>#REF!</v>
      </c>
      <c r="BH47" t="e">
        <f>AND(#REF!,"AAAAAFaX7js=")</f>
        <v>#REF!</v>
      </c>
      <c r="BI47" t="e">
        <f>AND(#REF!,"AAAAAFaX7jw=")</f>
        <v>#REF!</v>
      </c>
      <c r="BJ47" t="e">
        <f>AND(#REF!,"AAAAAFaX7j0=")</f>
        <v>#REF!</v>
      </c>
      <c r="BK47" t="e">
        <f>AND(#REF!,"AAAAAFaX7j4=")</f>
        <v>#REF!</v>
      </c>
      <c r="BL47" t="e">
        <f>AND(#REF!,"AAAAAFaX7j8=")</f>
        <v>#REF!</v>
      </c>
      <c r="BM47" t="e">
        <f>IF(#REF!,"AAAAAFaX7kA=",0)</f>
        <v>#REF!</v>
      </c>
      <c r="BN47" t="e">
        <f>AND(#REF!,"AAAAAFaX7kE=")</f>
        <v>#REF!</v>
      </c>
      <c r="BO47" t="e">
        <f>AND(#REF!,"AAAAAFaX7kI=")</f>
        <v>#REF!</v>
      </c>
      <c r="BP47" t="e">
        <f>AND(#REF!,"AAAAAFaX7kM=")</f>
        <v>#REF!</v>
      </c>
      <c r="BQ47" t="e">
        <f>AND(#REF!,"AAAAAFaX7kQ=")</f>
        <v>#REF!</v>
      </c>
      <c r="BR47" t="e">
        <f>AND(#REF!,"AAAAAFaX7kU=")</f>
        <v>#REF!</v>
      </c>
      <c r="BS47" t="e">
        <f>AND(#REF!,"AAAAAFaX7kY=")</f>
        <v>#REF!</v>
      </c>
      <c r="BT47" t="e">
        <f>AND(#REF!,"AAAAAFaX7kc=")</f>
        <v>#REF!</v>
      </c>
      <c r="BU47" t="e">
        <f>AND(#REF!,"AAAAAFaX7kg=")</f>
        <v>#REF!</v>
      </c>
      <c r="BV47" t="e">
        <f>AND(#REF!,"AAAAAFaX7kk=")</f>
        <v>#REF!</v>
      </c>
      <c r="BW47" t="e">
        <f>AND(#REF!,"AAAAAFaX7ko=")</f>
        <v>#REF!</v>
      </c>
      <c r="BX47" t="e">
        <f>AND(#REF!,"AAAAAFaX7ks=")</f>
        <v>#REF!</v>
      </c>
      <c r="BY47" t="e">
        <f>AND(#REF!,"AAAAAFaX7kw=")</f>
        <v>#REF!</v>
      </c>
      <c r="BZ47" t="e">
        <f>AND(#REF!,"AAAAAFaX7k0=")</f>
        <v>#REF!</v>
      </c>
      <c r="CA47" t="e">
        <f>AND(#REF!,"AAAAAFaX7k4=")</f>
        <v>#REF!</v>
      </c>
      <c r="CB47" t="e">
        <f>AND(#REF!,"AAAAAFaX7k8=")</f>
        <v>#REF!</v>
      </c>
      <c r="CC47" t="e">
        <f>AND(#REF!,"AAAAAFaX7lA=")</f>
        <v>#REF!</v>
      </c>
      <c r="CD47" t="e">
        <f>AND(#REF!,"AAAAAFaX7lE=")</f>
        <v>#REF!</v>
      </c>
      <c r="CE47" t="e">
        <f>AND(#REF!,"AAAAAFaX7lI=")</f>
        <v>#REF!</v>
      </c>
      <c r="CF47" t="e">
        <f>AND(#REF!,"AAAAAFaX7lM=")</f>
        <v>#REF!</v>
      </c>
      <c r="CG47" t="e">
        <f>AND(#REF!,"AAAAAFaX7lQ=")</f>
        <v>#REF!</v>
      </c>
      <c r="CH47" t="e">
        <f>AND(#REF!,"AAAAAFaX7lU=")</f>
        <v>#REF!</v>
      </c>
      <c r="CI47" t="e">
        <f>AND(#REF!,"AAAAAFaX7lY=")</f>
        <v>#REF!</v>
      </c>
      <c r="CJ47" t="e">
        <f>AND(#REF!,"AAAAAFaX7lc=")</f>
        <v>#REF!</v>
      </c>
      <c r="CK47" t="e">
        <f>AND(#REF!,"AAAAAFaX7lg=")</f>
        <v>#REF!</v>
      </c>
      <c r="CL47" t="e">
        <f>AND(#REF!,"AAAAAFaX7lk=")</f>
        <v>#REF!</v>
      </c>
      <c r="CM47" t="e">
        <f>AND(#REF!,"AAAAAFaX7lo=")</f>
        <v>#REF!</v>
      </c>
      <c r="CN47" t="e">
        <f>AND(#REF!,"AAAAAFaX7ls=")</f>
        <v>#REF!</v>
      </c>
      <c r="CO47" t="e">
        <f>AND(#REF!,"AAAAAFaX7lw=")</f>
        <v>#REF!</v>
      </c>
      <c r="CP47" t="e">
        <f>AND(#REF!,"AAAAAFaX7l0=")</f>
        <v>#REF!</v>
      </c>
      <c r="CQ47" t="e">
        <f>AND(#REF!,"AAAAAFaX7l4=")</f>
        <v>#REF!</v>
      </c>
      <c r="CR47" t="e">
        <f>AND(#REF!,"AAAAAFaX7l8=")</f>
        <v>#REF!</v>
      </c>
      <c r="CS47" t="e">
        <f>AND(#REF!,"AAAAAFaX7mA=")</f>
        <v>#REF!</v>
      </c>
      <c r="CT47" t="e">
        <f>AND(#REF!,"AAAAAFaX7mE=")</f>
        <v>#REF!</v>
      </c>
      <c r="CU47" t="e">
        <f>AND(#REF!,"AAAAAFaX7mI=")</f>
        <v>#REF!</v>
      </c>
      <c r="CV47" t="e">
        <f>AND(#REF!,"AAAAAFaX7mM=")</f>
        <v>#REF!</v>
      </c>
      <c r="CW47" t="e">
        <f>IF(#REF!,"AAAAAFaX7mQ=",0)</f>
        <v>#REF!</v>
      </c>
      <c r="CX47" t="e">
        <f>AND(#REF!,"AAAAAFaX7mU=")</f>
        <v>#REF!</v>
      </c>
      <c r="CY47" t="e">
        <f>AND(#REF!,"AAAAAFaX7mY=")</f>
        <v>#REF!</v>
      </c>
      <c r="CZ47" t="e">
        <f>AND(#REF!,"AAAAAFaX7mc=")</f>
        <v>#REF!</v>
      </c>
      <c r="DA47" t="e">
        <f>AND(#REF!,"AAAAAFaX7mg=")</f>
        <v>#REF!</v>
      </c>
      <c r="DB47" t="e">
        <f>AND(#REF!,"AAAAAFaX7mk=")</f>
        <v>#REF!</v>
      </c>
      <c r="DC47" t="e">
        <f>AND(#REF!,"AAAAAFaX7mo=")</f>
        <v>#REF!</v>
      </c>
      <c r="DD47" t="e">
        <f>AND(#REF!,"AAAAAFaX7ms=")</f>
        <v>#REF!</v>
      </c>
      <c r="DE47" t="e">
        <f>AND(#REF!,"AAAAAFaX7mw=")</f>
        <v>#REF!</v>
      </c>
      <c r="DF47" t="e">
        <f>AND(#REF!,"AAAAAFaX7m0=")</f>
        <v>#REF!</v>
      </c>
      <c r="DG47" t="e">
        <f>AND(#REF!,"AAAAAFaX7m4=")</f>
        <v>#REF!</v>
      </c>
      <c r="DH47" t="e">
        <f>AND(#REF!,"AAAAAFaX7m8=")</f>
        <v>#REF!</v>
      </c>
      <c r="DI47" t="e">
        <f>AND(#REF!,"AAAAAFaX7nA=")</f>
        <v>#REF!</v>
      </c>
      <c r="DJ47" t="e">
        <f>AND(#REF!,"AAAAAFaX7nE=")</f>
        <v>#REF!</v>
      </c>
      <c r="DK47" t="e">
        <f>AND(#REF!,"AAAAAFaX7nI=")</f>
        <v>#REF!</v>
      </c>
      <c r="DL47" t="e">
        <f>AND(#REF!,"AAAAAFaX7nM=")</f>
        <v>#REF!</v>
      </c>
      <c r="DM47" t="e">
        <f>AND(#REF!,"AAAAAFaX7nQ=")</f>
        <v>#REF!</v>
      </c>
      <c r="DN47" t="e">
        <f>AND(#REF!,"AAAAAFaX7nU=")</f>
        <v>#REF!</v>
      </c>
      <c r="DO47" t="e">
        <f>AND(#REF!,"AAAAAFaX7nY=")</f>
        <v>#REF!</v>
      </c>
      <c r="DP47" t="e">
        <f>AND(#REF!,"AAAAAFaX7nc=")</f>
        <v>#REF!</v>
      </c>
      <c r="DQ47" t="e">
        <f>AND(#REF!,"AAAAAFaX7ng=")</f>
        <v>#REF!</v>
      </c>
      <c r="DR47" t="e">
        <f>AND(#REF!,"AAAAAFaX7nk=")</f>
        <v>#REF!</v>
      </c>
      <c r="DS47" t="e">
        <f>AND(#REF!,"AAAAAFaX7no=")</f>
        <v>#REF!</v>
      </c>
      <c r="DT47" t="e">
        <f>AND(#REF!,"AAAAAFaX7ns=")</f>
        <v>#REF!</v>
      </c>
      <c r="DU47" t="e">
        <f>AND(#REF!,"AAAAAFaX7nw=")</f>
        <v>#REF!</v>
      </c>
      <c r="DV47" t="e">
        <f>AND(#REF!,"AAAAAFaX7n0=")</f>
        <v>#REF!</v>
      </c>
      <c r="DW47" t="e">
        <f>AND(#REF!,"AAAAAFaX7n4=")</f>
        <v>#REF!</v>
      </c>
      <c r="DX47" t="e">
        <f>AND(#REF!,"AAAAAFaX7n8=")</f>
        <v>#REF!</v>
      </c>
      <c r="DY47" t="e">
        <f>AND(#REF!,"AAAAAFaX7oA=")</f>
        <v>#REF!</v>
      </c>
      <c r="DZ47" t="e">
        <f>AND(#REF!,"AAAAAFaX7oE=")</f>
        <v>#REF!</v>
      </c>
      <c r="EA47" t="e">
        <f>AND(#REF!,"AAAAAFaX7oI=")</f>
        <v>#REF!</v>
      </c>
      <c r="EB47" t="e">
        <f>AND(#REF!,"AAAAAFaX7oM=")</f>
        <v>#REF!</v>
      </c>
      <c r="EC47" t="e">
        <f>AND(#REF!,"AAAAAFaX7oQ=")</f>
        <v>#REF!</v>
      </c>
      <c r="ED47" t="e">
        <f>AND(#REF!,"AAAAAFaX7oU=")</f>
        <v>#REF!</v>
      </c>
      <c r="EE47" t="e">
        <f>AND(#REF!,"AAAAAFaX7oY=")</f>
        <v>#REF!</v>
      </c>
      <c r="EF47" t="e">
        <f>AND(#REF!,"AAAAAFaX7oc=")</f>
        <v>#REF!</v>
      </c>
      <c r="EG47" t="e">
        <f>IF(#REF!,"AAAAAFaX7og=",0)</f>
        <v>#REF!</v>
      </c>
      <c r="EH47" t="e">
        <f>AND(#REF!,"AAAAAFaX7ok=")</f>
        <v>#REF!</v>
      </c>
      <c r="EI47" t="e">
        <f>AND(#REF!,"AAAAAFaX7oo=")</f>
        <v>#REF!</v>
      </c>
      <c r="EJ47" t="e">
        <f>AND(#REF!,"AAAAAFaX7os=")</f>
        <v>#REF!</v>
      </c>
      <c r="EK47" t="e">
        <f>AND(#REF!,"AAAAAFaX7ow=")</f>
        <v>#REF!</v>
      </c>
      <c r="EL47" t="e">
        <f>AND(#REF!,"AAAAAFaX7o0=")</f>
        <v>#REF!</v>
      </c>
      <c r="EM47" t="e">
        <f>AND(#REF!,"AAAAAFaX7o4=")</f>
        <v>#REF!</v>
      </c>
      <c r="EN47" t="e">
        <f>AND(#REF!,"AAAAAFaX7o8=")</f>
        <v>#REF!</v>
      </c>
      <c r="EO47" t="e">
        <f>AND(#REF!,"AAAAAFaX7pA=")</f>
        <v>#REF!</v>
      </c>
      <c r="EP47" t="e">
        <f>AND(#REF!,"AAAAAFaX7pE=")</f>
        <v>#REF!</v>
      </c>
      <c r="EQ47" t="e">
        <f>AND(#REF!,"AAAAAFaX7pI=")</f>
        <v>#REF!</v>
      </c>
      <c r="ER47" t="e">
        <f>AND(#REF!,"AAAAAFaX7pM=")</f>
        <v>#REF!</v>
      </c>
      <c r="ES47" t="e">
        <f>AND(#REF!,"AAAAAFaX7pQ=")</f>
        <v>#REF!</v>
      </c>
      <c r="ET47" t="e">
        <f>AND(#REF!,"AAAAAFaX7pU=")</f>
        <v>#REF!</v>
      </c>
      <c r="EU47" t="e">
        <f>AND(#REF!,"AAAAAFaX7pY=")</f>
        <v>#REF!</v>
      </c>
      <c r="EV47" t="e">
        <f>AND(#REF!,"AAAAAFaX7pc=")</f>
        <v>#REF!</v>
      </c>
      <c r="EW47" t="e">
        <f>AND(#REF!,"AAAAAFaX7pg=")</f>
        <v>#REF!</v>
      </c>
      <c r="EX47" t="e">
        <f>AND(#REF!,"AAAAAFaX7pk=")</f>
        <v>#REF!</v>
      </c>
      <c r="EY47" t="e">
        <f>AND(#REF!,"AAAAAFaX7po=")</f>
        <v>#REF!</v>
      </c>
      <c r="EZ47" t="e">
        <f>AND(#REF!,"AAAAAFaX7ps=")</f>
        <v>#REF!</v>
      </c>
      <c r="FA47" t="e">
        <f>AND(#REF!,"AAAAAFaX7pw=")</f>
        <v>#REF!</v>
      </c>
      <c r="FB47" t="e">
        <f>AND(#REF!,"AAAAAFaX7p0=")</f>
        <v>#REF!</v>
      </c>
      <c r="FC47" t="e">
        <f>AND(#REF!,"AAAAAFaX7p4=")</f>
        <v>#REF!</v>
      </c>
      <c r="FD47" t="e">
        <f>AND(#REF!,"AAAAAFaX7p8=")</f>
        <v>#REF!</v>
      </c>
      <c r="FE47" t="e">
        <f>AND(#REF!,"AAAAAFaX7qA=")</f>
        <v>#REF!</v>
      </c>
      <c r="FF47" t="e">
        <f>AND(#REF!,"AAAAAFaX7qE=")</f>
        <v>#REF!</v>
      </c>
      <c r="FG47" t="e">
        <f>AND(#REF!,"AAAAAFaX7qI=")</f>
        <v>#REF!</v>
      </c>
      <c r="FH47" t="e">
        <f>AND(#REF!,"AAAAAFaX7qM=")</f>
        <v>#REF!</v>
      </c>
      <c r="FI47" t="e">
        <f>AND(#REF!,"AAAAAFaX7qQ=")</f>
        <v>#REF!</v>
      </c>
      <c r="FJ47" t="e">
        <f>AND(#REF!,"AAAAAFaX7qU=")</f>
        <v>#REF!</v>
      </c>
      <c r="FK47" t="e">
        <f>AND(#REF!,"AAAAAFaX7qY=")</f>
        <v>#REF!</v>
      </c>
      <c r="FL47" t="e">
        <f>AND(#REF!,"AAAAAFaX7qc=")</f>
        <v>#REF!</v>
      </c>
      <c r="FM47" t="e">
        <f>AND(#REF!,"AAAAAFaX7qg=")</f>
        <v>#REF!</v>
      </c>
      <c r="FN47" t="e">
        <f>AND(#REF!,"AAAAAFaX7qk=")</f>
        <v>#REF!</v>
      </c>
      <c r="FO47" t="e">
        <f>AND(#REF!,"AAAAAFaX7qo=")</f>
        <v>#REF!</v>
      </c>
      <c r="FP47" t="e">
        <f>AND(#REF!,"AAAAAFaX7qs=")</f>
        <v>#REF!</v>
      </c>
      <c r="FQ47" t="e">
        <f>IF(#REF!,"AAAAAFaX7qw=",0)</f>
        <v>#REF!</v>
      </c>
      <c r="FR47" t="e">
        <f>AND(#REF!,"AAAAAFaX7q0=")</f>
        <v>#REF!</v>
      </c>
      <c r="FS47" t="e">
        <f>AND(#REF!,"AAAAAFaX7q4=")</f>
        <v>#REF!</v>
      </c>
      <c r="FT47" t="e">
        <f>AND(#REF!,"AAAAAFaX7q8=")</f>
        <v>#REF!</v>
      </c>
      <c r="FU47" t="e">
        <f>AND(#REF!,"AAAAAFaX7rA=")</f>
        <v>#REF!</v>
      </c>
      <c r="FV47" t="e">
        <f>AND(#REF!,"AAAAAFaX7rE=")</f>
        <v>#REF!</v>
      </c>
      <c r="FW47" t="e">
        <f>AND(#REF!,"AAAAAFaX7rI=")</f>
        <v>#REF!</v>
      </c>
      <c r="FX47" t="e">
        <f>AND(#REF!,"AAAAAFaX7rM=")</f>
        <v>#REF!</v>
      </c>
      <c r="FY47" t="e">
        <f>AND(#REF!,"AAAAAFaX7rQ=")</f>
        <v>#REF!</v>
      </c>
      <c r="FZ47" t="e">
        <f>AND(#REF!,"AAAAAFaX7rU=")</f>
        <v>#REF!</v>
      </c>
      <c r="GA47" t="e">
        <f>AND(#REF!,"AAAAAFaX7rY=")</f>
        <v>#REF!</v>
      </c>
      <c r="GB47" t="e">
        <f>AND(#REF!,"AAAAAFaX7rc=")</f>
        <v>#REF!</v>
      </c>
      <c r="GC47" t="e">
        <f>AND(#REF!,"AAAAAFaX7rg=")</f>
        <v>#REF!</v>
      </c>
      <c r="GD47" t="e">
        <f>AND(#REF!,"AAAAAFaX7rk=")</f>
        <v>#REF!</v>
      </c>
      <c r="GE47" t="e">
        <f>AND(#REF!,"AAAAAFaX7ro=")</f>
        <v>#REF!</v>
      </c>
      <c r="GF47" t="e">
        <f>AND(#REF!,"AAAAAFaX7rs=")</f>
        <v>#REF!</v>
      </c>
      <c r="GG47" t="e">
        <f>AND(#REF!,"AAAAAFaX7rw=")</f>
        <v>#REF!</v>
      </c>
      <c r="GH47" t="e">
        <f>AND(#REF!,"AAAAAFaX7r0=")</f>
        <v>#REF!</v>
      </c>
      <c r="GI47" t="e">
        <f>AND(#REF!,"AAAAAFaX7r4=")</f>
        <v>#REF!</v>
      </c>
      <c r="GJ47" t="e">
        <f>AND(#REF!,"AAAAAFaX7r8=")</f>
        <v>#REF!</v>
      </c>
      <c r="GK47" t="e">
        <f>AND(#REF!,"AAAAAFaX7sA=")</f>
        <v>#REF!</v>
      </c>
      <c r="GL47" t="e">
        <f>AND(#REF!,"AAAAAFaX7sE=")</f>
        <v>#REF!</v>
      </c>
      <c r="GM47" t="e">
        <f>AND(#REF!,"AAAAAFaX7sI=")</f>
        <v>#REF!</v>
      </c>
      <c r="GN47" t="e">
        <f>AND(#REF!,"AAAAAFaX7sM=")</f>
        <v>#REF!</v>
      </c>
      <c r="GO47" t="e">
        <f>AND(#REF!,"AAAAAFaX7sQ=")</f>
        <v>#REF!</v>
      </c>
      <c r="GP47" t="e">
        <f>AND(#REF!,"AAAAAFaX7sU=")</f>
        <v>#REF!</v>
      </c>
      <c r="GQ47" t="e">
        <f>AND(#REF!,"AAAAAFaX7sY=")</f>
        <v>#REF!</v>
      </c>
      <c r="GR47" t="e">
        <f>AND(#REF!,"AAAAAFaX7sc=")</f>
        <v>#REF!</v>
      </c>
      <c r="GS47" t="e">
        <f>AND(#REF!,"AAAAAFaX7sg=")</f>
        <v>#REF!</v>
      </c>
      <c r="GT47" t="e">
        <f>AND(#REF!,"AAAAAFaX7sk=")</f>
        <v>#REF!</v>
      </c>
      <c r="GU47" t="e">
        <f>AND(#REF!,"AAAAAFaX7so=")</f>
        <v>#REF!</v>
      </c>
      <c r="GV47" t="e">
        <f>AND(#REF!,"AAAAAFaX7ss=")</f>
        <v>#REF!</v>
      </c>
      <c r="GW47" t="e">
        <f>AND(#REF!,"AAAAAFaX7sw=")</f>
        <v>#REF!</v>
      </c>
      <c r="GX47" t="e">
        <f>AND(#REF!,"AAAAAFaX7s0=")</f>
        <v>#REF!</v>
      </c>
      <c r="GY47" t="e">
        <f>AND(#REF!,"AAAAAFaX7s4=")</f>
        <v>#REF!</v>
      </c>
      <c r="GZ47" t="e">
        <f>AND(#REF!,"AAAAAFaX7s8=")</f>
        <v>#REF!</v>
      </c>
      <c r="HA47" t="e">
        <f>IF(#REF!,"AAAAAFaX7tA=",0)</f>
        <v>#REF!</v>
      </c>
      <c r="HB47" t="e">
        <f>AND(#REF!,"AAAAAFaX7tE=")</f>
        <v>#REF!</v>
      </c>
      <c r="HC47" t="e">
        <f>AND(#REF!,"AAAAAFaX7tI=")</f>
        <v>#REF!</v>
      </c>
      <c r="HD47" t="e">
        <f>AND(#REF!,"AAAAAFaX7tM=")</f>
        <v>#REF!</v>
      </c>
      <c r="HE47" t="e">
        <f>AND(#REF!,"AAAAAFaX7tQ=")</f>
        <v>#REF!</v>
      </c>
      <c r="HF47" t="e">
        <f>AND(#REF!,"AAAAAFaX7tU=")</f>
        <v>#REF!</v>
      </c>
      <c r="HG47" t="e">
        <f>AND(#REF!,"AAAAAFaX7tY=")</f>
        <v>#REF!</v>
      </c>
      <c r="HH47" t="e">
        <f>AND(#REF!,"AAAAAFaX7tc=")</f>
        <v>#REF!</v>
      </c>
      <c r="HI47" t="e">
        <f>AND(#REF!,"AAAAAFaX7tg=")</f>
        <v>#REF!</v>
      </c>
      <c r="HJ47" t="e">
        <f>AND(#REF!,"AAAAAFaX7tk=")</f>
        <v>#REF!</v>
      </c>
      <c r="HK47" t="e">
        <f>AND(#REF!,"AAAAAFaX7to=")</f>
        <v>#REF!</v>
      </c>
      <c r="HL47" t="e">
        <f>AND(#REF!,"AAAAAFaX7ts=")</f>
        <v>#REF!</v>
      </c>
      <c r="HM47" t="e">
        <f>AND(#REF!,"AAAAAFaX7tw=")</f>
        <v>#REF!</v>
      </c>
      <c r="HN47" t="e">
        <f>AND(#REF!,"AAAAAFaX7t0=")</f>
        <v>#REF!</v>
      </c>
      <c r="HO47" t="e">
        <f>AND(#REF!,"AAAAAFaX7t4=")</f>
        <v>#REF!</v>
      </c>
      <c r="HP47" t="e">
        <f>AND(#REF!,"AAAAAFaX7t8=")</f>
        <v>#REF!</v>
      </c>
      <c r="HQ47" t="e">
        <f>AND(#REF!,"AAAAAFaX7uA=")</f>
        <v>#REF!</v>
      </c>
      <c r="HR47" t="e">
        <f>AND(#REF!,"AAAAAFaX7uE=")</f>
        <v>#REF!</v>
      </c>
      <c r="HS47" t="e">
        <f>AND(#REF!,"AAAAAFaX7uI=")</f>
        <v>#REF!</v>
      </c>
      <c r="HT47" t="e">
        <f>AND(#REF!,"AAAAAFaX7uM=")</f>
        <v>#REF!</v>
      </c>
      <c r="HU47" t="e">
        <f>AND(#REF!,"AAAAAFaX7uQ=")</f>
        <v>#REF!</v>
      </c>
      <c r="HV47" t="e">
        <f>AND(#REF!,"AAAAAFaX7uU=")</f>
        <v>#REF!</v>
      </c>
      <c r="HW47" t="e">
        <f>AND(#REF!,"AAAAAFaX7uY=")</f>
        <v>#REF!</v>
      </c>
      <c r="HX47" t="e">
        <f>AND(#REF!,"AAAAAFaX7uc=")</f>
        <v>#REF!</v>
      </c>
      <c r="HY47" t="e">
        <f>AND(#REF!,"AAAAAFaX7ug=")</f>
        <v>#REF!</v>
      </c>
      <c r="HZ47" t="e">
        <f>AND(#REF!,"AAAAAFaX7uk=")</f>
        <v>#REF!</v>
      </c>
      <c r="IA47" t="e">
        <f>AND(#REF!,"AAAAAFaX7uo=")</f>
        <v>#REF!</v>
      </c>
      <c r="IB47" t="e">
        <f>AND(#REF!,"AAAAAFaX7us=")</f>
        <v>#REF!</v>
      </c>
      <c r="IC47" t="e">
        <f>AND(#REF!,"AAAAAFaX7uw=")</f>
        <v>#REF!</v>
      </c>
      <c r="ID47" t="e">
        <f>AND(#REF!,"AAAAAFaX7u0=")</f>
        <v>#REF!</v>
      </c>
      <c r="IE47" t="e">
        <f>AND(#REF!,"AAAAAFaX7u4=")</f>
        <v>#REF!</v>
      </c>
      <c r="IF47" t="e">
        <f>AND(#REF!,"AAAAAFaX7u8=")</f>
        <v>#REF!</v>
      </c>
      <c r="IG47" t="e">
        <f>AND(#REF!,"AAAAAFaX7vA=")</f>
        <v>#REF!</v>
      </c>
      <c r="IH47" t="e">
        <f>AND(#REF!,"AAAAAFaX7vE=")</f>
        <v>#REF!</v>
      </c>
      <c r="II47" t="e">
        <f>AND(#REF!,"AAAAAFaX7vI=")</f>
        <v>#REF!</v>
      </c>
      <c r="IJ47" t="e">
        <f>AND(#REF!,"AAAAAFaX7vM=")</f>
        <v>#REF!</v>
      </c>
      <c r="IK47" t="e">
        <f>IF(#REF!,"AAAAAFaX7vQ=",0)</f>
        <v>#REF!</v>
      </c>
      <c r="IL47" t="e">
        <f>AND(#REF!,"AAAAAFaX7vU=")</f>
        <v>#REF!</v>
      </c>
      <c r="IM47" t="e">
        <f>AND(#REF!,"AAAAAFaX7vY=")</f>
        <v>#REF!</v>
      </c>
      <c r="IN47" t="e">
        <f>AND(#REF!,"AAAAAFaX7vc=")</f>
        <v>#REF!</v>
      </c>
      <c r="IO47" t="e">
        <f>AND(#REF!,"AAAAAFaX7vg=")</f>
        <v>#REF!</v>
      </c>
      <c r="IP47" t="e">
        <f>AND(#REF!,"AAAAAFaX7vk=")</f>
        <v>#REF!</v>
      </c>
      <c r="IQ47" t="e">
        <f>AND(#REF!,"AAAAAFaX7vo=")</f>
        <v>#REF!</v>
      </c>
      <c r="IR47" t="e">
        <f>AND(#REF!,"AAAAAFaX7vs=")</f>
        <v>#REF!</v>
      </c>
      <c r="IS47" t="e">
        <f>AND(#REF!,"AAAAAFaX7vw=")</f>
        <v>#REF!</v>
      </c>
      <c r="IT47" t="e">
        <f>AND(#REF!,"AAAAAFaX7v0=")</f>
        <v>#REF!</v>
      </c>
      <c r="IU47" t="e">
        <f>AND(#REF!,"AAAAAFaX7v4=")</f>
        <v>#REF!</v>
      </c>
      <c r="IV47" t="e">
        <f>AND(#REF!,"AAAAAFaX7v8=")</f>
        <v>#REF!</v>
      </c>
    </row>
    <row r="48" spans="1:256">
      <c r="A48" t="e">
        <f>AND(#REF!,"AAAAAHn/3gA=")</f>
        <v>#REF!</v>
      </c>
      <c r="B48" t="e">
        <f>AND(#REF!,"AAAAAHn/3gE=")</f>
        <v>#REF!</v>
      </c>
      <c r="C48" t="e">
        <f>AND(#REF!,"AAAAAHn/3gI=")</f>
        <v>#REF!</v>
      </c>
      <c r="D48" t="e">
        <f>AND(#REF!,"AAAAAHn/3gM=")</f>
        <v>#REF!</v>
      </c>
      <c r="E48" t="e">
        <f>AND(#REF!,"AAAAAHn/3gQ=")</f>
        <v>#REF!</v>
      </c>
      <c r="F48" t="e">
        <f>AND(#REF!,"AAAAAHn/3gU=")</f>
        <v>#REF!</v>
      </c>
      <c r="G48" t="e">
        <f>AND(#REF!,"AAAAAHn/3gY=")</f>
        <v>#REF!</v>
      </c>
      <c r="H48" t="e">
        <f>AND(#REF!,"AAAAAHn/3gc=")</f>
        <v>#REF!</v>
      </c>
      <c r="I48" t="e">
        <f>AND(#REF!,"AAAAAHn/3gg=")</f>
        <v>#REF!</v>
      </c>
      <c r="J48" t="e">
        <f>AND(#REF!,"AAAAAHn/3gk=")</f>
        <v>#REF!</v>
      </c>
      <c r="K48" t="e">
        <f>AND(#REF!,"AAAAAHn/3go=")</f>
        <v>#REF!</v>
      </c>
      <c r="L48" t="e">
        <f>AND(#REF!,"AAAAAHn/3gs=")</f>
        <v>#REF!</v>
      </c>
      <c r="M48" t="e">
        <f>AND(#REF!,"AAAAAHn/3gw=")</f>
        <v>#REF!</v>
      </c>
      <c r="N48" t="e">
        <f>AND(#REF!,"AAAAAHn/3g0=")</f>
        <v>#REF!</v>
      </c>
      <c r="O48" t="e">
        <f>AND(#REF!,"AAAAAHn/3g4=")</f>
        <v>#REF!</v>
      </c>
      <c r="P48" t="e">
        <f>AND(#REF!,"AAAAAHn/3g8=")</f>
        <v>#REF!</v>
      </c>
      <c r="Q48" t="e">
        <f>AND(#REF!,"AAAAAHn/3hA=")</f>
        <v>#REF!</v>
      </c>
      <c r="R48" t="e">
        <f>AND(#REF!,"AAAAAHn/3hE=")</f>
        <v>#REF!</v>
      </c>
      <c r="S48" t="e">
        <f>AND(#REF!,"AAAAAHn/3hI=")</f>
        <v>#REF!</v>
      </c>
      <c r="T48" t="e">
        <f>AND(#REF!,"AAAAAHn/3hM=")</f>
        <v>#REF!</v>
      </c>
      <c r="U48" t="e">
        <f>AND(#REF!,"AAAAAHn/3hQ=")</f>
        <v>#REF!</v>
      </c>
      <c r="V48" t="e">
        <f>AND(#REF!,"AAAAAHn/3hU=")</f>
        <v>#REF!</v>
      </c>
      <c r="W48" t="e">
        <f>AND(#REF!,"AAAAAHn/3hY=")</f>
        <v>#REF!</v>
      </c>
      <c r="X48" t="e">
        <f>AND(#REF!,"AAAAAHn/3hc=")</f>
        <v>#REF!</v>
      </c>
      <c r="Y48" t="e">
        <f>IF(#REF!,"AAAAAHn/3hg=",0)</f>
        <v>#REF!</v>
      </c>
      <c r="Z48" t="e">
        <f>AND(#REF!,"AAAAAHn/3hk=")</f>
        <v>#REF!</v>
      </c>
      <c r="AA48" t="e">
        <f>AND(#REF!,"AAAAAHn/3ho=")</f>
        <v>#REF!</v>
      </c>
      <c r="AB48" t="e">
        <f>AND(#REF!,"AAAAAHn/3hs=")</f>
        <v>#REF!</v>
      </c>
      <c r="AC48" t="e">
        <f>AND(#REF!,"AAAAAHn/3hw=")</f>
        <v>#REF!</v>
      </c>
      <c r="AD48" t="e">
        <f>AND(#REF!,"AAAAAHn/3h0=")</f>
        <v>#REF!</v>
      </c>
      <c r="AE48" t="e">
        <f>AND(#REF!,"AAAAAHn/3h4=")</f>
        <v>#REF!</v>
      </c>
      <c r="AF48" t="e">
        <f>AND(#REF!,"AAAAAHn/3h8=")</f>
        <v>#REF!</v>
      </c>
      <c r="AG48" t="e">
        <f>AND(#REF!,"AAAAAHn/3iA=")</f>
        <v>#REF!</v>
      </c>
      <c r="AH48" t="e">
        <f>AND(#REF!,"AAAAAHn/3iE=")</f>
        <v>#REF!</v>
      </c>
      <c r="AI48" t="e">
        <f>AND(#REF!,"AAAAAHn/3iI=")</f>
        <v>#REF!</v>
      </c>
      <c r="AJ48" t="e">
        <f>AND(#REF!,"AAAAAHn/3iM=")</f>
        <v>#REF!</v>
      </c>
      <c r="AK48" t="e">
        <f>AND(#REF!,"AAAAAHn/3iQ=")</f>
        <v>#REF!</v>
      </c>
      <c r="AL48" t="e">
        <f>AND(#REF!,"AAAAAHn/3iU=")</f>
        <v>#REF!</v>
      </c>
      <c r="AM48" t="e">
        <f>AND(#REF!,"AAAAAHn/3iY=")</f>
        <v>#REF!</v>
      </c>
      <c r="AN48" t="e">
        <f>AND(#REF!,"AAAAAHn/3ic=")</f>
        <v>#REF!</v>
      </c>
      <c r="AO48" t="e">
        <f>AND(#REF!,"AAAAAHn/3ig=")</f>
        <v>#REF!</v>
      </c>
      <c r="AP48" t="e">
        <f>AND(#REF!,"AAAAAHn/3ik=")</f>
        <v>#REF!</v>
      </c>
      <c r="AQ48" t="e">
        <f>AND(#REF!,"AAAAAHn/3io=")</f>
        <v>#REF!</v>
      </c>
      <c r="AR48" t="e">
        <f>AND(#REF!,"AAAAAHn/3is=")</f>
        <v>#REF!</v>
      </c>
      <c r="AS48" t="e">
        <f>AND(#REF!,"AAAAAHn/3iw=")</f>
        <v>#REF!</v>
      </c>
      <c r="AT48" t="e">
        <f>AND(#REF!,"AAAAAHn/3i0=")</f>
        <v>#REF!</v>
      </c>
      <c r="AU48" t="e">
        <f>AND(#REF!,"AAAAAHn/3i4=")</f>
        <v>#REF!</v>
      </c>
      <c r="AV48" t="e">
        <f>AND(#REF!,"AAAAAHn/3i8=")</f>
        <v>#REF!</v>
      </c>
      <c r="AW48" t="e">
        <f>AND(#REF!,"AAAAAHn/3jA=")</f>
        <v>#REF!</v>
      </c>
      <c r="AX48" t="e">
        <f>AND(#REF!,"AAAAAHn/3jE=")</f>
        <v>#REF!</v>
      </c>
      <c r="AY48" t="e">
        <f>AND(#REF!,"AAAAAHn/3jI=")</f>
        <v>#REF!</v>
      </c>
      <c r="AZ48" t="e">
        <f>AND(#REF!,"AAAAAHn/3jM=")</f>
        <v>#REF!</v>
      </c>
      <c r="BA48" t="e">
        <f>AND(#REF!,"AAAAAHn/3jQ=")</f>
        <v>#REF!</v>
      </c>
      <c r="BB48" t="e">
        <f>AND(#REF!,"AAAAAHn/3jU=")</f>
        <v>#REF!</v>
      </c>
      <c r="BC48" t="e">
        <f>AND(#REF!,"AAAAAHn/3jY=")</f>
        <v>#REF!</v>
      </c>
      <c r="BD48" t="e">
        <f>AND(#REF!,"AAAAAHn/3jc=")</f>
        <v>#REF!</v>
      </c>
      <c r="BE48" t="e">
        <f>AND(#REF!,"AAAAAHn/3jg=")</f>
        <v>#REF!</v>
      </c>
      <c r="BF48" t="e">
        <f>AND(#REF!,"AAAAAHn/3jk=")</f>
        <v>#REF!</v>
      </c>
      <c r="BG48" t="e">
        <f>AND(#REF!,"AAAAAHn/3jo=")</f>
        <v>#REF!</v>
      </c>
      <c r="BH48" t="e">
        <f>AND(#REF!,"AAAAAHn/3js=")</f>
        <v>#REF!</v>
      </c>
      <c r="BI48" t="e">
        <f>IF(#REF!,"AAAAAHn/3jw=",0)</f>
        <v>#REF!</v>
      </c>
      <c r="BJ48" t="e">
        <f>AND(#REF!,"AAAAAHn/3j0=")</f>
        <v>#REF!</v>
      </c>
      <c r="BK48" t="e">
        <f>AND(#REF!,"AAAAAHn/3j4=")</f>
        <v>#REF!</v>
      </c>
      <c r="BL48" t="e">
        <f>AND(#REF!,"AAAAAHn/3j8=")</f>
        <v>#REF!</v>
      </c>
      <c r="BM48" t="e">
        <f>AND(#REF!,"AAAAAHn/3kA=")</f>
        <v>#REF!</v>
      </c>
      <c r="BN48" t="e">
        <f>AND(#REF!,"AAAAAHn/3kE=")</f>
        <v>#REF!</v>
      </c>
      <c r="BO48" t="e">
        <f>AND(#REF!,"AAAAAHn/3kI=")</f>
        <v>#REF!</v>
      </c>
      <c r="BP48" t="e">
        <f>AND(#REF!,"AAAAAHn/3kM=")</f>
        <v>#REF!</v>
      </c>
      <c r="BQ48" t="e">
        <f>AND(#REF!,"AAAAAHn/3kQ=")</f>
        <v>#REF!</v>
      </c>
      <c r="BR48" t="e">
        <f>AND(#REF!,"AAAAAHn/3kU=")</f>
        <v>#REF!</v>
      </c>
      <c r="BS48" t="e">
        <f>AND(#REF!,"AAAAAHn/3kY=")</f>
        <v>#REF!</v>
      </c>
      <c r="BT48" t="e">
        <f>AND(#REF!,"AAAAAHn/3kc=")</f>
        <v>#REF!</v>
      </c>
      <c r="BU48" t="e">
        <f>AND(#REF!,"AAAAAHn/3kg=")</f>
        <v>#REF!</v>
      </c>
      <c r="BV48" t="e">
        <f>AND(#REF!,"AAAAAHn/3kk=")</f>
        <v>#REF!</v>
      </c>
      <c r="BW48" t="e">
        <f>AND(#REF!,"AAAAAHn/3ko=")</f>
        <v>#REF!</v>
      </c>
      <c r="BX48" t="e">
        <f>AND(#REF!,"AAAAAHn/3ks=")</f>
        <v>#REF!</v>
      </c>
      <c r="BY48" t="e">
        <f>AND(#REF!,"AAAAAHn/3kw=")</f>
        <v>#REF!</v>
      </c>
      <c r="BZ48" t="e">
        <f>AND(#REF!,"AAAAAHn/3k0=")</f>
        <v>#REF!</v>
      </c>
      <c r="CA48" t="e">
        <f>AND(#REF!,"AAAAAHn/3k4=")</f>
        <v>#REF!</v>
      </c>
      <c r="CB48" t="e">
        <f>AND(#REF!,"AAAAAHn/3k8=")</f>
        <v>#REF!</v>
      </c>
      <c r="CC48" t="e">
        <f>AND(#REF!,"AAAAAHn/3lA=")</f>
        <v>#REF!</v>
      </c>
      <c r="CD48" t="e">
        <f>AND(#REF!,"AAAAAHn/3lE=")</f>
        <v>#REF!</v>
      </c>
      <c r="CE48" t="e">
        <f>AND(#REF!,"AAAAAHn/3lI=")</f>
        <v>#REF!</v>
      </c>
      <c r="CF48" t="e">
        <f>AND(#REF!,"AAAAAHn/3lM=")</f>
        <v>#REF!</v>
      </c>
      <c r="CG48" t="e">
        <f>AND(#REF!,"AAAAAHn/3lQ=")</f>
        <v>#REF!</v>
      </c>
      <c r="CH48" t="e">
        <f>AND(#REF!,"AAAAAHn/3lU=")</f>
        <v>#REF!</v>
      </c>
      <c r="CI48" t="e">
        <f>AND(#REF!,"AAAAAHn/3lY=")</f>
        <v>#REF!</v>
      </c>
      <c r="CJ48" t="e">
        <f>AND(#REF!,"AAAAAHn/3lc=")</f>
        <v>#REF!</v>
      </c>
      <c r="CK48" t="e">
        <f>AND(#REF!,"AAAAAHn/3lg=")</f>
        <v>#REF!</v>
      </c>
      <c r="CL48" t="e">
        <f>AND(#REF!,"AAAAAHn/3lk=")</f>
        <v>#REF!</v>
      </c>
      <c r="CM48" t="e">
        <f>AND(#REF!,"AAAAAHn/3lo=")</f>
        <v>#REF!</v>
      </c>
      <c r="CN48" t="e">
        <f>AND(#REF!,"AAAAAHn/3ls=")</f>
        <v>#REF!</v>
      </c>
      <c r="CO48" t="e">
        <f>AND(#REF!,"AAAAAHn/3lw=")</f>
        <v>#REF!</v>
      </c>
      <c r="CP48" t="e">
        <f>AND(#REF!,"AAAAAHn/3l0=")</f>
        <v>#REF!</v>
      </c>
      <c r="CQ48" t="e">
        <f>AND(#REF!,"AAAAAHn/3l4=")</f>
        <v>#REF!</v>
      </c>
      <c r="CR48" t="e">
        <f>AND(#REF!,"AAAAAHn/3l8=")</f>
        <v>#REF!</v>
      </c>
      <c r="CS48" t="e">
        <f>IF(#REF!,"AAAAAHn/3mA=",0)</f>
        <v>#REF!</v>
      </c>
      <c r="CT48" t="e">
        <f>AND(#REF!,"AAAAAHn/3mE=")</f>
        <v>#REF!</v>
      </c>
      <c r="CU48" t="e">
        <f>AND(#REF!,"AAAAAHn/3mI=")</f>
        <v>#REF!</v>
      </c>
      <c r="CV48" t="e">
        <f>AND(#REF!,"AAAAAHn/3mM=")</f>
        <v>#REF!</v>
      </c>
      <c r="CW48" t="e">
        <f>AND(#REF!,"AAAAAHn/3mQ=")</f>
        <v>#REF!</v>
      </c>
      <c r="CX48" t="e">
        <f>AND(#REF!,"AAAAAHn/3mU=")</f>
        <v>#REF!</v>
      </c>
      <c r="CY48" t="e">
        <f>AND(#REF!,"AAAAAHn/3mY=")</f>
        <v>#REF!</v>
      </c>
      <c r="CZ48" t="e">
        <f>AND(#REF!,"AAAAAHn/3mc=")</f>
        <v>#REF!</v>
      </c>
      <c r="DA48" t="e">
        <f>AND(#REF!,"AAAAAHn/3mg=")</f>
        <v>#REF!</v>
      </c>
      <c r="DB48" t="e">
        <f>AND(#REF!,"AAAAAHn/3mk=")</f>
        <v>#REF!</v>
      </c>
      <c r="DC48" t="e">
        <f>AND(#REF!,"AAAAAHn/3mo=")</f>
        <v>#REF!</v>
      </c>
      <c r="DD48" t="e">
        <f>AND(#REF!,"AAAAAHn/3ms=")</f>
        <v>#REF!</v>
      </c>
      <c r="DE48" t="e">
        <f>AND(#REF!,"AAAAAHn/3mw=")</f>
        <v>#REF!</v>
      </c>
      <c r="DF48" t="e">
        <f>AND(#REF!,"AAAAAHn/3m0=")</f>
        <v>#REF!</v>
      </c>
      <c r="DG48" t="e">
        <f>AND(#REF!,"AAAAAHn/3m4=")</f>
        <v>#REF!</v>
      </c>
      <c r="DH48" t="e">
        <f>AND(#REF!,"AAAAAHn/3m8=")</f>
        <v>#REF!</v>
      </c>
      <c r="DI48" t="e">
        <f>AND(#REF!,"AAAAAHn/3nA=")</f>
        <v>#REF!</v>
      </c>
      <c r="DJ48" t="e">
        <f>AND(#REF!,"AAAAAHn/3nE=")</f>
        <v>#REF!</v>
      </c>
      <c r="DK48" t="e">
        <f>AND(#REF!,"AAAAAHn/3nI=")</f>
        <v>#REF!</v>
      </c>
      <c r="DL48" t="e">
        <f>AND(#REF!,"AAAAAHn/3nM=")</f>
        <v>#REF!</v>
      </c>
      <c r="DM48" t="e">
        <f>AND(#REF!,"AAAAAHn/3nQ=")</f>
        <v>#REF!</v>
      </c>
      <c r="DN48" t="e">
        <f>AND(#REF!,"AAAAAHn/3nU=")</f>
        <v>#REF!</v>
      </c>
      <c r="DO48" t="e">
        <f>AND(#REF!,"AAAAAHn/3nY=")</f>
        <v>#REF!</v>
      </c>
      <c r="DP48" t="e">
        <f>AND(#REF!,"AAAAAHn/3nc=")</f>
        <v>#REF!</v>
      </c>
      <c r="DQ48" t="e">
        <f>AND(#REF!,"AAAAAHn/3ng=")</f>
        <v>#REF!</v>
      </c>
      <c r="DR48" t="e">
        <f>AND(#REF!,"AAAAAHn/3nk=")</f>
        <v>#REF!</v>
      </c>
      <c r="DS48" t="e">
        <f>AND(#REF!,"AAAAAHn/3no=")</f>
        <v>#REF!</v>
      </c>
      <c r="DT48" t="e">
        <f>AND(#REF!,"AAAAAHn/3ns=")</f>
        <v>#REF!</v>
      </c>
      <c r="DU48" t="e">
        <f>AND(#REF!,"AAAAAHn/3nw=")</f>
        <v>#REF!</v>
      </c>
      <c r="DV48" t="e">
        <f>AND(#REF!,"AAAAAHn/3n0=")</f>
        <v>#REF!</v>
      </c>
      <c r="DW48" t="e">
        <f>AND(#REF!,"AAAAAHn/3n4=")</f>
        <v>#REF!</v>
      </c>
      <c r="DX48" t="e">
        <f>AND(#REF!,"AAAAAHn/3n8=")</f>
        <v>#REF!</v>
      </c>
      <c r="DY48" t="e">
        <f>AND(#REF!,"AAAAAHn/3oA=")</f>
        <v>#REF!</v>
      </c>
      <c r="DZ48" t="e">
        <f>AND(#REF!,"AAAAAHn/3oE=")</f>
        <v>#REF!</v>
      </c>
      <c r="EA48" t="e">
        <f>AND(#REF!,"AAAAAHn/3oI=")</f>
        <v>#REF!</v>
      </c>
      <c r="EB48" t="e">
        <f>AND(#REF!,"AAAAAHn/3oM=")</f>
        <v>#REF!</v>
      </c>
      <c r="EC48" t="e">
        <f>IF(#REF!,"AAAAAHn/3oQ=",0)</f>
        <v>#REF!</v>
      </c>
      <c r="ED48" t="e">
        <f>AND(#REF!,"AAAAAHn/3oU=")</f>
        <v>#REF!</v>
      </c>
      <c r="EE48" t="e">
        <f>AND(#REF!,"AAAAAHn/3oY=")</f>
        <v>#REF!</v>
      </c>
      <c r="EF48" t="e">
        <f>AND(#REF!,"AAAAAHn/3oc=")</f>
        <v>#REF!</v>
      </c>
      <c r="EG48" t="e">
        <f>AND(#REF!,"AAAAAHn/3og=")</f>
        <v>#REF!</v>
      </c>
      <c r="EH48" t="e">
        <f>AND(#REF!,"AAAAAHn/3ok=")</f>
        <v>#REF!</v>
      </c>
      <c r="EI48" t="e">
        <f>AND(#REF!,"AAAAAHn/3oo=")</f>
        <v>#REF!</v>
      </c>
      <c r="EJ48" t="e">
        <f>AND(#REF!,"AAAAAHn/3os=")</f>
        <v>#REF!</v>
      </c>
      <c r="EK48" t="e">
        <f>AND(#REF!,"AAAAAHn/3ow=")</f>
        <v>#REF!</v>
      </c>
      <c r="EL48" t="e">
        <f>AND(#REF!,"AAAAAHn/3o0=")</f>
        <v>#REF!</v>
      </c>
      <c r="EM48" t="e">
        <f>AND(#REF!,"AAAAAHn/3o4=")</f>
        <v>#REF!</v>
      </c>
      <c r="EN48" t="e">
        <f>AND(#REF!,"AAAAAHn/3o8=")</f>
        <v>#REF!</v>
      </c>
      <c r="EO48" t="e">
        <f>AND(#REF!,"AAAAAHn/3pA=")</f>
        <v>#REF!</v>
      </c>
      <c r="EP48" t="e">
        <f>AND(#REF!,"AAAAAHn/3pE=")</f>
        <v>#REF!</v>
      </c>
      <c r="EQ48" t="e">
        <f>AND(#REF!,"AAAAAHn/3pI=")</f>
        <v>#REF!</v>
      </c>
      <c r="ER48" t="e">
        <f>AND(#REF!,"AAAAAHn/3pM=")</f>
        <v>#REF!</v>
      </c>
      <c r="ES48" t="e">
        <f>AND(#REF!,"AAAAAHn/3pQ=")</f>
        <v>#REF!</v>
      </c>
      <c r="ET48" t="e">
        <f>AND(#REF!,"AAAAAHn/3pU=")</f>
        <v>#REF!</v>
      </c>
      <c r="EU48" t="e">
        <f>AND(#REF!,"AAAAAHn/3pY=")</f>
        <v>#REF!</v>
      </c>
      <c r="EV48" t="e">
        <f>AND(#REF!,"AAAAAHn/3pc=")</f>
        <v>#REF!</v>
      </c>
      <c r="EW48" t="e">
        <f>AND(#REF!,"AAAAAHn/3pg=")</f>
        <v>#REF!</v>
      </c>
      <c r="EX48" t="e">
        <f>AND(#REF!,"AAAAAHn/3pk=")</f>
        <v>#REF!</v>
      </c>
      <c r="EY48" t="e">
        <f>AND(#REF!,"AAAAAHn/3po=")</f>
        <v>#REF!</v>
      </c>
      <c r="EZ48" t="e">
        <f>AND(#REF!,"AAAAAHn/3ps=")</f>
        <v>#REF!</v>
      </c>
      <c r="FA48" t="e">
        <f>AND(#REF!,"AAAAAHn/3pw=")</f>
        <v>#REF!</v>
      </c>
      <c r="FB48" t="e">
        <f>AND(#REF!,"AAAAAHn/3p0=")</f>
        <v>#REF!</v>
      </c>
      <c r="FC48" t="e">
        <f>AND(#REF!,"AAAAAHn/3p4=")</f>
        <v>#REF!</v>
      </c>
      <c r="FD48" t="e">
        <f>AND(#REF!,"AAAAAHn/3p8=")</f>
        <v>#REF!</v>
      </c>
      <c r="FE48" t="e">
        <f>AND(#REF!,"AAAAAHn/3qA=")</f>
        <v>#REF!</v>
      </c>
      <c r="FF48" t="e">
        <f>AND(#REF!,"AAAAAHn/3qE=")</f>
        <v>#REF!</v>
      </c>
      <c r="FG48" t="e">
        <f>AND(#REF!,"AAAAAHn/3qI=")</f>
        <v>#REF!</v>
      </c>
      <c r="FH48" t="e">
        <f>AND(#REF!,"AAAAAHn/3qM=")</f>
        <v>#REF!</v>
      </c>
      <c r="FI48" t="e">
        <f>AND(#REF!,"AAAAAHn/3qQ=")</f>
        <v>#REF!</v>
      </c>
      <c r="FJ48" t="e">
        <f>AND(#REF!,"AAAAAHn/3qU=")</f>
        <v>#REF!</v>
      </c>
      <c r="FK48" t="e">
        <f>AND(#REF!,"AAAAAHn/3qY=")</f>
        <v>#REF!</v>
      </c>
      <c r="FL48" t="e">
        <f>AND(#REF!,"AAAAAHn/3qc=")</f>
        <v>#REF!</v>
      </c>
      <c r="FM48" t="e">
        <f>IF(#REF!,"AAAAAHn/3qg=",0)</f>
        <v>#REF!</v>
      </c>
      <c r="FN48" t="e">
        <f>AND(#REF!,"AAAAAHn/3qk=")</f>
        <v>#REF!</v>
      </c>
      <c r="FO48" t="e">
        <f>AND(#REF!,"AAAAAHn/3qo=")</f>
        <v>#REF!</v>
      </c>
      <c r="FP48" t="e">
        <f>AND(#REF!,"AAAAAHn/3qs=")</f>
        <v>#REF!</v>
      </c>
      <c r="FQ48" t="e">
        <f>AND(#REF!,"AAAAAHn/3qw=")</f>
        <v>#REF!</v>
      </c>
      <c r="FR48" t="e">
        <f>AND(#REF!,"AAAAAHn/3q0=")</f>
        <v>#REF!</v>
      </c>
      <c r="FS48" t="e">
        <f>AND(#REF!,"AAAAAHn/3q4=")</f>
        <v>#REF!</v>
      </c>
      <c r="FT48" t="e">
        <f>AND(#REF!,"AAAAAHn/3q8=")</f>
        <v>#REF!</v>
      </c>
      <c r="FU48" t="e">
        <f>AND(#REF!,"AAAAAHn/3rA=")</f>
        <v>#REF!</v>
      </c>
      <c r="FV48" t="e">
        <f>AND(#REF!,"AAAAAHn/3rE=")</f>
        <v>#REF!</v>
      </c>
      <c r="FW48" t="e">
        <f>AND(#REF!,"AAAAAHn/3rI=")</f>
        <v>#REF!</v>
      </c>
      <c r="FX48" t="e">
        <f>AND(#REF!,"AAAAAHn/3rM=")</f>
        <v>#REF!</v>
      </c>
      <c r="FY48" t="e">
        <f>AND(#REF!,"AAAAAHn/3rQ=")</f>
        <v>#REF!</v>
      </c>
      <c r="FZ48" t="e">
        <f>AND(#REF!,"AAAAAHn/3rU=")</f>
        <v>#REF!</v>
      </c>
      <c r="GA48" t="e">
        <f>AND(#REF!,"AAAAAHn/3rY=")</f>
        <v>#REF!</v>
      </c>
      <c r="GB48" t="e">
        <f>AND(#REF!,"AAAAAHn/3rc=")</f>
        <v>#REF!</v>
      </c>
      <c r="GC48" t="e">
        <f>AND(#REF!,"AAAAAHn/3rg=")</f>
        <v>#REF!</v>
      </c>
      <c r="GD48" t="e">
        <f>AND(#REF!,"AAAAAHn/3rk=")</f>
        <v>#REF!</v>
      </c>
      <c r="GE48" t="e">
        <f>AND(#REF!,"AAAAAHn/3ro=")</f>
        <v>#REF!</v>
      </c>
      <c r="GF48" t="e">
        <f>AND(#REF!,"AAAAAHn/3rs=")</f>
        <v>#REF!</v>
      </c>
      <c r="GG48" t="e">
        <f>AND(#REF!,"AAAAAHn/3rw=")</f>
        <v>#REF!</v>
      </c>
      <c r="GH48" t="e">
        <f>AND(#REF!,"AAAAAHn/3r0=")</f>
        <v>#REF!</v>
      </c>
      <c r="GI48" t="e">
        <f>AND(#REF!,"AAAAAHn/3r4=")</f>
        <v>#REF!</v>
      </c>
      <c r="GJ48" t="e">
        <f>AND(#REF!,"AAAAAHn/3r8=")</f>
        <v>#REF!</v>
      </c>
      <c r="GK48" t="e">
        <f>AND(#REF!,"AAAAAHn/3sA=")</f>
        <v>#REF!</v>
      </c>
      <c r="GL48" t="e">
        <f>AND(#REF!,"AAAAAHn/3sE=")</f>
        <v>#REF!</v>
      </c>
      <c r="GM48" t="e">
        <f>AND(#REF!,"AAAAAHn/3sI=")</f>
        <v>#REF!</v>
      </c>
      <c r="GN48" t="e">
        <f>AND(#REF!,"AAAAAHn/3sM=")</f>
        <v>#REF!</v>
      </c>
      <c r="GO48" t="e">
        <f>AND(#REF!,"AAAAAHn/3sQ=")</f>
        <v>#REF!</v>
      </c>
      <c r="GP48" t="e">
        <f>AND(#REF!,"AAAAAHn/3sU=")</f>
        <v>#REF!</v>
      </c>
      <c r="GQ48" t="e">
        <f>AND(#REF!,"AAAAAHn/3sY=")</f>
        <v>#REF!</v>
      </c>
      <c r="GR48" t="e">
        <f>AND(#REF!,"AAAAAHn/3sc=")</f>
        <v>#REF!</v>
      </c>
      <c r="GS48" t="e">
        <f>AND(#REF!,"AAAAAHn/3sg=")</f>
        <v>#REF!</v>
      </c>
      <c r="GT48" t="e">
        <f>AND(#REF!,"AAAAAHn/3sk=")</f>
        <v>#REF!</v>
      </c>
      <c r="GU48" t="e">
        <f>AND(#REF!,"AAAAAHn/3so=")</f>
        <v>#REF!</v>
      </c>
      <c r="GV48" t="e">
        <f>AND(#REF!,"AAAAAHn/3ss=")</f>
        <v>#REF!</v>
      </c>
      <c r="GW48" t="e">
        <f>IF(#REF!,"AAAAAHn/3sw=",0)</f>
        <v>#REF!</v>
      </c>
      <c r="GX48" t="e">
        <f>AND(#REF!,"AAAAAHn/3s0=")</f>
        <v>#REF!</v>
      </c>
      <c r="GY48" t="e">
        <f>AND(#REF!,"AAAAAHn/3s4=")</f>
        <v>#REF!</v>
      </c>
      <c r="GZ48" t="e">
        <f>AND(#REF!,"AAAAAHn/3s8=")</f>
        <v>#REF!</v>
      </c>
      <c r="HA48" t="e">
        <f>AND(#REF!,"AAAAAHn/3tA=")</f>
        <v>#REF!</v>
      </c>
      <c r="HB48" t="e">
        <f>AND(#REF!,"AAAAAHn/3tE=")</f>
        <v>#REF!</v>
      </c>
      <c r="HC48" t="e">
        <f>AND(#REF!,"AAAAAHn/3tI=")</f>
        <v>#REF!</v>
      </c>
      <c r="HD48" t="e">
        <f>AND(#REF!,"AAAAAHn/3tM=")</f>
        <v>#REF!</v>
      </c>
      <c r="HE48" t="e">
        <f>AND(#REF!,"AAAAAHn/3tQ=")</f>
        <v>#REF!</v>
      </c>
      <c r="HF48" t="e">
        <f>AND(#REF!,"AAAAAHn/3tU=")</f>
        <v>#REF!</v>
      </c>
      <c r="HG48" t="e">
        <f>AND(#REF!,"AAAAAHn/3tY=")</f>
        <v>#REF!</v>
      </c>
      <c r="HH48" t="e">
        <f>AND(#REF!,"AAAAAHn/3tc=")</f>
        <v>#REF!</v>
      </c>
      <c r="HI48" t="e">
        <f>AND(#REF!,"AAAAAHn/3tg=")</f>
        <v>#REF!</v>
      </c>
      <c r="HJ48" t="e">
        <f>AND(#REF!,"AAAAAHn/3tk=")</f>
        <v>#REF!</v>
      </c>
      <c r="HK48" t="e">
        <f>AND(#REF!,"AAAAAHn/3to=")</f>
        <v>#REF!</v>
      </c>
      <c r="HL48" t="e">
        <f>AND(#REF!,"AAAAAHn/3ts=")</f>
        <v>#REF!</v>
      </c>
      <c r="HM48" t="e">
        <f>AND(#REF!,"AAAAAHn/3tw=")</f>
        <v>#REF!</v>
      </c>
      <c r="HN48" t="e">
        <f>AND(#REF!,"AAAAAHn/3t0=")</f>
        <v>#REF!</v>
      </c>
      <c r="HO48" t="e">
        <f>AND(#REF!,"AAAAAHn/3t4=")</f>
        <v>#REF!</v>
      </c>
      <c r="HP48" t="e">
        <f>AND(#REF!,"AAAAAHn/3t8=")</f>
        <v>#REF!</v>
      </c>
      <c r="HQ48" t="e">
        <f>AND(#REF!,"AAAAAHn/3uA=")</f>
        <v>#REF!</v>
      </c>
      <c r="HR48" t="e">
        <f>AND(#REF!,"AAAAAHn/3uE=")</f>
        <v>#REF!</v>
      </c>
      <c r="HS48" t="e">
        <f>AND(#REF!,"AAAAAHn/3uI=")</f>
        <v>#REF!</v>
      </c>
      <c r="HT48" t="e">
        <f>AND(#REF!,"AAAAAHn/3uM=")</f>
        <v>#REF!</v>
      </c>
      <c r="HU48" t="e">
        <f>AND(#REF!,"AAAAAHn/3uQ=")</f>
        <v>#REF!</v>
      </c>
      <c r="HV48" t="e">
        <f>AND(#REF!,"AAAAAHn/3uU=")</f>
        <v>#REF!</v>
      </c>
      <c r="HW48" t="e">
        <f>AND(#REF!,"AAAAAHn/3uY=")</f>
        <v>#REF!</v>
      </c>
      <c r="HX48" t="e">
        <f>AND(#REF!,"AAAAAHn/3uc=")</f>
        <v>#REF!</v>
      </c>
      <c r="HY48" t="e">
        <f>AND(#REF!,"AAAAAHn/3ug=")</f>
        <v>#REF!</v>
      </c>
      <c r="HZ48" t="e">
        <f>AND(#REF!,"AAAAAHn/3uk=")</f>
        <v>#REF!</v>
      </c>
      <c r="IA48" t="e">
        <f>AND(#REF!,"AAAAAHn/3uo=")</f>
        <v>#REF!</v>
      </c>
      <c r="IB48" t="e">
        <f>AND(#REF!,"AAAAAHn/3us=")</f>
        <v>#REF!</v>
      </c>
      <c r="IC48" t="e">
        <f>AND(#REF!,"AAAAAHn/3uw=")</f>
        <v>#REF!</v>
      </c>
      <c r="ID48" t="e">
        <f>AND(#REF!,"AAAAAHn/3u0=")</f>
        <v>#REF!</v>
      </c>
      <c r="IE48" t="e">
        <f>AND(#REF!,"AAAAAHn/3u4=")</f>
        <v>#REF!</v>
      </c>
      <c r="IF48" t="e">
        <f>AND(#REF!,"AAAAAHn/3u8=")</f>
        <v>#REF!</v>
      </c>
      <c r="IG48" t="e">
        <f>IF(#REF!,"AAAAAHn/3vA=",0)</f>
        <v>#REF!</v>
      </c>
      <c r="IH48" t="e">
        <f>AND(#REF!,"AAAAAHn/3vE=")</f>
        <v>#REF!</v>
      </c>
      <c r="II48" t="e">
        <f>AND(#REF!,"AAAAAHn/3vI=")</f>
        <v>#REF!</v>
      </c>
      <c r="IJ48" t="e">
        <f>AND(#REF!,"AAAAAHn/3vM=")</f>
        <v>#REF!</v>
      </c>
      <c r="IK48" t="e">
        <f>AND(#REF!,"AAAAAHn/3vQ=")</f>
        <v>#REF!</v>
      </c>
      <c r="IL48" t="e">
        <f>AND(#REF!,"AAAAAHn/3vU=")</f>
        <v>#REF!</v>
      </c>
      <c r="IM48" t="e">
        <f>AND(#REF!,"AAAAAHn/3vY=")</f>
        <v>#REF!</v>
      </c>
      <c r="IN48" t="e">
        <f>AND(#REF!,"AAAAAHn/3vc=")</f>
        <v>#REF!</v>
      </c>
      <c r="IO48" t="e">
        <f>AND(#REF!,"AAAAAHn/3vg=")</f>
        <v>#REF!</v>
      </c>
      <c r="IP48" t="e">
        <f>AND(#REF!,"AAAAAHn/3vk=")</f>
        <v>#REF!</v>
      </c>
      <c r="IQ48" t="e">
        <f>AND(#REF!,"AAAAAHn/3vo=")</f>
        <v>#REF!</v>
      </c>
      <c r="IR48" t="e">
        <f>AND(#REF!,"AAAAAHn/3vs=")</f>
        <v>#REF!</v>
      </c>
      <c r="IS48" t="e">
        <f>AND(#REF!,"AAAAAHn/3vw=")</f>
        <v>#REF!</v>
      </c>
      <c r="IT48" t="e">
        <f>AND(#REF!,"AAAAAHn/3v0=")</f>
        <v>#REF!</v>
      </c>
      <c r="IU48" t="e">
        <f>AND(#REF!,"AAAAAHn/3v4=")</f>
        <v>#REF!</v>
      </c>
      <c r="IV48" t="e">
        <f>AND(#REF!,"AAAAAHn/3v8=")</f>
        <v>#REF!</v>
      </c>
    </row>
    <row r="49" spans="1:256">
      <c r="A49" t="e">
        <f>AND(#REF!,"AAAAAH/eugA=")</f>
        <v>#REF!</v>
      </c>
      <c r="B49" t="e">
        <f>AND(#REF!,"AAAAAH/eugE=")</f>
        <v>#REF!</v>
      </c>
      <c r="C49" t="e">
        <f>AND(#REF!,"AAAAAH/eugI=")</f>
        <v>#REF!</v>
      </c>
      <c r="D49" t="e">
        <f>AND(#REF!,"AAAAAH/eugM=")</f>
        <v>#REF!</v>
      </c>
      <c r="E49" t="e">
        <f>AND(#REF!,"AAAAAH/eugQ=")</f>
        <v>#REF!</v>
      </c>
      <c r="F49" t="e">
        <f>AND(#REF!,"AAAAAH/eugU=")</f>
        <v>#REF!</v>
      </c>
      <c r="G49" t="e">
        <f>AND(#REF!,"AAAAAH/eugY=")</f>
        <v>#REF!</v>
      </c>
      <c r="H49" t="e">
        <f>AND(#REF!,"AAAAAH/eugc=")</f>
        <v>#REF!</v>
      </c>
      <c r="I49" t="e">
        <f>AND(#REF!,"AAAAAH/eugg=")</f>
        <v>#REF!</v>
      </c>
      <c r="J49" t="e">
        <f>AND(#REF!,"AAAAAH/eugk=")</f>
        <v>#REF!</v>
      </c>
      <c r="K49" t="e">
        <f>AND(#REF!,"AAAAAH/eugo=")</f>
        <v>#REF!</v>
      </c>
      <c r="L49" t="e">
        <f>AND(#REF!,"AAAAAH/eugs=")</f>
        <v>#REF!</v>
      </c>
      <c r="M49" t="e">
        <f>AND(#REF!,"AAAAAH/eugw=")</f>
        <v>#REF!</v>
      </c>
      <c r="N49" t="e">
        <f>AND(#REF!,"AAAAAH/eug0=")</f>
        <v>#REF!</v>
      </c>
      <c r="O49" t="e">
        <f>AND(#REF!,"AAAAAH/eug4=")</f>
        <v>#REF!</v>
      </c>
      <c r="P49" t="e">
        <f>AND(#REF!,"AAAAAH/eug8=")</f>
        <v>#REF!</v>
      </c>
      <c r="Q49" t="e">
        <f>AND(#REF!,"AAAAAH/euhA=")</f>
        <v>#REF!</v>
      </c>
      <c r="R49" t="e">
        <f>AND(#REF!,"AAAAAH/euhE=")</f>
        <v>#REF!</v>
      </c>
      <c r="S49" t="e">
        <f>AND(#REF!,"AAAAAH/euhI=")</f>
        <v>#REF!</v>
      </c>
      <c r="T49" t="e">
        <f>AND(#REF!,"AAAAAH/euhM=")</f>
        <v>#REF!</v>
      </c>
      <c r="U49" t="e">
        <f>IF(#REF!,"AAAAAH/euhQ=",0)</f>
        <v>#REF!</v>
      </c>
      <c r="V49" t="e">
        <f>AND(#REF!,"AAAAAH/euhU=")</f>
        <v>#REF!</v>
      </c>
      <c r="W49" t="e">
        <f>AND(#REF!,"AAAAAH/euhY=")</f>
        <v>#REF!</v>
      </c>
      <c r="X49" t="e">
        <f>AND(#REF!,"AAAAAH/euhc=")</f>
        <v>#REF!</v>
      </c>
      <c r="Y49" t="e">
        <f>AND(#REF!,"AAAAAH/euhg=")</f>
        <v>#REF!</v>
      </c>
      <c r="Z49" t="e">
        <f>AND(#REF!,"AAAAAH/euhk=")</f>
        <v>#REF!</v>
      </c>
      <c r="AA49" t="e">
        <f>AND(#REF!,"AAAAAH/euho=")</f>
        <v>#REF!</v>
      </c>
      <c r="AB49" t="e">
        <f>AND(#REF!,"AAAAAH/euhs=")</f>
        <v>#REF!</v>
      </c>
      <c r="AC49" t="e">
        <f>AND(#REF!,"AAAAAH/euhw=")</f>
        <v>#REF!</v>
      </c>
      <c r="AD49" t="e">
        <f>AND(#REF!,"AAAAAH/euh0=")</f>
        <v>#REF!</v>
      </c>
      <c r="AE49" t="e">
        <f>AND(#REF!,"AAAAAH/euh4=")</f>
        <v>#REF!</v>
      </c>
      <c r="AF49" t="e">
        <f>AND(#REF!,"AAAAAH/euh8=")</f>
        <v>#REF!</v>
      </c>
      <c r="AG49" t="e">
        <f>AND(#REF!,"AAAAAH/euiA=")</f>
        <v>#REF!</v>
      </c>
      <c r="AH49" t="e">
        <f>AND(#REF!,"AAAAAH/euiE=")</f>
        <v>#REF!</v>
      </c>
      <c r="AI49" t="e">
        <f>AND(#REF!,"AAAAAH/euiI=")</f>
        <v>#REF!</v>
      </c>
      <c r="AJ49" t="e">
        <f>AND(#REF!,"AAAAAH/euiM=")</f>
        <v>#REF!</v>
      </c>
      <c r="AK49" t="e">
        <f>AND(#REF!,"AAAAAH/euiQ=")</f>
        <v>#REF!</v>
      </c>
      <c r="AL49" t="e">
        <f>AND(#REF!,"AAAAAH/euiU=")</f>
        <v>#REF!</v>
      </c>
      <c r="AM49" t="e">
        <f>AND(#REF!,"AAAAAH/euiY=")</f>
        <v>#REF!</v>
      </c>
      <c r="AN49" t="e">
        <f>AND(#REF!,"AAAAAH/euic=")</f>
        <v>#REF!</v>
      </c>
      <c r="AO49" t="e">
        <f>AND(#REF!,"AAAAAH/euig=")</f>
        <v>#REF!</v>
      </c>
      <c r="AP49" t="e">
        <f>AND(#REF!,"AAAAAH/euik=")</f>
        <v>#REF!</v>
      </c>
      <c r="AQ49" t="e">
        <f>AND(#REF!,"AAAAAH/euio=")</f>
        <v>#REF!</v>
      </c>
      <c r="AR49" t="e">
        <f>AND(#REF!,"AAAAAH/euis=")</f>
        <v>#REF!</v>
      </c>
      <c r="AS49" t="e">
        <f>AND(#REF!,"AAAAAH/euiw=")</f>
        <v>#REF!</v>
      </c>
      <c r="AT49" t="e">
        <f>AND(#REF!,"AAAAAH/eui0=")</f>
        <v>#REF!</v>
      </c>
      <c r="AU49" t="e">
        <f>AND(#REF!,"AAAAAH/eui4=")</f>
        <v>#REF!</v>
      </c>
      <c r="AV49" t="e">
        <f>AND(#REF!,"AAAAAH/eui8=")</f>
        <v>#REF!</v>
      </c>
      <c r="AW49" t="e">
        <f>AND(#REF!,"AAAAAH/eujA=")</f>
        <v>#REF!</v>
      </c>
      <c r="AX49" t="e">
        <f>AND(#REF!,"AAAAAH/eujE=")</f>
        <v>#REF!</v>
      </c>
      <c r="AY49" t="e">
        <f>AND(#REF!,"AAAAAH/eujI=")</f>
        <v>#REF!</v>
      </c>
      <c r="AZ49" t="e">
        <f>AND(#REF!,"AAAAAH/eujM=")</f>
        <v>#REF!</v>
      </c>
      <c r="BA49" t="e">
        <f>AND(#REF!,"AAAAAH/eujQ=")</f>
        <v>#REF!</v>
      </c>
      <c r="BB49" t="e">
        <f>AND(#REF!,"AAAAAH/eujU=")</f>
        <v>#REF!</v>
      </c>
      <c r="BC49" t="e">
        <f>AND(#REF!,"AAAAAH/eujY=")</f>
        <v>#REF!</v>
      </c>
      <c r="BD49" t="e">
        <f>AND(#REF!,"AAAAAH/eujc=")</f>
        <v>#REF!</v>
      </c>
      <c r="BE49" t="e">
        <f>IF(#REF!,"AAAAAH/eujg=",0)</f>
        <v>#REF!</v>
      </c>
      <c r="BF49" t="e">
        <f>AND(#REF!,"AAAAAH/eujk=")</f>
        <v>#REF!</v>
      </c>
      <c r="BG49" t="e">
        <f>AND(#REF!,"AAAAAH/eujo=")</f>
        <v>#REF!</v>
      </c>
      <c r="BH49" t="e">
        <f>AND(#REF!,"AAAAAH/eujs=")</f>
        <v>#REF!</v>
      </c>
      <c r="BI49" t="e">
        <f>AND(#REF!,"AAAAAH/eujw=")</f>
        <v>#REF!</v>
      </c>
      <c r="BJ49" t="e">
        <f>AND(#REF!,"AAAAAH/euj0=")</f>
        <v>#REF!</v>
      </c>
      <c r="BK49" t="e">
        <f>AND(#REF!,"AAAAAH/euj4=")</f>
        <v>#REF!</v>
      </c>
      <c r="BL49" t="e">
        <f>AND(#REF!,"AAAAAH/euj8=")</f>
        <v>#REF!</v>
      </c>
      <c r="BM49" t="e">
        <f>AND(#REF!,"AAAAAH/eukA=")</f>
        <v>#REF!</v>
      </c>
      <c r="BN49" t="e">
        <f>AND(#REF!,"AAAAAH/eukE=")</f>
        <v>#REF!</v>
      </c>
      <c r="BO49" t="e">
        <f>AND(#REF!,"AAAAAH/eukI=")</f>
        <v>#REF!</v>
      </c>
      <c r="BP49" t="e">
        <f>AND(#REF!,"AAAAAH/eukM=")</f>
        <v>#REF!</v>
      </c>
      <c r="BQ49" t="e">
        <f>AND(#REF!,"AAAAAH/eukQ=")</f>
        <v>#REF!</v>
      </c>
      <c r="BR49" t="e">
        <f>AND(#REF!,"AAAAAH/eukU=")</f>
        <v>#REF!</v>
      </c>
      <c r="BS49" t="e">
        <f>AND(#REF!,"AAAAAH/eukY=")</f>
        <v>#REF!</v>
      </c>
      <c r="BT49" t="e">
        <f>AND(#REF!,"AAAAAH/eukc=")</f>
        <v>#REF!</v>
      </c>
      <c r="BU49" t="e">
        <f>AND(#REF!,"AAAAAH/eukg=")</f>
        <v>#REF!</v>
      </c>
      <c r="BV49" t="e">
        <f>AND(#REF!,"AAAAAH/eukk=")</f>
        <v>#REF!</v>
      </c>
      <c r="BW49" t="e">
        <f>AND(#REF!,"AAAAAH/euko=")</f>
        <v>#REF!</v>
      </c>
      <c r="BX49" t="e">
        <f>AND(#REF!,"AAAAAH/euks=")</f>
        <v>#REF!</v>
      </c>
      <c r="BY49" t="e">
        <f>AND(#REF!,"AAAAAH/eukw=")</f>
        <v>#REF!</v>
      </c>
      <c r="BZ49" t="e">
        <f>AND(#REF!,"AAAAAH/euk0=")</f>
        <v>#REF!</v>
      </c>
      <c r="CA49" t="e">
        <f>AND(#REF!,"AAAAAH/euk4=")</f>
        <v>#REF!</v>
      </c>
      <c r="CB49" t="e">
        <f>AND(#REF!,"AAAAAH/euk8=")</f>
        <v>#REF!</v>
      </c>
      <c r="CC49" t="e">
        <f>AND(#REF!,"AAAAAH/eulA=")</f>
        <v>#REF!</v>
      </c>
      <c r="CD49" t="e">
        <f>AND(#REF!,"AAAAAH/eulE=")</f>
        <v>#REF!</v>
      </c>
      <c r="CE49" t="e">
        <f>AND(#REF!,"AAAAAH/eulI=")</f>
        <v>#REF!</v>
      </c>
      <c r="CF49" t="e">
        <f>AND(#REF!,"AAAAAH/eulM=")</f>
        <v>#REF!</v>
      </c>
      <c r="CG49" t="e">
        <f>AND(#REF!,"AAAAAH/eulQ=")</f>
        <v>#REF!</v>
      </c>
      <c r="CH49" t="e">
        <f>AND(#REF!,"AAAAAH/eulU=")</f>
        <v>#REF!</v>
      </c>
      <c r="CI49" t="e">
        <f>AND(#REF!,"AAAAAH/eulY=")</f>
        <v>#REF!</v>
      </c>
      <c r="CJ49" t="e">
        <f>AND(#REF!,"AAAAAH/eulc=")</f>
        <v>#REF!</v>
      </c>
      <c r="CK49" t="e">
        <f>AND(#REF!,"AAAAAH/eulg=")</f>
        <v>#REF!</v>
      </c>
      <c r="CL49" t="e">
        <f>AND(#REF!,"AAAAAH/eulk=")</f>
        <v>#REF!</v>
      </c>
      <c r="CM49" t="e">
        <f>AND(#REF!,"AAAAAH/eulo=")</f>
        <v>#REF!</v>
      </c>
      <c r="CN49" t="e">
        <f>AND(#REF!,"AAAAAH/euls=")</f>
        <v>#REF!</v>
      </c>
      <c r="CO49" t="e">
        <f>IF(#REF!,"AAAAAH/eulw=",0)</f>
        <v>#REF!</v>
      </c>
      <c r="CP49" t="e">
        <f>AND(#REF!,"AAAAAH/eul0=")</f>
        <v>#REF!</v>
      </c>
      <c r="CQ49" t="e">
        <f>AND(#REF!,"AAAAAH/eul4=")</f>
        <v>#REF!</v>
      </c>
      <c r="CR49" t="e">
        <f>AND(#REF!,"AAAAAH/eul8=")</f>
        <v>#REF!</v>
      </c>
      <c r="CS49" t="e">
        <f>AND(#REF!,"AAAAAH/eumA=")</f>
        <v>#REF!</v>
      </c>
      <c r="CT49" t="e">
        <f>AND(#REF!,"AAAAAH/eumE=")</f>
        <v>#REF!</v>
      </c>
      <c r="CU49" t="e">
        <f>AND(#REF!,"AAAAAH/eumI=")</f>
        <v>#REF!</v>
      </c>
      <c r="CV49" t="e">
        <f>AND(#REF!,"AAAAAH/eumM=")</f>
        <v>#REF!</v>
      </c>
      <c r="CW49" t="e">
        <f>AND(#REF!,"AAAAAH/eumQ=")</f>
        <v>#REF!</v>
      </c>
      <c r="CX49" t="e">
        <f>AND(#REF!,"AAAAAH/eumU=")</f>
        <v>#REF!</v>
      </c>
      <c r="CY49" t="e">
        <f>AND(#REF!,"AAAAAH/eumY=")</f>
        <v>#REF!</v>
      </c>
      <c r="CZ49" t="e">
        <f>AND(#REF!,"AAAAAH/eumc=")</f>
        <v>#REF!</v>
      </c>
      <c r="DA49" t="e">
        <f>AND(#REF!,"AAAAAH/eumg=")</f>
        <v>#REF!</v>
      </c>
      <c r="DB49" t="e">
        <f>AND(#REF!,"AAAAAH/eumk=")</f>
        <v>#REF!</v>
      </c>
      <c r="DC49" t="e">
        <f>AND(#REF!,"AAAAAH/eumo=")</f>
        <v>#REF!</v>
      </c>
      <c r="DD49" t="e">
        <f>AND(#REF!,"AAAAAH/eums=")</f>
        <v>#REF!</v>
      </c>
      <c r="DE49" t="e">
        <f>AND(#REF!,"AAAAAH/eumw=")</f>
        <v>#REF!</v>
      </c>
      <c r="DF49" t="e">
        <f>AND(#REF!,"AAAAAH/eum0=")</f>
        <v>#REF!</v>
      </c>
      <c r="DG49" t="e">
        <f>AND(#REF!,"AAAAAH/eum4=")</f>
        <v>#REF!</v>
      </c>
      <c r="DH49" t="e">
        <f>AND(#REF!,"AAAAAH/eum8=")</f>
        <v>#REF!</v>
      </c>
      <c r="DI49" t="e">
        <f>AND(#REF!,"AAAAAH/eunA=")</f>
        <v>#REF!</v>
      </c>
      <c r="DJ49" t="e">
        <f>AND(#REF!,"AAAAAH/eunE=")</f>
        <v>#REF!</v>
      </c>
      <c r="DK49" t="e">
        <f>AND(#REF!,"AAAAAH/eunI=")</f>
        <v>#REF!</v>
      </c>
      <c r="DL49" t="e">
        <f>AND(#REF!,"AAAAAH/eunM=")</f>
        <v>#REF!</v>
      </c>
      <c r="DM49" t="e">
        <f>AND(#REF!,"AAAAAH/eunQ=")</f>
        <v>#REF!</v>
      </c>
      <c r="DN49" t="e">
        <f>AND(#REF!,"AAAAAH/eunU=")</f>
        <v>#REF!</v>
      </c>
      <c r="DO49" t="e">
        <f>AND(#REF!,"AAAAAH/eunY=")</f>
        <v>#REF!</v>
      </c>
      <c r="DP49" t="e">
        <f>AND(#REF!,"AAAAAH/eunc=")</f>
        <v>#REF!</v>
      </c>
      <c r="DQ49" t="e">
        <f>AND(#REF!,"AAAAAH/eung=")</f>
        <v>#REF!</v>
      </c>
      <c r="DR49" t="e">
        <f>AND(#REF!,"AAAAAH/eunk=")</f>
        <v>#REF!</v>
      </c>
      <c r="DS49" t="e">
        <f>AND(#REF!,"AAAAAH/euno=")</f>
        <v>#REF!</v>
      </c>
      <c r="DT49" t="e">
        <f>AND(#REF!,"AAAAAH/euns=")</f>
        <v>#REF!</v>
      </c>
      <c r="DU49" t="e">
        <f>AND(#REF!,"AAAAAH/eunw=")</f>
        <v>#REF!</v>
      </c>
      <c r="DV49" t="e">
        <f>AND(#REF!,"AAAAAH/eun0=")</f>
        <v>#REF!</v>
      </c>
      <c r="DW49" t="e">
        <f>AND(#REF!,"AAAAAH/eun4=")</f>
        <v>#REF!</v>
      </c>
      <c r="DX49" t="e">
        <f>AND(#REF!,"AAAAAH/eun8=")</f>
        <v>#REF!</v>
      </c>
      <c r="DY49" t="e">
        <f>IF(#REF!,"AAAAAH/euoA=",0)</f>
        <v>#REF!</v>
      </c>
      <c r="DZ49" t="e">
        <f>AND(#REF!,"AAAAAH/euoE=")</f>
        <v>#REF!</v>
      </c>
      <c r="EA49" t="e">
        <f>AND(#REF!,"AAAAAH/euoI=")</f>
        <v>#REF!</v>
      </c>
      <c r="EB49" t="e">
        <f>AND(#REF!,"AAAAAH/euoM=")</f>
        <v>#REF!</v>
      </c>
      <c r="EC49" t="e">
        <f>AND(#REF!,"AAAAAH/euoQ=")</f>
        <v>#REF!</v>
      </c>
      <c r="ED49" t="e">
        <f>AND(#REF!,"AAAAAH/euoU=")</f>
        <v>#REF!</v>
      </c>
      <c r="EE49" t="e">
        <f>AND(#REF!,"AAAAAH/euoY=")</f>
        <v>#REF!</v>
      </c>
      <c r="EF49" t="e">
        <f>AND(#REF!,"AAAAAH/euoc=")</f>
        <v>#REF!</v>
      </c>
      <c r="EG49" t="e">
        <f>AND(#REF!,"AAAAAH/euog=")</f>
        <v>#REF!</v>
      </c>
      <c r="EH49" t="e">
        <f>AND(#REF!,"AAAAAH/euok=")</f>
        <v>#REF!</v>
      </c>
      <c r="EI49" t="e">
        <f>AND(#REF!,"AAAAAH/euoo=")</f>
        <v>#REF!</v>
      </c>
      <c r="EJ49" t="e">
        <f>AND(#REF!,"AAAAAH/euos=")</f>
        <v>#REF!</v>
      </c>
      <c r="EK49" t="e">
        <f>AND(#REF!,"AAAAAH/euow=")</f>
        <v>#REF!</v>
      </c>
      <c r="EL49" t="e">
        <f>AND(#REF!,"AAAAAH/euo0=")</f>
        <v>#REF!</v>
      </c>
      <c r="EM49" t="e">
        <f>AND(#REF!,"AAAAAH/euo4=")</f>
        <v>#REF!</v>
      </c>
      <c r="EN49" t="e">
        <f>AND(#REF!,"AAAAAH/euo8=")</f>
        <v>#REF!</v>
      </c>
      <c r="EO49" t="e">
        <f>AND(#REF!,"AAAAAH/eupA=")</f>
        <v>#REF!</v>
      </c>
      <c r="EP49" t="e">
        <f>AND(#REF!,"AAAAAH/eupE=")</f>
        <v>#REF!</v>
      </c>
      <c r="EQ49" t="e">
        <f>AND(#REF!,"AAAAAH/eupI=")</f>
        <v>#REF!</v>
      </c>
      <c r="ER49" t="e">
        <f>AND(#REF!,"AAAAAH/eupM=")</f>
        <v>#REF!</v>
      </c>
      <c r="ES49" t="e">
        <f>AND(#REF!,"AAAAAH/eupQ=")</f>
        <v>#REF!</v>
      </c>
      <c r="ET49" t="e">
        <f>AND(#REF!,"AAAAAH/eupU=")</f>
        <v>#REF!</v>
      </c>
      <c r="EU49" t="e">
        <f>AND(#REF!,"AAAAAH/eupY=")</f>
        <v>#REF!</v>
      </c>
      <c r="EV49" t="e">
        <f>AND(#REF!,"AAAAAH/eupc=")</f>
        <v>#REF!</v>
      </c>
      <c r="EW49" t="e">
        <f>AND(#REF!,"AAAAAH/eupg=")</f>
        <v>#REF!</v>
      </c>
      <c r="EX49" t="e">
        <f>AND(#REF!,"AAAAAH/eupk=")</f>
        <v>#REF!</v>
      </c>
      <c r="EY49" t="e">
        <f>AND(#REF!,"AAAAAH/eupo=")</f>
        <v>#REF!</v>
      </c>
      <c r="EZ49" t="e">
        <f>AND(#REF!,"AAAAAH/eups=")</f>
        <v>#REF!</v>
      </c>
      <c r="FA49" t="e">
        <f>AND(#REF!,"AAAAAH/eupw=")</f>
        <v>#REF!</v>
      </c>
      <c r="FB49" t="e">
        <f>AND(#REF!,"AAAAAH/eup0=")</f>
        <v>#REF!</v>
      </c>
      <c r="FC49" t="e">
        <f>AND(#REF!,"AAAAAH/eup4=")</f>
        <v>#REF!</v>
      </c>
      <c r="FD49" t="e">
        <f>AND(#REF!,"AAAAAH/eup8=")</f>
        <v>#REF!</v>
      </c>
      <c r="FE49" t="e">
        <f>AND(#REF!,"AAAAAH/euqA=")</f>
        <v>#REF!</v>
      </c>
      <c r="FF49" t="e">
        <f>AND(#REF!,"AAAAAH/euqE=")</f>
        <v>#REF!</v>
      </c>
      <c r="FG49" t="e">
        <f>AND(#REF!,"AAAAAH/euqI=")</f>
        <v>#REF!</v>
      </c>
      <c r="FH49" t="e">
        <f>AND(#REF!,"AAAAAH/euqM=")</f>
        <v>#REF!</v>
      </c>
      <c r="FI49" t="e">
        <f>IF(#REF!,"AAAAAH/euqQ=",0)</f>
        <v>#REF!</v>
      </c>
      <c r="FJ49" t="e">
        <f>IF(#REF!,"AAAAAH/euqU=",0)</f>
        <v>#REF!</v>
      </c>
      <c r="FK49" t="e">
        <f>IF(#REF!,"AAAAAH/euqY=",0)</f>
        <v>#REF!</v>
      </c>
      <c r="FL49" t="e">
        <f>IF(#REF!,"AAAAAH/euqc=",0)</f>
        <v>#REF!</v>
      </c>
      <c r="FM49" t="e">
        <f>IF(#REF!,"AAAAAH/euqg=",0)</f>
        <v>#REF!</v>
      </c>
      <c r="FN49" t="e">
        <f>IF(#REF!,"AAAAAH/euqk=",0)</f>
        <v>#REF!</v>
      </c>
      <c r="FO49" t="e">
        <f>IF(#REF!,"AAAAAH/euqo=",0)</f>
        <v>#REF!</v>
      </c>
      <c r="FP49" t="e">
        <f>IF(#REF!,"AAAAAH/euqs=",0)</f>
        <v>#REF!</v>
      </c>
      <c r="FQ49" t="e">
        <f>IF(#REF!,"AAAAAH/euqw=",0)</f>
        <v>#REF!</v>
      </c>
      <c r="FR49" t="e">
        <f>IF(#REF!,"AAAAAH/euq0=",0)</f>
        <v>#REF!</v>
      </c>
      <c r="FS49" t="e">
        <f>IF(#REF!,"AAAAAH/euq4=",0)</f>
        <v>#REF!</v>
      </c>
      <c r="FT49" t="e">
        <f>IF(#REF!,"AAAAAH/euq8=",0)</f>
        <v>#REF!</v>
      </c>
      <c r="FU49" t="e">
        <f>IF(#REF!,"AAAAAH/eurA=",0)</f>
        <v>#REF!</v>
      </c>
      <c r="FV49" t="e">
        <f>IF(#REF!,"AAAAAH/eurE=",0)</f>
        <v>#REF!</v>
      </c>
      <c r="FW49" t="e">
        <f>IF(#REF!,"AAAAAH/eurI=",0)</f>
        <v>#REF!</v>
      </c>
      <c r="FX49" t="e">
        <f>IF(#REF!,"AAAAAH/eurM=",0)</f>
        <v>#REF!</v>
      </c>
      <c r="FY49" t="e">
        <f>IF(#REF!,"AAAAAH/eurQ=",0)</f>
        <v>#REF!</v>
      </c>
      <c r="FZ49" t="e">
        <f>IF(#REF!,"AAAAAH/eurU=",0)</f>
        <v>#REF!</v>
      </c>
      <c r="GA49" t="e">
        <f>IF(#REF!,"AAAAAH/eurY=",0)</f>
        <v>#REF!</v>
      </c>
      <c r="GB49" t="e">
        <f>IF(#REF!,"AAAAAH/eurc=",0)</f>
        <v>#REF!</v>
      </c>
      <c r="GC49" t="e">
        <f>IF(#REF!,"AAAAAH/eurg=",0)</f>
        <v>#REF!</v>
      </c>
      <c r="GD49" t="e">
        <f>IF(#REF!,"AAAAAH/eurk=",0)</f>
        <v>#REF!</v>
      </c>
      <c r="GE49" t="e">
        <f>IF(#REF!,"AAAAAH/euro=",0)</f>
        <v>#REF!</v>
      </c>
      <c r="GF49" t="e">
        <f>IF(#REF!,"AAAAAH/eurs=",0)</f>
        <v>#REF!</v>
      </c>
      <c r="GG49" t="e">
        <f>IF(#REF!,"AAAAAH/eurw=",0)</f>
        <v>#REF!</v>
      </c>
      <c r="GH49" t="e">
        <f>IF(#REF!,"AAAAAH/eur0=",0)</f>
        <v>#REF!</v>
      </c>
      <c r="GI49" t="e">
        <f>IF(#REF!,"AAAAAH/eur4=",0)</f>
        <v>#REF!</v>
      </c>
      <c r="GJ49" t="e">
        <f>IF(#REF!,"AAAAAH/eur8=",0)</f>
        <v>#REF!</v>
      </c>
      <c r="GK49" t="e">
        <f>IF(#REF!,"AAAAAH/eusA=",0)</f>
        <v>#REF!</v>
      </c>
      <c r="GL49" t="e">
        <f>IF(#REF!,"AAAAAH/eusE=",0)</f>
        <v>#REF!</v>
      </c>
      <c r="GM49" t="e">
        <f>IF(#REF!,"AAAAAH/eusI=",0)</f>
        <v>#REF!</v>
      </c>
      <c r="GN49" t="e">
        <f>IF(#REF!,"AAAAAH/eusM=",0)</f>
        <v>#REF!</v>
      </c>
      <c r="GO49" t="e">
        <f>IF(#REF!,"AAAAAH/eusQ=",0)</f>
        <v>#REF!</v>
      </c>
      <c r="GP49" t="e">
        <f>IF(#REF!,"AAAAAH/eusU=",0)</f>
        <v>#REF!</v>
      </c>
      <c r="GQ49" t="e">
        <f>IF(#REF!,"AAAAAH/eusY=",0)</f>
        <v>#REF!</v>
      </c>
      <c r="GR49" t="e">
        <f>IF(#REF!,"AAAAAH/eusc=",0)</f>
        <v>#REF!</v>
      </c>
      <c r="GS49" t="e">
        <f>IF(#REF!,"AAAAAH/eusg=",0)</f>
        <v>#REF!</v>
      </c>
      <c r="GT49" t="e">
        <f>IF(#REF!,"AAAAAH/eusk=",0)</f>
        <v>#REF!</v>
      </c>
      <c r="GU49" t="e">
        <f>IF(#REF!,"AAAAAH/euso=",0)</f>
        <v>#REF!</v>
      </c>
      <c r="GV49" t="e">
        <f>IF(#REF!,"AAAAAH/euss=",0)</f>
        <v>#REF!</v>
      </c>
      <c r="GW49" t="e">
        <f>IF(#REF!,"AAAAAH/eusw=",0)</f>
        <v>#REF!</v>
      </c>
      <c r="GX49" t="e">
        <f>IF(#REF!,"AAAAAH/eus0=",0)</f>
        <v>#REF!</v>
      </c>
      <c r="GY49" t="e">
        <f>IF(#REF!,"AAAAAH/eus4=",0)</f>
        <v>#REF!</v>
      </c>
      <c r="GZ49" t="e">
        <f>IF(#REF!,"AAAAAH/eus8=",0)</f>
        <v>#REF!</v>
      </c>
      <c r="HA49" t="e">
        <f>IF(#REF!,"AAAAAH/eutA=",0)</f>
        <v>#REF!</v>
      </c>
      <c r="HB49" t="e">
        <f>IF(#REF!,"AAAAAH/eutE=",0)</f>
        <v>#REF!</v>
      </c>
      <c r="HC49" t="e">
        <f>IF(#REF!,"AAAAAH/eutI=",0)</f>
        <v>#REF!</v>
      </c>
      <c r="HD49" t="e">
        <f>IF(#REF!,"AAAAAH/eutM=",0)</f>
        <v>#REF!</v>
      </c>
      <c r="HE49" t="e">
        <f>IF(#REF!,"AAAAAH/eutQ=",0)</f>
        <v>#REF!</v>
      </c>
      <c r="HF49" t="e">
        <f>IF(#REF!,"AAAAAH/eutU=",0)</f>
        <v>#REF!</v>
      </c>
      <c r="HG49" t="e">
        <f>IF(#REF!,"AAAAAH/eutY=",0)</f>
        <v>#REF!</v>
      </c>
      <c r="HH49" t="e">
        <f>IF(#REF!,"AAAAAH/eutc=",0)</f>
        <v>#REF!</v>
      </c>
      <c r="HI49" t="e">
        <f>IF(#REF!,"AAAAAH/eutg=",0)</f>
        <v>#REF!</v>
      </c>
      <c r="HJ49" t="e">
        <f>IF(#REF!,"AAAAAH/eutk=",0)</f>
        <v>#REF!</v>
      </c>
      <c r="HK49" t="e">
        <f>IF(#REF!,"AAAAAH/euto=",0)</f>
        <v>#REF!</v>
      </c>
      <c r="HL49" t="e">
        <f>IF(#REF!,"AAAAAH/euts=",0)</f>
        <v>#REF!</v>
      </c>
      <c r="HM49" t="e">
        <f>IF(#REF!,"AAAAAH/eutw=",0)</f>
        <v>#REF!</v>
      </c>
      <c r="HN49" t="e">
        <f>AND(#REF!,"AAAAAH/eut0=")</f>
        <v>#REF!</v>
      </c>
      <c r="HO49" t="e">
        <f>AND(#REF!,"AAAAAH/eut4=")</f>
        <v>#REF!</v>
      </c>
      <c r="HP49" t="e">
        <f>AND(#REF!,"AAAAAH/eut8=")</f>
        <v>#REF!</v>
      </c>
      <c r="HQ49" t="e">
        <f>AND(#REF!,"AAAAAH/euuA=")</f>
        <v>#REF!</v>
      </c>
      <c r="HR49" t="e">
        <f>AND(#REF!,"AAAAAH/euuE=")</f>
        <v>#REF!</v>
      </c>
      <c r="HS49" t="e">
        <f>AND(#REF!,"AAAAAH/euuI=")</f>
        <v>#REF!</v>
      </c>
      <c r="HT49" t="e">
        <f>AND(#REF!,"AAAAAH/euuM=")</f>
        <v>#REF!</v>
      </c>
      <c r="HU49" t="e">
        <f>AND(#REF!,"AAAAAH/euuQ=")</f>
        <v>#REF!</v>
      </c>
      <c r="HV49" t="e">
        <f>AND(#REF!,"AAAAAH/euuU=")</f>
        <v>#REF!</v>
      </c>
      <c r="HW49" t="e">
        <f>AND(#REF!,"AAAAAH/euuY=")</f>
        <v>#REF!</v>
      </c>
      <c r="HX49" t="e">
        <f>AND(#REF!,"AAAAAH/euuc=")</f>
        <v>#REF!</v>
      </c>
      <c r="HY49" t="e">
        <f>AND(#REF!,"AAAAAH/euug=")</f>
        <v>#REF!</v>
      </c>
      <c r="HZ49" t="e">
        <f>AND(#REF!,"AAAAAH/euuk=")</f>
        <v>#REF!</v>
      </c>
      <c r="IA49" t="e">
        <f>AND(#REF!,"AAAAAH/euuo=")</f>
        <v>#REF!</v>
      </c>
      <c r="IB49" t="e">
        <f>AND(#REF!,"AAAAAH/euus=")</f>
        <v>#REF!</v>
      </c>
      <c r="IC49" t="e">
        <f>AND(#REF!,"AAAAAH/euuw=")</f>
        <v>#REF!</v>
      </c>
      <c r="ID49" t="e">
        <f>AND(#REF!,"AAAAAH/euu0=")</f>
        <v>#REF!</v>
      </c>
      <c r="IE49" t="e">
        <f>AND(#REF!,"AAAAAH/euu4=")</f>
        <v>#REF!</v>
      </c>
      <c r="IF49" t="e">
        <f>AND(#REF!,"AAAAAH/euu8=")</f>
        <v>#REF!</v>
      </c>
      <c r="IG49" t="e">
        <f>AND(#REF!,"AAAAAH/euvA=")</f>
        <v>#REF!</v>
      </c>
      <c r="IH49" t="e">
        <f>AND(#REF!,"AAAAAH/euvE=")</f>
        <v>#REF!</v>
      </c>
      <c r="II49" t="e">
        <f>AND(#REF!,"AAAAAH/euvI=")</f>
        <v>#REF!</v>
      </c>
      <c r="IJ49" t="e">
        <f>AND(#REF!,"AAAAAH/euvM=")</f>
        <v>#REF!</v>
      </c>
      <c r="IK49" t="e">
        <f>AND(#REF!,"AAAAAH/euvQ=")</f>
        <v>#REF!</v>
      </c>
      <c r="IL49" t="e">
        <f>AND(#REF!,"AAAAAH/euvU=")</f>
        <v>#REF!</v>
      </c>
      <c r="IM49" t="e">
        <f>AND(#REF!,"AAAAAH/euvY=")</f>
        <v>#REF!</v>
      </c>
      <c r="IN49" t="e">
        <f>AND(#REF!,"AAAAAH/euvc=")</f>
        <v>#REF!</v>
      </c>
      <c r="IO49" t="e">
        <f>AND(#REF!,"AAAAAH/euvg=")</f>
        <v>#REF!</v>
      </c>
      <c r="IP49" t="e">
        <f>AND(#REF!,"AAAAAH/euvk=")</f>
        <v>#REF!</v>
      </c>
      <c r="IQ49" t="e">
        <f>AND(#REF!,"AAAAAH/euvo=")</f>
        <v>#REF!</v>
      </c>
      <c r="IR49" t="e">
        <f>AND(#REF!,"AAAAAH/euvs=")</f>
        <v>#REF!</v>
      </c>
      <c r="IS49" t="e">
        <f>AND(#REF!,"AAAAAH/euvw=")</f>
        <v>#REF!</v>
      </c>
      <c r="IT49" t="e">
        <f>AND(#REF!,"AAAAAH/euv0=")</f>
        <v>#REF!</v>
      </c>
      <c r="IU49" t="e">
        <f>AND(#REF!,"AAAAAH/euv4=")</f>
        <v>#REF!</v>
      </c>
      <c r="IV49" t="e">
        <f>AND(#REF!,"AAAAAH/euv8=")</f>
        <v>#REF!</v>
      </c>
    </row>
    <row r="50" spans="1:256">
      <c r="A50" t="e">
        <f>IF(#REF!,"AAAAAE3tbwA=",0)</f>
        <v>#REF!</v>
      </c>
      <c r="B50" t="e">
        <f>AND(#REF!,"AAAAAE3tbwE=")</f>
        <v>#REF!</v>
      </c>
      <c r="C50" t="e">
        <f>AND(#REF!,"AAAAAE3tbwI=")</f>
        <v>#REF!</v>
      </c>
      <c r="D50" t="e">
        <f>AND(#REF!,"AAAAAE3tbwM=")</f>
        <v>#REF!</v>
      </c>
      <c r="E50" t="e">
        <f>AND(#REF!,"AAAAAE3tbwQ=")</f>
        <v>#REF!</v>
      </c>
      <c r="F50" t="e">
        <f>AND(#REF!,"AAAAAE3tbwU=")</f>
        <v>#REF!</v>
      </c>
      <c r="G50" t="e">
        <f>AND(#REF!,"AAAAAE3tbwY=")</f>
        <v>#REF!</v>
      </c>
      <c r="H50" t="e">
        <f>AND(#REF!,"AAAAAE3tbwc=")</f>
        <v>#REF!</v>
      </c>
      <c r="I50" t="e">
        <f>AND(#REF!,"AAAAAE3tbwg=")</f>
        <v>#REF!</v>
      </c>
      <c r="J50" t="e">
        <f>AND(#REF!,"AAAAAE3tbwk=")</f>
        <v>#REF!</v>
      </c>
      <c r="K50" t="e">
        <f>AND(#REF!,"AAAAAE3tbwo=")</f>
        <v>#REF!</v>
      </c>
      <c r="L50" t="e">
        <f>AND(#REF!,"AAAAAE3tbws=")</f>
        <v>#REF!</v>
      </c>
      <c r="M50" t="e">
        <f>AND(#REF!,"AAAAAE3tbww=")</f>
        <v>#REF!</v>
      </c>
      <c r="N50" t="e">
        <f>AND(#REF!,"AAAAAE3tbw0=")</f>
        <v>#REF!</v>
      </c>
      <c r="O50" t="e">
        <f>AND(#REF!,"AAAAAE3tbw4=")</f>
        <v>#REF!</v>
      </c>
      <c r="P50" t="e">
        <f>AND(#REF!,"AAAAAE3tbw8=")</f>
        <v>#REF!</v>
      </c>
      <c r="Q50" t="e">
        <f>AND(#REF!,"AAAAAE3tbxA=")</f>
        <v>#REF!</v>
      </c>
      <c r="R50" t="e">
        <f>AND(#REF!,"AAAAAE3tbxE=")</f>
        <v>#REF!</v>
      </c>
      <c r="S50" t="e">
        <f>AND(#REF!,"AAAAAE3tbxI=")</f>
        <v>#REF!</v>
      </c>
      <c r="T50" t="e">
        <f>AND(#REF!,"AAAAAE3tbxM=")</f>
        <v>#REF!</v>
      </c>
      <c r="U50" t="e">
        <f>AND(#REF!,"AAAAAE3tbxQ=")</f>
        <v>#REF!</v>
      </c>
      <c r="V50" t="e">
        <f>AND(#REF!,"AAAAAE3tbxU=")</f>
        <v>#REF!</v>
      </c>
      <c r="W50" t="e">
        <f>AND(#REF!,"AAAAAE3tbxY=")</f>
        <v>#REF!</v>
      </c>
      <c r="X50" t="e">
        <f>AND(#REF!,"AAAAAE3tbxc=")</f>
        <v>#REF!</v>
      </c>
      <c r="Y50" t="e">
        <f>AND(#REF!,"AAAAAE3tbxg=")</f>
        <v>#REF!</v>
      </c>
      <c r="Z50" t="e">
        <f>AND(#REF!,"AAAAAE3tbxk=")</f>
        <v>#REF!</v>
      </c>
      <c r="AA50" t="e">
        <f>AND(#REF!,"AAAAAE3tbxo=")</f>
        <v>#REF!</v>
      </c>
      <c r="AB50" t="e">
        <f>AND(#REF!,"AAAAAE3tbxs=")</f>
        <v>#REF!</v>
      </c>
      <c r="AC50" t="e">
        <f>AND(#REF!,"AAAAAE3tbxw=")</f>
        <v>#REF!</v>
      </c>
      <c r="AD50" t="e">
        <f>AND(#REF!,"AAAAAE3tbx0=")</f>
        <v>#REF!</v>
      </c>
      <c r="AE50" t="e">
        <f>AND(#REF!,"AAAAAE3tbx4=")</f>
        <v>#REF!</v>
      </c>
      <c r="AF50" t="e">
        <f>AND(#REF!,"AAAAAE3tbx8=")</f>
        <v>#REF!</v>
      </c>
      <c r="AG50" t="e">
        <f>AND(#REF!,"AAAAAE3tbyA=")</f>
        <v>#REF!</v>
      </c>
      <c r="AH50" t="e">
        <f>AND(#REF!,"AAAAAE3tbyE=")</f>
        <v>#REF!</v>
      </c>
      <c r="AI50" t="e">
        <f>AND(#REF!,"AAAAAE3tbyI=")</f>
        <v>#REF!</v>
      </c>
      <c r="AJ50" t="e">
        <f>AND(#REF!,"AAAAAE3tbyM=")</f>
        <v>#REF!</v>
      </c>
      <c r="AK50" t="e">
        <f>IF(#REF!,"AAAAAE3tbyQ=",0)</f>
        <v>#REF!</v>
      </c>
      <c r="AL50" t="e">
        <f>AND(#REF!,"AAAAAE3tbyU=")</f>
        <v>#REF!</v>
      </c>
      <c r="AM50" t="e">
        <f>AND(#REF!,"AAAAAE3tbyY=")</f>
        <v>#REF!</v>
      </c>
      <c r="AN50" t="e">
        <f>AND(#REF!,"AAAAAE3tbyc=")</f>
        <v>#REF!</v>
      </c>
      <c r="AO50" t="e">
        <f>AND(#REF!,"AAAAAE3tbyg=")</f>
        <v>#REF!</v>
      </c>
      <c r="AP50" t="e">
        <f>AND(#REF!,"AAAAAE3tbyk=")</f>
        <v>#REF!</v>
      </c>
      <c r="AQ50" t="e">
        <f>AND(#REF!,"AAAAAE3tbyo=")</f>
        <v>#REF!</v>
      </c>
      <c r="AR50" t="e">
        <f>AND(#REF!,"AAAAAE3tbys=")</f>
        <v>#REF!</v>
      </c>
      <c r="AS50" t="e">
        <f>AND(#REF!,"AAAAAE3tbyw=")</f>
        <v>#REF!</v>
      </c>
      <c r="AT50" t="e">
        <f>AND(#REF!,"AAAAAE3tby0=")</f>
        <v>#REF!</v>
      </c>
      <c r="AU50" t="e">
        <f>AND(#REF!,"AAAAAE3tby4=")</f>
        <v>#REF!</v>
      </c>
      <c r="AV50" t="e">
        <f>AND(#REF!,"AAAAAE3tby8=")</f>
        <v>#REF!</v>
      </c>
      <c r="AW50" t="e">
        <f>AND(#REF!,"AAAAAE3tbzA=")</f>
        <v>#REF!</v>
      </c>
      <c r="AX50" t="e">
        <f>AND(#REF!,"AAAAAE3tbzE=")</f>
        <v>#REF!</v>
      </c>
      <c r="AY50" t="e">
        <f>AND(#REF!,"AAAAAE3tbzI=")</f>
        <v>#REF!</v>
      </c>
      <c r="AZ50" t="e">
        <f>AND(#REF!,"AAAAAE3tbzM=")</f>
        <v>#REF!</v>
      </c>
      <c r="BA50" t="e">
        <f>AND(#REF!,"AAAAAE3tbzQ=")</f>
        <v>#REF!</v>
      </c>
      <c r="BB50" t="e">
        <f>AND(#REF!,"AAAAAE3tbzU=")</f>
        <v>#REF!</v>
      </c>
      <c r="BC50" t="e">
        <f>AND(#REF!,"AAAAAE3tbzY=")</f>
        <v>#REF!</v>
      </c>
      <c r="BD50" t="e">
        <f>AND(#REF!,"AAAAAE3tbzc=")</f>
        <v>#REF!</v>
      </c>
      <c r="BE50" t="e">
        <f>AND(#REF!,"AAAAAE3tbzg=")</f>
        <v>#REF!</v>
      </c>
      <c r="BF50" t="e">
        <f>AND(#REF!,"AAAAAE3tbzk=")</f>
        <v>#REF!</v>
      </c>
      <c r="BG50" t="e">
        <f>AND(#REF!,"AAAAAE3tbzo=")</f>
        <v>#REF!</v>
      </c>
      <c r="BH50" t="e">
        <f>AND(#REF!,"AAAAAE3tbzs=")</f>
        <v>#REF!</v>
      </c>
      <c r="BI50" t="e">
        <f>AND(#REF!,"AAAAAE3tbzw=")</f>
        <v>#REF!</v>
      </c>
      <c r="BJ50" t="e">
        <f>AND(#REF!,"AAAAAE3tbz0=")</f>
        <v>#REF!</v>
      </c>
      <c r="BK50" t="e">
        <f>AND(#REF!,"AAAAAE3tbz4=")</f>
        <v>#REF!</v>
      </c>
      <c r="BL50" t="e">
        <f>AND(#REF!,"AAAAAE3tbz8=")</f>
        <v>#REF!</v>
      </c>
      <c r="BM50" t="e">
        <f>AND(#REF!,"AAAAAE3tb0A=")</f>
        <v>#REF!</v>
      </c>
      <c r="BN50" t="e">
        <f>AND(#REF!,"AAAAAE3tb0E=")</f>
        <v>#REF!</v>
      </c>
      <c r="BO50" t="e">
        <f>AND(#REF!,"AAAAAE3tb0I=")</f>
        <v>#REF!</v>
      </c>
      <c r="BP50" t="e">
        <f>AND(#REF!,"AAAAAE3tb0M=")</f>
        <v>#REF!</v>
      </c>
      <c r="BQ50" t="e">
        <f>AND(#REF!,"AAAAAE3tb0Q=")</f>
        <v>#REF!</v>
      </c>
      <c r="BR50" t="e">
        <f>AND(#REF!,"AAAAAE3tb0U=")</f>
        <v>#REF!</v>
      </c>
      <c r="BS50" t="e">
        <f>AND(#REF!,"AAAAAE3tb0Y=")</f>
        <v>#REF!</v>
      </c>
      <c r="BT50" t="e">
        <f>AND(#REF!,"AAAAAE3tb0c=")</f>
        <v>#REF!</v>
      </c>
      <c r="BU50" t="e">
        <f>IF(#REF!,"AAAAAE3tb0g=",0)</f>
        <v>#REF!</v>
      </c>
      <c r="BV50" t="e">
        <f>AND(#REF!,"AAAAAE3tb0k=")</f>
        <v>#REF!</v>
      </c>
      <c r="BW50" t="e">
        <f>AND(#REF!,"AAAAAE3tb0o=")</f>
        <v>#REF!</v>
      </c>
      <c r="BX50" t="e">
        <f>AND(#REF!,"AAAAAE3tb0s=")</f>
        <v>#REF!</v>
      </c>
      <c r="BY50" t="e">
        <f>AND(#REF!,"AAAAAE3tb0w=")</f>
        <v>#REF!</v>
      </c>
      <c r="BZ50" t="e">
        <f>AND(#REF!,"AAAAAE3tb00=")</f>
        <v>#REF!</v>
      </c>
      <c r="CA50" t="e">
        <f>AND(#REF!,"AAAAAE3tb04=")</f>
        <v>#REF!</v>
      </c>
      <c r="CB50" t="e">
        <f>AND(#REF!,"AAAAAE3tb08=")</f>
        <v>#REF!</v>
      </c>
      <c r="CC50" t="e">
        <f>AND(#REF!,"AAAAAE3tb1A=")</f>
        <v>#REF!</v>
      </c>
      <c r="CD50" t="e">
        <f>AND(#REF!,"AAAAAE3tb1E=")</f>
        <v>#REF!</v>
      </c>
      <c r="CE50" t="e">
        <f>AND(#REF!,"AAAAAE3tb1I=")</f>
        <v>#REF!</v>
      </c>
      <c r="CF50" t="e">
        <f>AND(#REF!,"AAAAAE3tb1M=")</f>
        <v>#REF!</v>
      </c>
      <c r="CG50" t="e">
        <f>AND(#REF!,"AAAAAE3tb1Q=")</f>
        <v>#REF!</v>
      </c>
      <c r="CH50" t="e">
        <f>AND(#REF!,"AAAAAE3tb1U=")</f>
        <v>#REF!</v>
      </c>
      <c r="CI50" t="e">
        <f>AND(#REF!,"AAAAAE3tb1Y=")</f>
        <v>#REF!</v>
      </c>
      <c r="CJ50" t="e">
        <f>AND(#REF!,"AAAAAE3tb1c=")</f>
        <v>#REF!</v>
      </c>
      <c r="CK50" t="e">
        <f>AND(#REF!,"AAAAAE3tb1g=")</f>
        <v>#REF!</v>
      </c>
      <c r="CL50" t="e">
        <f>AND(#REF!,"AAAAAE3tb1k=")</f>
        <v>#REF!</v>
      </c>
      <c r="CM50" t="e">
        <f>AND(#REF!,"AAAAAE3tb1o=")</f>
        <v>#REF!</v>
      </c>
      <c r="CN50" t="e">
        <f>AND(#REF!,"AAAAAE3tb1s=")</f>
        <v>#REF!</v>
      </c>
      <c r="CO50" t="e">
        <f>AND(#REF!,"AAAAAE3tb1w=")</f>
        <v>#REF!</v>
      </c>
      <c r="CP50" t="e">
        <f>AND(#REF!,"AAAAAE3tb10=")</f>
        <v>#REF!</v>
      </c>
      <c r="CQ50" t="e">
        <f>AND(#REF!,"AAAAAE3tb14=")</f>
        <v>#REF!</v>
      </c>
      <c r="CR50" t="e">
        <f>AND(#REF!,"AAAAAE3tb18=")</f>
        <v>#REF!</v>
      </c>
      <c r="CS50" t="e">
        <f>AND(#REF!,"AAAAAE3tb2A=")</f>
        <v>#REF!</v>
      </c>
      <c r="CT50" t="e">
        <f>AND(#REF!,"AAAAAE3tb2E=")</f>
        <v>#REF!</v>
      </c>
      <c r="CU50" t="e">
        <f>AND(#REF!,"AAAAAE3tb2I=")</f>
        <v>#REF!</v>
      </c>
      <c r="CV50" t="e">
        <f>AND(#REF!,"AAAAAE3tb2M=")</f>
        <v>#REF!</v>
      </c>
      <c r="CW50" t="e">
        <f>AND(#REF!,"AAAAAE3tb2Q=")</f>
        <v>#REF!</v>
      </c>
      <c r="CX50" t="e">
        <f>AND(#REF!,"AAAAAE3tb2U=")</f>
        <v>#REF!</v>
      </c>
      <c r="CY50" t="e">
        <f>AND(#REF!,"AAAAAE3tb2Y=")</f>
        <v>#REF!</v>
      </c>
      <c r="CZ50" t="e">
        <f>AND(#REF!,"AAAAAE3tb2c=")</f>
        <v>#REF!</v>
      </c>
      <c r="DA50" t="e">
        <f>AND(#REF!,"AAAAAE3tb2g=")</f>
        <v>#REF!</v>
      </c>
      <c r="DB50" t="e">
        <f>AND(#REF!,"AAAAAE3tb2k=")</f>
        <v>#REF!</v>
      </c>
      <c r="DC50" t="e">
        <f>AND(#REF!,"AAAAAE3tb2o=")</f>
        <v>#REF!</v>
      </c>
      <c r="DD50" t="e">
        <f>AND(#REF!,"AAAAAE3tb2s=")</f>
        <v>#REF!</v>
      </c>
      <c r="DE50" t="e">
        <f>IF(#REF!,"AAAAAE3tb2w=",0)</f>
        <v>#REF!</v>
      </c>
      <c r="DF50" t="e">
        <f>AND(#REF!,"AAAAAE3tb20=")</f>
        <v>#REF!</v>
      </c>
      <c r="DG50" t="e">
        <f>AND(#REF!,"AAAAAE3tb24=")</f>
        <v>#REF!</v>
      </c>
      <c r="DH50" t="e">
        <f>AND(#REF!,"AAAAAE3tb28=")</f>
        <v>#REF!</v>
      </c>
      <c r="DI50" t="e">
        <f>AND(#REF!,"AAAAAE3tb3A=")</f>
        <v>#REF!</v>
      </c>
      <c r="DJ50" t="e">
        <f>AND(#REF!,"AAAAAE3tb3E=")</f>
        <v>#REF!</v>
      </c>
      <c r="DK50" t="e">
        <f>AND(#REF!,"AAAAAE3tb3I=")</f>
        <v>#REF!</v>
      </c>
      <c r="DL50" t="e">
        <f>AND(#REF!,"AAAAAE3tb3M=")</f>
        <v>#REF!</v>
      </c>
      <c r="DM50" t="e">
        <f>AND(#REF!,"AAAAAE3tb3Q=")</f>
        <v>#REF!</v>
      </c>
      <c r="DN50" t="e">
        <f>AND(#REF!,"AAAAAE3tb3U=")</f>
        <v>#REF!</v>
      </c>
      <c r="DO50" t="e">
        <f>AND(#REF!,"AAAAAE3tb3Y=")</f>
        <v>#REF!</v>
      </c>
      <c r="DP50" t="e">
        <f>AND(#REF!,"AAAAAE3tb3c=")</f>
        <v>#REF!</v>
      </c>
      <c r="DQ50" t="e">
        <f>AND(#REF!,"AAAAAE3tb3g=")</f>
        <v>#REF!</v>
      </c>
      <c r="DR50" t="e">
        <f>AND(#REF!,"AAAAAE3tb3k=")</f>
        <v>#REF!</v>
      </c>
      <c r="DS50" t="e">
        <f>AND(#REF!,"AAAAAE3tb3o=")</f>
        <v>#REF!</v>
      </c>
      <c r="DT50" t="e">
        <f>AND(#REF!,"AAAAAE3tb3s=")</f>
        <v>#REF!</v>
      </c>
      <c r="DU50" t="e">
        <f>AND(#REF!,"AAAAAE3tb3w=")</f>
        <v>#REF!</v>
      </c>
      <c r="DV50" t="e">
        <f>AND(#REF!,"AAAAAE3tb30=")</f>
        <v>#REF!</v>
      </c>
      <c r="DW50" t="e">
        <f>AND(#REF!,"AAAAAE3tb34=")</f>
        <v>#REF!</v>
      </c>
      <c r="DX50" t="e">
        <f>AND(#REF!,"AAAAAE3tb38=")</f>
        <v>#REF!</v>
      </c>
      <c r="DY50" t="e">
        <f>AND(#REF!,"AAAAAE3tb4A=")</f>
        <v>#REF!</v>
      </c>
      <c r="DZ50" t="e">
        <f>AND(#REF!,"AAAAAE3tb4E=")</f>
        <v>#REF!</v>
      </c>
      <c r="EA50" t="e">
        <f>AND(#REF!,"AAAAAE3tb4I=")</f>
        <v>#REF!</v>
      </c>
      <c r="EB50" t="e">
        <f>AND(#REF!,"AAAAAE3tb4M=")</f>
        <v>#REF!</v>
      </c>
      <c r="EC50" t="e">
        <f>AND(#REF!,"AAAAAE3tb4Q=")</f>
        <v>#REF!</v>
      </c>
      <c r="ED50" t="e">
        <f>AND(#REF!,"AAAAAE3tb4U=")</f>
        <v>#REF!</v>
      </c>
      <c r="EE50" t="e">
        <f>AND(#REF!,"AAAAAE3tb4Y=")</f>
        <v>#REF!</v>
      </c>
      <c r="EF50" t="e">
        <f>AND(#REF!,"AAAAAE3tb4c=")</f>
        <v>#REF!</v>
      </c>
      <c r="EG50" t="e">
        <f>AND(#REF!,"AAAAAE3tb4g=")</f>
        <v>#REF!</v>
      </c>
      <c r="EH50" t="e">
        <f>AND(#REF!,"AAAAAE3tb4k=")</f>
        <v>#REF!</v>
      </c>
      <c r="EI50" t="e">
        <f>AND(#REF!,"AAAAAE3tb4o=")</f>
        <v>#REF!</v>
      </c>
      <c r="EJ50" t="e">
        <f>AND(#REF!,"AAAAAE3tb4s=")</f>
        <v>#REF!</v>
      </c>
      <c r="EK50" t="e">
        <f>AND(#REF!,"AAAAAE3tb4w=")</f>
        <v>#REF!</v>
      </c>
      <c r="EL50" t="e">
        <f>AND(#REF!,"AAAAAE3tb40=")</f>
        <v>#REF!</v>
      </c>
      <c r="EM50" t="e">
        <f>AND(#REF!,"AAAAAE3tb44=")</f>
        <v>#REF!</v>
      </c>
      <c r="EN50" t="e">
        <f>AND(#REF!,"AAAAAE3tb48=")</f>
        <v>#REF!</v>
      </c>
      <c r="EO50" t="e">
        <f>IF(#REF!,"AAAAAE3tb5A=",0)</f>
        <v>#REF!</v>
      </c>
      <c r="EP50" t="e">
        <f>AND(#REF!,"AAAAAE3tb5E=")</f>
        <v>#REF!</v>
      </c>
      <c r="EQ50" t="e">
        <f>AND(#REF!,"AAAAAE3tb5I=")</f>
        <v>#REF!</v>
      </c>
      <c r="ER50" t="e">
        <f>AND(#REF!,"AAAAAE3tb5M=")</f>
        <v>#REF!</v>
      </c>
      <c r="ES50" t="e">
        <f>AND(#REF!,"AAAAAE3tb5Q=")</f>
        <v>#REF!</v>
      </c>
      <c r="ET50" t="e">
        <f>AND(#REF!,"AAAAAE3tb5U=")</f>
        <v>#REF!</v>
      </c>
      <c r="EU50" t="e">
        <f>AND(#REF!,"AAAAAE3tb5Y=")</f>
        <v>#REF!</v>
      </c>
      <c r="EV50" t="e">
        <f>AND(#REF!,"AAAAAE3tb5c=")</f>
        <v>#REF!</v>
      </c>
      <c r="EW50" t="e">
        <f>AND(#REF!,"AAAAAE3tb5g=")</f>
        <v>#REF!</v>
      </c>
      <c r="EX50" t="e">
        <f>AND(#REF!,"AAAAAE3tb5k=")</f>
        <v>#REF!</v>
      </c>
      <c r="EY50" t="e">
        <f>AND(#REF!,"AAAAAE3tb5o=")</f>
        <v>#REF!</v>
      </c>
      <c r="EZ50" t="e">
        <f>AND(#REF!,"AAAAAE3tb5s=")</f>
        <v>#REF!</v>
      </c>
      <c r="FA50" t="e">
        <f>AND(#REF!,"AAAAAE3tb5w=")</f>
        <v>#REF!</v>
      </c>
      <c r="FB50" t="e">
        <f>AND(#REF!,"AAAAAE3tb50=")</f>
        <v>#REF!</v>
      </c>
      <c r="FC50" t="e">
        <f>AND(#REF!,"AAAAAE3tb54=")</f>
        <v>#REF!</v>
      </c>
      <c r="FD50" t="e">
        <f>AND(#REF!,"AAAAAE3tb58=")</f>
        <v>#REF!</v>
      </c>
      <c r="FE50" t="e">
        <f>AND(#REF!,"AAAAAE3tb6A=")</f>
        <v>#REF!</v>
      </c>
      <c r="FF50" t="e">
        <f>AND(#REF!,"AAAAAE3tb6E=")</f>
        <v>#REF!</v>
      </c>
      <c r="FG50" t="e">
        <f>AND(#REF!,"AAAAAE3tb6I=")</f>
        <v>#REF!</v>
      </c>
      <c r="FH50" t="e">
        <f>AND(#REF!,"AAAAAE3tb6M=")</f>
        <v>#REF!</v>
      </c>
      <c r="FI50" t="e">
        <f>AND(#REF!,"AAAAAE3tb6Q=")</f>
        <v>#REF!</v>
      </c>
      <c r="FJ50" t="e">
        <f>AND(#REF!,"AAAAAE3tb6U=")</f>
        <v>#REF!</v>
      </c>
      <c r="FK50" t="e">
        <f>AND(#REF!,"AAAAAE3tb6Y=")</f>
        <v>#REF!</v>
      </c>
      <c r="FL50" t="e">
        <f>AND(#REF!,"AAAAAE3tb6c=")</f>
        <v>#REF!</v>
      </c>
      <c r="FM50" t="e">
        <f>AND(#REF!,"AAAAAE3tb6g=")</f>
        <v>#REF!</v>
      </c>
      <c r="FN50" t="e">
        <f>AND(#REF!,"AAAAAE3tb6k=")</f>
        <v>#REF!</v>
      </c>
      <c r="FO50" t="e">
        <f>AND(#REF!,"AAAAAE3tb6o=")</f>
        <v>#REF!</v>
      </c>
      <c r="FP50" t="e">
        <f>AND(#REF!,"AAAAAE3tb6s=")</f>
        <v>#REF!</v>
      </c>
      <c r="FQ50" t="e">
        <f>AND(#REF!,"AAAAAE3tb6w=")</f>
        <v>#REF!</v>
      </c>
      <c r="FR50" t="e">
        <f>AND(#REF!,"AAAAAE3tb60=")</f>
        <v>#REF!</v>
      </c>
      <c r="FS50" t="e">
        <f>AND(#REF!,"AAAAAE3tb64=")</f>
        <v>#REF!</v>
      </c>
      <c r="FT50" t="e">
        <f>AND(#REF!,"AAAAAE3tb68=")</f>
        <v>#REF!</v>
      </c>
      <c r="FU50" t="e">
        <f>AND(#REF!,"AAAAAE3tb7A=")</f>
        <v>#REF!</v>
      </c>
      <c r="FV50" t="e">
        <f>AND(#REF!,"AAAAAE3tb7E=")</f>
        <v>#REF!</v>
      </c>
      <c r="FW50" t="e">
        <f>AND(#REF!,"AAAAAE3tb7I=")</f>
        <v>#REF!</v>
      </c>
      <c r="FX50" t="e">
        <f>AND(#REF!,"AAAAAE3tb7M=")</f>
        <v>#REF!</v>
      </c>
      <c r="FY50" t="e">
        <f>IF(#REF!,"AAAAAE3tb7Q=",0)</f>
        <v>#REF!</v>
      </c>
      <c r="FZ50" t="e">
        <f>AND(#REF!,"AAAAAE3tb7U=")</f>
        <v>#REF!</v>
      </c>
      <c r="GA50" t="e">
        <f>AND(#REF!,"AAAAAE3tb7Y=")</f>
        <v>#REF!</v>
      </c>
      <c r="GB50" t="e">
        <f>AND(#REF!,"AAAAAE3tb7c=")</f>
        <v>#REF!</v>
      </c>
      <c r="GC50" t="e">
        <f>AND(#REF!,"AAAAAE3tb7g=")</f>
        <v>#REF!</v>
      </c>
      <c r="GD50" t="e">
        <f>AND(#REF!,"AAAAAE3tb7k=")</f>
        <v>#REF!</v>
      </c>
      <c r="GE50" t="e">
        <f>AND(#REF!,"AAAAAE3tb7o=")</f>
        <v>#REF!</v>
      </c>
      <c r="GF50" t="e">
        <f>AND(#REF!,"AAAAAE3tb7s=")</f>
        <v>#REF!</v>
      </c>
      <c r="GG50" t="e">
        <f>AND(#REF!,"AAAAAE3tb7w=")</f>
        <v>#REF!</v>
      </c>
      <c r="GH50" t="e">
        <f>AND(#REF!,"AAAAAE3tb70=")</f>
        <v>#REF!</v>
      </c>
      <c r="GI50" t="e">
        <f>AND(#REF!,"AAAAAE3tb74=")</f>
        <v>#REF!</v>
      </c>
      <c r="GJ50" t="e">
        <f>AND(#REF!,"AAAAAE3tb78=")</f>
        <v>#REF!</v>
      </c>
      <c r="GK50" t="e">
        <f>AND(#REF!,"AAAAAE3tb8A=")</f>
        <v>#REF!</v>
      </c>
      <c r="GL50" t="e">
        <f>AND(#REF!,"AAAAAE3tb8E=")</f>
        <v>#REF!</v>
      </c>
      <c r="GM50" t="e">
        <f>AND(#REF!,"AAAAAE3tb8I=")</f>
        <v>#REF!</v>
      </c>
      <c r="GN50" t="e">
        <f>AND(#REF!,"AAAAAE3tb8M=")</f>
        <v>#REF!</v>
      </c>
      <c r="GO50" t="e">
        <f>AND(#REF!,"AAAAAE3tb8Q=")</f>
        <v>#REF!</v>
      </c>
      <c r="GP50" t="e">
        <f>AND(#REF!,"AAAAAE3tb8U=")</f>
        <v>#REF!</v>
      </c>
      <c r="GQ50" t="e">
        <f>AND(#REF!,"AAAAAE3tb8Y=")</f>
        <v>#REF!</v>
      </c>
      <c r="GR50" t="e">
        <f>AND(#REF!,"AAAAAE3tb8c=")</f>
        <v>#REF!</v>
      </c>
      <c r="GS50" t="e">
        <f>AND(#REF!,"AAAAAE3tb8g=")</f>
        <v>#REF!</v>
      </c>
      <c r="GT50" t="e">
        <f>AND(#REF!,"AAAAAE3tb8k=")</f>
        <v>#REF!</v>
      </c>
      <c r="GU50" t="e">
        <f>AND(#REF!,"AAAAAE3tb8o=")</f>
        <v>#REF!</v>
      </c>
      <c r="GV50" t="e">
        <f>AND(#REF!,"AAAAAE3tb8s=")</f>
        <v>#REF!</v>
      </c>
      <c r="GW50" t="e">
        <f>AND(#REF!,"AAAAAE3tb8w=")</f>
        <v>#REF!</v>
      </c>
      <c r="GX50" t="e">
        <f>AND(#REF!,"AAAAAE3tb80=")</f>
        <v>#REF!</v>
      </c>
      <c r="GY50" t="e">
        <f>AND(#REF!,"AAAAAE3tb84=")</f>
        <v>#REF!</v>
      </c>
      <c r="GZ50" t="e">
        <f>AND(#REF!,"AAAAAE3tb88=")</f>
        <v>#REF!</v>
      </c>
      <c r="HA50" t="e">
        <f>AND(#REF!,"AAAAAE3tb9A=")</f>
        <v>#REF!</v>
      </c>
      <c r="HB50" t="e">
        <f>AND(#REF!,"AAAAAE3tb9E=")</f>
        <v>#REF!</v>
      </c>
      <c r="HC50" t="e">
        <f>AND(#REF!,"AAAAAE3tb9I=")</f>
        <v>#REF!</v>
      </c>
      <c r="HD50" t="e">
        <f>AND(#REF!,"AAAAAE3tb9M=")</f>
        <v>#REF!</v>
      </c>
      <c r="HE50" t="e">
        <f>AND(#REF!,"AAAAAE3tb9Q=")</f>
        <v>#REF!</v>
      </c>
      <c r="HF50" t="e">
        <f>AND(#REF!,"AAAAAE3tb9U=")</f>
        <v>#REF!</v>
      </c>
      <c r="HG50" t="e">
        <f>AND(#REF!,"AAAAAE3tb9Y=")</f>
        <v>#REF!</v>
      </c>
      <c r="HH50" t="e">
        <f>AND(#REF!,"AAAAAE3tb9c=")</f>
        <v>#REF!</v>
      </c>
      <c r="HI50" t="e">
        <f>IF(#REF!,"AAAAAE3tb9g=",0)</f>
        <v>#REF!</v>
      </c>
      <c r="HJ50" t="e">
        <f>AND(#REF!,"AAAAAE3tb9k=")</f>
        <v>#REF!</v>
      </c>
      <c r="HK50" t="e">
        <f>AND(#REF!,"AAAAAE3tb9o=")</f>
        <v>#REF!</v>
      </c>
      <c r="HL50" t="e">
        <f>AND(#REF!,"AAAAAE3tb9s=")</f>
        <v>#REF!</v>
      </c>
      <c r="HM50" t="e">
        <f>AND(#REF!,"AAAAAE3tb9w=")</f>
        <v>#REF!</v>
      </c>
      <c r="HN50" t="e">
        <f>AND(#REF!,"AAAAAE3tb90=")</f>
        <v>#REF!</v>
      </c>
      <c r="HO50" t="e">
        <f>AND(#REF!,"AAAAAE3tb94=")</f>
        <v>#REF!</v>
      </c>
      <c r="HP50" t="e">
        <f>AND(#REF!,"AAAAAE3tb98=")</f>
        <v>#REF!</v>
      </c>
      <c r="HQ50" t="e">
        <f>AND(#REF!,"AAAAAE3tb+A=")</f>
        <v>#REF!</v>
      </c>
      <c r="HR50" t="e">
        <f>AND(#REF!,"AAAAAE3tb+E=")</f>
        <v>#REF!</v>
      </c>
      <c r="HS50" t="e">
        <f>AND(#REF!,"AAAAAE3tb+I=")</f>
        <v>#REF!</v>
      </c>
      <c r="HT50" t="e">
        <f>AND(#REF!,"AAAAAE3tb+M=")</f>
        <v>#REF!</v>
      </c>
      <c r="HU50" t="e">
        <f>AND(#REF!,"AAAAAE3tb+Q=")</f>
        <v>#REF!</v>
      </c>
      <c r="HV50" t="e">
        <f>AND(#REF!,"AAAAAE3tb+U=")</f>
        <v>#REF!</v>
      </c>
      <c r="HW50" t="e">
        <f>AND(#REF!,"AAAAAE3tb+Y=")</f>
        <v>#REF!</v>
      </c>
      <c r="HX50" t="e">
        <f>AND(#REF!,"AAAAAE3tb+c=")</f>
        <v>#REF!</v>
      </c>
      <c r="HY50" t="e">
        <f>AND(#REF!,"AAAAAE3tb+g=")</f>
        <v>#REF!</v>
      </c>
      <c r="HZ50" t="e">
        <f>AND(#REF!,"AAAAAE3tb+k=")</f>
        <v>#REF!</v>
      </c>
      <c r="IA50" t="e">
        <f>AND(#REF!,"AAAAAE3tb+o=")</f>
        <v>#REF!</v>
      </c>
      <c r="IB50" t="e">
        <f>AND(#REF!,"AAAAAE3tb+s=")</f>
        <v>#REF!</v>
      </c>
      <c r="IC50" t="e">
        <f>AND(#REF!,"AAAAAE3tb+w=")</f>
        <v>#REF!</v>
      </c>
      <c r="ID50" t="e">
        <f>AND(#REF!,"AAAAAE3tb+0=")</f>
        <v>#REF!</v>
      </c>
      <c r="IE50" t="e">
        <f>AND(#REF!,"AAAAAE3tb+4=")</f>
        <v>#REF!</v>
      </c>
      <c r="IF50" t="e">
        <f>AND(#REF!,"AAAAAE3tb+8=")</f>
        <v>#REF!</v>
      </c>
      <c r="IG50" t="e">
        <f>AND(#REF!,"AAAAAE3tb/A=")</f>
        <v>#REF!</v>
      </c>
      <c r="IH50" t="e">
        <f>AND(#REF!,"AAAAAE3tb/E=")</f>
        <v>#REF!</v>
      </c>
      <c r="II50" t="e">
        <f>AND(#REF!,"AAAAAE3tb/I=")</f>
        <v>#REF!</v>
      </c>
      <c r="IJ50" t="e">
        <f>AND(#REF!,"AAAAAE3tb/M=")</f>
        <v>#REF!</v>
      </c>
      <c r="IK50" t="e">
        <f>AND(#REF!,"AAAAAE3tb/Q=")</f>
        <v>#REF!</v>
      </c>
      <c r="IL50" t="e">
        <f>AND(#REF!,"AAAAAE3tb/U=")</f>
        <v>#REF!</v>
      </c>
      <c r="IM50" t="e">
        <f>AND(#REF!,"AAAAAE3tb/Y=")</f>
        <v>#REF!</v>
      </c>
      <c r="IN50" t="e">
        <f>AND(#REF!,"AAAAAE3tb/c=")</f>
        <v>#REF!</v>
      </c>
      <c r="IO50" t="e">
        <f>AND(#REF!,"AAAAAE3tb/g=")</f>
        <v>#REF!</v>
      </c>
      <c r="IP50" t="e">
        <f>AND(#REF!,"AAAAAE3tb/k=")</f>
        <v>#REF!</v>
      </c>
      <c r="IQ50" t="e">
        <f>AND(#REF!,"AAAAAE3tb/o=")</f>
        <v>#REF!</v>
      </c>
      <c r="IR50" t="e">
        <f>AND(#REF!,"AAAAAE3tb/s=")</f>
        <v>#REF!</v>
      </c>
      <c r="IS50" t="e">
        <f>IF(#REF!,"AAAAAE3tb/w=",0)</f>
        <v>#REF!</v>
      </c>
      <c r="IT50" t="e">
        <f>AND(#REF!,"AAAAAE3tb/0=")</f>
        <v>#REF!</v>
      </c>
      <c r="IU50" t="e">
        <f>AND(#REF!,"AAAAAE3tb/4=")</f>
        <v>#REF!</v>
      </c>
      <c r="IV50" t="e">
        <f>AND(#REF!,"AAAAAE3tb/8=")</f>
        <v>#REF!</v>
      </c>
    </row>
    <row r="51" spans="1:256">
      <c r="A51" t="e">
        <f>AND(#REF!,"AAAAAH/1dwA=")</f>
        <v>#REF!</v>
      </c>
      <c r="B51" t="e">
        <f>AND(#REF!,"AAAAAH/1dwE=")</f>
        <v>#REF!</v>
      </c>
      <c r="C51" t="e">
        <f>AND(#REF!,"AAAAAH/1dwI=")</f>
        <v>#REF!</v>
      </c>
      <c r="D51" t="e">
        <f>AND(#REF!,"AAAAAH/1dwM=")</f>
        <v>#REF!</v>
      </c>
      <c r="E51" t="e">
        <f>AND(#REF!,"AAAAAH/1dwQ=")</f>
        <v>#REF!</v>
      </c>
      <c r="F51" t="e">
        <f>AND(#REF!,"AAAAAH/1dwU=")</f>
        <v>#REF!</v>
      </c>
      <c r="G51" t="e">
        <f>AND(#REF!,"AAAAAH/1dwY=")</f>
        <v>#REF!</v>
      </c>
      <c r="H51" t="e">
        <f>AND(#REF!,"AAAAAH/1dwc=")</f>
        <v>#REF!</v>
      </c>
      <c r="I51" t="e">
        <f>AND(#REF!,"AAAAAH/1dwg=")</f>
        <v>#REF!</v>
      </c>
      <c r="J51" t="e">
        <f>AND(#REF!,"AAAAAH/1dwk=")</f>
        <v>#REF!</v>
      </c>
      <c r="K51" t="e">
        <f>AND(#REF!,"AAAAAH/1dwo=")</f>
        <v>#REF!</v>
      </c>
      <c r="L51" t="e">
        <f>AND(#REF!,"AAAAAH/1dws=")</f>
        <v>#REF!</v>
      </c>
      <c r="M51" t="e">
        <f>AND(#REF!,"AAAAAH/1dww=")</f>
        <v>#REF!</v>
      </c>
      <c r="N51" t="e">
        <f>AND(#REF!,"AAAAAH/1dw0=")</f>
        <v>#REF!</v>
      </c>
      <c r="O51" t="e">
        <f>AND(#REF!,"AAAAAH/1dw4=")</f>
        <v>#REF!</v>
      </c>
      <c r="P51" t="e">
        <f>AND(#REF!,"AAAAAH/1dw8=")</f>
        <v>#REF!</v>
      </c>
      <c r="Q51" t="e">
        <f>AND(#REF!,"AAAAAH/1dxA=")</f>
        <v>#REF!</v>
      </c>
      <c r="R51" t="e">
        <f>AND(#REF!,"AAAAAH/1dxE=")</f>
        <v>#REF!</v>
      </c>
      <c r="S51" t="e">
        <f>AND(#REF!,"AAAAAH/1dxI=")</f>
        <v>#REF!</v>
      </c>
      <c r="T51" t="e">
        <f>AND(#REF!,"AAAAAH/1dxM=")</f>
        <v>#REF!</v>
      </c>
      <c r="U51" t="e">
        <f>AND(#REF!,"AAAAAH/1dxQ=")</f>
        <v>#REF!</v>
      </c>
      <c r="V51" t="e">
        <f>AND(#REF!,"AAAAAH/1dxU=")</f>
        <v>#REF!</v>
      </c>
      <c r="W51" t="e">
        <f>AND(#REF!,"AAAAAH/1dxY=")</f>
        <v>#REF!</v>
      </c>
      <c r="X51" t="e">
        <f>AND(#REF!,"AAAAAH/1dxc=")</f>
        <v>#REF!</v>
      </c>
      <c r="Y51" t="e">
        <f>AND(#REF!,"AAAAAH/1dxg=")</f>
        <v>#REF!</v>
      </c>
      <c r="Z51" t="e">
        <f>AND(#REF!,"AAAAAH/1dxk=")</f>
        <v>#REF!</v>
      </c>
      <c r="AA51" t="e">
        <f>AND(#REF!,"AAAAAH/1dxo=")</f>
        <v>#REF!</v>
      </c>
      <c r="AB51" t="e">
        <f>AND(#REF!,"AAAAAH/1dxs=")</f>
        <v>#REF!</v>
      </c>
      <c r="AC51" t="e">
        <f>AND(#REF!,"AAAAAH/1dxw=")</f>
        <v>#REF!</v>
      </c>
      <c r="AD51" t="e">
        <f>AND(#REF!,"AAAAAH/1dx0=")</f>
        <v>#REF!</v>
      </c>
      <c r="AE51" t="e">
        <f>AND(#REF!,"AAAAAH/1dx4=")</f>
        <v>#REF!</v>
      </c>
      <c r="AF51" t="e">
        <f>AND(#REF!,"AAAAAH/1dx8=")</f>
        <v>#REF!</v>
      </c>
      <c r="AG51" t="e">
        <f>IF(#REF!,"AAAAAH/1dyA=",0)</f>
        <v>#REF!</v>
      </c>
      <c r="AH51" t="e">
        <f>AND(#REF!,"AAAAAH/1dyE=")</f>
        <v>#REF!</v>
      </c>
      <c r="AI51" t="e">
        <f>AND(#REF!,"AAAAAH/1dyI=")</f>
        <v>#REF!</v>
      </c>
      <c r="AJ51" t="e">
        <f>AND(#REF!,"AAAAAH/1dyM=")</f>
        <v>#REF!</v>
      </c>
      <c r="AK51" t="e">
        <f>AND(#REF!,"AAAAAH/1dyQ=")</f>
        <v>#REF!</v>
      </c>
      <c r="AL51" t="e">
        <f>AND(#REF!,"AAAAAH/1dyU=")</f>
        <v>#REF!</v>
      </c>
      <c r="AM51" t="e">
        <f>AND(#REF!,"AAAAAH/1dyY=")</f>
        <v>#REF!</v>
      </c>
      <c r="AN51" t="e">
        <f>AND(#REF!,"AAAAAH/1dyc=")</f>
        <v>#REF!</v>
      </c>
      <c r="AO51" t="e">
        <f>AND(#REF!,"AAAAAH/1dyg=")</f>
        <v>#REF!</v>
      </c>
      <c r="AP51" t="e">
        <f>AND(#REF!,"AAAAAH/1dyk=")</f>
        <v>#REF!</v>
      </c>
      <c r="AQ51" t="e">
        <f>AND(#REF!,"AAAAAH/1dyo=")</f>
        <v>#REF!</v>
      </c>
      <c r="AR51" t="e">
        <f>AND(#REF!,"AAAAAH/1dys=")</f>
        <v>#REF!</v>
      </c>
      <c r="AS51" t="e">
        <f>AND(#REF!,"AAAAAH/1dyw=")</f>
        <v>#REF!</v>
      </c>
      <c r="AT51" t="e">
        <f>AND(#REF!,"AAAAAH/1dy0=")</f>
        <v>#REF!</v>
      </c>
      <c r="AU51" t="e">
        <f>AND(#REF!,"AAAAAH/1dy4=")</f>
        <v>#REF!</v>
      </c>
      <c r="AV51" t="e">
        <f>AND(#REF!,"AAAAAH/1dy8=")</f>
        <v>#REF!</v>
      </c>
      <c r="AW51" t="e">
        <f>AND(#REF!,"AAAAAH/1dzA=")</f>
        <v>#REF!</v>
      </c>
      <c r="AX51" t="e">
        <f>AND(#REF!,"AAAAAH/1dzE=")</f>
        <v>#REF!</v>
      </c>
      <c r="AY51" t="e">
        <f>AND(#REF!,"AAAAAH/1dzI=")</f>
        <v>#REF!</v>
      </c>
      <c r="AZ51" t="e">
        <f>AND(#REF!,"AAAAAH/1dzM=")</f>
        <v>#REF!</v>
      </c>
      <c r="BA51" t="e">
        <f>AND(#REF!,"AAAAAH/1dzQ=")</f>
        <v>#REF!</v>
      </c>
      <c r="BB51" t="e">
        <f>AND(#REF!,"AAAAAH/1dzU=")</f>
        <v>#REF!</v>
      </c>
      <c r="BC51" t="e">
        <f>AND(#REF!,"AAAAAH/1dzY=")</f>
        <v>#REF!</v>
      </c>
      <c r="BD51" t="e">
        <f>AND(#REF!,"AAAAAH/1dzc=")</f>
        <v>#REF!</v>
      </c>
      <c r="BE51" t="e">
        <f>AND(#REF!,"AAAAAH/1dzg=")</f>
        <v>#REF!</v>
      </c>
      <c r="BF51" t="e">
        <f>AND(#REF!,"AAAAAH/1dzk=")</f>
        <v>#REF!</v>
      </c>
      <c r="BG51" t="e">
        <f>AND(#REF!,"AAAAAH/1dzo=")</f>
        <v>#REF!</v>
      </c>
      <c r="BH51" t="e">
        <f>AND(#REF!,"AAAAAH/1dzs=")</f>
        <v>#REF!</v>
      </c>
      <c r="BI51" t="e">
        <f>AND(#REF!,"AAAAAH/1dzw=")</f>
        <v>#REF!</v>
      </c>
      <c r="BJ51" t="e">
        <f>AND(#REF!,"AAAAAH/1dz0=")</f>
        <v>#REF!</v>
      </c>
      <c r="BK51" t="e">
        <f>AND(#REF!,"AAAAAH/1dz4=")</f>
        <v>#REF!</v>
      </c>
      <c r="BL51" t="e">
        <f>AND(#REF!,"AAAAAH/1dz8=")</f>
        <v>#REF!</v>
      </c>
      <c r="BM51" t="e">
        <f>AND(#REF!,"AAAAAH/1d0A=")</f>
        <v>#REF!</v>
      </c>
      <c r="BN51" t="e">
        <f>AND(#REF!,"AAAAAH/1d0E=")</f>
        <v>#REF!</v>
      </c>
      <c r="BO51" t="e">
        <f>AND(#REF!,"AAAAAH/1d0I=")</f>
        <v>#REF!</v>
      </c>
      <c r="BP51" t="e">
        <f>AND(#REF!,"AAAAAH/1d0M=")</f>
        <v>#REF!</v>
      </c>
      <c r="BQ51" t="e">
        <f>IF(#REF!,"AAAAAH/1d0Q=",0)</f>
        <v>#REF!</v>
      </c>
      <c r="BR51" t="e">
        <f>AND(#REF!,"AAAAAH/1d0U=")</f>
        <v>#REF!</v>
      </c>
      <c r="BS51" t="e">
        <f>AND(#REF!,"AAAAAH/1d0Y=")</f>
        <v>#REF!</v>
      </c>
      <c r="BT51" t="e">
        <f>AND(#REF!,"AAAAAH/1d0c=")</f>
        <v>#REF!</v>
      </c>
      <c r="BU51" t="e">
        <f>AND(#REF!,"AAAAAH/1d0g=")</f>
        <v>#REF!</v>
      </c>
      <c r="BV51" t="e">
        <f>AND(#REF!,"AAAAAH/1d0k=")</f>
        <v>#REF!</v>
      </c>
      <c r="BW51" t="e">
        <f>AND(#REF!,"AAAAAH/1d0o=")</f>
        <v>#REF!</v>
      </c>
      <c r="BX51" t="e">
        <f>AND(#REF!,"AAAAAH/1d0s=")</f>
        <v>#REF!</v>
      </c>
      <c r="BY51" t="e">
        <f>AND(#REF!,"AAAAAH/1d0w=")</f>
        <v>#REF!</v>
      </c>
      <c r="BZ51" t="e">
        <f>AND(#REF!,"AAAAAH/1d00=")</f>
        <v>#REF!</v>
      </c>
      <c r="CA51" t="e">
        <f>AND(#REF!,"AAAAAH/1d04=")</f>
        <v>#REF!</v>
      </c>
      <c r="CB51" t="e">
        <f>AND(#REF!,"AAAAAH/1d08=")</f>
        <v>#REF!</v>
      </c>
      <c r="CC51" t="e">
        <f>AND(#REF!,"AAAAAH/1d1A=")</f>
        <v>#REF!</v>
      </c>
      <c r="CD51" t="e">
        <f>AND(#REF!,"AAAAAH/1d1E=")</f>
        <v>#REF!</v>
      </c>
      <c r="CE51" t="e">
        <f>AND(#REF!,"AAAAAH/1d1I=")</f>
        <v>#REF!</v>
      </c>
      <c r="CF51" t="e">
        <f>AND(#REF!,"AAAAAH/1d1M=")</f>
        <v>#REF!</v>
      </c>
      <c r="CG51" t="e">
        <f>AND(#REF!,"AAAAAH/1d1Q=")</f>
        <v>#REF!</v>
      </c>
      <c r="CH51" t="e">
        <f>AND(#REF!,"AAAAAH/1d1U=")</f>
        <v>#REF!</v>
      </c>
      <c r="CI51" t="e">
        <f>AND(#REF!,"AAAAAH/1d1Y=")</f>
        <v>#REF!</v>
      </c>
      <c r="CJ51" t="e">
        <f>AND(#REF!,"AAAAAH/1d1c=")</f>
        <v>#REF!</v>
      </c>
      <c r="CK51" t="e">
        <f>AND(#REF!,"AAAAAH/1d1g=")</f>
        <v>#REF!</v>
      </c>
      <c r="CL51" t="e">
        <f>AND(#REF!,"AAAAAH/1d1k=")</f>
        <v>#REF!</v>
      </c>
      <c r="CM51" t="e">
        <f>AND(#REF!,"AAAAAH/1d1o=")</f>
        <v>#REF!</v>
      </c>
      <c r="CN51" t="e">
        <f>AND(#REF!,"AAAAAH/1d1s=")</f>
        <v>#REF!</v>
      </c>
      <c r="CO51" t="e">
        <f>AND(#REF!,"AAAAAH/1d1w=")</f>
        <v>#REF!</v>
      </c>
      <c r="CP51" t="e">
        <f>AND(#REF!,"AAAAAH/1d10=")</f>
        <v>#REF!</v>
      </c>
      <c r="CQ51" t="e">
        <f>AND(#REF!,"AAAAAH/1d14=")</f>
        <v>#REF!</v>
      </c>
      <c r="CR51" t="e">
        <f>AND(#REF!,"AAAAAH/1d18=")</f>
        <v>#REF!</v>
      </c>
      <c r="CS51" t="e">
        <f>AND(#REF!,"AAAAAH/1d2A=")</f>
        <v>#REF!</v>
      </c>
      <c r="CT51" t="e">
        <f>AND(#REF!,"AAAAAH/1d2E=")</f>
        <v>#REF!</v>
      </c>
      <c r="CU51" t="e">
        <f>AND(#REF!,"AAAAAH/1d2I=")</f>
        <v>#REF!</v>
      </c>
      <c r="CV51" t="e">
        <f>AND(#REF!,"AAAAAH/1d2M=")</f>
        <v>#REF!</v>
      </c>
      <c r="CW51" t="e">
        <f>AND(#REF!,"AAAAAH/1d2Q=")</f>
        <v>#REF!</v>
      </c>
      <c r="CX51" t="e">
        <f>AND(#REF!,"AAAAAH/1d2U=")</f>
        <v>#REF!</v>
      </c>
      <c r="CY51" t="e">
        <f>AND(#REF!,"AAAAAH/1d2Y=")</f>
        <v>#REF!</v>
      </c>
      <c r="CZ51" t="e">
        <f>AND(#REF!,"AAAAAH/1d2c=")</f>
        <v>#REF!</v>
      </c>
      <c r="DA51" t="e">
        <f>IF(#REF!,"AAAAAH/1d2g=",0)</f>
        <v>#REF!</v>
      </c>
      <c r="DB51" t="e">
        <f>AND(#REF!,"AAAAAH/1d2k=")</f>
        <v>#REF!</v>
      </c>
      <c r="DC51" t="e">
        <f>AND(#REF!,"AAAAAH/1d2o=")</f>
        <v>#REF!</v>
      </c>
      <c r="DD51" t="e">
        <f>AND(#REF!,"AAAAAH/1d2s=")</f>
        <v>#REF!</v>
      </c>
      <c r="DE51" t="e">
        <f>AND(#REF!,"AAAAAH/1d2w=")</f>
        <v>#REF!</v>
      </c>
      <c r="DF51" t="e">
        <f>AND(#REF!,"AAAAAH/1d20=")</f>
        <v>#REF!</v>
      </c>
      <c r="DG51" t="e">
        <f>AND(#REF!,"AAAAAH/1d24=")</f>
        <v>#REF!</v>
      </c>
      <c r="DH51" t="e">
        <f>AND(#REF!,"AAAAAH/1d28=")</f>
        <v>#REF!</v>
      </c>
      <c r="DI51" t="e">
        <f>AND(#REF!,"AAAAAH/1d3A=")</f>
        <v>#REF!</v>
      </c>
      <c r="DJ51" t="e">
        <f>AND(#REF!,"AAAAAH/1d3E=")</f>
        <v>#REF!</v>
      </c>
      <c r="DK51" t="e">
        <f>AND(#REF!,"AAAAAH/1d3I=")</f>
        <v>#REF!</v>
      </c>
      <c r="DL51" t="e">
        <f>AND(#REF!,"AAAAAH/1d3M=")</f>
        <v>#REF!</v>
      </c>
      <c r="DM51" t="e">
        <f>AND(#REF!,"AAAAAH/1d3Q=")</f>
        <v>#REF!</v>
      </c>
      <c r="DN51" t="e">
        <f>AND(#REF!,"AAAAAH/1d3U=")</f>
        <v>#REF!</v>
      </c>
      <c r="DO51" t="e">
        <f>AND(#REF!,"AAAAAH/1d3Y=")</f>
        <v>#REF!</v>
      </c>
      <c r="DP51" t="e">
        <f>AND(#REF!,"AAAAAH/1d3c=")</f>
        <v>#REF!</v>
      </c>
      <c r="DQ51" t="e">
        <f>AND(#REF!,"AAAAAH/1d3g=")</f>
        <v>#REF!</v>
      </c>
      <c r="DR51" t="e">
        <f>AND(#REF!,"AAAAAH/1d3k=")</f>
        <v>#REF!</v>
      </c>
      <c r="DS51" t="e">
        <f>AND(#REF!,"AAAAAH/1d3o=")</f>
        <v>#REF!</v>
      </c>
      <c r="DT51" t="e">
        <f>AND(#REF!,"AAAAAH/1d3s=")</f>
        <v>#REF!</v>
      </c>
      <c r="DU51" t="e">
        <f>AND(#REF!,"AAAAAH/1d3w=")</f>
        <v>#REF!</v>
      </c>
      <c r="DV51" t="e">
        <f>AND(#REF!,"AAAAAH/1d30=")</f>
        <v>#REF!</v>
      </c>
      <c r="DW51" t="e">
        <f>AND(#REF!,"AAAAAH/1d34=")</f>
        <v>#REF!</v>
      </c>
      <c r="DX51" t="e">
        <f>AND(#REF!,"AAAAAH/1d38=")</f>
        <v>#REF!</v>
      </c>
      <c r="DY51" t="e">
        <f>AND(#REF!,"AAAAAH/1d4A=")</f>
        <v>#REF!</v>
      </c>
      <c r="DZ51" t="e">
        <f>AND(#REF!,"AAAAAH/1d4E=")</f>
        <v>#REF!</v>
      </c>
      <c r="EA51" t="e">
        <f>AND(#REF!,"AAAAAH/1d4I=")</f>
        <v>#REF!</v>
      </c>
      <c r="EB51" t="e">
        <f>AND(#REF!,"AAAAAH/1d4M=")</f>
        <v>#REF!</v>
      </c>
      <c r="EC51" t="e">
        <f>AND(#REF!,"AAAAAH/1d4Q=")</f>
        <v>#REF!</v>
      </c>
      <c r="ED51" t="e">
        <f>AND(#REF!,"AAAAAH/1d4U=")</f>
        <v>#REF!</v>
      </c>
      <c r="EE51" t="e">
        <f>AND(#REF!,"AAAAAH/1d4Y=")</f>
        <v>#REF!</v>
      </c>
      <c r="EF51" t="e">
        <f>AND(#REF!,"AAAAAH/1d4c=")</f>
        <v>#REF!</v>
      </c>
      <c r="EG51" t="e">
        <f>AND(#REF!,"AAAAAH/1d4g=")</f>
        <v>#REF!</v>
      </c>
      <c r="EH51" t="e">
        <f>AND(#REF!,"AAAAAH/1d4k=")</f>
        <v>#REF!</v>
      </c>
      <c r="EI51" t="e">
        <f>AND(#REF!,"AAAAAH/1d4o=")</f>
        <v>#REF!</v>
      </c>
      <c r="EJ51" t="e">
        <f>AND(#REF!,"AAAAAH/1d4s=")</f>
        <v>#REF!</v>
      </c>
      <c r="EK51" t="e">
        <f>IF(#REF!,"AAAAAH/1d4w=",0)</f>
        <v>#REF!</v>
      </c>
      <c r="EL51" t="e">
        <f>AND(#REF!,"AAAAAH/1d40=")</f>
        <v>#REF!</v>
      </c>
      <c r="EM51" t="e">
        <f>AND(#REF!,"AAAAAH/1d44=")</f>
        <v>#REF!</v>
      </c>
      <c r="EN51" t="e">
        <f>AND(#REF!,"AAAAAH/1d48=")</f>
        <v>#REF!</v>
      </c>
      <c r="EO51" t="e">
        <f>AND(#REF!,"AAAAAH/1d5A=")</f>
        <v>#REF!</v>
      </c>
      <c r="EP51" t="e">
        <f>AND(#REF!,"AAAAAH/1d5E=")</f>
        <v>#REF!</v>
      </c>
      <c r="EQ51" t="e">
        <f>AND(#REF!,"AAAAAH/1d5I=")</f>
        <v>#REF!</v>
      </c>
      <c r="ER51" t="e">
        <f>AND(#REF!,"AAAAAH/1d5M=")</f>
        <v>#REF!</v>
      </c>
      <c r="ES51" t="e">
        <f>AND(#REF!,"AAAAAH/1d5Q=")</f>
        <v>#REF!</v>
      </c>
      <c r="ET51" t="e">
        <f>AND(#REF!,"AAAAAH/1d5U=")</f>
        <v>#REF!</v>
      </c>
      <c r="EU51" t="e">
        <f>AND(#REF!,"AAAAAH/1d5Y=")</f>
        <v>#REF!</v>
      </c>
      <c r="EV51" t="e">
        <f>AND(#REF!,"AAAAAH/1d5c=")</f>
        <v>#REF!</v>
      </c>
      <c r="EW51" t="e">
        <f>AND(#REF!,"AAAAAH/1d5g=")</f>
        <v>#REF!</v>
      </c>
      <c r="EX51" t="e">
        <f>AND(#REF!,"AAAAAH/1d5k=")</f>
        <v>#REF!</v>
      </c>
      <c r="EY51" t="e">
        <f>AND(#REF!,"AAAAAH/1d5o=")</f>
        <v>#REF!</v>
      </c>
      <c r="EZ51" t="e">
        <f>AND(#REF!,"AAAAAH/1d5s=")</f>
        <v>#REF!</v>
      </c>
      <c r="FA51" t="e">
        <f>AND(#REF!,"AAAAAH/1d5w=")</f>
        <v>#REF!</v>
      </c>
      <c r="FB51" t="e">
        <f>AND(#REF!,"AAAAAH/1d50=")</f>
        <v>#REF!</v>
      </c>
      <c r="FC51" t="e">
        <f>AND(#REF!,"AAAAAH/1d54=")</f>
        <v>#REF!</v>
      </c>
      <c r="FD51" t="e">
        <f>AND(#REF!,"AAAAAH/1d58=")</f>
        <v>#REF!</v>
      </c>
      <c r="FE51" t="e">
        <f>AND(#REF!,"AAAAAH/1d6A=")</f>
        <v>#REF!</v>
      </c>
      <c r="FF51" t="e">
        <f>AND(#REF!,"AAAAAH/1d6E=")</f>
        <v>#REF!</v>
      </c>
      <c r="FG51" t="e">
        <f>AND(#REF!,"AAAAAH/1d6I=")</f>
        <v>#REF!</v>
      </c>
      <c r="FH51" t="e">
        <f>AND(#REF!,"AAAAAH/1d6M=")</f>
        <v>#REF!</v>
      </c>
      <c r="FI51" t="e">
        <f>AND(#REF!,"AAAAAH/1d6Q=")</f>
        <v>#REF!</v>
      </c>
      <c r="FJ51" t="e">
        <f>AND(#REF!,"AAAAAH/1d6U=")</f>
        <v>#REF!</v>
      </c>
      <c r="FK51" t="e">
        <f>AND(#REF!,"AAAAAH/1d6Y=")</f>
        <v>#REF!</v>
      </c>
      <c r="FL51" t="e">
        <f>AND(#REF!,"AAAAAH/1d6c=")</f>
        <v>#REF!</v>
      </c>
      <c r="FM51" t="e">
        <f>AND(#REF!,"AAAAAH/1d6g=")</f>
        <v>#REF!</v>
      </c>
      <c r="FN51" t="e">
        <f>AND(#REF!,"AAAAAH/1d6k=")</f>
        <v>#REF!</v>
      </c>
      <c r="FO51" t="e">
        <f>AND(#REF!,"AAAAAH/1d6o=")</f>
        <v>#REF!</v>
      </c>
      <c r="FP51" t="e">
        <f>AND(#REF!,"AAAAAH/1d6s=")</f>
        <v>#REF!</v>
      </c>
      <c r="FQ51" t="e">
        <f>AND(#REF!,"AAAAAH/1d6w=")</f>
        <v>#REF!</v>
      </c>
      <c r="FR51" t="e">
        <f>AND(#REF!,"AAAAAH/1d60=")</f>
        <v>#REF!</v>
      </c>
      <c r="FS51" t="e">
        <f>AND(#REF!,"AAAAAH/1d64=")</f>
        <v>#REF!</v>
      </c>
      <c r="FT51" t="e">
        <f>AND(#REF!,"AAAAAH/1d68=")</f>
        <v>#REF!</v>
      </c>
      <c r="FU51" t="e">
        <f>IF(#REF!,"AAAAAH/1d7A=",0)</f>
        <v>#REF!</v>
      </c>
      <c r="FV51" t="e">
        <f>AND(#REF!,"AAAAAH/1d7E=")</f>
        <v>#REF!</v>
      </c>
      <c r="FW51" t="e">
        <f>AND(#REF!,"AAAAAH/1d7I=")</f>
        <v>#REF!</v>
      </c>
      <c r="FX51" t="e">
        <f>AND(#REF!,"AAAAAH/1d7M=")</f>
        <v>#REF!</v>
      </c>
      <c r="FY51" t="e">
        <f>AND(#REF!,"AAAAAH/1d7Q=")</f>
        <v>#REF!</v>
      </c>
      <c r="FZ51" t="e">
        <f>AND(#REF!,"AAAAAH/1d7U=")</f>
        <v>#REF!</v>
      </c>
      <c r="GA51" t="e">
        <f>AND(#REF!,"AAAAAH/1d7Y=")</f>
        <v>#REF!</v>
      </c>
      <c r="GB51" t="e">
        <f>AND(#REF!,"AAAAAH/1d7c=")</f>
        <v>#REF!</v>
      </c>
      <c r="GC51" t="e">
        <f>AND(#REF!,"AAAAAH/1d7g=")</f>
        <v>#REF!</v>
      </c>
      <c r="GD51" t="e">
        <f>AND(#REF!,"AAAAAH/1d7k=")</f>
        <v>#REF!</v>
      </c>
      <c r="GE51" t="e">
        <f>AND(#REF!,"AAAAAH/1d7o=")</f>
        <v>#REF!</v>
      </c>
      <c r="GF51" t="e">
        <f>AND(#REF!,"AAAAAH/1d7s=")</f>
        <v>#REF!</v>
      </c>
      <c r="GG51" t="e">
        <f>AND(#REF!,"AAAAAH/1d7w=")</f>
        <v>#REF!</v>
      </c>
      <c r="GH51" t="e">
        <f>AND(#REF!,"AAAAAH/1d70=")</f>
        <v>#REF!</v>
      </c>
      <c r="GI51" t="e">
        <f>AND(#REF!,"AAAAAH/1d74=")</f>
        <v>#REF!</v>
      </c>
      <c r="GJ51" t="e">
        <f>AND(#REF!,"AAAAAH/1d78=")</f>
        <v>#REF!</v>
      </c>
      <c r="GK51" t="e">
        <f>AND(#REF!,"AAAAAH/1d8A=")</f>
        <v>#REF!</v>
      </c>
      <c r="GL51" t="e">
        <f>AND(#REF!,"AAAAAH/1d8E=")</f>
        <v>#REF!</v>
      </c>
      <c r="GM51" t="e">
        <f>AND(#REF!,"AAAAAH/1d8I=")</f>
        <v>#REF!</v>
      </c>
      <c r="GN51" t="e">
        <f>AND(#REF!,"AAAAAH/1d8M=")</f>
        <v>#REF!</v>
      </c>
      <c r="GO51" t="e">
        <f>AND(#REF!,"AAAAAH/1d8Q=")</f>
        <v>#REF!</v>
      </c>
      <c r="GP51" t="e">
        <f>AND(#REF!,"AAAAAH/1d8U=")</f>
        <v>#REF!</v>
      </c>
      <c r="GQ51" t="e">
        <f>AND(#REF!,"AAAAAH/1d8Y=")</f>
        <v>#REF!</v>
      </c>
      <c r="GR51" t="e">
        <f>AND(#REF!,"AAAAAH/1d8c=")</f>
        <v>#REF!</v>
      </c>
      <c r="GS51" t="e">
        <f>AND(#REF!,"AAAAAH/1d8g=")</f>
        <v>#REF!</v>
      </c>
      <c r="GT51" t="e">
        <f>AND(#REF!,"AAAAAH/1d8k=")</f>
        <v>#REF!</v>
      </c>
      <c r="GU51" t="e">
        <f>AND(#REF!,"AAAAAH/1d8o=")</f>
        <v>#REF!</v>
      </c>
      <c r="GV51" t="e">
        <f>AND(#REF!,"AAAAAH/1d8s=")</f>
        <v>#REF!</v>
      </c>
      <c r="GW51" t="e">
        <f>AND(#REF!,"AAAAAH/1d8w=")</f>
        <v>#REF!</v>
      </c>
      <c r="GX51" t="e">
        <f>AND(#REF!,"AAAAAH/1d80=")</f>
        <v>#REF!</v>
      </c>
      <c r="GY51" t="e">
        <f>AND(#REF!,"AAAAAH/1d84=")</f>
        <v>#REF!</v>
      </c>
      <c r="GZ51" t="e">
        <f>AND(#REF!,"AAAAAH/1d88=")</f>
        <v>#REF!</v>
      </c>
      <c r="HA51" t="e">
        <f>AND(#REF!,"AAAAAH/1d9A=")</f>
        <v>#REF!</v>
      </c>
      <c r="HB51" t="e">
        <f>AND(#REF!,"AAAAAH/1d9E=")</f>
        <v>#REF!</v>
      </c>
      <c r="HC51" t="e">
        <f>AND(#REF!,"AAAAAH/1d9I=")</f>
        <v>#REF!</v>
      </c>
      <c r="HD51" t="e">
        <f>AND(#REF!,"AAAAAH/1d9M=")</f>
        <v>#REF!</v>
      </c>
      <c r="HE51" t="e">
        <f>IF(#REF!,"AAAAAH/1d9Q=",0)</f>
        <v>#REF!</v>
      </c>
      <c r="HF51" t="e">
        <f>AND(#REF!,"AAAAAH/1d9U=")</f>
        <v>#REF!</v>
      </c>
      <c r="HG51" t="e">
        <f>AND(#REF!,"AAAAAH/1d9Y=")</f>
        <v>#REF!</v>
      </c>
      <c r="HH51" t="e">
        <f>AND(#REF!,"AAAAAH/1d9c=")</f>
        <v>#REF!</v>
      </c>
      <c r="HI51" t="e">
        <f>AND(#REF!,"AAAAAH/1d9g=")</f>
        <v>#REF!</v>
      </c>
      <c r="HJ51" t="e">
        <f>AND(#REF!,"AAAAAH/1d9k=")</f>
        <v>#REF!</v>
      </c>
      <c r="HK51" t="e">
        <f>AND(#REF!,"AAAAAH/1d9o=")</f>
        <v>#REF!</v>
      </c>
      <c r="HL51" t="e">
        <f>AND(#REF!,"AAAAAH/1d9s=")</f>
        <v>#REF!</v>
      </c>
      <c r="HM51" t="e">
        <f>AND(#REF!,"AAAAAH/1d9w=")</f>
        <v>#REF!</v>
      </c>
      <c r="HN51" t="e">
        <f>AND(#REF!,"AAAAAH/1d90=")</f>
        <v>#REF!</v>
      </c>
      <c r="HO51" t="e">
        <f>AND(#REF!,"AAAAAH/1d94=")</f>
        <v>#REF!</v>
      </c>
      <c r="HP51" t="e">
        <f>AND(#REF!,"AAAAAH/1d98=")</f>
        <v>#REF!</v>
      </c>
      <c r="HQ51" t="e">
        <f>AND(#REF!,"AAAAAH/1d+A=")</f>
        <v>#REF!</v>
      </c>
      <c r="HR51" t="e">
        <f>AND(#REF!,"AAAAAH/1d+E=")</f>
        <v>#REF!</v>
      </c>
      <c r="HS51" t="e">
        <f>AND(#REF!,"AAAAAH/1d+I=")</f>
        <v>#REF!</v>
      </c>
      <c r="HT51" t="e">
        <f>AND(#REF!,"AAAAAH/1d+M=")</f>
        <v>#REF!</v>
      </c>
      <c r="HU51" t="e">
        <f>AND(#REF!,"AAAAAH/1d+Q=")</f>
        <v>#REF!</v>
      </c>
      <c r="HV51" t="e">
        <f>AND(#REF!,"AAAAAH/1d+U=")</f>
        <v>#REF!</v>
      </c>
      <c r="HW51" t="e">
        <f>AND(#REF!,"AAAAAH/1d+Y=")</f>
        <v>#REF!</v>
      </c>
      <c r="HX51" t="e">
        <f>AND(#REF!,"AAAAAH/1d+c=")</f>
        <v>#REF!</v>
      </c>
      <c r="HY51" t="e">
        <f>AND(#REF!,"AAAAAH/1d+g=")</f>
        <v>#REF!</v>
      </c>
      <c r="HZ51" t="e">
        <f>AND(#REF!,"AAAAAH/1d+k=")</f>
        <v>#REF!</v>
      </c>
      <c r="IA51" t="e">
        <f>AND(#REF!,"AAAAAH/1d+o=")</f>
        <v>#REF!</v>
      </c>
      <c r="IB51" t="e">
        <f>AND(#REF!,"AAAAAH/1d+s=")</f>
        <v>#REF!</v>
      </c>
      <c r="IC51" t="e">
        <f>AND(#REF!,"AAAAAH/1d+w=")</f>
        <v>#REF!</v>
      </c>
      <c r="ID51" t="e">
        <f>AND(#REF!,"AAAAAH/1d+0=")</f>
        <v>#REF!</v>
      </c>
      <c r="IE51" t="e">
        <f>AND(#REF!,"AAAAAH/1d+4=")</f>
        <v>#REF!</v>
      </c>
      <c r="IF51" t="e">
        <f>AND(#REF!,"AAAAAH/1d+8=")</f>
        <v>#REF!</v>
      </c>
      <c r="IG51" t="e">
        <f>AND(#REF!,"AAAAAH/1d/A=")</f>
        <v>#REF!</v>
      </c>
      <c r="IH51" t="e">
        <f>AND(#REF!,"AAAAAH/1d/E=")</f>
        <v>#REF!</v>
      </c>
      <c r="II51" t="e">
        <f>AND(#REF!,"AAAAAH/1d/I=")</f>
        <v>#REF!</v>
      </c>
      <c r="IJ51" t="e">
        <f>AND(#REF!,"AAAAAH/1d/M=")</f>
        <v>#REF!</v>
      </c>
      <c r="IK51" t="e">
        <f>AND(#REF!,"AAAAAH/1d/Q=")</f>
        <v>#REF!</v>
      </c>
      <c r="IL51" t="e">
        <f>AND(#REF!,"AAAAAH/1d/U=")</f>
        <v>#REF!</v>
      </c>
      <c r="IM51" t="e">
        <f>AND(#REF!,"AAAAAH/1d/Y=")</f>
        <v>#REF!</v>
      </c>
      <c r="IN51" t="e">
        <f>AND(#REF!,"AAAAAH/1d/c=")</f>
        <v>#REF!</v>
      </c>
      <c r="IO51" t="e">
        <f>IF(#REF!,"AAAAAH/1d/g=",0)</f>
        <v>#REF!</v>
      </c>
      <c r="IP51" t="e">
        <f>AND(#REF!,"AAAAAH/1d/k=")</f>
        <v>#REF!</v>
      </c>
      <c r="IQ51" t="e">
        <f>AND(#REF!,"AAAAAH/1d/o=")</f>
        <v>#REF!</v>
      </c>
      <c r="IR51" t="e">
        <f>AND(#REF!,"AAAAAH/1d/s=")</f>
        <v>#REF!</v>
      </c>
      <c r="IS51" t="e">
        <f>AND(#REF!,"AAAAAH/1d/w=")</f>
        <v>#REF!</v>
      </c>
      <c r="IT51" t="e">
        <f>AND(#REF!,"AAAAAH/1d/0=")</f>
        <v>#REF!</v>
      </c>
      <c r="IU51" t="e">
        <f>AND(#REF!,"AAAAAH/1d/4=")</f>
        <v>#REF!</v>
      </c>
      <c r="IV51" t="e">
        <f>AND(#REF!,"AAAAAH/1d/8=")</f>
        <v>#REF!</v>
      </c>
    </row>
    <row r="52" spans="1:256">
      <c r="A52" t="e">
        <f>AND(#REF!,"AAAAAD/8/QA=")</f>
        <v>#REF!</v>
      </c>
      <c r="B52" t="e">
        <f>AND(#REF!,"AAAAAD/8/QE=")</f>
        <v>#REF!</v>
      </c>
      <c r="C52" t="e">
        <f>AND(#REF!,"AAAAAD/8/QI=")</f>
        <v>#REF!</v>
      </c>
      <c r="D52" t="e">
        <f>AND(#REF!,"AAAAAD/8/QM=")</f>
        <v>#REF!</v>
      </c>
      <c r="E52" t="e">
        <f>AND(#REF!,"AAAAAD/8/QQ=")</f>
        <v>#REF!</v>
      </c>
      <c r="F52" t="e">
        <f>AND(#REF!,"AAAAAD/8/QU=")</f>
        <v>#REF!</v>
      </c>
      <c r="G52" t="e">
        <f>AND(#REF!,"AAAAAD/8/QY=")</f>
        <v>#REF!</v>
      </c>
      <c r="H52" t="e">
        <f>AND(#REF!,"AAAAAD/8/Qc=")</f>
        <v>#REF!</v>
      </c>
      <c r="I52" t="e">
        <f>AND(#REF!,"AAAAAD/8/Qg=")</f>
        <v>#REF!</v>
      </c>
      <c r="J52" t="e">
        <f>AND(#REF!,"AAAAAD/8/Qk=")</f>
        <v>#REF!</v>
      </c>
      <c r="K52" t="e">
        <f>AND(#REF!,"AAAAAD/8/Qo=")</f>
        <v>#REF!</v>
      </c>
      <c r="L52" t="e">
        <f>AND(#REF!,"AAAAAD/8/Qs=")</f>
        <v>#REF!</v>
      </c>
      <c r="M52" t="e">
        <f>AND(#REF!,"AAAAAD/8/Qw=")</f>
        <v>#REF!</v>
      </c>
      <c r="N52" t="e">
        <f>AND(#REF!,"AAAAAD/8/Q0=")</f>
        <v>#REF!</v>
      </c>
      <c r="O52" t="e">
        <f>AND(#REF!,"AAAAAD/8/Q4=")</f>
        <v>#REF!</v>
      </c>
      <c r="P52" t="e">
        <f>AND(#REF!,"AAAAAD/8/Q8=")</f>
        <v>#REF!</v>
      </c>
      <c r="Q52" t="e">
        <f>AND(#REF!,"AAAAAD/8/RA=")</f>
        <v>#REF!</v>
      </c>
      <c r="R52" t="e">
        <f>AND(#REF!,"AAAAAD/8/RE=")</f>
        <v>#REF!</v>
      </c>
      <c r="S52" t="e">
        <f>AND(#REF!,"AAAAAD/8/RI=")</f>
        <v>#REF!</v>
      </c>
      <c r="T52" t="e">
        <f>AND(#REF!,"AAAAAD/8/RM=")</f>
        <v>#REF!</v>
      </c>
      <c r="U52" t="e">
        <f>AND(#REF!,"AAAAAD/8/RQ=")</f>
        <v>#REF!</v>
      </c>
      <c r="V52" t="e">
        <f>AND(#REF!,"AAAAAD/8/RU=")</f>
        <v>#REF!</v>
      </c>
      <c r="W52" t="e">
        <f>AND(#REF!,"AAAAAD/8/RY=")</f>
        <v>#REF!</v>
      </c>
      <c r="X52" t="e">
        <f>AND(#REF!,"AAAAAD/8/Rc=")</f>
        <v>#REF!</v>
      </c>
      <c r="Y52" t="e">
        <f>AND(#REF!,"AAAAAD/8/Rg=")</f>
        <v>#REF!</v>
      </c>
      <c r="Z52" t="e">
        <f>AND(#REF!,"AAAAAD/8/Rk=")</f>
        <v>#REF!</v>
      </c>
      <c r="AA52" t="e">
        <f>AND(#REF!,"AAAAAD/8/Ro=")</f>
        <v>#REF!</v>
      </c>
      <c r="AB52" t="e">
        <f>AND(#REF!,"AAAAAD/8/Rs=")</f>
        <v>#REF!</v>
      </c>
      <c r="AC52" t="e">
        <f>IF(#REF!,"AAAAAD/8/Rw=",0)</f>
        <v>#REF!</v>
      </c>
      <c r="AD52" t="e">
        <f>AND(#REF!,"AAAAAD/8/R0=")</f>
        <v>#REF!</v>
      </c>
      <c r="AE52" t="e">
        <f>AND(#REF!,"AAAAAD/8/R4=")</f>
        <v>#REF!</v>
      </c>
      <c r="AF52" t="e">
        <f>AND(#REF!,"AAAAAD/8/R8=")</f>
        <v>#REF!</v>
      </c>
      <c r="AG52" t="e">
        <f>AND(#REF!,"AAAAAD/8/SA=")</f>
        <v>#REF!</v>
      </c>
      <c r="AH52" t="e">
        <f>AND(#REF!,"AAAAAD/8/SE=")</f>
        <v>#REF!</v>
      </c>
      <c r="AI52" t="e">
        <f>AND(#REF!,"AAAAAD/8/SI=")</f>
        <v>#REF!</v>
      </c>
      <c r="AJ52" t="e">
        <f>AND(#REF!,"AAAAAD/8/SM=")</f>
        <v>#REF!</v>
      </c>
      <c r="AK52" t="e">
        <f>AND(#REF!,"AAAAAD/8/SQ=")</f>
        <v>#REF!</v>
      </c>
      <c r="AL52" t="e">
        <f>AND(#REF!,"AAAAAD/8/SU=")</f>
        <v>#REF!</v>
      </c>
      <c r="AM52" t="e">
        <f>AND(#REF!,"AAAAAD/8/SY=")</f>
        <v>#REF!</v>
      </c>
      <c r="AN52" t="e">
        <f>AND(#REF!,"AAAAAD/8/Sc=")</f>
        <v>#REF!</v>
      </c>
      <c r="AO52" t="e">
        <f>AND(#REF!,"AAAAAD/8/Sg=")</f>
        <v>#REF!</v>
      </c>
      <c r="AP52" t="e">
        <f>AND(#REF!,"AAAAAD/8/Sk=")</f>
        <v>#REF!</v>
      </c>
      <c r="AQ52" t="e">
        <f>AND(#REF!,"AAAAAD/8/So=")</f>
        <v>#REF!</v>
      </c>
      <c r="AR52" t="e">
        <f>AND(#REF!,"AAAAAD/8/Ss=")</f>
        <v>#REF!</v>
      </c>
      <c r="AS52" t="e">
        <f>AND(#REF!,"AAAAAD/8/Sw=")</f>
        <v>#REF!</v>
      </c>
      <c r="AT52" t="e">
        <f>AND(#REF!,"AAAAAD/8/S0=")</f>
        <v>#REF!</v>
      </c>
      <c r="AU52" t="e">
        <f>AND(#REF!,"AAAAAD/8/S4=")</f>
        <v>#REF!</v>
      </c>
      <c r="AV52" t="e">
        <f>AND(#REF!,"AAAAAD/8/S8=")</f>
        <v>#REF!</v>
      </c>
      <c r="AW52" t="e">
        <f>AND(#REF!,"AAAAAD/8/TA=")</f>
        <v>#REF!</v>
      </c>
      <c r="AX52" t="e">
        <f>AND(#REF!,"AAAAAD/8/TE=")</f>
        <v>#REF!</v>
      </c>
      <c r="AY52" t="e">
        <f>AND(#REF!,"AAAAAD/8/TI=")</f>
        <v>#REF!</v>
      </c>
      <c r="AZ52" t="e">
        <f>AND(#REF!,"AAAAAD/8/TM=")</f>
        <v>#REF!</v>
      </c>
      <c r="BA52" t="e">
        <f>AND(#REF!,"AAAAAD/8/TQ=")</f>
        <v>#REF!</v>
      </c>
      <c r="BB52" t="e">
        <f>AND(#REF!,"AAAAAD/8/TU=")</f>
        <v>#REF!</v>
      </c>
      <c r="BC52" t="e">
        <f>AND(#REF!,"AAAAAD/8/TY=")</f>
        <v>#REF!</v>
      </c>
      <c r="BD52" t="e">
        <f>AND(#REF!,"AAAAAD/8/Tc=")</f>
        <v>#REF!</v>
      </c>
      <c r="BE52" t="e">
        <f>AND(#REF!,"AAAAAD/8/Tg=")</f>
        <v>#REF!</v>
      </c>
      <c r="BF52" t="e">
        <f>AND(#REF!,"AAAAAD/8/Tk=")</f>
        <v>#REF!</v>
      </c>
      <c r="BG52" t="e">
        <f>AND(#REF!,"AAAAAD/8/To=")</f>
        <v>#REF!</v>
      </c>
      <c r="BH52" t="e">
        <f>AND(#REF!,"AAAAAD/8/Ts=")</f>
        <v>#REF!</v>
      </c>
      <c r="BI52" t="e">
        <f>AND(#REF!,"AAAAAD/8/Tw=")</f>
        <v>#REF!</v>
      </c>
      <c r="BJ52" t="e">
        <f>AND(#REF!,"AAAAAD/8/T0=")</f>
        <v>#REF!</v>
      </c>
      <c r="BK52" t="e">
        <f>AND(#REF!,"AAAAAD/8/T4=")</f>
        <v>#REF!</v>
      </c>
      <c r="BL52" t="e">
        <f>AND(#REF!,"AAAAAD/8/T8=")</f>
        <v>#REF!</v>
      </c>
      <c r="BM52" t="e">
        <f>IF(#REF!,"AAAAAD/8/UA=",0)</f>
        <v>#REF!</v>
      </c>
      <c r="BN52" t="e">
        <f>AND(#REF!,"AAAAAD/8/UE=")</f>
        <v>#REF!</v>
      </c>
      <c r="BO52" t="e">
        <f>AND(#REF!,"AAAAAD/8/UI=")</f>
        <v>#REF!</v>
      </c>
      <c r="BP52" t="e">
        <f>AND(#REF!,"AAAAAD/8/UM=")</f>
        <v>#REF!</v>
      </c>
      <c r="BQ52" t="e">
        <f>AND(#REF!,"AAAAAD/8/UQ=")</f>
        <v>#REF!</v>
      </c>
      <c r="BR52" t="e">
        <f>AND(#REF!,"AAAAAD/8/UU=")</f>
        <v>#REF!</v>
      </c>
      <c r="BS52" t="e">
        <f>AND(#REF!,"AAAAAD/8/UY=")</f>
        <v>#REF!</v>
      </c>
      <c r="BT52" t="e">
        <f>AND(#REF!,"AAAAAD/8/Uc=")</f>
        <v>#REF!</v>
      </c>
      <c r="BU52" t="e">
        <f>AND(#REF!,"AAAAAD/8/Ug=")</f>
        <v>#REF!</v>
      </c>
      <c r="BV52" t="e">
        <f>AND(#REF!,"AAAAAD/8/Uk=")</f>
        <v>#REF!</v>
      </c>
      <c r="BW52" t="e">
        <f>AND(#REF!,"AAAAAD/8/Uo=")</f>
        <v>#REF!</v>
      </c>
      <c r="BX52" t="e">
        <f>AND(#REF!,"AAAAAD/8/Us=")</f>
        <v>#REF!</v>
      </c>
      <c r="BY52" t="e">
        <f>AND(#REF!,"AAAAAD/8/Uw=")</f>
        <v>#REF!</v>
      </c>
      <c r="BZ52" t="e">
        <f>AND(#REF!,"AAAAAD/8/U0=")</f>
        <v>#REF!</v>
      </c>
      <c r="CA52" t="e">
        <f>AND(#REF!,"AAAAAD/8/U4=")</f>
        <v>#REF!</v>
      </c>
      <c r="CB52" t="e">
        <f>AND(#REF!,"AAAAAD/8/U8=")</f>
        <v>#REF!</v>
      </c>
      <c r="CC52" t="e">
        <f>AND(#REF!,"AAAAAD/8/VA=")</f>
        <v>#REF!</v>
      </c>
      <c r="CD52" t="e">
        <f>AND(#REF!,"AAAAAD/8/VE=")</f>
        <v>#REF!</v>
      </c>
      <c r="CE52" t="e">
        <f>AND(#REF!,"AAAAAD/8/VI=")</f>
        <v>#REF!</v>
      </c>
      <c r="CF52" t="e">
        <f>AND(#REF!,"AAAAAD/8/VM=")</f>
        <v>#REF!</v>
      </c>
      <c r="CG52" t="e">
        <f>AND(#REF!,"AAAAAD/8/VQ=")</f>
        <v>#REF!</v>
      </c>
      <c r="CH52" t="e">
        <f>AND(#REF!,"AAAAAD/8/VU=")</f>
        <v>#REF!</v>
      </c>
      <c r="CI52" t="e">
        <f>AND(#REF!,"AAAAAD/8/VY=")</f>
        <v>#REF!</v>
      </c>
      <c r="CJ52" t="e">
        <f>AND(#REF!,"AAAAAD/8/Vc=")</f>
        <v>#REF!</v>
      </c>
      <c r="CK52" t="e">
        <f>AND(#REF!,"AAAAAD/8/Vg=")</f>
        <v>#REF!</v>
      </c>
      <c r="CL52" t="e">
        <f>AND(#REF!,"AAAAAD/8/Vk=")</f>
        <v>#REF!</v>
      </c>
      <c r="CM52" t="e">
        <f>AND(#REF!,"AAAAAD/8/Vo=")</f>
        <v>#REF!</v>
      </c>
      <c r="CN52" t="e">
        <f>AND(#REF!,"AAAAAD/8/Vs=")</f>
        <v>#REF!</v>
      </c>
      <c r="CO52" t="e">
        <f>AND(#REF!,"AAAAAD/8/Vw=")</f>
        <v>#REF!</v>
      </c>
      <c r="CP52" t="e">
        <f>AND(#REF!,"AAAAAD/8/V0=")</f>
        <v>#REF!</v>
      </c>
      <c r="CQ52" t="e">
        <f>AND(#REF!,"AAAAAD/8/V4=")</f>
        <v>#REF!</v>
      </c>
      <c r="CR52" t="e">
        <f>AND(#REF!,"AAAAAD/8/V8=")</f>
        <v>#REF!</v>
      </c>
      <c r="CS52" t="e">
        <f>AND(#REF!,"AAAAAD/8/WA=")</f>
        <v>#REF!</v>
      </c>
      <c r="CT52" t="e">
        <f>AND(#REF!,"AAAAAD/8/WE=")</f>
        <v>#REF!</v>
      </c>
      <c r="CU52" t="e">
        <f>AND(#REF!,"AAAAAD/8/WI=")</f>
        <v>#REF!</v>
      </c>
      <c r="CV52" t="e">
        <f>AND(#REF!,"AAAAAD/8/WM=")</f>
        <v>#REF!</v>
      </c>
      <c r="CW52" t="e">
        <f>IF(#REF!,"AAAAAD/8/WQ=",0)</f>
        <v>#REF!</v>
      </c>
      <c r="CX52" t="e">
        <f>AND(#REF!,"AAAAAD/8/WU=")</f>
        <v>#REF!</v>
      </c>
      <c r="CY52" t="e">
        <f>AND(#REF!,"AAAAAD/8/WY=")</f>
        <v>#REF!</v>
      </c>
      <c r="CZ52" t="e">
        <f>AND(#REF!,"AAAAAD/8/Wc=")</f>
        <v>#REF!</v>
      </c>
      <c r="DA52" t="e">
        <f>AND(#REF!,"AAAAAD/8/Wg=")</f>
        <v>#REF!</v>
      </c>
      <c r="DB52" t="e">
        <f>AND(#REF!,"AAAAAD/8/Wk=")</f>
        <v>#REF!</v>
      </c>
      <c r="DC52" t="e">
        <f>AND(#REF!,"AAAAAD/8/Wo=")</f>
        <v>#REF!</v>
      </c>
      <c r="DD52" t="e">
        <f>AND(#REF!,"AAAAAD/8/Ws=")</f>
        <v>#REF!</v>
      </c>
      <c r="DE52" t="e">
        <f>AND(#REF!,"AAAAAD/8/Ww=")</f>
        <v>#REF!</v>
      </c>
      <c r="DF52" t="e">
        <f>AND(#REF!,"AAAAAD/8/W0=")</f>
        <v>#REF!</v>
      </c>
      <c r="DG52" t="e">
        <f>AND(#REF!,"AAAAAD/8/W4=")</f>
        <v>#REF!</v>
      </c>
      <c r="DH52" t="e">
        <f>AND(#REF!,"AAAAAD/8/W8=")</f>
        <v>#REF!</v>
      </c>
      <c r="DI52" t="e">
        <f>AND(#REF!,"AAAAAD/8/XA=")</f>
        <v>#REF!</v>
      </c>
      <c r="DJ52" t="e">
        <f>AND(#REF!,"AAAAAD/8/XE=")</f>
        <v>#REF!</v>
      </c>
      <c r="DK52" t="e">
        <f>AND(#REF!,"AAAAAD/8/XI=")</f>
        <v>#REF!</v>
      </c>
      <c r="DL52" t="e">
        <f>AND(#REF!,"AAAAAD/8/XM=")</f>
        <v>#REF!</v>
      </c>
      <c r="DM52" t="e">
        <f>AND(#REF!,"AAAAAD/8/XQ=")</f>
        <v>#REF!</v>
      </c>
      <c r="DN52" t="e">
        <f>AND(#REF!,"AAAAAD/8/XU=")</f>
        <v>#REF!</v>
      </c>
      <c r="DO52" t="e">
        <f>AND(#REF!,"AAAAAD/8/XY=")</f>
        <v>#REF!</v>
      </c>
      <c r="DP52" t="e">
        <f>AND(#REF!,"AAAAAD/8/Xc=")</f>
        <v>#REF!</v>
      </c>
      <c r="DQ52" t="e">
        <f>AND(#REF!,"AAAAAD/8/Xg=")</f>
        <v>#REF!</v>
      </c>
      <c r="DR52" t="e">
        <f>AND(#REF!,"AAAAAD/8/Xk=")</f>
        <v>#REF!</v>
      </c>
      <c r="DS52" t="e">
        <f>AND(#REF!,"AAAAAD/8/Xo=")</f>
        <v>#REF!</v>
      </c>
      <c r="DT52" t="e">
        <f>AND(#REF!,"AAAAAD/8/Xs=")</f>
        <v>#REF!</v>
      </c>
      <c r="DU52" t="e">
        <f>AND(#REF!,"AAAAAD/8/Xw=")</f>
        <v>#REF!</v>
      </c>
      <c r="DV52" t="e">
        <f>AND(#REF!,"AAAAAD/8/X0=")</f>
        <v>#REF!</v>
      </c>
      <c r="DW52" t="e">
        <f>AND(#REF!,"AAAAAD/8/X4=")</f>
        <v>#REF!</v>
      </c>
      <c r="DX52" t="e">
        <f>AND(#REF!,"AAAAAD/8/X8=")</f>
        <v>#REF!</v>
      </c>
      <c r="DY52" t="e">
        <f>AND(#REF!,"AAAAAD/8/YA=")</f>
        <v>#REF!</v>
      </c>
      <c r="DZ52" t="e">
        <f>AND(#REF!,"AAAAAD/8/YE=")</f>
        <v>#REF!</v>
      </c>
      <c r="EA52" t="e">
        <f>AND(#REF!,"AAAAAD/8/YI=")</f>
        <v>#REF!</v>
      </c>
      <c r="EB52" t="e">
        <f>AND(#REF!,"AAAAAD/8/YM=")</f>
        <v>#REF!</v>
      </c>
      <c r="EC52" t="e">
        <f>AND(#REF!,"AAAAAD/8/YQ=")</f>
        <v>#REF!</v>
      </c>
      <c r="ED52" t="e">
        <f>AND(#REF!,"AAAAAD/8/YU=")</f>
        <v>#REF!</v>
      </c>
      <c r="EE52" t="e">
        <f>AND(#REF!,"AAAAAD/8/YY=")</f>
        <v>#REF!</v>
      </c>
      <c r="EF52" t="e">
        <f>AND(#REF!,"AAAAAD/8/Yc=")</f>
        <v>#REF!</v>
      </c>
      <c r="EG52" t="e">
        <f>IF(#REF!,"AAAAAD/8/Yg=",0)</f>
        <v>#REF!</v>
      </c>
      <c r="EH52" t="e">
        <f>AND(#REF!,"AAAAAD/8/Yk=")</f>
        <v>#REF!</v>
      </c>
      <c r="EI52" t="e">
        <f>AND(#REF!,"AAAAAD/8/Yo=")</f>
        <v>#REF!</v>
      </c>
      <c r="EJ52" t="e">
        <f>AND(#REF!,"AAAAAD/8/Ys=")</f>
        <v>#REF!</v>
      </c>
      <c r="EK52" t="e">
        <f>AND(#REF!,"AAAAAD/8/Yw=")</f>
        <v>#REF!</v>
      </c>
      <c r="EL52" t="e">
        <f>AND(#REF!,"AAAAAD/8/Y0=")</f>
        <v>#REF!</v>
      </c>
      <c r="EM52" t="e">
        <f>AND(#REF!,"AAAAAD/8/Y4=")</f>
        <v>#REF!</v>
      </c>
      <c r="EN52" t="e">
        <f>AND(#REF!,"AAAAAD/8/Y8=")</f>
        <v>#REF!</v>
      </c>
      <c r="EO52" t="e">
        <f>AND(#REF!,"AAAAAD/8/ZA=")</f>
        <v>#REF!</v>
      </c>
      <c r="EP52" t="e">
        <f>AND(#REF!,"AAAAAD/8/ZE=")</f>
        <v>#REF!</v>
      </c>
      <c r="EQ52" t="e">
        <f>AND(#REF!,"AAAAAD/8/ZI=")</f>
        <v>#REF!</v>
      </c>
      <c r="ER52" t="e">
        <f>AND(#REF!,"AAAAAD/8/ZM=")</f>
        <v>#REF!</v>
      </c>
      <c r="ES52" t="e">
        <f>AND(#REF!,"AAAAAD/8/ZQ=")</f>
        <v>#REF!</v>
      </c>
      <c r="ET52" t="e">
        <f>AND(#REF!,"AAAAAD/8/ZU=")</f>
        <v>#REF!</v>
      </c>
      <c r="EU52" t="e">
        <f>AND(#REF!,"AAAAAD/8/ZY=")</f>
        <v>#REF!</v>
      </c>
      <c r="EV52" t="e">
        <f>AND(#REF!,"AAAAAD/8/Zc=")</f>
        <v>#REF!</v>
      </c>
      <c r="EW52" t="e">
        <f>AND(#REF!,"AAAAAD/8/Zg=")</f>
        <v>#REF!</v>
      </c>
      <c r="EX52" t="e">
        <f>AND(#REF!,"AAAAAD/8/Zk=")</f>
        <v>#REF!</v>
      </c>
      <c r="EY52" t="e">
        <f>AND(#REF!,"AAAAAD/8/Zo=")</f>
        <v>#REF!</v>
      </c>
      <c r="EZ52" t="e">
        <f>AND(#REF!,"AAAAAD/8/Zs=")</f>
        <v>#REF!</v>
      </c>
      <c r="FA52" t="e">
        <f>AND(#REF!,"AAAAAD/8/Zw=")</f>
        <v>#REF!</v>
      </c>
      <c r="FB52" t="e">
        <f>AND(#REF!,"AAAAAD/8/Z0=")</f>
        <v>#REF!</v>
      </c>
      <c r="FC52" t="e">
        <f>AND(#REF!,"AAAAAD/8/Z4=")</f>
        <v>#REF!</v>
      </c>
      <c r="FD52" t="e">
        <f>AND(#REF!,"AAAAAD/8/Z8=")</f>
        <v>#REF!</v>
      </c>
      <c r="FE52" t="e">
        <f>AND(#REF!,"AAAAAD/8/aA=")</f>
        <v>#REF!</v>
      </c>
      <c r="FF52" t="e">
        <f>AND(#REF!,"AAAAAD/8/aE=")</f>
        <v>#REF!</v>
      </c>
      <c r="FG52" t="e">
        <f>AND(#REF!,"AAAAAD/8/aI=")</f>
        <v>#REF!</v>
      </c>
      <c r="FH52" t="e">
        <f>AND(#REF!,"AAAAAD/8/aM=")</f>
        <v>#REF!</v>
      </c>
      <c r="FI52" t="e">
        <f>AND(#REF!,"AAAAAD/8/aQ=")</f>
        <v>#REF!</v>
      </c>
      <c r="FJ52" t="e">
        <f>AND(#REF!,"AAAAAD/8/aU=")</f>
        <v>#REF!</v>
      </c>
      <c r="FK52" t="e">
        <f>AND(#REF!,"AAAAAD/8/aY=")</f>
        <v>#REF!</v>
      </c>
      <c r="FL52" t="e">
        <f>AND(#REF!,"AAAAAD/8/ac=")</f>
        <v>#REF!</v>
      </c>
      <c r="FM52" t="e">
        <f>AND(#REF!,"AAAAAD/8/ag=")</f>
        <v>#REF!</v>
      </c>
      <c r="FN52" t="e">
        <f>AND(#REF!,"AAAAAD/8/ak=")</f>
        <v>#REF!</v>
      </c>
      <c r="FO52" t="e">
        <f>AND(#REF!,"AAAAAD/8/ao=")</f>
        <v>#REF!</v>
      </c>
      <c r="FP52" t="e">
        <f>AND(#REF!,"AAAAAD/8/as=")</f>
        <v>#REF!</v>
      </c>
      <c r="FQ52" t="e">
        <f>IF(#REF!,"AAAAAD/8/aw=",0)</f>
        <v>#REF!</v>
      </c>
      <c r="FR52" t="e">
        <f>AND(#REF!,"AAAAAD/8/a0=")</f>
        <v>#REF!</v>
      </c>
      <c r="FS52" t="e">
        <f>AND(#REF!,"AAAAAD/8/a4=")</f>
        <v>#REF!</v>
      </c>
      <c r="FT52" t="e">
        <f>AND(#REF!,"AAAAAD/8/a8=")</f>
        <v>#REF!</v>
      </c>
      <c r="FU52" t="e">
        <f>AND(#REF!,"AAAAAD/8/bA=")</f>
        <v>#REF!</v>
      </c>
      <c r="FV52" t="e">
        <f>AND(#REF!,"AAAAAD/8/bE=")</f>
        <v>#REF!</v>
      </c>
      <c r="FW52" t="e">
        <f>AND(#REF!,"AAAAAD/8/bI=")</f>
        <v>#REF!</v>
      </c>
      <c r="FX52" t="e">
        <f>AND(#REF!,"AAAAAD/8/bM=")</f>
        <v>#REF!</v>
      </c>
      <c r="FY52" t="e">
        <f>AND(#REF!,"AAAAAD/8/bQ=")</f>
        <v>#REF!</v>
      </c>
      <c r="FZ52" t="e">
        <f>AND(#REF!,"AAAAAD/8/bU=")</f>
        <v>#REF!</v>
      </c>
      <c r="GA52" t="e">
        <f>AND(#REF!,"AAAAAD/8/bY=")</f>
        <v>#REF!</v>
      </c>
      <c r="GB52" t="e">
        <f>AND(#REF!,"AAAAAD/8/bc=")</f>
        <v>#REF!</v>
      </c>
      <c r="GC52" t="e">
        <f>AND(#REF!,"AAAAAD/8/bg=")</f>
        <v>#REF!</v>
      </c>
      <c r="GD52" t="e">
        <f>AND(#REF!,"AAAAAD/8/bk=")</f>
        <v>#REF!</v>
      </c>
      <c r="GE52" t="e">
        <f>AND(#REF!,"AAAAAD/8/bo=")</f>
        <v>#REF!</v>
      </c>
      <c r="GF52" t="e">
        <f>AND(#REF!,"AAAAAD/8/bs=")</f>
        <v>#REF!</v>
      </c>
      <c r="GG52" t="e">
        <f>AND(#REF!,"AAAAAD/8/bw=")</f>
        <v>#REF!</v>
      </c>
      <c r="GH52" t="e">
        <f>AND(#REF!,"AAAAAD/8/b0=")</f>
        <v>#REF!</v>
      </c>
      <c r="GI52" t="e">
        <f>AND(#REF!,"AAAAAD/8/b4=")</f>
        <v>#REF!</v>
      </c>
      <c r="GJ52" t="e">
        <f>AND(#REF!,"AAAAAD/8/b8=")</f>
        <v>#REF!</v>
      </c>
      <c r="GK52" t="e">
        <f>AND(#REF!,"AAAAAD/8/cA=")</f>
        <v>#REF!</v>
      </c>
      <c r="GL52" t="e">
        <f>AND(#REF!,"AAAAAD/8/cE=")</f>
        <v>#REF!</v>
      </c>
      <c r="GM52" t="e">
        <f>AND(#REF!,"AAAAAD/8/cI=")</f>
        <v>#REF!</v>
      </c>
      <c r="GN52" t="e">
        <f>AND(#REF!,"AAAAAD/8/cM=")</f>
        <v>#REF!</v>
      </c>
      <c r="GO52" t="e">
        <f>AND(#REF!,"AAAAAD/8/cQ=")</f>
        <v>#REF!</v>
      </c>
      <c r="GP52" t="e">
        <f>AND(#REF!,"AAAAAD/8/cU=")</f>
        <v>#REF!</v>
      </c>
      <c r="GQ52" t="e">
        <f>AND(#REF!,"AAAAAD/8/cY=")</f>
        <v>#REF!</v>
      </c>
      <c r="GR52" t="e">
        <f>AND(#REF!,"AAAAAD/8/cc=")</f>
        <v>#REF!</v>
      </c>
      <c r="GS52" t="e">
        <f>AND(#REF!,"AAAAAD/8/cg=")</f>
        <v>#REF!</v>
      </c>
      <c r="GT52" t="e">
        <f>AND(#REF!,"AAAAAD/8/ck=")</f>
        <v>#REF!</v>
      </c>
      <c r="GU52" t="e">
        <f>AND(#REF!,"AAAAAD/8/co=")</f>
        <v>#REF!</v>
      </c>
      <c r="GV52" t="e">
        <f>AND(#REF!,"AAAAAD/8/cs=")</f>
        <v>#REF!</v>
      </c>
      <c r="GW52" t="e">
        <f>AND(#REF!,"AAAAAD/8/cw=")</f>
        <v>#REF!</v>
      </c>
      <c r="GX52" t="e">
        <f>AND(#REF!,"AAAAAD/8/c0=")</f>
        <v>#REF!</v>
      </c>
      <c r="GY52" t="e">
        <f>AND(#REF!,"AAAAAD/8/c4=")</f>
        <v>#REF!</v>
      </c>
      <c r="GZ52" t="e">
        <f>AND(#REF!,"AAAAAD/8/c8=")</f>
        <v>#REF!</v>
      </c>
      <c r="HA52" t="e">
        <f>IF(#REF!,"AAAAAD/8/dA=",0)</f>
        <v>#REF!</v>
      </c>
      <c r="HB52" t="e">
        <f>AND(#REF!,"AAAAAD/8/dE=")</f>
        <v>#REF!</v>
      </c>
      <c r="HC52" t="e">
        <f>AND(#REF!,"AAAAAD/8/dI=")</f>
        <v>#REF!</v>
      </c>
      <c r="HD52" t="e">
        <f>AND(#REF!,"AAAAAD/8/dM=")</f>
        <v>#REF!</v>
      </c>
      <c r="HE52" t="e">
        <f>AND(#REF!,"AAAAAD/8/dQ=")</f>
        <v>#REF!</v>
      </c>
      <c r="HF52" t="e">
        <f>AND(#REF!,"AAAAAD/8/dU=")</f>
        <v>#REF!</v>
      </c>
      <c r="HG52" t="e">
        <f>AND(#REF!,"AAAAAD/8/dY=")</f>
        <v>#REF!</v>
      </c>
      <c r="HH52" t="e">
        <f>AND(#REF!,"AAAAAD/8/dc=")</f>
        <v>#REF!</v>
      </c>
      <c r="HI52" t="e">
        <f>AND(#REF!,"AAAAAD/8/dg=")</f>
        <v>#REF!</v>
      </c>
      <c r="HJ52" t="e">
        <f>AND(#REF!,"AAAAAD/8/dk=")</f>
        <v>#REF!</v>
      </c>
      <c r="HK52" t="e">
        <f>AND(#REF!,"AAAAAD/8/do=")</f>
        <v>#REF!</v>
      </c>
      <c r="HL52" t="e">
        <f>AND(#REF!,"AAAAAD/8/ds=")</f>
        <v>#REF!</v>
      </c>
      <c r="HM52" t="e">
        <f>AND(#REF!,"AAAAAD/8/dw=")</f>
        <v>#REF!</v>
      </c>
      <c r="HN52" t="e">
        <f>AND(#REF!,"AAAAAD/8/d0=")</f>
        <v>#REF!</v>
      </c>
      <c r="HO52" t="e">
        <f>AND(#REF!,"AAAAAD/8/d4=")</f>
        <v>#REF!</v>
      </c>
      <c r="HP52" t="e">
        <f>AND(#REF!,"AAAAAD/8/d8=")</f>
        <v>#REF!</v>
      </c>
      <c r="HQ52" t="e">
        <f>AND(#REF!,"AAAAAD/8/eA=")</f>
        <v>#REF!</v>
      </c>
      <c r="HR52" t="e">
        <f>AND(#REF!,"AAAAAD/8/eE=")</f>
        <v>#REF!</v>
      </c>
      <c r="HS52" t="e">
        <f>AND(#REF!,"AAAAAD/8/eI=")</f>
        <v>#REF!</v>
      </c>
      <c r="HT52" t="e">
        <f>AND(#REF!,"AAAAAD/8/eM=")</f>
        <v>#REF!</v>
      </c>
      <c r="HU52" t="e">
        <f>AND(#REF!,"AAAAAD/8/eQ=")</f>
        <v>#REF!</v>
      </c>
      <c r="HV52" t="e">
        <f>AND(#REF!,"AAAAAD/8/eU=")</f>
        <v>#REF!</v>
      </c>
      <c r="HW52" t="e">
        <f>AND(#REF!,"AAAAAD/8/eY=")</f>
        <v>#REF!</v>
      </c>
      <c r="HX52" t="e">
        <f>AND(#REF!,"AAAAAD/8/ec=")</f>
        <v>#REF!</v>
      </c>
      <c r="HY52" t="e">
        <f>AND(#REF!,"AAAAAD/8/eg=")</f>
        <v>#REF!</v>
      </c>
      <c r="HZ52" t="e">
        <f>AND(#REF!,"AAAAAD/8/ek=")</f>
        <v>#REF!</v>
      </c>
      <c r="IA52" t="e">
        <f>AND(#REF!,"AAAAAD/8/eo=")</f>
        <v>#REF!</v>
      </c>
      <c r="IB52" t="e">
        <f>AND(#REF!,"AAAAAD/8/es=")</f>
        <v>#REF!</v>
      </c>
      <c r="IC52" t="e">
        <f>AND(#REF!,"AAAAAD/8/ew=")</f>
        <v>#REF!</v>
      </c>
      <c r="ID52" t="e">
        <f>AND(#REF!,"AAAAAD/8/e0=")</f>
        <v>#REF!</v>
      </c>
      <c r="IE52" t="e">
        <f>AND(#REF!,"AAAAAD/8/e4=")</f>
        <v>#REF!</v>
      </c>
      <c r="IF52" t="e">
        <f>AND(#REF!,"AAAAAD/8/e8=")</f>
        <v>#REF!</v>
      </c>
      <c r="IG52" t="e">
        <f>AND(#REF!,"AAAAAD/8/fA=")</f>
        <v>#REF!</v>
      </c>
      <c r="IH52" t="e">
        <f>AND(#REF!,"AAAAAD/8/fE=")</f>
        <v>#REF!</v>
      </c>
      <c r="II52" t="e">
        <f>AND(#REF!,"AAAAAD/8/fI=")</f>
        <v>#REF!</v>
      </c>
      <c r="IJ52" t="e">
        <f>AND(#REF!,"AAAAAD/8/fM=")</f>
        <v>#REF!</v>
      </c>
      <c r="IK52" t="e">
        <f>IF(#REF!,"AAAAAD/8/fQ=",0)</f>
        <v>#REF!</v>
      </c>
      <c r="IL52" t="e">
        <f>AND(#REF!,"AAAAAD/8/fU=")</f>
        <v>#REF!</v>
      </c>
      <c r="IM52" t="e">
        <f>AND(#REF!,"AAAAAD/8/fY=")</f>
        <v>#REF!</v>
      </c>
      <c r="IN52" t="e">
        <f>AND(#REF!,"AAAAAD/8/fc=")</f>
        <v>#REF!</v>
      </c>
      <c r="IO52" t="e">
        <f>AND(#REF!,"AAAAAD/8/fg=")</f>
        <v>#REF!</v>
      </c>
      <c r="IP52" t="e">
        <f>AND(#REF!,"AAAAAD/8/fk=")</f>
        <v>#REF!</v>
      </c>
      <c r="IQ52" t="e">
        <f>AND(#REF!,"AAAAAD/8/fo=")</f>
        <v>#REF!</v>
      </c>
      <c r="IR52" t="e">
        <f>AND(#REF!,"AAAAAD/8/fs=")</f>
        <v>#REF!</v>
      </c>
      <c r="IS52" t="e">
        <f>AND(#REF!,"AAAAAD/8/fw=")</f>
        <v>#REF!</v>
      </c>
      <c r="IT52" t="e">
        <f>AND(#REF!,"AAAAAD/8/f0=")</f>
        <v>#REF!</v>
      </c>
      <c r="IU52" t="e">
        <f>AND(#REF!,"AAAAAD/8/f4=")</f>
        <v>#REF!</v>
      </c>
      <c r="IV52" t="e">
        <f>AND(#REF!,"AAAAAD/8/f8=")</f>
        <v>#REF!</v>
      </c>
    </row>
    <row r="53" spans="1:256">
      <c r="A53" t="e">
        <f>AND(#REF!,"AAAAAHyv3wA=")</f>
        <v>#REF!</v>
      </c>
      <c r="B53" t="e">
        <f>AND(#REF!,"AAAAAHyv3wE=")</f>
        <v>#REF!</v>
      </c>
      <c r="C53" t="e">
        <f>AND(#REF!,"AAAAAHyv3wI=")</f>
        <v>#REF!</v>
      </c>
      <c r="D53" t="e">
        <f>AND(#REF!,"AAAAAHyv3wM=")</f>
        <v>#REF!</v>
      </c>
      <c r="E53" t="e">
        <f>AND(#REF!,"AAAAAHyv3wQ=")</f>
        <v>#REF!</v>
      </c>
      <c r="F53" t="e">
        <f>AND(#REF!,"AAAAAHyv3wU=")</f>
        <v>#REF!</v>
      </c>
      <c r="G53" t="e">
        <f>AND(#REF!,"AAAAAHyv3wY=")</f>
        <v>#REF!</v>
      </c>
      <c r="H53" t="e">
        <f>AND(#REF!,"AAAAAHyv3wc=")</f>
        <v>#REF!</v>
      </c>
      <c r="I53" t="e">
        <f>AND(#REF!,"AAAAAHyv3wg=")</f>
        <v>#REF!</v>
      </c>
      <c r="J53" t="e">
        <f>AND(#REF!,"AAAAAHyv3wk=")</f>
        <v>#REF!</v>
      </c>
      <c r="K53" t="e">
        <f>AND(#REF!,"AAAAAHyv3wo=")</f>
        <v>#REF!</v>
      </c>
      <c r="L53" t="e">
        <f>AND(#REF!,"AAAAAHyv3ws=")</f>
        <v>#REF!</v>
      </c>
      <c r="M53" t="e">
        <f>AND(#REF!,"AAAAAHyv3ww=")</f>
        <v>#REF!</v>
      </c>
      <c r="N53" t="e">
        <f>AND(#REF!,"AAAAAHyv3w0=")</f>
        <v>#REF!</v>
      </c>
      <c r="O53" t="e">
        <f>AND(#REF!,"AAAAAHyv3w4=")</f>
        <v>#REF!</v>
      </c>
      <c r="P53" t="e">
        <f>AND(#REF!,"AAAAAHyv3w8=")</f>
        <v>#REF!</v>
      </c>
      <c r="Q53" t="e">
        <f>AND(#REF!,"AAAAAHyv3xA=")</f>
        <v>#REF!</v>
      </c>
      <c r="R53" t="e">
        <f>AND(#REF!,"AAAAAHyv3xE=")</f>
        <v>#REF!</v>
      </c>
      <c r="S53" t="e">
        <f>AND(#REF!,"AAAAAHyv3xI=")</f>
        <v>#REF!</v>
      </c>
      <c r="T53" t="e">
        <f>AND(#REF!,"AAAAAHyv3xM=")</f>
        <v>#REF!</v>
      </c>
      <c r="U53" t="e">
        <f>AND(#REF!,"AAAAAHyv3xQ=")</f>
        <v>#REF!</v>
      </c>
      <c r="V53" t="e">
        <f>AND(#REF!,"AAAAAHyv3xU=")</f>
        <v>#REF!</v>
      </c>
      <c r="W53" t="e">
        <f>AND(#REF!,"AAAAAHyv3xY=")</f>
        <v>#REF!</v>
      </c>
      <c r="X53" t="e">
        <f>AND(#REF!,"AAAAAHyv3xc=")</f>
        <v>#REF!</v>
      </c>
      <c r="Y53" t="e">
        <f>IF(#REF!,"AAAAAHyv3xg=",0)</f>
        <v>#REF!</v>
      </c>
      <c r="Z53" t="e">
        <f>AND(#REF!,"AAAAAHyv3xk=")</f>
        <v>#REF!</v>
      </c>
      <c r="AA53" t="e">
        <f>AND(#REF!,"AAAAAHyv3xo=")</f>
        <v>#REF!</v>
      </c>
      <c r="AB53" t="e">
        <f>AND(#REF!,"AAAAAHyv3xs=")</f>
        <v>#REF!</v>
      </c>
      <c r="AC53" t="e">
        <f>AND(#REF!,"AAAAAHyv3xw=")</f>
        <v>#REF!</v>
      </c>
      <c r="AD53" t="e">
        <f>AND(#REF!,"AAAAAHyv3x0=")</f>
        <v>#REF!</v>
      </c>
      <c r="AE53" t="e">
        <f>AND(#REF!,"AAAAAHyv3x4=")</f>
        <v>#REF!</v>
      </c>
      <c r="AF53" t="e">
        <f>AND(#REF!,"AAAAAHyv3x8=")</f>
        <v>#REF!</v>
      </c>
      <c r="AG53" t="e">
        <f>AND(#REF!,"AAAAAHyv3yA=")</f>
        <v>#REF!</v>
      </c>
      <c r="AH53" t="e">
        <f>AND(#REF!,"AAAAAHyv3yE=")</f>
        <v>#REF!</v>
      </c>
      <c r="AI53" t="e">
        <f>AND(#REF!,"AAAAAHyv3yI=")</f>
        <v>#REF!</v>
      </c>
      <c r="AJ53" t="e">
        <f>AND(#REF!,"AAAAAHyv3yM=")</f>
        <v>#REF!</v>
      </c>
      <c r="AK53" t="e">
        <f>AND(#REF!,"AAAAAHyv3yQ=")</f>
        <v>#REF!</v>
      </c>
      <c r="AL53" t="e">
        <f>AND(#REF!,"AAAAAHyv3yU=")</f>
        <v>#REF!</v>
      </c>
      <c r="AM53" t="e">
        <f>AND(#REF!,"AAAAAHyv3yY=")</f>
        <v>#REF!</v>
      </c>
      <c r="AN53" t="e">
        <f>AND(#REF!,"AAAAAHyv3yc=")</f>
        <v>#REF!</v>
      </c>
      <c r="AO53" t="e">
        <f>AND(#REF!,"AAAAAHyv3yg=")</f>
        <v>#REF!</v>
      </c>
      <c r="AP53" t="e">
        <f>AND(#REF!,"AAAAAHyv3yk=")</f>
        <v>#REF!</v>
      </c>
      <c r="AQ53" t="e">
        <f>AND(#REF!,"AAAAAHyv3yo=")</f>
        <v>#REF!</v>
      </c>
      <c r="AR53" t="e">
        <f>AND(#REF!,"AAAAAHyv3ys=")</f>
        <v>#REF!</v>
      </c>
      <c r="AS53" t="e">
        <f>AND(#REF!,"AAAAAHyv3yw=")</f>
        <v>#REF!</v>
      </c>
      <c r="AT53" t="e">
        <f>AND(#REF!,"AAAAAHyv3y0=")</f>
        <v>#REF!</v>
      </c>
      <c r="AU53" t="e">
        <f>AND(#REF!,"AAAAAHyv3y4=")</f>
        <v>#REF!</v>
      </c>
      <c r="AV53" t="e">
        <f>AND(#REF!,"AAAAAHyv3y8=")</f>
        <v>#REF!</v>
      </c>
      <c r="AW53" t="e">
        <f>AND(#REF!,"AAAAAHyv3zA=")</f>
        <v>#REF!</v>
      </c>
      <c r="AX53" t="e">
        <f>AND(#REF!,"AAAAAHyv3zE=")</f>
        <v>#REF!</v>
      </c>
      <c r="AY53" t="e">
        <f>AND(#REF!,"AAAAAHyv3zI=")</f>
        <v>#REF!</v>
      </c>
      <c r="AZ53" t="e">
        <f>AND(#REF!,"AAAAAHyv3zM=")</f>
        <v>#REF!</v>
      </c>
      <c r="BA53" t="e">
        <f>AND(#REF!,"AAAAAHyv3zQ=")</f>
        <v>#REF!</v>
      </c>
      <c r="BB53" t="e">
        <f>AND(#REF!,"AAAAAHyv3zU=")</f>
        <v>#REF!</v>
      </c>
      <c r="BC53" t="e">
        <f>AND(#REF!,"AAAAAHyv3zY=")</f>
        <v>#REF!</v>
      </c>
      <c r="BD53" t="e">
        <f>AND(#REF!,"AAAAAHyv3zc=")</f>
        <v>#REF!</v>
      </c>
      <c r="BE53" t="e">
        <f>AND(#REF!,"AAAAAHyv3zg=")</f>
        <v>#REF!</v>
      </c>
      <c r="BF53" t="e">
        <f>AND(#REF!,"AAAAAHyv3zk=")</f>
        <v>#REF!</v>
      </c>
      <c r="BG53" t="e">
        <f>AND(#REF!,"AAAAAHyv3zo=")</f>
        <v>#REF!</v>
      </c>
      <c r="BH53" t="e">
        <f>AND(#REF!,"AAAAAHyv3zs=")</f>
        <v>#REF!</v>
      </c>
      <c r="BI53" t="e">
        <f>IF(#REF!,"AAAAAHyv3zw=",0)</f>
        <v>#REF!</v>
      </c>
      <c r="BJ53" t="e">
        <f>AND(#REF!,"AAAAAHyv3z0=")</f>
        <v>#REF!</v>
      </c>
      <c r="BK53" t="e">
        <f>AND(#REF!,"AAAAAHyv3z4=")</f>
        <v>#REF!</v>
      </c>
      <c r="BL53" t="e">
        <f>AND(#REF!,"AAAAAHyv3z8=")</f>
        <v>#REF!</v>
      </c>
      <c r="BM53" t="e">
        <f>AND(#REF!,"AAAAAHyv30A=")</f>
        <v>#REF!</v>
      </c>
      <c r="BN53" t="e">
        <f>AND(#REF!,"AAAAAHyv30E=")</f>
        <v>#REF!</v>
      </c>
      <c r="BO53" t="e">
        <f>AND(#REF!,"AAAAAHyv30I=")</f>
        <v>#REF!</v>
      </c>
      <c r="BP53" t="e">
        <f>AND(#REF!,"AAAAAHyv30M=")</f>
        <v>#REF!</v>
      </c>
      <c r="BQ53" t="e">
        <f>AND(#REF!,"AAAAAHyv30Q=")</f>
        <v>#REF!</v>
      </c>
      <c r="BR53" t="e">
        <f>AND(#REF!,"AAAAAHyv30U=")</f>
        <v>#REF!</v>
      </c>
      <c r="BS53" t="e">
        <f>AND(#REF!,"AAAAAHyv30Y=")</f>
        <v>#REF!</v>
      </c>
      <c r="BT53" t="e">
        <f>AND(#REF!,"AAAAAHyv30c=")</f>
        <v>#REF!</v>
      </c>
      <c r="BU53" t="e">
        <f>AND(#REF!,"AAAAAHyv30g=")</f>
        <v>#REF!</v>
      </c>
      <c r="BV53" t="e">
        <f>AND(#REF!,"AAAAAHyv30k=")</f>
        <v>#REF!</v>
      </c>
      <c r="BW53" t="e">
        <f>AND(#REF!,"AAAAAHyv30o=")</f>
        <v>#REF!</v>
      </c>
      <c r="BX53" t="e">
        <f>AND(#REF!,"AAAAAHyv30s=")</f>
        <v>#REF!</v>
      </c>
      <c r="BY53" t="e">
        <f>AND(#REF!,"AAAAAHyv30w=")</f>
        <v>#REF!</v>
      </c>
      <c r="BZ53" t="e">
        <f>AND(#REF!,"AAAAAHyv300=")</f>
        <v>#REF!</v>
      </c>
      <c r="CA53" t="e">
        <f>AND(#REF!,"AAAAAHyv304=")</f>
        <v>#REF!</v>
      </c>
      <c r="CB53" t="e">
        <f>AND(#REF!,"AAAAAHyv308=")</f>
        <v>#REF!</v>
      </c>
      <c r="CC53" t="e">
        <f>AND(#REF!,"AAAAAHyv31A=")</f>
        <v>#REF!</v>
      </c>
      <c r="CD53" t="e">
        <f>AND(#REF!,"AAAAAHyv31E=")</f>
        <v>#REF!</v>
      </c>
      <c r="CE53" t="e">
        <f>AND(#REF!,"AAAAAHyv31I=")</f>
        <v>#REF!</v>
      </c>
      <c r="CF53" t="e">
        <f>AND(#REF!,"AAAAAHyv31M=")</f>
        <v>#REF!</v>
      </c>
      <c r="CG53" t="e">
        <f>AND(#REF!,"AAAAAHyv31Q=")</f>
        <v>#REF!</v>
      </c>
      <c r="CH53" t="e">
        <f>AND(#REF!,"AAAAAHyv31U=")</f>
        <v>#REF!</v>
      </c>
      <c r="CI53" t="e">
        <f>AND(#REF!,"AAAAAHyv31Y=")</f>
        <v>#REF!</v>
      </c>
      <c r="CJ53" t="e">
        <f>AND(#REF!,"AAAAAHyv31c=")</f>
        <v>#REF!</v>
      </c>
      <c r="CK53" t="e">
        <f>AND(#REF!,"AAAAAHyv31g=")</f>
        <v>#REF!</v>
      </c>
      <c r="CL53" t="e">
        <f>AND(#REF!,"AAAAAHyv31k=")</f>
        <v>#REF!</v>
      </c>
      <c r="CM53" t="e">
        <f>AND(#REF!,"AAAAAHyv31o=")</f>
        <v>#REF!</v>
      </c>
      <c r="CN53" t="e">
        <f>AND(#REF!,"AAAAAHyv31s=")</f>
        <v>#REF!</v>
      </c>
      <c r="CO53" t="e">
        <f>AND(#REF!,"AAAAAHyv31w=")</f>
        <v>#REF!</v>
      </c>
      <c r="CP53" t="e">
        <f>AND(#REF!,"AAAAAHyv310=")</f>
        <v>#REF!</v>
      </c>
      <c r="CQ53" t="e">
        <f>AND(#REF!,"AAAAAHyv314=")</f>
        <v>#REF!</v>
      </c>
      <c r="CR53" t="e">
        <f>AND(#REF!,"AAAAAHyv318=")</f>
        <v>#REF!</v>
      </c>
      <c r="CS53" t="e">
        <f>IF(#REF!,"AAAAAHyv32A=",0)</f>
        <v>#REF!</v>
      </c>
      <c r="CT53" t="e">
        <f>AND(#REF!,"AAAAAHyv32E=")</f>
        <v>#REF!</v>
      </c>
      <c r="CU53" t="e">
        <f>AND(#REF!,"AAAAAHyv32I=")</f>
        <v>#REF!</v>
      </c>
      <c r="CV53" t="e">
        <f>AND(#REF!,"AAAAAHyv32M=")</f>
        <v>#REF!</v>
      </c>
      <c r="CW53" t="e">
        <f>AND(#REF!,"AAAAAHyv32Q=")</f>
        <v>#REF!</v>
      </c>
      <c r="CX53" t="e">
        <f>AND(#REF!,"AAAAAHyv32U=")</f>
        <v>#REF!</v>
      </c>
      <c r="CY53" t="e">
        <f>AND(#REF!,"AAAAAHyv32Y=")</f>
        <v>#REF!</v>
      </c>
      <c r="CZ53" t="e">
        <f>AND(#REF!,"AAAAAHyv32c=")</f>
        <v>#REF!</v>
      </c>
      <c r="DA53" t="e">
        <f>AND(#REF!,"AAAAAHyv32g=")</f>
        <v>#REF!</v>
      </c>
      <c r="DB53" t="e">
        <f>AND(#REF!,"AAAAAHyv32k=")</f>
        <v>#REF!</v>
      </c>
      <c r="DC53" t="e">
        <f>AND(#REF!,"AAAAAHyv32o=")</f>
        <v>#REF!</v>
      </c>
      <c r="DD53" t="e">
        <f>AND(#REF!,"AAAAAHyv32s=")</f>
        <v>#REF!</v>
      </c>
      <c r="DE53" t="e">
        <f>AND(#REF!,"AAAAAHyv32w=")</f>
        <v>#REF!</v>
      </c>
      <c r="DF53" t="e">
        <f>AND(#REF!,"AAAAAHyv320=")</f>
        <v>#REF!</v>
      </c>
      <c r="DG53" t="e">
        <f>AND(#REF!,"AAAAAHyv324=")</f>
        <v>#REF!</v>
      </c>
      <c r="DH53" t="e">
        <f>AND(#REF!,"AAAAAHyv328=")</f>
        <v>#REF!</v>
      </c>
      <c r="DI53" t="e">
        <f>AND(#REF!,"AAAAAHyv33A=")</f>
        <v>#REF!</v>
      </c>
      <c r="DJ53" t="e">
        <f>AND(#REF!,"AAAAAHyv33E=")</f>
        <v>#REF!</v>
      </c>
      <c r="DK53" t="e">
        <f>AND(#REF!,"AAAAAHyv33I=")</f>
        <v>#REF!</v>
      </c>
      <c r="DL53" t="e">
        <f>AND(#REF!,"AAAAAHyv33M=")</f>
        <v>#REF!</v>
      </c>
      <c r="DM53" t="e">
        <f>AND(#REF!,"AAAAAHyv33Q=")</f>
        <v>#REF!</v>
      </c>
      <c r="DN53" t="e">
        <f>AND(#REF!,"AAAAAHyv33U=")</f>
        <v>#REF!</v>
      </c>
      <c r="DO53" t="e">
        <f>AND(#REF!,"AAAAAHyv33Y=")</f>
        <v>#REF!</v>
      </c>
      <c r="DP53" t="e">
        <f>AND(#REF!,"AAAAAHyv33c=")</f>
        <v>#REF!</v>
      </c>
      <c r="DQ53" t="e">
        <f>AND(#REF!,"AAAAAHyv33g=")</f>
        <v>#REF!</v>
      </c>
      <c r="DR53" t="e">
        <f>AND(#REF!,"AAAAAHyv33k=")</f>
        <v>#REF!</v>
      </c>
      <c r="DS53" t="e">
        <f>AND(#REF!,"AAAAAHyv33o=")</f>
        <v>#REF!</v>
      </c>
      <c r="DT53" t="e">
        <f>AND(#REF!,"AAAAAHyv33s=")</f>
        <v>#REF!</v>
      </c>
      <c r="DU53" t="e">
        <f>AND(#REF!,"AAAAAHyv33w=")</f>
        <v>#REF!</v>
      </c>
      <c r="DV53" t="e">
        <f>AND(#REF!,"AAAAAHyv330=")</f>
        <v>#REF!</v>
      </c>
      <c r="DW53" t="e">
        <f>AND(#REF!,"AAAAAHyv334=")</f>
        <v>#REF!</v>
      </c>
      <c r="DX53" t="e">
        <f>AND(#REF!,"AAAAAHyv338=")</f>
        <v>#REF!</v>
      </c>
      <c r="DY53" t="e">
        <f>AND(#REF!,"AAAAAHyv34A=")</f>
        <v>#REF!</v>
      </c>
      <c r="DZ53" t="e">
        <f>AND(#REF!,"AAAAAHyv34E=")</f>
        <v>#REF!</v>
      </c>
      <c r="EA53" t="e">
        <f>AND(#REF!,"AAAAAHyv34I=")</f>
        <v>#REF!</v>
      </c>
      <c r="EB53" t="e">
        <f>AND(#REF!,"AAAAAHyv34M=")</f>
        <v>#REF!</v>
      </c>
      <c r="EC53" t="e">
        <f>IF(#REF!,"AAAAAHyv34Q=",0)</f>
        <v>#REF!</v>
      </c>
      <c r="ED53" t="e">
        <f>AND(#REF!,"AAAAAHyv34U=")</f>
        <v>#REF!</v>
      </c>
      <c r="EE53" t="e">
        <f>AND(#REF!,"AAAAAHyv34Y=")</f>
        <v>#REF!</v>
      </c>
      <c r="EF53" t="e">
        <f>AND(#REF!,"AAAAAHyv34c=")</f>
        <v>#REF!</v>
      </c>
      <c r="EG53" t="e">
        <f>AND(#REF!,"AAAAAHyv34g=")</f>
        <v>#REF!</v>
      </c>
      <c r="EH53" t="e">
        <f>AND(#REF!,"AAAAAHyv34k=")</f>
        <v>#REF!</v>
      </c>
      <c r="EI53" t="e">
        <f>AND(#REF!,"AAAAAHyv34o=")</f>
        <v>#REF!</v>
      </c>
      <c r="EJ53" t="e">
        <f>AND(#REF!,"AAAAAHyv34s=")</f>
        <v>#REF!</v>
      </c>
      <c r="EK53" t="e">
        <f>AND(#REF!,"AAAAAHyv34w=")</f>
        <v>#REF!</v>
      </c>
      <c r="EL53" t="e">
        <f>AND(#REF!,"AAAAAHyv340=")</f>
        <v>#REF!</v>
      </c>
      <c r="EM53" t="e">
        <f>AND(#REF!,"AAAAAHyv344=")</f>
        <v>#REF!</v>
      </c>
      <c r="EN53" t="e">
        <f>AND(#REF!,"AAAAAHyv348=")</f>
        <v>#REF!</v>
      </c>
      <c r="EO53" t="e">
        <f>AND(#REF!,"AAAAAHyv35A=")</f>
        <v>#REF!</v>
      </c>
      <c r="EP53" t="e">
        <f>AND(#REF!,"AAAAAHyv35E=")</f>
        <v>#REF!</v>
      </c>
      <c r="EQ53" t="e">
        <f>AND(#REF!,"AAAAAHyv35I=")</f>
        <v>#REF!</v>
      </c>
      <c r="ER53" t="e">
        <f>AND(#REF!,"AAAAAHyv35M=")</f>
        <v>#REF!</v>
      </c>
      <c r="ES53" t="e">
        <f>AND(#REF!,"AAAAAHyv35Q=")</f>
        <v>#REF!</v>
      </c>
      <c r="ET53" t="e">
        <f>AND(#REF!,"AAAAAHyv35U=")</f>
        <v>#REF!</v>
      </c>
      <c r="EU53" t="e">
        <f>AND(#REF!,"AAAAAHyv35Y=")</f>
        <v>#REF!</v>
      </c>
      <c r="EV53" t="e">
        <f>AND(#REF!,"AAAAAHyv35c=")</f>
        <v>#REF!</v>
      </c>
      <c r="EW53" t="e">
        <f>AND(#REF!,"AAAAAHyv35g=")</f>
        <v>#REF!</v>
      </c>
      <c r="EX53" t="e">
        <f>AND(#REF!,"AAAAAHyv35k=")</f>
        <v>#REF!</v>
      </c>
      <c r="EY53" t="e">
        <f>AND(#REF!,"AAAAAHyv35o=")</f>
        <v>#REF!</v>
      </c>
      <c r="EZ53" t="e">
        <f>AND(#REF!,"AAAAAHyv35s=")</f>
        <v>#REF!</v>
      </c>
      <c r="FA53" t="e">
        <f>AND(#REF!,"AAAAAHyv35w=")</f>
        <v>#REF!</v>
      </c>
      <c r="FB53" t="e">
        <f>AND(#REF!,"AAAAAHyv350=")</f>
        <v>#REF!</v>
      </c>
      <c r="FC53" t="e">
        <f>AND(#REF!,"AAAAAHyv354=")</f>
        <v>#REF!</v>
      </c>
      <c r="FD53" t="e">
        <f>AND(#REF!,"AAAAAHyv358=")</f>
        <v>#REF!</v>
      </c>
      <c r="FE53" t="e">
        <f>AND(#REF!,"AAAAAHyv36A=")</f>
        <v>#REF!</v>
      </c>
      <c r="FF53" t="e">
        <f>AND(#REF!,"AAAAAHyv36E=")</f>
        <v>#REF!</v>
      </c>
      <c r="FG53" t="e">
        <f>AND(#REF!,"AAAAAHyv36I=")</f>
        <v>#REF!</v>
      </c>
      <c r="FH53" t="e">
        <f>AND(#REF!,"AAAAAHyv36M=")</f>
        <v>#REF!</v>
      </c>
      <c r="FI53" t="e">
        <f>AND(#REF!,"AAAAAHyv36Q=")</f>
        <v>#REF!</v>
      </c>
      <c r="FJ53" t="e">
        <f>AND(#REF!,"AAAAAHyv36U=")</f>
        <v>#REF!</v>
      </c>
      <c r="FK53" t="e">
        <f>AND(#REF!,"AAAAAHyv36Y=")</f>
        <v>#REF!</v>
      </c>
      <c r="FL53" t="e">
        <f>AND(#REF!,"AAAAAHyv36c=")</f>
        <v>#REF!</v>
      </c>
      <c r="FM53" t="e">
        <f>IF(#REF!,"AAAAAHyv36g=",0)</f>
        <v>#REF!</v>
      </c>
      <c r="FN53" t="e">
        <f>AND(#REF!,"AAAAAHyv36k=")</f>
        <v>#REF!</v>
      </c>
      <c r="FO53" t="e">
        <f>AND(#REF!,"AAAAAHyv36o=")</f>
        <v>#REF!</v>
      </c>
      <c r="FP53" t="e">
        <f>AND(#REF!,"AAAAAHyv36s=")</f>
        <v>#REF!</v>
      </c>
      <c r="FQ53" t="e">
        <f>AND(#REF!,"AAAAAHyv36w=")</f>
        <v>#REF!</v>
      </c>
      <c r="FR53" t="e">
        <f>AND(#REF!,"AAAAAHyv360=")</f>
        <v>#REF!</v>
      </c>
      <c r="FS53" t="e">
        <f>AND(#REF!,"AAAAAHyv364=")</f>
        <v>#REF!</v>
      </c>
      <c r="FT53" t="e">
        <f>AND(#REF!,"AAAAAHyv368=")</f>
        <v>#REF!</v>
      </c>
      <c r="FU53" t="e">
        <f>AND(#REF!,"AAAAAHyv37A=")</f>
        <v>#REF!</v>
      </c>
      <c r="FV53" t="e">
        <f>AND(#REF!,"AAAAAHyv37E=")</f>
        <v>#REF!</v>
      </c>
      <c r="FW53" t="e">
        <f>AND(#REF!,"AAAAAHyv37I=")</f>
        <v>#REF!</v>
      </c>
      <c r="FX53" t="e">
        <f>AND(#REF!,"AAAAAHyv37M=")</f>
        <v>#REF!</v>
      </c>
      <c r="FY53" t="e">
        <f>AND(#REF!,"AAAAAHyv37Q=")</f>
        <v>#REF!</v>
      </c>
      <c r="FZ53" t="e">
        <f>AND(#REF!,"AAAAAHyv37U=")</f>
        <v>#REF!</v>
      </c>
      <c r="GA53" t="e">
        <f>AND(#REF!,"AAAAAHyv37Y=")</f>
        <v>#REF!</v>
      </c>
      <c r="GB53" t="e">
        <f>AND(#REF!,"AAAAAHyv37c=")</f>
        <v>#REF!</v>
      </c>
      <c r="GC53" t="e">
        <f>AND(#REF!,"AAAAAHyv37g=")</f>
        <v>#REF!</v>
      </c>
      <c r="GD53" t="e">
        <f>AND(#REF!,"AAAAAHyv37k=")</f>
        <v>#REF!</v>
      </c>
      <c r="GE53" t="e">
        <f>AND(#REF!,"AAAAAHyv37o=")</f>
        <v>#REF!</v>
      </c>
      <c r="GF53" t="e">
        <f>AND(#REF!,"AAAAAHyv37s=")</f>
        <v>#REF!</v>
      </c>
      <c r="GG53" t="e">
        <f>AND(#REF!,"AAAAAHyv37w=")</f>
        <v>#REF!</v>
      </c>
      <c r="GH53" t="e">
        <f>AND(#REF!,"AAAAAHyv370=")</f>
        <v>#REF!</v>
      </c>
      <c r="GI53" t="e">
        <f>AND(#REF!,"AAAAAHyv374=")</f>
        <v>#REF!</v>
      </c>
      <c r="GJ53" t="e">
        <f>AND(#REF!,"AAAAAHyv378=")</f>
        <v>#REF!</v>
      </c>
      <c r="GK53" t="e">
        <f>AND(#REF!,"AAAAAHyv38A=")</f>
        <v>#REF!</v>
      </c>
      <c r="GL53" t="e">
        <f>AND(#REF!,"AAAAAHyv38E=")</f>
        <v>#REF!</v>
      </c>
      <c r="GM53" t="e">
        <f>AND(#REF!,"AAAAAHyv38I=")</f>
        <v>#REF!</v>
      </c>
      <c r="GN53" t="e">
        <f>AND(#REF!,"AAAAAHyv38M=")</f>
        <v>#REF!</v>
      </c>
      <c r="GO53" t="e">
        <f>AND(#REF!,"AAAAAHyv38Q=")</f>
        <v>#REF!</v>
      </c>
      <c r="GP53" t="e">
        <f>AND(#REF!,"AAAAAHyv38U=")</f>
        <v>#REF!</v>
      </c>
      <c r="GQ53" t="e">
        <f>AND(#REF!,"AAAAAHyv38Y=")</f>
        <v>#REF!</v>
      </c>
      <c r="GR53" t="e">
        <f>AND(#REF!,"AAAAAHyv38c=")</f>
        <v>#REF!</v>
      </c>
      <c r="GS53" t="e">
        <f>AND(#REF!,"AAAAAHyv38g=")</f>
        <v>#REF!</v>
      </c>
      <c r="GT53" t="e">
        <f>AND(#REF!,"AAAAAHyv38k=")</f>
        <v>#REF!</v>
      </c>
      <c r="GU53" t="e">
        <f>AND(#REF!,"AAAAAHyv38o=")</f>
        <v>#REF!</v>
      </c>
      <c r="GV53" t="e">
        <f>AND(#REF!,"AAAAAHyv38s=")</f>
        <v>#REF!</v>
      </c>
      <c r="GW53" t="e">
        <f>IF(#REF!,"AAAAAHyv38w=",0)</f>
        <v>#REF!</v>
      </c>
      <c r="GX53" t="e">
        <f>AND(#REF!,"AAAAAHyv380=")</f>
        <v>#REF!</v>
      </c>
      <c r="GY53" t="e">
        <f>AND(#REF!,"AAAAAHyv384=")</f>
        <v>#REF!</v>
      </c>
      <c r="GZ53" t="e">
        <f>AND(#REF!,"AAAAAHyv388=")</f>
        <v>#REF!</v>
      </c>
      <c r="HA53" t="e">
        <f>AND(#REF!,"AAAAAHyv39A=")</f>
        <v>#REF!</v>
      </c>
      <c r="HB53" t="e">
        <f>AND(#REF!,"AAAAAHyv39E=")</f>
        <v>#REF!</v>
      </c>
      <c r="HC53" t="e">
        <f>AND(#REF!,"AAAAAHyv39I=")</f>
        <v>#REF!</v>
      </c>
      <c r="HD53" t="e">
        <f>AND(#REF!,"AAAAAHyv39M=")</f>
        <v>#REF!</v>
      </c>
      <c r="HE53" t="e">
        <f>AND(#REF!,"AAAAAHyv39Q=")</f>
        <v>#REF!</v>
      </c>
      <c r="HF53" t="e">
        <f>AND(#REF!,"AAAAAHyv39U=")</f>
        <v>#REF!</v>
      </c>
      <c r="HG53" t="e">
        <f>AND(#REF!,"AAAAAHyv39Y=")</f>
        <v>#REF!</v>
      </c>
      <c r="HH53" t="e">
        <f>AND(#REF!,"AAAAAHyv39c=")</f>
        <v>#REF!</v>
      </c>
      <c r="HI53" t="e">
        <f>AND(#REF!,"AAAAAHyv39g=")</f>
        <v>#REF!</v>
      </c>
      <c r="HJ53" t="e">
        <f>AND(#REF!,"AAAAAHyv39k=")</f>
        <v>#REF!</v>
      </c>
      <c r="HK53" t="e">
        <f>AND(#REF!,"AAAAAHyv39o=")</f>
        <v>#REF!</v>
      </c>
      <c r="HL53" t="e">
        <f>AND(#REF!,"AAAAAHyv39s=")</f>
        <v>#REF!</v>
      </c>
      <c r="HM53" t="e">
        <f>AND(#REF!,"AAAAAHyv39w=")</f>
        <v>#REF!</v>
      </c>
      <c r="HN53" t="e">
        <f>AND(#REF!,"AAAAAHyv390=")</f>
        <v>#REF!</v>
      </c>
      <c r="HO53" t="e">
        <f>AND(#REF!,"AAAAAHyv394=")</f>
        <v>#REF!</v>
      </c>
      <c r="HP53" t="e">
        <f>AND(#REF!,"AAAAAHyv398=")</f>
        <v>#REF!</v>
      </c>
      <c r="HQ53" t="e">
        <f>AND(#REF!,"AAAAAHyv3+A=")</f>
        <v>#REF!</v>
      </c>
      <c r="HR53" t="e">
        <f>AND(#REF!,"AAAAAHyv3+E=")</f>
        <v>#REF!</v>
      </c>
      <c r="HS53" t="e">
        <f>AND(#REF!,"AAAAAHyv3+I=")</f>
        <v>#REF!</v>
      </c>
      <c r="HT53" t="e">
        <f>AND(#REF!,"AAAAAHyv3+M=")</f>
        <v>#REF!</v>
      </c>
      <c r="HU53" t="e">
        <f>AND(#REF!,"AAAAAHyv3+Q=")</f>
        <v>#REF!</v>
      </c>
      <c r="HV53" t="e">
        <f>AND(#REF!,"AAAAAHyv3+U=")</f>
        <v>#REF!</v>
      </c>
      <c r="HW53" t="e">
        <f>AND(#REF!,"AAAAAHyv3+Y=")</f>
        <v>#REF!</v>
      </c>
      <c r="HX53" t="e">
        <f>AND(#REF!,"AAAAAHyv3+c=")</f>
        <v>#REF!</v>
      </c>
      <c r="HY53" t="e">
        <f>AND(#REF!,"AAAAAHyv3+g=")</f>
        <v>#REF!</v>
      </c>
      <c r="HZ53" t="e">
        <f>AND(#REF!,"AAAAAHyv3+k=")</f>
        <v>#REF!</v>
      </c>
      <c r="IA53" t="e">
        <f>AND(#REF!,"AAAAAHyv3+o=")</f>
        <v>#REF!</v>
      </c>
      <c r="IB53" t="e">
        <f>AND(#REF!,"AAAAAHyv3+s=")</f>
        <v>#REF!</v>
      </c>
      <c r="IC53" t="e">
        <f>AND(#REF!,"AAAAAHyv3+w=")</f>
        <v>#REF!</v>
      </c>
      <c r="ID53" t="e">
        <f>AND(#REF!,"AAAAAHyv3+0=")</f>
        <v>#REF!</v>
      </c>
      <c r="IE53" t="e">
        <f>AND(#REF!,"AAAAAHyv3+4=")</f>
        <v>#REF!</v>
      </c>
      <c r="IF53" t="e">
        <f>AND(#REF!,"AAAAAHyv3+8=")</f>
        <v>#REF!</v>
      </c>
      <c r="IG53" t="e">
        <f>IF(#REF!,"AAAAAHyv3/A=",0)</f>
        <v>#REF!</v>
      </c>
      <c r="IH53" t="e">
        <f>AND(#REF!,"AAAAAHyv3/E=")</f>
        <v>#REF!</v>
      </c>
      <c r="II53" t="e">
        <f>AND(#REF!,"AAAAAHyv3/I=")</f>
        <v>#REF!</v>
      </c>
      <c r="IJ53" t="e">
        <f>AND(#REF!,"AAAAAHyv3/M=")</f>
        <v>#REF!</v>
      </c>
      <c r="IK53" t="e">
        <f>AND(#REF!,"AAAAAHyv3/Q=")</f>
        <v>#REF!</v>
      </c>
      <c r="IL53" t="e">
        <f>AND(#REF!,"AAAAAHyv3/U=")</f>
        <v>#REF!</v>
      </c>
      <c r="IM53" t="e">
        <f>AND(#REF!,"AAAAAHyv3/Y=")</f>
        <v>#REF!</v>
      </c>
      <c r="IN53" t="e">
        <f>AND(#REF!,"AAAAAHyv3/c=")</f>
        <v>#REF!</v>
      </c>
      <c r="IO53" t="e">
        <f>AND(#REF!,"AAAAAHyv3/g=")</f>
        <v>#REF!</v>
      </c>
      <c r="IP53" t="e">
        <f>AND(#REF!,"AAAAAHyv3/k=")</f>
        <v>#REF!</v>
      </c>
      <c r="IQ53" t="e">
        <f>AND(#REF!,"AAAAAHyv3/o=")</f>
        <v>#REF!</v>
      </c>
      <c r="IR53" t="e">
        <f>AND(#REF!,"AAAAAHyv3/s=")</f>
        <v>#REF!</v>
      </c>
      <c r="IS53" t="e">
        <f>AND(#REF!,"AAAAAHyv3/w=")</f>
        <v>#REF!</v>
      </c>
      <c r="IT53" t="e">
        <f>AND(#REF!,"AAAAAHyv3/0=")</f>
        <v>#REF!</v>
      </c>
      <c r="IU53" t="e">
        <f>AND(#REF!,"AAAAAHyv3/4=")</f>
        <v>#REF!</v>
      </c>
      <c r="IV53" t="e">
        <f>AND(#REF!,"AAAAAHyv3/8=")</f>
        <v>#REF!</v>
      </c>
    </row>
    <row r="54" spans="1:256">
      <c r="A54" t="e">
        <f>AND(#REF!,"AAAAAHuOdQA=")</f>
        <v>#REF!</v>
      </c>
      <c r="B54" t="e">
        <f>AND(#REF!,"AAAAAHuOdQE=")</f>
        <v>#REF!</v>
      </c>
      <c r="C54" t="e">
        <f>AND(#REF!,"AAAAAHuOdQI=")</f>
        <v>#REF!</v>
      </c>
      <c r="D54" t="e">
        <f>AND(#REF!,"AAAAAHuOdQM=")</f>
        <v>#REF!</v>
      </c>
      <c r="E54" t="e">
        <f>AND(#REF!,"AAAAAHuOdQQ=")</f>
        <v>#REF!</v>
      </c>
      <c r="F54" t="e">
        <f>AND(#REF!,"AAAAAHuOdQU=")</f>
        <v>#REF!</v>
      </c>
      <c r="G54" t="e">
        <f>AND(#REF!,"AAAAAHuOdQY=")</f>
        <v>#REF!</v>
      </c>
      <c r="H54" t="e">
        <f>AND(#REF!,"AAAAAHuOdQc=")</f>
        <v>#REF!</v>
      </c>
      <c r="I54" t="e">
        <f>AND(#REF!,"AAAAAHuOdQg=")</f>
        <v>#REF!</v>
      </c>
      <c r="J54" t="e">
        <f>AND(#REF!,"AAAAAHuOdQk=")</f>
        <v>#REF!</v>
      </c>
      <c r="K54" t="e">
        <f>AND(#REF!,"AAAAAHuOdQo=")</f>
        <v>#REF!</v>
      </c>
      <c r="L54" t="e">
        <f>AND(#REF!,"AAAAAHuOdQs=")</f>
        <v>#REF!</v>
      </c>
      <c r="M54" t="e">
        <f>AND(#REF!,"AAAAAHuOdQw=")</f>
        <v>#REF!</v>
      </c>
      <c r="N54" t="e">
        <f>AND(#REF!,"AAAAAHuOdQ0=")</f>
        <v>#REF!</v>
      </c>
      <c r="O54" t="e">
        <f>AND(#REF!,"AAAAAHuOdQ4=")</f>
        <v>#REF!</v>
      </c>
      <c r="P54" t="e">
        <f>AND(#REF!,"AAAAAHuOdQ8=")</f>
        <v>#REF!</v>
      </c>
      <c r="Q54" t="e">
        <f>AND(#REF!,"AAAAAHuOdRA=")</f>
        <v>#REF!</v>
      </c>
      <c r="R54" t="e">
        <f>AND(#REF!,"AAAAAHuOdRE=")</f>
        <v>#REF!</v>
      </c>
      <c r="S54" t="e">
        <f>AND(#REF!,"AAAAAHuOdRI=")</f>
        <v>#REF!</v>
      </c>
      <c r="T54" t="e">
        <f>AND(#REF!,"AAAAAHuOdRM=")</f>
        <v>#REF!</v>
      </c>
      <c r="U54" t="e">
        <f>IF(#REF!,"AAAAAHuOdRQ=",0)</f>
        <v>#REF!</v>
      </c>
      <c r="V54" t="e">
        <f>AND(#REF!,"AAAAAHuOdRU=")</f>
        <v>#REF!</v>
      </c>
      <c r="W54" t="e">
        <f>AND(#REF!,"AAAAAHuOdRY=")</f>
        <v>#REF!</v>
      </c>
      <c r="X54" t="e">
        <f>AND(#REF!,"AAAAAHuOdRc=")</f>
        <v>#REF!</v>
      </c>
      <c r="Y54" t="e">
        <f>AND(#REF!,"AAAAAHuOdRg=")</f>
        <v>#REF!</v>
      </c>
      <c r="Z54" t="e">
        <f>AND(#REF!,"AAAAAHuOdRk=")</f>
        <v>#REF!</v>
      </c>
      <c r="AA54" t="e">
        <f>AND(#REF!,"AAAAAHuOdRo=")</f>
        <v>#REF!</v>
      </c>
      <c r="AB54" t="e">
        <f>AND(#REF!,"AAAAAHuOdRs=")</f>
        <v>#REF!</v>
      </c>
      <c r="AC54" t="e">
        <f>AND(#REF!,"AAAAAHuOdRw=")</f>
        <v>#REF!</v>
      </c>
      <c r="AD54" t="e">
        <f>AND(#REF!,"AAAAAHuOdR0=")</f>
        <v>#REF!</v>
      </c>
      <c r="AE54" t="e">
        <f>AND(#REF!,"AAAAAHuOdR4=")</f>
        <v>#REF!</v>
      </c>
      <c r="AF54" t="e">
        <f>AND(#REF!,"AAAAAHuOdR8=")</f>
        <v>#REF!</v>
      </c>
      <c r="AG54" t="e">
        <f>AND(#REF!,"AAAAAHuOdSA=")</f>
        <v>#REF!</v>
      </c>
      <c r="AH54" t="e">
        <f>AND(#REF!,"AAAAAHuOdSE=")</f>
        <v>#REF!</v>
      </c>
      <c r="AI54" t="e">
        <f>AND(#REF!,"AAAAAHuOdSI=")</f>
        <v>#REF!</v>
      </c>
      <c r="AJ54" t="e">
        <f>AND(#REF!,"AAAAAHuOdSM=")</f>
        <v>#REF!</v>
      </c>
      <c r="AK54" t="e">
        <f>AND(#REF!,"AAAAAHuOdSQ=")</f>
        <v>#REF!</v>
      </c>
      <c r="AL54" t="e">
        <f>AND(#REF!,"AAAAAHuOdSU=")</f>
        <v>#REF!</v>
      </c>
      <c r="AM54" t="e">
        <f>AND(#REF!,"AAAAAHuOdSY=")</f>
        <v>#REF!</v>
      </c>
      <c r="AN54" t="e">
        <f>AND(#REF!,"AAAAAHuOdSc=")</f>
        <v>#REF!</v>
      </c>
      <c r="AO54" t="e">
        <f>AND(#REF!,"AAAAAHuOdSg=")</f>
        <v>#REF!</v>
      </c>
      <c r="AP54" t="e">
        <f>AND(#REF!,"AAAAAHuOdSk=")</f>
        <v>#REF!</v>
      </c>
      <c r="AQ54" t="e">
        <f>AND(#REF!,"AAAAAHuOdSo=")</f>
        <v>#REF!</v>
      </c>
      <c r="AR54" t="e">
        <f>AND(#REF!,"AAAAAHuOdSs=")</f>
        <v>#REF!</v>
      </c>
      <c r="AS54" t="e">
        <f>AND(#REF!,"AAAAAHuOdSw=")</f>
        <v>#REF!</v>
      </c>
      <c r="AT54" t="e">
        <f>AND(#REF!,"AAAAAHuOdS0=")</f>
        <v>#REF!</v>
      </c>
      <c r="AU54" t="e">
        <f>AND(#REF!,"AAAAAHuOdS4=")</f>
        <v>#REF!</v>
      </c>
      <c r="AV54" t="e">
        <f>AND(#REF!,"AAAAAHuOdS8=")</f>
        <v>#REF!</v>
      </c>
      <c r="AW54" t="e">
        <f>AND(#REF!,"AAAAAHuOdTA=")</f>
        <v>#REF!</v>
      </c>
      <c r="AX54" t="e">
        <f>AND(#REF!,"AAAAAHuOdTE=")</f>
        <v>#REF!</v>
      </c>
      <c r="AY54" t="e">
        <f>AND(#REF!,"AAAAAHuOdTI=")</f>
        <v>#REF!</v>
      </c>
      <c r="AZ54" t="e">
        <f>AND(#REF!,"AAAAAHuOdTM=")</f>
        <v>#REF!</v>
      </c>
      <c r="BA54" t="e">
        <f>AND(#REF!,"AAAAAHuOdTQ=")</f>
        <v>#REF!</v>
      </c>
      <c r="BB54" t="e">
        <f>AND(#REF!,"AAAAAHuOdTU=")</f>
        <v>#REF!</v>
      </c>
      <c r="BC54" t="e">
        <f>AND(#REF!,"AAAAAHuOdTY=")</f>
        <v>#REF!</v>
      </c>
      <c r="BD54" t="e">
        <f>AND(#REF!,"AAAAAHuOdTc=")</f>
        <v>#REF!</v>
      </c>
      <c r="BE54" t="e">
        <f>IF(#REF!,"AAAAAHuOdTg=",0)</f>
        <v>#REF!</v>
      </c>
      <c r="BF54" t="e">
        <f>AND(#REF!,"AAAAAHuOdTk=")</f>
        <v>#REF!</v>
      </c>
      <c r="BG54" t="e">
        <f>AND(#REF!,"AAAAAHuOdTo=")</f>
        <v>#REF!</v>
      </c>
      <c r="BH54" t="e">
        <f>AND(#REF!,"AAAAAHuOdTs=")</f>
        <v>#REF!</v>
      </c>
      <c r="BI54" t="e">
        <f>AND(#REF!,"AAAAAHuOdTw=")</f>
        <v>#REF!</v>
      </c>
      <c r="BJ54" t="e">
        <f>AND(#REF!,"AAAAAHuOdT0=")</f>
        <v>#REF!</v>
      </c>
      <c r="BK54" t="e">
        <f>AND(#REF!,"AAAAAHuOdT4=")</f>
        <v>#REF!</v>
      </c>
      <c r="BL54" t="e">
        <f>AND(#REF!,"AAAAAHuOdT8=")</f>
        <v>#REF!</v>
      </c>
      <c r="BM54" t="e">
        <f>AND(#REF!,"AAAAAHuOdUA=")</f>
        <v>#REF!</v>
      </c>
      <c r="BN54" t="e">
        <f>AND(#REF!,"AAAAAHuOdUE=")</f>
        <v>#REF!</v>
      </c>
      <c r="BO54" t="e">
        <f>AND(#REF!,"AAAAAHuOdUI=")</f>
        <v>#REF!</v>
      </c>
      <c r="BP54" t="e">
        <f>AND(#REF!,"AAAAAHuOdUM=")</f>
        <v>#REF!</v>
      </c>
      <c r="BQ54" t="e">
        <f>AND(#REF!,"AAAAAHuOdUQ=")</f>
        <v>#REF!</v>
      </c>
      <c r="BR54" t="e">
        <f>AND(#REF!,"AAAAAHuOdUU=")</f>
        <v>#REF!</v>
      </c>
      <c r="BS54" t="e">
        <f>AND(#REF!,"AAAAAHuOdUY=")</f>
        <v>#REF!</v>
      </c>
      <c r="BT54" t="e">
        <f>AND(#REF!,"AAAAAHuOdUc=")</f>
        <v>#REF!</v>
      </c>
      <c r="BU54" t="e">
        <f>AND(#REF!,"AAAAAHuOdUg=")</f>
        <v>#REF!</v>
      </c>
      <c r="BV54" t="e">
        <f>AND(#REF!,"AAAAAHuOdUk=")</f>
        <v>#REF!</v>
      </c>
      <c r="BW54" t="e">
        <f>AND(#REF!,"AAAAAHuOdUo=")</f>
        <v>#REF!</v>
      </c>
      <c r="BX54" t="e">
        <f>AND(#REF!,"AAAAAHuOdUs=")</f>
        <v>#REF!</v>
      </c>
      <c r="BY54" t="e">
        <f>AND(#REF!,"AAAAAHuOdUw=")</f>
        <v>#REF!</v>
      </c>
      <c r="BZ54" t="e">
        <f>AND(#REF!,"AAAAAHuOdU0=")</f>
        <v>#REF!</v>
      </c>
      <c r="CA54" t="e">
        <f>AND(#REF!,"AAAAAHuOdU4=")</f>
        <v>#REF!</v>
      </c>
      <c r="CB54" t="e">
        <f>AND(#REF!,"AAAAAHuOdU8=")</f>
        <v>#REF!</v>
      </c>
      <c r="CC54" t="e">
        <f>AND(#REF!,"AAAAAHuOdVA=")</f>
        <v>#REF!</v>
      </c>
      <c r="CD54" t="e">
        <f>AND(#REF!,"AAAAAHuOdVE=")</f>
        <v>#REF!</v>
      </c>
      <c r="CE54" t="e">
        <f>AND(#REF!,"AAAAAHuOdVI=")</f>
        <v>#REF!</v>
      </c>
      <c r="CF54" t="e">
        <f>AND(#REF!,"AAAAAHuOdVM=")</f>
        <v>#REF!</v>
      </c>
      <c r="CG54" t="e">
        <f>AND(#REF!,"AAAAAHuOdVQ=")</f>
        <v>#REF!</v>
      </c>
      <c r="CH54" t="e">
        <f>AND(#REF!,"AAAAAHuOdVU=")</f>
        <v>#REF!</v>
      </c>
      <c r="CI54" t="e">
        <f>AND(#REF!,"AAAAAHuOdVY=")</f>
        <v>#REF!</v>
      </c>
      <c r="CJ54" t="e">
        <f>AND(#REF!,"AAAAAHuOdVc=")</f>
        <v>#REF!</v>
      </c>
      <c r="CK54" t="e">
        <f>AND(#REF!,"AAAAAHuOdVg=")</f>
        <v>#REF!</v>
      </c>
      <c r="CL54" t="e">
        <f>AND(#REF!,"AAAAAHuOdVk=")</f>
        <v>#REF!</v>
      </c>
      <c r="CM54" t="e">
        <f>AND(#REF!,"AAAAAHuOdVo=")</f>
        <v>#REF!</v>
      </c>
      <c r="CN54" t="e">
        <f>AND(#REF!,"AAAAAHuOdVs=")</f>
        <v>#REF!</v>
      </c>
      <c r="CO54" t="e">
        <f>IF(#REF!,"AAAAAHuOdVw=",0)</f>
        <v>#REF!</v>
      </c>
      <c r="CP54" t="e">
        <f>AND(#REF!,"AAAAAHuOdV0=")</f>
        <v>#REF!</v>
      </c>
      <c r="CQ54" t="e">
        <f>AND(#REF!,"AAAAAHuOdV4=")</f>
        <v>#REF!</v>
      </c>
      <c r="CR54" t="e">
        <f>AND(#REF!,"AAAAAHuOdV8=")</f>
        <v>#REF!</v>
      </c>
      <c r="CS54" t="e">
        <f>AND(#REF!,"AAAAAHuOdWA=")</f>
        <v>#REF!</v>
      </c>
      <c r="CT54" t="e">
        <f>AND(#REF!,"AAAAAHuOdWE=")</f>
        <v>#REF!</v>
      </c>
      <c r="CU54" t="e">
        <f>AND(#REF!,"AAAAAHuOdWI=")</f>
        <v>#REF!</v>
      </c>
      <c r="CV54" t="e">
        <f>AND(#REF!,"AAAAAHuOdWM=")</f>
        <v>#REF!</v>
      </c>
      <c r="CW54" t="e">
        <f>AND(#REF!,"AAAAAHuOdWQ=")</f>
        <v>#REF!</v>
      </c>
      <c r="CX54" t="e">
        <f>AND(#REF!,"AAAAAHuOdWU=")</f>
        <v>#REF!</v>
      </c>
      <c r="CY54" t="e">
        <f>AND(#REF!,"AAAAAHuOdWY=")</f>
        <v>#REF!</v>
      </c>
      <c r="CZ54" t="e">
        <f>AND(#REF!,"AAAAAHuOdWc=")</f>
        <v>#REF!</v>
      </c>
      <c r="DA54" t="e">
        <f>AND(#REF!,"AAAAAHuOdWg=")</f>
        <v>#REF!</v>
      </c>
      <c r="DB54" t="e">
        <f>AND(#REF!,"AAAAAHuOdWk=")</f>
        <v>#REF!</v>
      </c>
      <c r="DC54" t="e">
        <f>AND(#REF!,"AAAAAHuOdWo=")</f>
        <v>#REF!</v>
      </c>
      <c r="DD54" t="e">
        <f>AND(#REF!,"AAAAAHuOdWs=")</f>
        <v>#REF!</v>
      </c>
      <c r="DE54" t="e">
        <f>AND(#REF!,"AAAAAHuOdWw=")</f>
        <v>#REF!</v>
      </c>
      <c r="DF54" t="e">
        <f>AND(#REF!,"AAAAAHuOdW0=")</f>
        <v>#REF!</v>
      </c>
      <c r="DG54" t="e">
        <f>AND(#REF!,"AAAAAHuOdW4=")</f>
        <v>#REF!</v>
      </c>
      <c r="DH54" t="e">
        <f>AND(#REF!,"AAAAAHuOdW8=")</f>
        <v>#REF!</v>
      </c>
      <c r="DI54" t="e">
        <f>AND(#REF!,"AAAAAHuOdXA=")</f>
        <v>#REF!</v>
      </c>
      <c r="DJ54" t="e">
        <f>AND(#REF!,"AAAAAHuOdXE=")</f>
        <v>#REF!</v>
      </c>
      <c r="DK54" t="e">
        <f>AND(#REF!,"AAAAAHuOdXI=")</f>
        <v>#REF!</v>
      </c>
      <c r="DL54" t="e">
        <f>AND(#REF!,"AAAAAHuOdXM=")</f>
        <v>#REF!</v>
      </c>
      <c r="DM54" t="e">
        <f>AND(#REF!,"AAAAAHuOdXQ=")</f>
        <v>#REF!</v>
      </c>
      <c r="DN54" t="e">
        <f>AND(#REF!,"AAAAAHuOdXU=")</f>
        <v>#REF!</v>
      </c>
      <c r="DO54" t="e">
        <f>AND(#REF!,"AAAAAHuOdXY=")</f>
        <v>#REF!</v>
      </c>
      <c r="DP54" t="e">
        <f>AND(#REF!,"AAAAAHuOdXc=")</f>
        <v>#REF!</v>
      </c>
      <c r="DQ54" t="e">
        <f>AND(#REF!,"AAAAAHuOdXg=")</f>
        <v>#REF!</v>
      </c>
      <c r="DR54" t="e">
        <f>AND(#REF!,"AAAAAHuOdXk=")</f>
        <v>#REF!</v>
      </c>
      <c r="DS54" t="e">
        <f>AND(#REF!,"AAAAAHuOdXo=")</f>
        <v>#REF!</v>
      </c>
      <c r="DT54" t="e">
        <f>AND(#REF!,"AAAAAHuOdXs=")</f>
        <v>#REF!</v>
      </c>
      <c r="DU54" t="e">
        <f>AND(#REF!,"AAAAAHuOdXw=")</f>
        <v>#REF!</v>
      </c>
      <c r="DV54" t="e">
        <f>AND(#REF!,"AAAAAHuOdX0=")</f>
        <v>#REF!</v>
      </c>
      <c r="DW54" t="e">
        <f>AND(#REF!,"AAAAAHuOdX4=")</f>
        <v>#REF!</v>
      </c>
      <c r="DX54" t="e">
        <f>AND(#REF!,"AAAAAHuOdX8=")</f>
        <v>#REF!</v>
      </c>
      <c r="DY54" t="e">
        <f>IF(#REF!,"AAAAAHuOdYA=",0)</f>
        <v>#REF!</v>
      </c>
      <c r="DZ54" t="e">
        <f>AND(#REF!,"AAAAAHuOdYE=")</f>
        <v>#REF!</v>
      </c>
      <c r="EA54" t="e">
        <f>AND(#REF!,"AAAAAHuOdYI=")</f>
        <v>#REF!</v>
      </c>
      <c r="EB54" t="e">
        <f>AND(#REF!,"AAAAAHuOdYM=")</f>
        <v>#REF!</v>
      </c>
      <c r="EC54" t="e">
        <f>AND(#REF!,"AAAAAHuOdYQ=")</f>
        <v>#REF!</v>
      </c>
      <c r="ED54" t="e">
        <f>AND(#REF!,"AAAAAHuOdYU=")</f>
        <v>#REF!</v>
      </c>
      <c r="EE54" t="e">
        <f>AND(#REF!,"AAAAAHuOdYY=")</f>
        <v>#REF!</v>
      </c>
      <c r="EF54" t="e">
        <f>AND(#REF!,"AAAAAHuOdYc=")</f>
        <v>#REF!</v>
      </c>
      <c r="EG54" t="e">
        <f>AND(#REF!,"AAAAAHuOdYg=")</f>
        <v>#REF!</v>
      </c>
      <c r="EH54" t="e">
        <f>AND(#REF!,"AAAAAHuOdYk=")</f>
        <v>#REF!</v>
      </c>
      <c r="EI54" t="e">
        <f>AND(#REF!,"AAAAAHuOdYo=")</f>
        <v>#REF!</v>
      </c>
      <c r="EJ54" t="e">
        <f>AND(#REF!,"AAAAAHuOdYs=")</f>
        <v>#REF!</v>
      </c>
      <c r="EK54" t="e">
        <f>AND(#REF!,"AAAAAHuOdYw=")</f>
        <v>#REF!</v>
      </c>
      <c r="EL54" t="e">
        <f>AND(#REF!,"AAAAAHuOdY0=")</f>
        <v>#REF!</v>
      </c>
      <c r="EM54" t="e">
        <f>AND(#REF!,"AAAAAHuOdY4=")</f>
        <v>#REF!</v>
      </c>
      <c r="EN54" t="e">
        <f>AND(#REF!,"AAAAAHuOdY8=")</f>
        <v>#REF!</v>
      </c>
      <c r="EO54" t="e">
        <f>AND(#REF!,"AAAAAHuOdZA=")</f>
        <v>#REF!</v>
      </c>
      <c r="EP54" t="e">
        <f>AND(#REF!,"AAAAAHuOdZE=")</f>
        <v>#REF!</v>
      </c>
      <c r="EQ54" t="e">
        <f>AND(#REF!,"AAAAAHuOdZI=")</f>
        <v>#REF!</v>
      </c>
      <c r="ER54" t="e">
        <f>AND(#REF!,"AAAAAHuOdZM=")</f>
        <v>#REF!</v>
      </c>
      <c r="ES54" t="e">
        <f>AND(#REF!,"AAAAAHuOdZQ=")</f>
        <v>#REF!</v>
      </c>
      <c r="ET54" t="e">
        <f>AND(#REF!,"AAAAAHuOdZU=")</f>
        <v>#REF!</v>
      </c>
      <c r="EU54" t="e">
        <f>AND(#REF!,"AAAAAHuOdZY=")</f>
        <v>#REF!</v>
      </c>
      <c r="EV54" t="e">
        <f>AND(#REF!,"AAAAAHuOdZc=")</f>
        <v>#REF!</v>
      </c>
      <c r="EW54" t="e">
        <f>AND(#REF!,"AAAAAHuOdZg=")</f>
        <v>#REF!</v>
      </c>
      <c r="EX54" t="e">
        <f>AND(#REF!,"AAAAAHuOdZk=")</f>
        <v>#REF!</v>
      </c>
      <c r="EY54" t="e">
        <f>AND(#REF!,"AAAAAHuOdZo=")</f>
        <v>#REF!</v>
      </c>
      <c r="EZ54" t="e">
        <f>AND(#REF!,"AAAAAHuOdZs=")</f>
        <v>#REF!</v>
      </c>
      <c r="FA54" t="e">
        <f>AND(#REF!,"AAAAAHuOdZw=")</f>
        <v>#REF!</v>
      </c>
      <c r="FB54" t="e">
        <f>AND(#REF!,"AAAAAHuOdZ0=")</f>
        <v>#REF!</v>
      </c>
      <c r="FC54" t="e">
        <f>AND(#REF!,"AAAAAHuOdZ4=")</f>
        <v>#REF!</v>
      </c>
      <c r="FD54" t="e">
        <f>AND(#REF!,"AAAAAHuOdZ8=")</f>
        <v>#REF!</v>
      </c>
      <c r="FE54" t="e">
        <f>AND(#REF!,"AAAAAHuOdaA=")</f>
        <v>#REF!</v>
      </c>
      <c r="FF54" t="e">
        <f>AND(#REF!,"AAAAAHuOdaE=")</f>
        <v>#REF!</v>
      </c>
      <c r="FG54" t="e">
        <f>AND(#REF!,"AAAAAHuOdaI=")</f>
        <v>#REF!</v>
      </c>
      <c r="FH54" t="e">
        <f>AND(#REF!,"AAAAAHuOdaM=")</f>
        <v>#REF!</v>
      </c>
      <c r="FI54" t="e">
        <f>IF(#REF!,"AAAAAHuOdaQ=",0)</f>
        <v>#REF!</v>
      </c>
      <c r="FJ54" t="e">
        <f>AND(#REF!,"AAAAAHuOdaU=")</f>
        <v>#REF!</v>
      </c>
      <c r="FK54" t="e">
        <f>AND(#REF!,"AAAAAHuOdaY=")</f>
        <v>#REF!</v>
      </c>
      <c r="FL54" t="e">
        <f>AND(#REF!,"AAAAAHuOdac=")</f>
        <v>#REF!</v>
      </c>
      <c r="FM54" t="e">
        <f>AND(#REF!,"AAAAAHuOdag=")</f>
        <v>#REF!</v>
      </c>
      <c r="FN54" t="e">
        <f>AND(#REF!,"AAAAAHuOdak=")</f>
        <v>#REF!</v>
      </c>
      <c r="FO54" t="e">
        <f>AND(#REF!,"AAAAAHuOdao=")</f>
        <v>#REF!</v>
      </c>
      <c r="FP54" t="e">
        <f>AND(#REF!,"AAAAAHuOdas=")</f>
        <v>#REF!</v>
      </c>
      <c r="FQ54" t="e">
        <f>AND(#REF!,"AAAAAHuOdaw=")</f>
        <v>#REF!</v>
      </c>
      <c r="FR54" t="e">
        <f>AND(#REF!,"AAAAAHuOda0=")</f>
        <v>#REF!</v>
      </c>
      <c r="FS54" t="e">
        <f>AND(#REF!,"AAAAAHuOda4=")</f>
        <v>#REF!</v>
      </c>
      <c r="FT54" t="e">
        <f>AND(#REF!,"AAAAAHuOda8=")</f>
        <v>#REF!</v>
      </c>
      <c r="FU54" t="e">
        <f>AND(#REF!,"AAAAAHuOdbA=")</f>
        <v>#REF!</v>
      </c>
      <c r="FV54" t="e">
        <f>AND(#REF!,"AAAAAHuOdbE=")</f>
        <v>#REF!</v>
      </c>
      <c r="FW54" t="e">
        <f>AND(#REF!,"AAAAAHuOdbI=")</f>
        <v>#REF!</v>
      </c>
      <c r="FX54" t="e">
        <f>AND(#REF!,"AAAAAHuOdbM=")</f>
        <v>#REF!</v>
      </c>
      <c r="FY54" t="e">
        <f>AND(#REF!,"AAAAAHuOdbQ=")</f>
        <v>#REF!</v>
      </c>
      <c r="FZ54" t="e">
        <f>AND(#REF!,"AAAAAHuOdbU=")</f>
        <v>#REF!</v>
      </c>
      <c r="GA54" t="e">
        <f>AND(#REF!,"AAAAAHuOdbY=")</f>
        <v>#REF!</v>
      </c>
      <c r="GB54" t="e">
        <f>AND(#REF!,"AAAAAHuOdbc=")</f>
        <v>#REF!</v>
      </c>
      <c r="GC54" t="e">
        <f>AND(#REF!,"AAAAAHuOdbg=")</f>
        <v>#REF!</v>
      </c>
      <c r="GD54" t="e">
        <f>AND(#REF!,"AAAAAHuOdbk=")</f>
        <v>#REF!</v>
      </c>
      <c r="GE54" t="e">
        <f>AND(#REF!,"AAAAAHuOdbo=")</f>
        <v>#REF!</v>
      </c>
      <c r="GF54" t="e">
        <f>AND(#REF!,"AAAAAHuOdbs=")</f>
        <v>#REF!</v>
      </c>
      <c r="GG54" t="e">
        <f>AND(#REF!,"AAAAAHuOdbw=")</f>
        <v>#REF!</v>
      </c>
      <c r="GH54" t="e">
        <f>AND(#REF!,"AAAAAHuOdb0=")</f>
        <v>#REF!</v>
      </c>
      <c r="GI54" t="e">
        <f>AND(#REF!,"AAAAAHuOdb4=")</f>
        <v>#REF!</v>
      </c>
      <c r="GJ54" t="e">
        <f>AND(#REF!,"AAAAAHuOdb8=")</f>
        <v>#REF!</v>
      </c>
      <c r="GK54" t="e">
        <f>AND(#REF!,"AAAAAHuOdcA=")</f>
        <v>#REF!</v>
      </c>
      <c r="GL54" t="e">
        <f>AND(#REF!,"AAAAAHuOdcE=")</f>
        <v>#REF!</v>
      </c>
      <c r="GM54" t="e">
        <f>AND(#REF!,"AAAAAHuOdcI=")</f>
        <v>#REF!</v>
      </c>
      <c r="GN54" t="e">
        <f>AND(#REF!,"AAAAAHuOdcM=")</f>
        <v>#REF!</v>
      </c>
      <c r="GO54" t="e">
        <f>AND(#REF!,"AAAAAHuOdcQ=")</f>
        <v>#REF!</v>
      </c>
      <c r="GP54" t="e">
        <f>AND(#REF!,"AAAAAHuOdcU=")</f>
        <v>#REF!</v>
      </c>
      <c r="GQ54" t="e">
        <f>AND(#REF!,"AAAAAHuOdcY=")</f>
        <v>#REF!</v>
      </c>
      <c r="GR54" t="e">
        <f>AND(#REF!,"AAAAAHuOdcc=")</f>
        <v>#REF!</v>
      </c>
      <c r="GS54" t="e">
        <f>IF(#REF!,"AAAAAHuOdcg=",0)</f>
        <v>#REF!</v>
      </c>
      <c r="GT54" t="e">
        <f>AND(#REF!,"AAAAAHuOdck=")</f>
        <v>#REF!</v>
      </c>
      <c r="GU54" t="e">
        <f>AND(#REF!,"AAAAAHuOdco=")</f>
        <v>#REF!</v>
      </c>
      <c r="GV54" t="e">
        <f>AND(#REF!,"AAAAAHuOdcs=")</f>
        <v>#REF!</v>
      </c>
      <c r="GW54" t="e">
        <f>AND(#REF!,"AAAAAHuOdcw=")</f>
        <v>#REF!</v>
      </c>
      <c r="GX54" t="e">
        <f>AND(#REF!,"AAAAAHuOdc0=")</f>
        <v>#REF!</v>
      </c>
      <c r="GY54" t="e">
        <f>AND(#REF!,"AAAAAHuOdc4=")</f>
        <v>#REF!</v>
      </c>
      <c r="GZ54" t="e">
        <f>AND(#REF!,"AAAAAHuOdc8=")</f>
        <v>#REF!</v>
      </c>
      <c r="HA54" t="e">
        <f>AND(#REF!,"AAAAAHuOddA=")</f>
        <v>#REF!</v>
      </c>
      <c r="HB54" t="e">
        <f>AND(#REF!,"AAAAAHuOddE=")</f>
        <v>#REF!</v>
      </c>
      <c r="HC54" t="e">
        <f>AND(#REF!,"AAAAAHuOddI=")</f>
        <v>#REF!</v>
      </c>
      <c r="HD54" t="e">
        <f>AND(#REF!,"AAAAAHuOddM=")</f>
        <v>#REF!</v>
      </c>
      <c r="HE54" t="e">
        <f>AND(#REF!,"AAAAAHuOddQ=")</f>
        <v>#REF!</v>
      </c>
      <c r="HF54" t="e">
        <f>AND(#REF!,"AAAAAHuOddU=")</f>
        <v>#REF!</v>
      </c>
      <c r="HG54" t="e">
        <f>AND(#REF!,"AAAAAHuOddY=")</f>
        <v>#REF!</v>
      </c>
      <c r="HH54" t="e">
        <f>AND(#REF!,"AAAAAHuOddc=")</f>
        <v>#REF!</v>
      </c>
      <c r="HI54" t="e">
        <f>AND(#REF!,"AAAAAHuOddg=")</f>
        <v>#REF!</v>
      </c>
      <c r="HJ54" t="e">
        <f>AND(#REF!,"AAAAAHuOddk=")</f>
        <v>#REF!</v>
      </c>
      <c r="HK54" t="e">
        <f>AND(#REF!,"AAAAAHuOddo=")</f>
        <v>#REF!</v>
      </c>
      <c r="HL54" t="e">
        <f>AND(#REF!,"AAAAAHuOdds=")</f>
        <v>#REF!</v>
      </c>
      <c r="HM54" t="e">
        <f>AND(#REF!,"AAAAAHuOddw=")</f>
        <v>#REF!</v>
      </c>
      <c r="HN54" t="e">
        <f>AND(#REF!,"AAAAAHuOdd0=")</f>
        <v>#REF!</v>
      </c>
      <c r="HO54" t="e">
        <f>AND(#REF!,"AAAAAHuOdd4=")</f>
        <v>#REF!</v>
      </c>
      <c r="HP54" t="e">
        <f>AND(#REF!,"AAAAAHuOdd8=")</f>
        <v>#REF!</v>
      </c>
      <c r="HQ54" t="e">
        <f>AND(#REF!,"AAAAAHuOdeA=")</f>
        <v>#REF!</v>
      </c>
      <c r="HR54" t="e">
        <f>AND(#REF!,"AAAAAHuOdeE=")</f>
        <v>#REF!</v>
      </c>
      <c r="HS54" t="e">
        <f>AND(#REF!,"AAAAAHuOdeI=")</f>
        <v>#REF!</v>
      </c>
      <c r="HT54" t="e">
        <f>AND(#REF!,"AAAAAHuOdeM=")</f>
        <v>#REF!</v>
      </c>
      <c r="HU54" t="e">
        <f>AND(#REF!,"AAAAAHuOdeQ=")</f>
        <v>#REF!</v>
      </c>
      <c r="HV54" t="e">
        <f>AND(#REF!,"AAAAAHuOdeU=")</f>
        <v>#REF!</v>
      </c>
      <c r="HW54" t="e">
        <f>AND(#REF!,"AAAAAHuOdeY=")</f>
        <v>#REF!</v>
      </c>
      <c r="HX54" t="e">
        <f>AND(#REF!,"AAAAAHuOdec=")</f>
        <v>#REF!</v>
      </c>
      <c r="HY54" t="e">
        <f>AND(#REF!,"AAAAAHuOdeg=")</f>
        <v>#REF!</v>
      </c>
      <c r="HZ54" t="e">
        <f>AND(#REF!,"AAAAAHuOdek=")</f>
        <v>#REF!</v>
      </c>
      <c r="IA54" t="e">
        <f>AND(#REF!,"AAAAAHuOdeo=")</f>
        <v>#REF!</v>
      </c>
      <c r="IB54" t="e">
        <f>AND(#REF!,"AAAAAHuOdes=")</f>
        <v>#REF!</v>
      </c>
      <c r="IC54" t="e">
        <f>IF(#REF!,"AAAAAHuOdew=",0)</f>
        <v>#REF!</v>
      </c>
      <c r="ID54" t="e">
        <f>AND(#REF!,"AAAAAHuOde0=")</f>
        <v>#REF!</v>
      </c>
      <c r="IE54" t="e">
        <f>AND(#REF!,"AAAAAHuOde4=")</f>
        <v>#REF!</v>
      </c>
      <c r="IF54" t="e">
        <f>AND(#REF!,"AAAAAHuOde8=")</f>
        <v>#REF!</v>
      </c>
      <c r="IG54" t="e">
        <f>AND(#REF!,"AAAAAHuOdfA=")</f>
        <v>#REF!</v>
      </c>
      <c r="IH54" t="e">
        <f>AND(#REF!,"AAAAAHuOdfE=")</f>
        <v>#REF!</v>
      </c>
      <c r="II54" t="e">
        <f>AND(#REF!,"AAAAAHuOdfI=")</f>
        <v>#REF!</v>
      </c>
      <c r="IJ54" t="e">
        <f>AND(#REF!,"AAAAAHuOdfM=")</f>
        <v>#REF!</v>
      </c>
      <c r="IK54" t="e">
        <f>AND(#REF!,"AAAAAHuOdfQ=")</f>
        <v>#REF!</v>
      </c>
      <c r="IL54" t="e">
        <f>AND(#REF!,"AAAAAHuOdfU=")</f>
        <v>#REF!</v>
      </c>
      <c r="IM54" t="e">
        <f>AND(#REF!,"AAAAAHuOdfY=")</f>
        <v>#REF!</v>
      </c>
      <c r="IN54" t="e">
        <f>AND(#REF!,"AAAAAHuOdfc=")</f>
        <v>#REF!</v>
      </c>
      <c r="IO54" t="e">
        <f>AND(#REF!,"AAAAAHuOdfg=")</f>
        <v>#REF!</v>
      </c>
      <c r="IP54" t="e">
        <f>AND(#REF!,"AAAAAHuOdfk=")</f>
        <v>#REF!</v>
      </c>
      <c r="IQ54" t="e">
        <f>AND(#REF!,"AAAAAHuOdfo=")</f>
        <v>#REF!</v>
      </c>
      <c r="IR54" t="e">
        <f>AND(#REF!,"AAAAAHuOdfs=")</f>
        <v>#REF!</v>
      </c>
      <c r="IS54" t="e">
        <f>AND(#REF!,"AAAAAHuOdfw=")</f>
        <v>#REF!</v>
      </c>
      <c r="IT54" t="e">
        <f>AND(#REF!,"AAAAAHuOdf0=")</f>
        <v>#REF!</v>
      </c>
      <c r="IU54" t="e">
        <f>AND(#REF!,"AAAAAHuOdf4=")</f>
        <v>#REF!</v>
      </c>
      <c r="IV54" t="e">
        <f>AND(#REF!,"AAAAAHuOdf8=")</f>
        <v>#REF!</v>
      </c>
    </row>
    <row r="55" spans="1:256">
      <c r="A55" t="e">
        <f>AND(#REF!,"AAAAAH/r/wA=")</f>
        <v>#REF!</v>
      </c>
      <c r="B55" t="e">
        <f>AND(#REF!,"AAAAAH/r/wE=")</f>
        <v>#REF!</v>
      </c>
      <c r="C55" t="e">
        <f>AND(#REF!,"AAAAAH/r/wI=")</f>
        <v>#REF!</v>
      </c>
      <c r="D55" t="e">
        <f>AND(#REF!,"AAAAAH/r/wM=")</f>
        <v>#REF!</v>
      </c>
      <c r="E55" t="e">
        <f>AND(#REF!,"AAAAAH/r/wQ=")</f>
        <v>#REF!</v>
      </c>
      <c r="F55" t="e">
        <f>AND(#REF!,"AAAAAH/r/wU=")</f>
        <v>#REF!</v>
      </c>
      <c r="G55" t="e">
        <f>AND(#REF!,"AAAAAH/r/wY=")</f>
        <v>#REF!</v>
      </c>
      <c r="H55" t="e">
        <f>AND(#REF!,"AAAAAH/r/wc=")</f>
        <v>#REF!</v>
      </c>
      <c r="I55" t="e">
        <f>AND(#REF!,"AAAAAH/r/wg=")</f>
        <v>#REF!</v>
      </c>
      <c r="J55" t="e">
        <f>AND(#REF!,"AAAAAH/r/wk=")</f>
        <v>#REF!</v>
      </c>
      <c r="K55" t="e">
        <f>AND(#REF!,"AAAAAH/r/wo=")</f>
        <v>#REF!</v>
      </c>
      <c r="L55" t="e">
        <f>AND(#REF!,"AAAAAH/r/ws=")</f>
        <v>#REF!</v>
      </c>
      <c r="M55" t="e">
        <f>AND(#REF!,"AAAAAH/r/ww=")</f>
        <v>#REF!</v>
      </c>
      <c r="N55" t="e">
        <f>AND(#REF!,"AAAAAH/r/w0=")</f>
        <v>#REF!</v>
      </c>
      <c r="O55" t="e">
        <f>AND(#REF!,"AAAAAH/r/w4=")</f>
        <v>#REF!</v>
      </c>
      <c r="P55" t="e">
        <f>AND(#REF!,"AAAAAH/r/w8=")</f>
        <v>#REF!</v>
      </c>
      <c r="Q55" t="e">
        <f>IF(#REF!,"AAAAAH/r/xA=",0)</f>
        <v>#REF!</v>
      </c>
      <c r="R55" t="e">
        <f>AND(#REF!,"AAAAAH/r/xE=")</f>
        <v>#REF!</v>
      </c>
      <c r="S55" t="e">
        <f>AND(#REF!,"AAAAAH/r/xI=")</f>
        <v>#REF!</v>
      </c>
      <c r="T55" t="e">
        <f>AND(#REF!,"AAAAAH/r/xM=")</f>
        <v>#REF!</v>
      </c>
      <c r="U55" t="e">
        <f>AND(#REF!,"AAAAAH/r/xQ=")</f>
        <v>#REF!</v>
      </c>
      <c r="V55" t="e">
        <f>AND(#REF!,"AAAAAH/r/xU=")</f>
        <v>#REF!</v>
      </c>
      <c r="W55" t="e">
        <f>AND(#REF!,"AAAAAH/r/xY=")</f>
        <v>#REF!</v>
      </c>
      <c r="X55" t="e">
        <f>AND(#REF!,"AAAAAH/r/xc=")</f>
        <v>#REF!</v>
      </c>
      <c r="Y55" t="e">
        <f>AND(#REF!,"AAAAAH/r/xg=")</f>
        <v>#REF!</v>
      </c>
      <c r="Z55" t="e">
        <f>AND(#REF!,"AAAAAH/r/xk=")</f>
        <v>#REF!</v>
      </c>
      <c r="AA55" t="e">
        <f>AND(#REF!,"AAAAAH/r/xo=")</f>
        <v>#REF!</v>
      </c>
      <c r="AB55" t="e">
        <f>AND(#REF!,"AAAAAH/r/xs=")</f>
        <v>#REF!</v>
      </c>
      <c r="AC55" t="e">
        <f>AND(#REF!,"AAAAAH/r/xw=")</f>
        <v>#REF!</v>
      </c>
      <c r="AD55" t="e">
        <f>AND(#REF!,"AAAAAH/r/x0=")</f>
        <v>#REF!</v>
      </c>
      <c r="AE55" t="e">
        <f>AND(#REF!,"AAAAAH/r/x4=")</f>
        <v>#REF!</v>
      </c>
      <c r="AF55" t="e">
        <f>AND(#REF!,"AAAAAH/r/x8=")</f>
        <v>#REF!</v>
      </c>
      <c r="AG55" t="e">
        <f>AND(#REF!,"AAAAAH/r/yA=")</f>
        <v>#REF!</v>
      </c>
      <c r="AH55" t="e">
        <f>AND(#REF!,"AAAAAH/r/yE=")</f>
        <v>#REF!</v>
      </c>
      <c r="AI55" t="e">
        <f>AND(#REF!,"AAAAAH/r/yI=")</f>
        <v>#REF!</v>
      </c>
      <c r="AJ55" t="e">
        <f>AND(#REF!,"AAAAAH/r/yM=")</f>
        <v>#REF!</v>
      </c>
      <c r="AK55" t="e">
        <f>AND(#REF!,"AAAAAH/r/yQ=")</f>
        <v>#REF!</v>
      </c>
      <c r="AL55" t="e">
        <f>AND(#REF!,"AAAAAH/r/yU=")</f>
        <v>#REF!</v>
      </c>
      <c r="AM55" t="e">
        <f>AND(#REF!,"AAAAAH/r/yY=")</f>
        <v>#REF!</v>
      </c>
      <c r="AN55" t="e">
        <f>AND(#REF!,"AAAAAH/r/yc=")</f>
        <v>#REF!</v>
      </c>
      <c r="AO55" t="e">
        <f>AND(#REF!,"AAAAAH/r/yg=")</f>
        <v>#REF!</v>
      </c>
      <c r="AP55" t="e">
        <f>AND(#REF!,"AAAAAH/r/yk=")</f>
        <v>#REF!</v>
      </c>
      <c r="AQ55" t="e">
        <f>AND(#REF!,"AAAAAH/r/yo=")</f>
        <v>#REF!</v>
      </c>
      <c r="AR55" t="e">
        <f>AND(#REF!,"AAAAAH/r/ys=")</f>
        <v>#REF!</v>
      </c>
      <c r="AS55" t="e">
        <f>AND(#REF!,"AAAAAH/r/yw=")</f>
        <v>#REF!</v>
      </c>
      <c r="AT55" t="e">
        <f>AND(#REF!,"AAAAAH/r/y0=")</f>
        <v>#REF!</v>
      </c>
      <c r="AU55" t="e">
        <f>AND(#REF!,"AAAAAH/r/y4=")</f>
        <v>#REF!</v>
      </c>
      <c r="AV55" t="e">
        <f>AND(#REF!,"AAAAAH/r/y8=")</f>
        <v>#REF!</v>
      </c>
      <c r="AW55" t="e">
        <f>AND(#REF!,"AAAAAH/r/zA=")</f>
        <v>#REF!</v>
      </c>
      <c r="AX55" t="e">
        <f>AND(#REF!,"AAAAAH/r/zE=")</f>
        <v>#REF!</v>
      </c>
      <c r="AY55" t="e">
        <f>AND(#REF!,"AAAAAH/r/zI=")</f>
        <v>#REF!</v>
      </c>
      <c r="AZ55" t="e">
        <f>AND(#REF!,"AAAAAH/r/zM=")</f>
        <v>#REF!</v>
      </c>
      <c r="BA55" t="e">
        <f>IF(#REF!,"AAAAAH/r/zQ=",0)</f>
        <v>#REF!</v>
      </c>
      <c r="BB55" t="e">
        <f>AND(#REF!,"AAAAAH/r/zU=")</f>
        <v>#REF!</v>
      </c>
      <c r="BC55" t="e">
        <f>AND(#REF!,"AAAAAH/r/zY=")</f>
        <v>#REF!</v>
      </c>
      <c r="BD55" t="e">
        <f>AND(#REF!,"AAAAAH/r/zc=")</f>
        <v>#REF!</v>
      </c>
      <c r="BE55" t="e">
        <f>AND(#REF!,"AAAAAH/r/zg=")</f>
        <v>#REF!</v>
      </c>
      <c r="BF55" t="e">
        <f>AND(#REF!,"AAAAAH/r/zk=")</f>
        <v>#REF!</v>
      </c>
      <c r="BG55" t="e">
        <f>AND(#REF!,"AAAAAH/r/zo=")</f>
        <v>#REF!</v>
      </c>
      <c r="BH55" t="e">
        <f>AND(#REF!,"AAAAAH/r/zs=")</f>
        <v>#REF!</v>
      </c>
      <c r="BI55" t="e">
        <f>AND(#REF!,"AAAAAH/r/zw=")</f>
        <v>#REF!</v>
      </c>
      <c r="BJ55" t="e">
        <f>AND(#REF!,"AAAAAH/r/z0=")</f>
        <v>#REF!</v>
      </c>
      <c r="BK55" t="e">
        <f>AND(#REF!,"AAAAAH/r/z4=")</f>
        <v>#REF!</v>
      </c>
      <c r="BL55" t="e">
        <f>AND(#REF!,"AAAAAH/r/z8=")</f>
        <v>#REF!</v>
      </c>
      <c r="BM55" t="e">
        <f>AND(#REF!,"AAAAAH/r/0A=")</f>
        <v>#REF!</v>
      </c>
      <c r="BN55" t="e">
        <f>AND(#REF!,"AAAAAH/r/0E=")</f>
        <v>#REF!</v>
      </c>
      <c r="BO55" t="e">
        <f>AND(#REF!,"AAAAAH/r/0I=")</f>
        <v>#REF!</v>
      </c>
      <c r="BP55" t="e">
        <f>AND(#REF!,"AAAAAH/r/0M=")</f>
        <v>#REF!</v>
      </c>
      <c r="BQ55" t="e">
        <f>AND(#REF!,"AAAAAH/r/0Q=")</f>
        <v>#REF!</v>
      </c>
      <c r="BR55" t="e">
        <f>AND(#REF!,"AAAAAH/r/0U=")</f>
        <v>#REF!</v>
      </c>
      <c r="BS55" t="e">
        <f>AND(#REF!,"AAAAAH/r/0Y=")</f>
        <v>#REF!</v>
      </c>
      <c r="BT55" t="e">
        <f>AND(#REF!,"AAAAAH/r/0c=")</f>
        <v>#REF!</v>
      </c>
      <c r="BU55" t="e">
        <f>AND(#REF!,"AAAAAH/r/0g=")</f>
        <v>#REF!</v>
      </c>
      <c r="BV55" t="e">
        <f>AND(#REF!,"AAAAAH/r/0k=")</f>
        <v>#REF!</v>
      </c>
      <c r="BW55" t="e">
        <f>AND(#REF!,"AAAAAH/r/0o=")</f>
        <v>#REF!</v>
      </c>
      <c r="BX55" t="e">
        <f>AND(#REF!,"AAAAAH/r/0s=")</f>
        <v>#REF!</v>
      </c>
      <c r="BY55" t="e">
        <f>AND(#REF!,"AAAAAH/r/0w=")</f>
        <v>#REF!</v>
      </c>
      <c r="BZ55" t="e">
        <f>AND(#REF!,"AAAAAH/r/00=")</f>
        <v>#REF!</v>
      </c>
      <c r="CA55" t="e">
        <f>AND(#REF!,"AAAAAH/r/04=")</f>
        <v>#REF!</v>
      </c>
      <c r="CB55" t="e">
        <f>AND(#REF!,"AAAAAH/r/08=")</f>
        <v>#REF!</v>
      </c>
      <c r="CC55" t="e">
        <f>AND(#REF!,"AAAAAH/r/1A=")</f>
        <v>#REF!</v>
      </c>
      <c r="CD55" t="e">
        <f>AND(#REF!,"AAAAAH/r/1E=")</f>
        <v>#REF!</v>
      </c>
      <c r="CE55" t="e">
        <f>AND(#REF!,"AAAAAH/r/1I=")</f>
        <v>#REF!</v>
      </c>
      <c r="CF55" t="e">
        <f>AND(#REF!,"AAAAAH/r/1M=")</f>
        <v>#REF!</v>
      </c>
      <c r="CG55" t="e">
        <f>AND(#REF!,"AAAAAH/r/1Q=")</f>
        <v>#REF!</v>
      </c>
      <c r="CH55" t="e">
        <f>AND(#REF!,"AAAAAH/r/1U=")</f>
        <v>#REF!</v>
      </c>
      <c r="CI55" t="e">
        <f>AND(#REF!,"AAAAAH/r/1Y=")</f>
        <v>#REF!</v>
      </c>
      <c r="CJ55" t="e">
        <f>AND(#REF!,"AAAAAH/r/1c=")</f>
        <v>#REF!</v>
      </c>
      <c r="CK55" t="e">
        <f>IF(#REF!,"AAAAAH/r/1g=",0)</f>
        <v>#REF!</v>
      </c>
      <c r="CL55" t="e">
        <f>AND(#REF!,"AAAAAH/r/1k=")</f>
        <v>#REF!</v>
      </c>
      <c r="CM55" t="e">
        <f>AND(#REF!,"AAAAAH/r/1o=")</f>
        <v>#REF!</v>
      </c>
      <c r="CN55" t="e">
        <f>AND(#REF!,"AAAAAH/r/1s=")</f>
        <v>#REF!</v>
      </c>
      <c r="CO55" t="e">
        <f>AND(#REF!,"AAAAAH/r/1w=")</f>
        <v>#REF!</v>
      </c>
      <c r="CP55" t="e">
        <f>AND(#REF!,"AAAAAH/r/10=")</f>
        <v>#REF!</v>
      </c>
      <c r="CQ55" t="e">
        <f>AND(#REF!,"AAAAAH/r/14=")</f>
        <v>#REF!</v>
      </c>
      <c r="CR55" t="e">
        <f>AND(#REF!,"AAAAAH/r/18=")</f>
        <v>#REF!</v>
      </c>
      <c r="CS55" t="e">
        <f>AND(#REF!,"AAAAAH/r/2A=")</f>
        <v>#REF!</v>
      </c>
      <c r="CT55" t="e">
        <f>AND(#REF!,"AAAAAH/r/2E=")</f>
        <v>#REF!</v>
      </c>
      <c r="CU55" t="e">
        <f>AND(#REF!,"AAAAAH/r/2I=")</f>
        <v>#REF!</v>
      </c>
      <c r="CV55" t="e">
        <f>AND(#REF!,"AAAAAH/r/2M=")</f>
        <v>#REF!</v>
      </c>
      <c r="CW55" t="e">
        <f>AND(#REF!,"AAAAAH/r/2Q=")</f>
        <v>#REF!</v>
      </c>
      <c r="CX55" t="e">
        <f>AND(#REF!,"AAAAAH/r/2U=")</f>
        <v>#REF!</v>
      </c>
      <c r="CY55" t="e">
        <f>AND(#REF!,"AAAAAH/r/2Y=")</f>
        <v>#REF!</v>
      </c>
      <c r="CZ55" t="e">
        <f>AND(#REF!,"AAAAAH/r/2c=")</f>
        <v>#REF!</v>
      </c>
      <c r="DA55" t="e">
        <f>AND(#REF!,"AAAAAH/r/2g=")</f>
        <v>#REF!</v>
      </c>
      <c r="DB55" t="e">
        <f>AND(#REF!,"AAAAAH/r/2k=")</f>
        <v>#REF!</v>
      </c>
      <c r="DC55" t="e">
        <f>AND(#REF!,"AAAAAH/r/2o=")</f>
        <v>#REF!</v>
      </c>
      <c r="DD55" t="e">
        <f>AND(#REF!,"AAAAAH/r/2s=")</f>
        <v>#REF!</v>
      </c>
      <c r="DE55" t="e">
        <f>AND(#REF!,"AAAAAH/r/2w=")</f>
        <v>#REF!</v>
      </c>
      <c r="DF55" t="e">
        <f>AND(#REF!,"AAAAAH/r/20=")</f>
        <v>#REF!</v>
      </c>
      <c r="DG55" t="e">
        <f>AND(#REF!,"AAAAAH/r/24=")</f>
        <v>#REF!</v>
      </c>
      <c r="DH55" t="e">
        <f>AND(#REF!,"AAAAAH/r/28=")</f>
        <v>#REF!</v>
      </c>
      <c r="DI55" t="e">
        <f>AND(#REF!,"AAAAAH/r/3A=")</f>
        <v>#REF!</v>
      </c>
      <c r="DJ55" t="e">
        <f>AND(#REF!,"AAAAAH/r/3E=")</f>
        <v>#REF!</v>
      </c>
      <c r="DK55" t="e">
        <f>AND(#REF!,"AAAAAH/r/3I=")</f>
        <v>#REF!</v>
      </c>
      <c r="DL55" t="e">
        <f>AND(#REF!,"AAAAAH/r/3M=")</f>
        <v>#REF!</v>
      </c>
      <c r="DM55" t="e">
        <f>AND(#REF!,"AAAAAH/r/3Q=")</f>
        <v>#REF!</v>
      </c>
      <c r="DN55" t="e">
        <f>AND(#REF!,"AAAAAH/r/3U=")</f>
        <v>#REF!</v>
      </c>
      <c r="DO55" t="e">
        <f>AND(#REF!,"AAAAAH/r/3Y=")</f>
        <v>#REF!</v>
      </c>
      <c r="DP55" t="e">
        <f>AND(#REF!,"AAAAAH/r/3c=")</f>
        <v>#REF!</v>
      </c>
      <c r="DQ55" t="e">
        <f>AND(#REF!,"AAAAAH/r/3g=")</f>
        <v>#REF!</v>
      </c>
      <c r="DR55" t="e">
        <f>AND(#REF!,"AAAAAH/r/3k=")</f>
        <v>#REF!</v>
      </c>
      <c r="DS55" t="e">
        <f>AND(#REF!,"AAAAAH/r/3o=")</f>
        <v>#REF!</v>
      </c>
      <c r="DT55" t="e">
        <f>AND(#REF!,"AAAAAH/r/3s=")</f>
        <v>#REF!</v>
      </c>
      <c r="DU55" t="e">
        <f>IF(#REF!,"AAAAAH/r/3w=",0)</f>
        <v>#REF!</v>
      </c>
      <c r="DV55" t="e">
        <f>AND(#REF!,"AAAAAH/r/30=")</f>
        <v>#REF!</v>
      </c>
      <c r="DW55" t="e">
        <f>AND(#REF!,"AAAAAH/r/34=")</f>
        <v>#REF!</v>
      </c>
      <c r="DX55" t="e">
        <f>AND(#REF!,"AAAAAH/r/38=")</f>
        <v>#REF!</v>
      </c>
      <c r="DY55" t="e">
        <f>AND(#REF!,"AAAAAH/r/4A=")</f>
        <v>#REF!</v>
      </c>
      <c r="DZ55" t="e">
        <f>AND(#REF!,"AAAAAH/r/4E=")</f>
        <v>#REF!</v>
      </c>
      <c r="EA55" t="e">
        <f>AND(#REF!,"AAAAAH/r/4I=")</f>
        <v>#REF!</v>
      </c>
      <c r="EB55" t="e">
        <f>AND(#REF!,"AAAAAH/r/4M=")</f>
        <v>#REF!</v>
      </c>
      <c r="EC55" t="e">
        <f>AND(#REF!,"AAAAAH/r/4Q=")</f>
        <v>#REF!</v>
      </c>
      <c r="ED55" t="e">
        <f>AND(#REF!,"AAAAAH/r/4U=")</f>
        <v>#REF!</v>
      </c>
      <c r="EE55" t="e">
        <f>AND(#REF!,"AAAAAH/r/4Y=")</f>
        <v>#REF!</v>
      </c>
      <c r="EF55" t="e">
        <f>AND(#REF!,"AAAAAH/r/4c=")</f>
        <v>#REF!</v>
      </c>
      <c r="EG55" t="e">
        <f>AND(#REF!,"AAAAAH/r/4g=")</f>
        <v>#REF!</v>
      </c>
      <c r="EH55" t="e">
        <f>AND(#REF!,"AAAAAH/r/4k=")</f>
        <v>#REF!</v>
      </c>
      <c r="EI55" t="e">
        <f>AND(#REF!,"AAAAAH/r/4o=")</f>
        <v>#REF!</v>
      </c>
      <c r="EJ55" t="e">
        <f>AND(#REF!,"AAAAAH/r/4s=")</f>
        <v>#REF!</v>
      </c>
      <c r="EK55" t="e">
        <f>AND(#REF!,"AAAAAH/r/4w=")</f>
        <v>#REF!</v>
      </c>
      <c r="EL55" t="e">
        <f>AND(#REF!,"AAAAAH/r/40=")</f>
        <v>#REF!</v>
      </c>
      <c r="EM55" t="e">
        <f>AND(#REF!,"AAAAAH/r/44=")</f>
        <v>#REF!</v>
      </c>
      <c r="EN55" t="e">
        <f>AND(#REF!,"AAAAAH/r/48=")</f>
        <v>#REF!</v>
      </c>
      <c r="EO55" t="e">
        <f>AND(#REF!,"AAAAAH/r/5A=")</f>
        <v>#REF!</v>
      </c>
      <c r="EP55" t="e">
        <f>AND(#REF!,"AAAAAH/r/5E=")</f>
        <v>#REF!</v>
      </c>
      <c r="EQ55" t="e">
        <f>AND(#REF!,"AAAAAH/r/5I=")</f>
        <v>#REF!</v>
      </c>
      <c r="ER55" t="e">
        <f>AND(#REF!,"AAAAAH/r/5M=")</f>
        <v>#REF!</v>
      </c>
      <c r="ES55" t="e">
        <f>AND(#REF!,"AAAAAH/r/5Q=")</f>
        <v>#REF!</v>
      </c>
      <c r="ET55" t="e">
        <f>AND(#REF!,"AAAAAH/r/5U=")</f>
        <v>#REF!</v>
      </c>
      <c r="EU55" t="e">
        <f>AND(#REF!,"AAAAAH/r/5Y=")</f>
        <v>#REF!</v>
      </c>
      <c r="EV55" t="e">
        <f>AND(#REF!,"AAAAAH/r/5c=")</f>
        <v>#REF!</v>
      </c>
      <c r="EW55" t="e">
        <f>AND(#REF!,"AAAAAH/r/5g=")</f>
        <v>#REF!</v>
      </c>
      <c r="EX55" t="e">
        <f>AND(#REF!,"AAAAAH/r/5k=")</f>
        <v>#REF!</v>
      </c>
      <c r="EY55" t="e">
        <f>AND(#REF!,"AAAAAH/r/5o=")</f>
        <v>#REF!</v>
      </c>
      <c r="EZ55" t="e">
        <f>AND(#REF!,"AAAAAH/r/5s=")</f>
        <v>#REF!</v>
      </c>
      <c r="FA55" t="e">
        <f>AND(#REF!,"AAAAAH/r/5w=")</f>
        <v>#REF!</v>
      </c>
      <c r="FB55" t="e">
        <f>AND(#REF!,"AAAAAH/r/50=")</f>
        <v>#REF!</v>
      </c>
      <c r="FC55" t="e">
        <f>AND(#REF!,"AAAAAH/r/54=")</f>
        <v>#REF!</v>
      </c>
      <c r="FD55" t="e">
        <f>AND(#REF!,"AAAAAH/r/58=")</f>
        <v>#REF!</v>
      </c>
      <c r="FE55" t="e">
        <f>IF(#REF!,"AAAAAH/r/6A=",0)</f>
        <v>#REF!</v>
      </c>
      <c r="FF55" t="e">
        <f>AND(#REF!,"AAAAAH/r/6E=")</f>
        <v>#REF!</v>
      </c>
      <c r="FG55" t="e">
        <f>AND(#REF!,"AAAAAH/r/6I=")</f>
        <v>#REF!</v>
      </c>
      <c r="FH55" t="e">
        <f>AND(#REF!,"AAAAAH/r/6M=")</f>
        <v>#REF!</v>
      </c>
      <c r="FI55" t="e">
        <f>AND(#REF!,"AAAAAH/r/6Q=")</f>
        <v>#REF!</v>
      </c>
      <c r="FJ55" t="e">
        <f>AND(#REF!,"AAAAAH/r/6U=")</f>
        <v>#REF!</v>
      </c>
      <c r="FK55" t="e">
        <f>AND(#REF!,"AAAAAH/r/6Y=")</f>
        <v>#REF!</v>
      </c>
      <c r="FL55" t="e">
        <f>AND(#REF!,"AAAAAH/r/6c=")</f>
        <v>#REF!</v>
      </c>
      <c r="FM55" t="e">
        <f>AND(#REF!,"AAAAAH/r/6g=")</f>
        <v>#REF!</v>
      </c>
      <c r="FN55" t="e">
        <f>AND(#REF!,"AAAAAH/r/6k=")</f>
        <v>#REF!</v>
      </c>
      <c r="FO55" t="e">
        <f>AND(#REF!,"AAAAAH/r/6o=")</f>
        <v>#REF!</v>
      </c>
      <c r="FP55" t="e">
        <f>AND(#REF!,"AAAAAH/r/6s=")</f>
        <v>#REF!</v>
      </c>
      <c r="FQ55" t="e">
        <f>AND(#REF!,"AAAAAH/r/6w=")</f>
        <v>#REF!</v>
      </c>
      <c r="FR55" t="e">
        <f>AND(#REF!,"AAAAAH/r/60=")</f>
        <v>#REF!</v>
      </c>
      <c r="FS55" t="e">
        <f>AND(#REF!,"AAAAAH/r/64=")</f>
        <v>#REF!</v>
      </c>
      <c r="FT55" t="e">
        <f>AND(#REF!,"AAAAAH/r/68=")</f>
        <v>#REF!</v>
      </c>
      <c r="FU55" t="e">
        <f>AND(#REF!,"AAAAAH/r/7A=")</f>
        <v>#REF!</v>
      </c>
      <c r="FV55" t="e">
        <f>AND(#REF!,"AAAAAH/r/7E=")</f>
        <v>#REF!</v>
      </c>
      <c r="FW55" t="e">
        <f>AND(#REF!,"AAAAAH/r/7I=")</f>
        <v>#REF!</v>
      </c>
      <c r="FX55" t="e">
        <f>AND(#REF!,"AAAAAH/r/7M=")</f>
        <v>#REF!</v>
      </c>
      <c r="FY55" t="e">
        <f>AND(#REF!,"AAAAAH/r/7Q=")</f>
        <v>#REF!</v>
      </c>
      <c r="FZ55" t="e">
        <f>AND(#REF!,"AAAAAH/r/7U=")</f>
        <v>#REF!</v>
      </c>
      <c r="GA55" t="e">
        <f>AND(#REF!,"AAAAAH/r/7Y=")</f>
        <v>#REF!</v>
      </c>
      <c r="GB55" t="e">
        <f>AND(#REF!,"AAAAAH/r/7c=")</f>
        <v>#REF!</v>
      </c>
      <c r="GC55" t="e">
        <f>AND(#REF!,"AAAAAH/r/7g=")</f>
        <v>#REF!</v>
      </c>
      <c r="GD55" t="e">
        <f>AND(#REF!,"AAAAAH/r/7k=")</f>
        <v>#REF!</v>
      </c>
      <c r="GE55" t="e">
        <f>AND(#REF!,"AAAAAH/r/7o=")</f>
        <v>#REF!</v>
      </c>
      <c r="GF55" t="e">
        <f>AND(#REF!,"AAAAAH/r/7s=")</f>
        <v>#REF!</v>
      </c>
      <c r="GG55" t="e">
        <f>AND(#REF!,"AAAAAH/r/7w=")</f>
        <v>#REF!</v>
      </c>
      <c r="GH55" t="e">
        <f>AND(#REF!,"AAAAAH/r/70=")</f>
        <v>#REF!</v>
      </c>
      <c r="GI55" t="e">
        <f>AND(#REF!,"AAAAAH/r/74=")</f>
        <v>#REF!</v>
      </c>
      <c r="GJ55" t="e">
        <f>AND(#REF!,"AAAAAH/r/78=")</f>
        <v>#REF!</v>
      </c>
      <c r="GK55" t="e">
        <f>AND(#REF!,"AAAAAH/r/8A=")</f>
        <v>#REF!</v>
      </c>
      <c r="GL55" t="e">
        <f>AND(#REF!,"AAAAAH/r/8E=")</f>
        <v>#REF!</v>
      </c>
      <c r="GM55" t="e">
        <f>AND(#REF!,"AAAAAH/r/8I=")</f>
        <v>#REF!</v>
      </c>
      <c r="GN55" t="e">
        <f>AND(#REF!,"AAAAAH/r/8M=")</f>
        <v>#REF!</v>
      </c>
      <c r="GO55" t="e">
        <f>IF(#REF!,"AAAAAH/r/8Q=",0)</f>
        <v>#REF!</v>
      </c>
      <c r="GP55" t="e">
        <f>AND(#REF!,"AAAAAH/r/8U=")</f>
        <v>#REF!</v>
      </c>
      <c r="GQ55" t="e">
        <f>AND(#REF!,"AAAAAH/r/8Y=")</f>
        <v>#REF!</v>
      </c>
      <c r="GR55" t="e">
        <f>AND(#REF!,"AAAAAH/r/8c=")</f>
        <v>#REF!</v>
      </c>
      <c r="GS55" t="e">
        <f>AND(#REF!,"AAAAAH/r/8g=")</f>
        <v>#REF!</v>
      </c>
      <c r="GT55" t="e">
        <f>AND(#REF!,"AAAAAH/r/8k=")</f>
        <v>#REF!</v>
      </c>
      <c r="GU55" t="e">
        <f>AND(#REF!,"AAAAAH/r/8o=")</f>
        <v>#REF!</v>
      </c>
      <c r="GV55" t="e">
        <f>AND(#REF!,"AAAAAH/r/8s=")</f>
        <v>#REF!</v>
      </c>
      <c r="GW55" t="e">
        <f>AND(#REF!,"AAAAAH/r/8w=")</f>
        <v>#REF!</v>
      </c>
      <c r="GX55" t="e">
        <f>AND(#REF!,"AAAAAH/r/80=")</f>
        <v>#REF!</v>
      </c>
      <c r="GY55" t="e">
        <f>AND(#REF!,"AAAAAH/r/84=")</f>
        <v>#REF!</v>
      </c>
      <c r="GZ55" t="e">
        <f>AND(#REF!,"AAAAAH/r/88=")</f>
        <v>#REF!</v>
      </c>
      <c r="HA55" t="e">
        <f>AND(#REF!,"AAAAAH/r/9A=")</f>
        <v>#REF!</v>
      </c>
      <c r="HB55" t="e">
        <f>AND(#REF!,"AAAAAH/r/9E=")</f>
        <v>#REF!</v>
      </c>
      <c r="HC55" t="e">
        <f>AND(#REF!,"AAAAAH/r/9I=")</f>
        <v>#REF!</v>
      </c>
      <c r="HD55" t="e">
        <f>AND(#REF!,"AAAAAH/r/9M=")</f>
        <v>#REF!</v>
      </c>
      <c r="HE55" t="e">
        <f>AND(#REF!,"AAAAAH/r/9Q=")</f>
        <v>#REF!</v>
      </c>
      <c r="HF55" t="e">
        <f>AND(#REF!,"AAAAAH/r/9U=")</f>
        <v>#REF!</v>
      </c>
      <c r="HG55" t="e">
        <f>AND(#REF!,"AAAAAH/r/9Y=")</f>
        <v>#REF!</v>
      </c>
      <c r="HH55" t="e">
        <f>AND(#REF!,"AAAAAH/r/9c=")</f>
        <v>#REF!</v>
      </c>
      <c r="HI55" t="e">
        <f>AND(#REF!,"AAAAAH/r/9g=")</f>
        <v>#REF!</v>
      </c>
      <c r="HJ55" t="e">
        <f>AND(#REF!,"AAAAAH/r/9k=")</f>
        <v>#REF!</v>
      </c>
      <c r="HK55" t="e">
        <f>AND(#REF!,"AAAAAH/r/9o=")</f>
        <v>#REF!</v>
      </c>
      <c r="HL55" t="e">
        <f>AND(#REF!,"AAAAAH/r/9s=")</f>
        <v>#REF!</v>
      </c>
      <c r="HM55" t="e">
        <f>AND(#REF!,"AAAAAH/r/9w=")</f>
        <v>#REF!</v>
      </c>
      <c r="HN55" t="e">
        <f>AND(#REF!,"AAAAAH/r/90=")</f>
        <v>#REF!</v>
      </c>
      <c r="HO55" t="e">
        <f>AND(#REF!,"AAAAAH/r/94=")</f>
        <v>#REF!</v>
      </c>
      <c r="HP55" t="e">
        <f>AND(#REF!,"AAAAAH/r/98=")</f>
        <v>#REF!</v>
      </c>
      <c r="HQ55" t="e">
        <f>AND(#REF!,"AAAAAH/r/+A=")</f>
        <v>#REF!</v>
      </c>
      <c r="HR55" t="e">
        <f>AND(#REF!,"AAAAAH/r/+E=")</f>
        <v>#REF!</v>
      </c>
      <c r="HS55" t="e">
        <f>AND(#REF!,"AAAAAH/r/+I=")</f>
        <v>#REF!</v>
      </c>
      <c r="HT55" t="e">
        <f>AND(#REF!,"AAAAAH/r/+M=")</f>
        <v>#REF!</v>
      </c>
      <c r="HU55" t="e">
        <f>AND(#REF!,"AAAAAH/r/+Q=")</f>
        <v>#REF!</v>
      </c>
      <c r="HV55" t="e">
        <f>AND(#REF!,"AAAAAH/r/+U=")</f>
        <v>#REF!</v>
      </c>
      <c r="HW55" t="e">
        <f>AND(#REF!,"AAAAAH/r/+Y=")</f>
        <v>#REF!</v>
      </c>
      <c r="HX55" t="e">
        <f>AND(#REF!,"AAAAAH/r/+c=")</f>
        <v>#REF!</v>
      </c>
      <c r="HY55" t="e">
        <f>IF(#REF!,"AAAAAH/r/+g=",0)</f>
        <v>#REF!</v>
      </c>
      <c r="HZ55" t="e">
        <f>AND(#REF!,"AAAAAH/r/+k=")</f>
        <v>#REF!</v>
      </c>
      <c r="IA55" t="e">
        <f>AND(#REF!,"AAAAAH/r/+o=")</f>
        <v>#REF!</v>
      </c>
      <c r="IB55" t="e">
        <f>AND(#REF!,"AAAAAH/r/+s=")</f>
        <v>#REF!</v>
      </c>
      <c r="IC55" t="e">
        <f>AND(#REF!,"AAAAAH/r/+w=")</f>
        <v>#REF!</v>
      </c>
      <c r="ID55" t="e">
        <f>AND(#REF!,"AAAAAH/r/+0=")</f>
        <v>#REF!</v>
      </c>
      <c r="IE55" t="e">
        <f>AND(#REF!,"AAAAAH/r/+4=")</f>
        <v>#REF!</v>
      </c>
      <c r="IF55" t="e">
        <f>AND(#REF!,"AAAAAH/r/+8=")</f>
        <v>#REF!</v>
      </c>
      <c r="IG55" t="e">
        <f>AND(#REF!,"AAAAAH/r//A=")</f>
        <v>#REF!</v>
      </c>
      <c r="IH55" t="e">
        <f>AND(#REF!,"AAAAAH/r//E=")</f>
        <v>#REF!</v>
      </c>
      <c r="II55" t="e">
        <f>AND(#REF!,"AAAAAH/r//I=")</f>
        <v>#REF!</v>
      </c>
      <c r="IJ55" t="e">
        <f>AND(#REF!,"AAAAAH/r//M=")</f>
        <v>#REF!</v>
      </c>
      <c r="IK55" t="e">
        <f>AND(#REF!,"AAAAAH/r//Q=")</f>
        <v>#REF!</v>
      </c>
      <c r="IL55" t="e">
        <f>AND(#REF!,"AAAAAH/r//U=")</f>
        <v>#REF!</v>
      </c>
      <c r="IM55" t="e">
        <f>AND(#REF!,"AAAAAH/r//Y=")</f>
        <v>#REF!</v>
      </c>
      <c r="IN55" t="e">
        <f>AND(#REF!,"AAAAAH/r//c=")</f>
        <v>#REF!</v>
      </c>
      <c r="IO55" t="e">
        <f>AND(#REF!,"AAAAAH/r//g=")</f>
        <v>#REF!</v>
      </c>
      <c r="IP55" t="e">
        <f>AND(#REF!,"AAAAAH/r//k=")</f>
        <v>#REF!</v>
      </c>
      <c r="IQ55" t="e">
        <f>AND(#REF!,"AAAAAH/r//o=")</f>
        <v>#REF!</v>
      </c>
      <c r="IR55" t="e">
        <f>AND(#REF!,"AAAAAH/r//s=")</f>
        <v>#REF!</v>
      </c>
      <c r="IS55" t="e">
        <f>AND(#REF!,"AAAAAH/r//w=")</f>
        <v>#REF!</v>
      </c>
      <c r="IT55" t="e">
        <f>AND(#REF!,"AAAAAH/r//0=")</f>
        <v>#REF!</v>
      </c>
      <c r="IU55" t="e">
        <f>AND(#REF!,"AAAAAH/r//4=")</f>
        <v>#REF!</v>
      </c>
      <c r="IV55" t="e">
        <f>AND(#REF!,"AAAAAH/r//8=")</f>
        <v>#REF!</v>
      </c>
    </row>
    <row r="56" spans="1:256">
      <c r="A56" t="e">
        <f>AND(#REF!,"AAAAAE2//QA=")</f>
        <v>#REF!</v>
      </c>
      <c r="B56" t="e">
        <f>AND(#REF!,"AAAAAE2//QE=")</f>
        <v>#REF!</v>
      </c>
      <c r="C56" t="e">
        <f>AND(#REF!,"AAAAAE2//QI=")</f>
        <v>#REF!</v>
      </c>
      <c r="D56" t="e">
        <f>AND(#REF!,"AAAAAE2//QM=")</f>
        <v>#REF!</v>
      </c>
      <c r="E56" t="e">
        <f>AND(#REF!,"AAAAAE2//QQ=")</f>
        <v>#REF!</v>
      </c>
      <c r="F56" t="e">
        <f>AND(#REF!,"AAAAAE2//QU=")</f>
        <v>#REF!</v>
      </c>
      <c r="G56" t="e">
        <f>AND(#REF!,"AAAAAE2//QY=")</f>
        <v>#REF!</v>
      </c>
      <c r="H56" t="e">
        <f>AND(#REF!,"AAAAAE2//Qc=")</f>
        <v>#REF!</v>
      </c>
      <c r="I56" t="e">
        <f>AND(#REF!,"AAAAAE2//Qg=")</f>
        <v>#REF!</v>
      </c>
      <c r="J56" t="e">
        <f>AND(#REF!,"AAAAAE2//Qk=")</f>
        <v>#REF!</v>
      </c>
      <c r="K56" t="e">
        <f>AND(#REF!,"AAAAAE2//Qo=")</f>
        <v>#REF!</v>
      </c>
      <c r="L56" t="e">
        <f>AND(#REF!,"AAAAAE2//Qs=")</f>
        <v>#REF!</v>
      </c>
      <c r="M56" t="e">
        <f>IF(#REF!,"AAAAAE2//Qw=",0)</f>
        <v>#REF!</v>
      </c>
      <c r="N56" t="e">
        <f>AND(#REF!,"AAAAAE2//Q0=")</f>
        <v>#REF!</v>
      </c>
      <c r="O56" t="e">
        <f>AND(#REF!,"AAAAAE2//Q4=")</f>
        <v>#REF!</v>
      </c>
      <c r="P56" t="e">
        <f>AND(#REF!,"AAAAAE2//Q8=")</f>
        <v>#REF!</v>
      </c>
      <c r="Q56" t="e">
        <f>AND(#REF!,"AAAAAE2//RA=")</f>
        <v>#REF!</v>
      </c>
      <c r="R56" t="e">
        <f>AND(#REF!,"AAAAAE2//RE=")</f>
        <v>#REF!</v>
      </c>
      <c r="S56" t="e">
        <f>AND(#REF!,"AAAAAE2//RI=")</f>
        <v>#REF!</v>
      </c>
      <c r="T56" t="e">
        <f>AND(#REF!,"AAAAAE2//RM=")</f>
        <v>#REF!</v>
      </c>
      <c r="U56" t="e">
        <f>AND(#REF!,"AAAAAE2//RQ=")</f>
        <v>#REF!</v>
      </c>
      <c r="V56" t="e">
        <f>AND(#REF!,"AAAAAE2//RU=")</f>
        <v>#REF!</v>
      </c>
      <c r="W56" t="e">
        <f>AND(#REF!,"AAAAAE2//RY=")</f>
        <v>#REF!</v>
      </c>
      <c r="X56" t="e">
        <f>AND(#REF!,"AAAAAE2//Rc=")</f>
        <v>#REF!</v>
      </c>
      <c r="Y56" t="e">
        <f>AND(#REF!,"AAAAAE2//Rg=")</f>
        <v>#REF!</v>
      </c>
      <c r="Z56" t="e">
        <f>AND(#REF!,"AAAAAE2//Rk=")</f>
        <v>#REF!</v>
      </c>
      <c r="AA56" t="e">
        <f>AND(#REF!,"AAAAAE2//Ro=")</f>
        <v>#REF!</v>
      </c>
      <c r="AB56" t="e">
        <f>AND(#REF!,"AAAAAE2//Rs=")</f>
        <v>#REF!</v>
      </c>
      <c r="AC56" t="e">
        <f>AND(#REF!,"AAAAAE2//Rw=")</f>
        <v>#REF!</v>
      </c>
      <c r="AD56" t="e">
        <f>AND(#REF!,"AAAAAE2//R0=")</f>
        <v>#REF!</v>
      </c>
      <c r="AE56" t="e">
        <f>AND(#REF!,"AAAAAE2//R4=")</f>
        <v>#REF!</v>
      </c>
      <c r="AF56" t="e">
        <f>AND(#REF!,"AAAAAE2//R8=")</f>
        <v>#REF!</v>
      </c>
      <c r="AG56" t="e">
        <f>AND(#REF!,"AAAAAE2//SA=")</f>
        <v>#REF!</v>
      </c>
      <c r="AH56" t="e">
        <f>AND(#REF!,"AAAAAE2//SE=")</f>
        <v>#REF!</v>
      </c>
      <c r="AI56" t="e">
        <f>AND(#REF!,"AAAAAE2//SI=")</f>
        <v>#REF!</v>
      </c>
      <c r="AJ56" t="e">
        <f>AND(#REF!,"AAAAAE2//SM=")</f>
        <v>#REF!</v>
      </c>
      <c r="AK56" t="e">
        <f>AND(#REF!,"AAAAAE2//SQ=")</f>
        <v>#REF!</v>
      </c>
      <c r="AL56" t="e">
        <f>AND(#REF!,"AAAAAE2//SU=")</f>
        <v>#REF!</v>
      </c>
      <c r="AM56" t="e">
        <f>AND(#REF!,"AAAAAE2//SY=")</f>
        <v>#REF!</v>
      </c>
      <c r="AN56" t="e">
        <f>AND(#REF!,"AAAAAE2//Sc=")</f>
        <v>#REF!</v>
      </c>
      <c r="AO56" t="e">
        <f>AND(#REF!,"AAAAAE2//Sg=")</f>
        <v>#REF!</v>
      </c>
      <c r="AP56" t="e">
        <f>AND(#REF!,"AAAAAE2//Sk=")</f>
        <v>#REF!</v>
      </c>
      <c r="AQ56" t="e">
        <f>AND(#REF!,"AAAAAE2//So=")</f>
        <v>#REF!</v>
      </c>
      <c r="AR56" t="e">
        <f>AND(#REF!,"AAAAAE2//Ss=")</f>
        <v>#REF!</v>
      </c>
      <c r="AS56" t="e">
        <f>AND(#REF!,"AAAAAE2//Sw=")</f>
        <v>#REF!</v>
      </c>
      <c r="AT56" t="e">
        <f>AND(#REF!,"AAAAAE2//S0=")</f>
        <v>#REF!</v>
      </c>
      <c r="AU56" t="e">
        <f>AND(#REF!,"AAAAAE2//S4=")</f>
        <v>#REF!</v>
      </c>
      <c r="AV56" t="e">
        <f>AND(#REF!,"AAAAAE2//S8=")</f>
        <v>#REF!</v>
      </c>
      <c r="AW56" t="e">
        <f>IF(#REF!,"AAAAAE2//TA=",0)</f>
        <v>#REF!</v>
      </c>
      <c r="AX56" t="e">
        <f>AND(#REF!,"AAAAAE2//TE=")</f>
        <v>#REF!</v>
      </c>
      <c r="AY56" t="e">
        <f>AND(#REF!,"AAAAAE2//TI=")</f>
        <v>#REF!</v>
      </c>
      <c r="AZ56" t="e">
        <f>AND(#REF!,"AAAAAE2//TM=")</f>
        <v>#REF!</v>
      </c>
      <c r="BA56" t="e">
        <f>AND(#REF!,"AAAAAE2//TQ=")</f>
        <v>#REF!</v>
      </c>
      <c r="BB56" t="e">
        <f>AND(#REF!,"AAAAAE2//TU=")</f>
        <v>#REF!</v>
      </c>
      <c r="BC56" t="e">
        <f>AND(#REF!,"AAAAAE2//TY=")</f>
        <v>#REF!</v>
      </c>
      <c r="BD56" t="e">
        <f>AND(#REF!,"AAAAAE2//Tc=")</f>
        <v>#REF!</v>
      </c>
      <c r="BE56" t="e">
        <f>AND(#REF!,"AAAAAE2//Tg=")</f>
        <v>#REF!</v>
      </c>
      <c r="BF56" t="e">
        <f>AND(#REF!,"AAAAAE2//Tk=")</f>
        <v>#REF!</v>
      </c>
      <c r="BG56" t="e">
        <f>AND(#REF!,"AAAAAE2//To=")</f>
        <v>#REF!</v>
      </c>
      <c r="BH56" t="e">
        <f>AND(#REF!,"AAAAAE2//Ts=")</f>
        <v>#REF!</v>
      </c>
      <c r="BI56" t="e">
        <f>AND(#REF!,"AAAAAE2//Tw=")</f>
        <v>#REF!</v>
      </c>
      <c r="BJ56" t="e">
        <f>AND(#REF!,"AAAAAE2//T0=")</f>
        <v>#REF!</v>
      </c>
      <c r="BK56" t="e">
        <f>AND(#REF!,"AAAAAE2//T4=")</f>
        <v>#REF!</v>
      </c>
      <c r="BL56" t="e">
        <f>AND(#REF!,"AAAAAE2//T8=")</f>
        <v>#REF!</v>
      </c>
      <c r="BM56" t="e">
        <f>AND(#REF!,"AAAAAE2//UA=")</f>
        <v>#REF!</v>
      </c>
      <c r="BN56" t="e">
        <f>AND(#REF!,"AAAAAE2//UE=")</f>
        <v>#REF!</v>
      </c>
      <c r="BO56" t="e">
        <f>AND(#REF!,"AAAAAE2//UI=")</f>
        <v>#REF!</v>
      </c>
      <c r="BP56" t="e">
        <f>AND(#REF!,"AAAAAE2//UM=")</f>
        <v>#REF!</v>
      </c>
      <c r="BQ56" t="e">
        <f>AND(#REF!,"AAAAAE2//UQ=")</f>
        <v>#REF!</v>
      </c>
      <c r="BR56" t="e">
        <f>AND(#REF!,"AAAAAE2//UU=")</f>
        <v>#REF!</v>
      </c>
      <c r="BS56" t="e">
        <f>AND(#REF!,"AAAAAE2//UY=")</f>
        <v>#REF!</v>
      </c>
      <c r="BT56" t="e">
        <f>AND(#REF!,"AAAAAE2//Uc=")</f>
        <v>#REF!</v>
      </c>
      <c r="BU56" t="e">
        <f>AND(#REF!,"AAAAAE2//Ug=")</f>
        <v>#REF!</v>
      </c>
      <c r="BV56" t="e">
        <f>AND(#REF!,"AAAAAE2//Uk=")</f>
        <v>#REF!</v>
      </c>
      <c r="BW56" t="e">
        <f>AND(#REF!,"AAAAAE2//Uo=")</f>
        <v>#REF!</v>
      </c>
      <c r="BX56" t="e">
        <f>AND(#REF!,"AAAAAE2//Us=")</f>
        <v>#REF!</v>
      </c>
      <c r="BY56" t="e">
        <f>AND(#REF!,"AAAAAE2//Uw=")</f>
        <v>#REF!</v>
      </c>
      <c r="BZ56" t="e">
        <f>AND(#REF!,"AAAAAE2//U0=")</f>
        <v>#REF!</v>
      </c>
      <c r="CA56" t="e">
        <f>AND(#REF!,"AAAAAE2//U4=")</f>
        <v>#REF!</v>
      </c>
      <c r="CB56" t="e">
        <f>AND(#REF!,"AAAAAE2//U8=")</f>
        <v>#REF!</v>
      </c>
      <c r="CC56" t="e">
        <f>AND(#REF!,"AAAAAE2//VA=")</f>
        <v>#REF!</v>
      </c>
      <c r="CD56" t="e">
        <f>AND(#REF!,"AAAAAE2//VE=")</f>
        <v>#REF!</v>
      </c>
      <c r="CE56" t="e">
        <f>AND(#REF!,"AAAAAE2//VI=")</f>
        <v>#REF!</v>
      </c>
      <c r="CF56" t="e">
        <f>AND(#REF!,"AAAAAE2//VM=")</f>
        <v>#REF!</v>
      </c>
      <c r="CG56" t="e">
        <f>IF(#REF!,"AAAAAE2//VQ=",0)</f>
        <v>#REF!</v>
      </c>
      <c r="CH56" t="e">
        <f>IF(#REF!,"AAAAAE2//VU=",0)</f>
        <v>#REF!</v>
      </c>
      <c r="CI56" t="e">
        <f>IF(#REF!,"AAAAAE2//VY=",0)</f>
        <v>#REF!</v>
      </c>
      <c r="CJ56" t="e">
        <f>IF(#REF!,"AAAAAE2//Vc=",0)</f>
        <v>#REF!</v>
      </c>
      <c r="CK56" t="e">
        <f>IF(#REF!,"AAAAAE2//Vg=",0)</f>
        <v>#REF!</v>
      </c>
      <c r="CL56" t="e">
        <f>IF(#REF!,"AAAAAE2//Vk=",0)</f>
        <v>#REF!</v>
      </c>
      <c r="CM56" t="e">
        <f>IF(#REF!,"AAAAAE2//Vo=",0)</f>
        <v>#REF!</v>
      </c>
      <c r="CN56" t="e">
        <f>IF(#REF!,"AAAAAE2//Vs=",0)</f>
        <v>#REF!</v>
      </c>
      <c r="CO56" t="e">
        <f>IF(#REF!,"AAAAAE2//Vw=",0)</f>
        <v>#REF!</v>
      </c>
      <c r="CP56" t="e">
        <f>IF(#REF!,"AAAAAE2//V0=",0)</f>
        <v>#REF!</v>
      </c>
      <c r="CQ56" t="e">
        <f>IF(#REF!,"AAAAAE2//V4=",0)</f>
        <v>#REF!</v>
      </c>
      <c r="CR56" t="e">
        <f>IF(#REF!,"AAAAAE2//V8=",0)</f>
        <v>#REF!</v>
      </c>
      <c r="CS56" t="e">
        <f>IF(#REF!,"AAAAAE2//WA=",0)</f>
        <v>#REF!</v>
      </c>
      <c r="CT56" t="e">
        <f>IF(#REF!,"AAAAAE2//WE=",0)</f>
        <v>#REF!</v>
      </c>
      <c r="CU56" t="e">
        <f>IF(#REF!,"AAAAAE2//WI=",0)</f>
        <v>#REF!</v>
      </c>
      <c r="CV56" t="e">
        <f>IF(#REF!,"AAAAAE2//WM=",0)</f>
        <v>#REF!</v>
      </c>
      <c r="CW56" t="e">
        <f>IF(#REF!,"AAAAAE2//WQ=",0)</f>
        <v>#REF!</v>
      </c>
      <c r="CX56" t="e">
        <f>IF(#REF!,"AAAAAE2//WU=",0)</f>
        <v>#REF!</v>
      </c>
      <c r="CY56" t="e">
        <f>IF(#REF!,"AAAAAE2//WY=",0)</f>
        <v>#REF!</v>
      </c>
      <c r="CZ56" t="e">
        <f>IF(#REF!,"AAAAAE2//Wc=",0)</f>
        <v>#REF!</v>
      </c>
      <c r="DA56" t="e">
        <f>IF(#REF!,"AAAAAE2//Wg=",0)</f>
        <v>#REF!</v>
      </c>
      <c r="DB56" t="e">
        <f>IF(#REF!,"AAAAAE2//Wk=",0)</f>
        <v>#REF!</v>
      </c>
      <c r="DC56" t="e">
        <f>IF(#REF!,"AAAAAE2//Wo=",0)</f>
        <v>#REF!</v>
      </c>
      <c r="DD56" t="e">
        <f>IF(#REF!,"AAAAAE2//Ws=",0)</f>
        <v>#REF!</v>
      </c>
      <c r="DE56" t="e">
        <f>IF(#REF!,"AAAAAE2//Ww=",0)</f>
        <v>#REF!</v>
      </c>
      <c r="DF56" t="e">
        <f>IF(#REF!,"AAAAAE2//W0=",0)</f>
        <v>#REF!</v>
      </c>
      <c r="DG56" t="e">
        <f>IF(#REF!,"AAAAAE2//W4=",0)</f>
        <v>#REF!</v>
      </c>
      <c r="DH56" t="e">
        <f>IF(#REF!,"AAAAAE2//W8=",0)</f>
        <v>#REF!</v>
      </c>
      <c r="DI56" t="e">
        <f>IF(#REF!,"AAAAAE2//XA=",0)</f>
        <v>#REF!</v>
      </c>
      <c r="DJ56" t="e">
        <f>IF(#REF!,"AAAAAE2//XE=",0)</f>
        <v>#REF!</v>
      </c>
      <c r="DK56" t="e">
        <f>IF(#REF!,"AAAAAE2//XI=",0)</f>
        <v>#REF!</v>
      </c>
      <c r="DL56" t="e">
        <f>IF(#REF!,"AAAAAE2//XM=",0)</f>
        <v>#REF!</v>
      </c>
      <c r="DM56" t="e">
        <f>IF(#REF!,"AAAAAE2//XQ=",0)</f>
        <v>#REF!</v>
      </c>
      <c r="DN56" t="e">
        <f>IF(#REF!,"AAAAAE2//XU=",0)</f>
        <v>#REF!</v>
      </c>
      <c r="DO56" t="e">
        <f>IF(#REF!,"AAAAAE2//XY=",0)</f>
        <v>#REF!</v>
      </c>
      <c r="DP56" t="e">
        <f>IF(#REF!,"AAAAAE2//Xc=",0)</f>
        <v>#REF!</v>
      </c>
      <c r="DQ56" t="e">
        <f>IF(#REF!,"AAAAAE2//Xg=",0)</f>
        <v>#REF!</v>
      </c>
      <c r="DR56" t="e">
        <f>IF(#REF!,"AAAAAE2//Xk=",0)</f>
        <v>#REF!</v>
      </c>
      <c r="DS56" t="e">
        <f>IF(#REF!,"AAAAAE2//Xo=",0)</f>
        <v>#REF!</v>
      </c>
      <c r="DT56" t="e">
        <f>IF(#REF!,"AAAAAE2//Xs=",0)</f>
        <v>#REF!</v>
      </c>
      <c r="DU56" t="e">
        <f>IF(#REF!,"AAAAAE2//Xw=",0)</f>
        <v>#REF!</v>
      </c>
      <c r="DV56" t="e">
        <f>IF(#REF!,"AAAAAE2//X0=",0)</f>
        <v>#REF!</v>
      </c>
      <c r="DW56" t="e">
        <f>IF(#REF!,"AAAAAE2//X4=",0)</f>
        <v>#REF!</v>
      </c>
      <c r="DX56" t="e">
        <f>IF(#REF!,"AAAAAE2//X8=",0)</f>
        <v>#REF!</v>
      </c>
      <c r="DY56" t="e">
        <f>IF(#REF!,"AAAAAE2//YA=",0)</f>
        <v>#REF!</v>
      </c>
      <c r="DZ56" t="e">
        <f>IF(#REF!,"AAAAAE2//YE=",0)</f>
        <v>#REF!</v>
      </c>
      <c r="EA56" t="e">
        <f>IF(#REF!,"AAAAAE2//YI=",0)</f>
        <v>#REF!</v>
      </c>
      <c r="EB56" t="e">
        <f>IF(#REF!,"AAAAAE2//YM=",0)</f>
        <v>#REF!</v>
      </c>
      <c r="EC56" t="e">
        <f>IF(#REF!,"AAAAAE2//YQ=",0)</f>
        <v>#REF!</v>
      </c>
      <c r="ED56" t="e">
        <f>IF(#REF!,"AAAAAE2//YU=",0)</f>
        <v>#REF!</v>
      </c>
      <c r="EE56" t="e">
        <f>IF(#REF!,"AAAAAE2//YY=",0)</f>
        <v>#REF!</v>
      </c>
      <c r="EF56" t="e">
        <f>IF(#REF!,"AAAAAE2//Yc=",0)</f>
        <v>#REF!</v>
      </c>
      <c r="EG56" t="e">
        <f>IF(#REF!,"AAAAAE2//Yg=",0)</f>
        <v>#REF!</v>
      </c>
      <c r="EH56" t="e">
        <f>IF(#REF!,"AAAAAE2//Yk=",0)</f>
        <v>#REF!</v>
      </c>
      <c r="EI56" t="e">
        <f>IF(#REF!,"AAAAAE2//Yo=",0)</f>
        <v>#REF!</v>
      </c>
      <c r="EJ56" t="e">
        <f>IF(#REF!,"AAAAAE2//Ys=",0)</f>
        <v>#REF!</v>
      </c>
      <c r="EK56" t="e">
        <f>IF(#REF!,"AAAAAE2//Yw=",0)</f>
        <v>#REF!</v>
      </c>
      <c r="EL56" t="e">
        <f>AND(#REF!,"AAAAAE2//Y0=")</f>
        <v>#REF!</v>
      </c>
      <c r="EM56" t="e">
        <f>AND(#REF!,"AAAAAE2//Y4=")</f>
        <v>#REF!</v>
      </c>
      <c r="EN56" t="e">
        <f>AND(#REF!,"AAAAAE2//Y8=")</f>
        <v>#REF!</v>
      </c>
      <c r="EO56" t="e">
        <f>AND(#REF!,"AAAAAE2//ZA=")</f>
        <v>#REF!</v>
      </c>
      <c r="EP56" t="e">
        <f>AND(#REF!,"AAAAAE2//ZE=")</f>
        <v>#REF!</v>
      </c>
      <c r="EQ56" t="e">
        <f>AND(#REF!,"AAAAAE2//ZI=")</f>
        <v>#REF!</v>
      </c>
      <c r="ER56" t="e">
        <f>AND(#REF!,"AAAAAE2//ZM=")</f>
        <v>#REF!</v>
      </c>
      <c r="ES56" t="e">
        <f>AND(#REF!,"AAAAAE2//ZQ=")</f>
        <v>#REF!</v>
      </c>
      <c r="ET56" t="e">
        <f>AND(#REF!,"AAAAAE2//ZU=")</f>
        <v>#REF!</v>
      </c>
      <c r="EU56" t="e">
        <f>AND(#REF!,"AAAAAE2//ZY=")</f>
        <v>#REF!</v>
      </c>
      <c r="EV56" t="e">
        <f>AND(#REF!,"AAAAAE2//Zc=")</f>
        <v>#REF!</v>
      </c>
      <c r="EW56" t="e">
        <f>AND(#REF!,"AAAAAE2//Zg=")</f>
        <v>#REF!</v>
      </c>
      <c r="EX56" t="e">
        <f>AND(#REF!,"AAAAAE2//Zk=")</f>
        <v>#REF!</v>
      </c>
      <c r="EY56" t="e">
        <f>AND(#REF!,"AAAAAE2//Zo=")</f>
        <v>#REF!</v>
      </c>
      <c r="EZ56" t="e">
        <f>AND(#REF!,"AAAAAE2//Zs=")</f>
        <v>#REF!</v>
      </c>
      <c r="FA56" t="e">
        <f>AND(#REF!,"AAAAAE2//Zw=")</f>
        <v>#REF!</v>
      </c>
      <c r="FB56" t="e">
        <f>AND(#REF!,"AAAAAE2//Z0=")</f>
        <v>#REF!</v>
      </c>
      <c r="FC56" t="e">
        <f>AND(#REF!,"AAAAAE2//Z4=")</f>
        <v>#REF!</v>
      </c>
      <c r="FD56" t="e">
        <f>AND(#REF!,"AAAAAE2//Z8=")</f>
        <v>#REF!</v>
      </c>
      <c r="FE56" t="e">
        <f>AND(#REF!,"AAAAAE2//aA=")</f>
        <v>#REF!</v>
      </c>
      <c r="FF56" t="e">
        <f>AND(#REF!,"AAAAAE2//aE=")</f>
        <v>#REF!</v>
      </c>
      <c r="FG56" t="e">
        <f>AND(#REF!,"AAAAAE2//aI=")</f>
        <v>#REF!</v>
      </c>
      <c r="FH56" t="e">
        <f>AND(#REF!,"AAAAAE2//aM=")</f>
        <v>#REF!</v>
      </c>
      <c r="FI56" t="e">
        <f>AND(#REF!,"AAAAAE2//aQ=")</f>
        <v>#REF!</v>
      </c>
      <c r="FJ56" t="e">
        <f>AND(#REF!,"AAAAAE2//aU=")</f>
        <v>#REF!</v>
      </c>
      <c r="FK56" t="e">
        <f>AND(#REF!,"AAAAAE2//aY=")</f>
        <v>#REF!</v>
      </c>
      <c r="FL56" t="e">
        <f>AND(#REF!,"AAAAAE2//ac=")</f>
        <v>#REF!</v>
      </c>
      <c r="FM56" t="e">
        <f>AND(#REF!,"AAAAAE2//ag=")</f>
        <v>#REF!</v>
      </c>
      <c r="FN56" t="e">
        <f>AND(#REF!,"AAAAAE2//ak=")</f>
        <v>#REF!</v>
      </c>
      <c r="FO56" t="e">
        <f>AND(#REF!,"AAAAAE2//ao=")</f>
        <v>#REF!</v>
      </c>
      <c r="FP56" t="e">
        <f>AND(#REF!,"AAAAAE2//as=")</f>
        <v>#REF!</v>
      </c>
      <c r="FQ56" t="e">
        <f>AND(#REF!,"AAAAAE2//aw=")</f>
        <v>#REF!</v>
      </c>
      <c r="FR56" t="e">
        <f>AND(#REF!,"AAAAAE2//a0=")</f>
        <v>#REF!</v>
      </c>
      <c r="FS56" t="e">
        <f>AND(#REF!,"AAAAAE2//a4=")</f>
        <v>#REF!</v>
      </c>
      <c r="FT56" t="e">
        <f>AND(#REF!,"AAAAAE2//a8=")</f>
        <v>#REF!</v>
      </c>
      <c r="FU56" t="e">
        <f>IF(#REF!,"AAAAAE2//bA=",0)</f>
        <v>#REF!</v>
      </c>
      <c r="FV56" t="e">
        <f>AND(#REF!,"AAAAAE2//bE=")</f>
        <v>#REF!</v>
      </c>
      <c r="FW56" t="e">
        <f>AND(#REF!,"AAAAAE2//bI=")</f>
        <v>#REF!</v>
      </c>
      <c r="FX56" t="e">
        <f>AND(#REF!,"AAAAAE2//bM=")</f>
        <v>#REF!</v>
      </c>
      <c r="FY56" t="e">
        <f>AND(#REF!,"AAAAAE2//bQ=")</f>
        <v>#REF!</v>
      </c>
      <c r="FZ56" t="e">
        <f>AND(#REF!,"AAAAAE2//bU=")</f>
        <v>#REF!</v>
      </c>
      <c r="GA56" t="e">
        <f>AND(#REF!,"AAAAAE2//bY=")</f>
        <v>#REF!</v>
      </c>
      <c r="GB56" t="e">
        <f>AND(#REF!,"AAAAAE2//bc=")</f>
        <v>#REF!</v>
      </c>
      <c r="GC56" t="e">
        <f>AND(#REF!,"AAAAAE2//bg=")</f>
        <v>#REF!</v>
      </c>
      <c r="GD56" t="e">
        <f>AND(#REF!,"AAAAAE2//bk=")</f>
        <v>#REF!</v>
      </c>
      <c r="GE56" t="e">
        <f>AND(#REF!,"AAAAAE2//bo=")</f>
        <v>#REF!</v>
      </c>
      <c r="GF56" t="e">
        <f>AND(#REF!,"AAAAAE2//bs=")</f>
        <v>#REF!</v>
      </c>
      <c r="GG56" t="e">
        <f>AND(#REF!,"AAAAAE2//bw=")</f>
        <v>#REF!</v>
      </c>
      <c r="GH56" t="e">
        <f>AND(#REF!,"AAAAAE2//b0=")</f>
        <v>#REF!</v>
      </c>
      <c r="GI56" t="e">
        <f>AND(#REF!,"AAAAAE2//b4=")</f>
        <v>#REF!</v>
      </c>
      <c r="GJ56" t="e">
        <f>AND(#REF!,"AAAAAE2//b8=")</f>
        <v>#REF!</v>
      </c>
      <c r="GK56" t="e">
        <f>AND(#REF!,"AAAAAE2//cA=")</f>
        <v>#REF!</v>
      </c>
      <c r="GL56" t="e">
        <f>AND(#REF!,"AAAAAE2//cE=")</f>
        <v>#REF!</v>
      </c>
      <c r="GM56" t="e">
        <f>AND(#REF!,"AAAAAE2//cI=")</f>
        <v>#REF!</v>
      </c>
      <c r="GN56" t="e">
        <f>AND(#REF!,"AAAAAE2//cM=")</f>
        <v>#REF!</v>
      </c>
      <c r="GO56" t="e">
        <f>AND(#REF!,"AAAAAE2//cQ=")</f>
        <v>#REF!</v>
      </c>
      <c r="GP56" t="e">
        <f>AND(#REF!,"AAAAAE2//cU=")</f>
        <v>#REF!</v>
      </c>
      <c r="GQ56" t="e">
        <f>AND(#REF!,"AAAAAE2//cY=")</f>
        <v>#REF!</v>
      </c>
      <c r="GR56" t="e">
        <f>AND(#REF!,"AAAAAE2//cc=")</f>
        <v>#REF!</v>
      </c>
      <c r="GS56" t="e">
        <f>AND(#REF!,"AAAAAE2//cg=")</f>
        <v>#REF!</v>
      </c>
      <c r="GT56" t="e">
        <f>AND(#REF!,"AAAAAE2//ck=")</f>
        <v>#REF!</v>
      </c>
      <c r="GU56" t="e">
        <f>AND(#REF!,"AAAAAE2//co=")</f>
        <v>#REF!</v>
      </c>
      <c r="GV56" t="e">
        <f>AND(#REF!,"AAAAAE2//cs=")</f>
        <v>#REF!</v>
      </c>
      <c r="GW56" t="e">
        <f>AND(#REF!,"AAAAAE2//cw=")</f>
        <v>#REF!</v>
      </c>
      <c r="GX56" t="e">
        <f>AND(#REF!,"AAAAAE2//c0=")</f>
        <v>#REF!</v>
      </c>
      <c r="GY56" t="e">
        <f>AND(#REF!,"AAAAAE2//c4=")</f>
        <v>#REF!</v>
      </c>
      <c r="GZ56" t="e">
        <f>AND(#REF!,"AAAAAE2//c8=")</f>
        <v>#REF!</v>
      </c>
      <c r="HA56" t="e">
        <f>AND(#REF!,"AAAAAE2//dA=")</f>
        <v>#REF!</v>
      </c>
      <c r="HB56" t="e">
        <f>AND(#REF!,"AAAAAE2//dE=")</f>
        <v>#REF!</v>
      </c>
      <c r="HC56" t="e">
        <f>AND(#REF!,"AAAAAE2//dI=")</f>
        <v>#REF!</v>
      </c>
      <c r="HD56" t="e">
        <f>AND(#REF!,"AAAAAE2//dM=")</f>
        <v>#REF!</v>
      </c>
      <c r="HE56" t="e">
        <f>IF(#REF!,"AAAAAE2//dQ=",0)</f>
        <v>#REF!</v>
      </c>
      <c r="HF56" t="e">
        <f>AND(#REF!,"AAAAAE2//dU=")</f>
        <v>#REF!</v>
      </c>
      <c r="HG56" t="e">
        <f>AND(#REF!,"AAAAAE2//dY=")</f>
        <v>#REF!</v>
      </c>
      <c r="HH56" t="e">
        <f>AND(#REF!,"AAAAAE2//dc=")</f>
        <v>#REF!</v>
      </c>
      <c r="HI56" t="e">
        <f>AND(#REF!,"AAAAAE2//dg=")</f>
        <v>#REF!</v>
      </c>
      <c r="HJ56" t="e">
        <f>AND(#REF!,"AAAAAE2//dk=")</f>
        <v>#REF!</v>
      </c>
      <c r="HK56" t="e">
        <f>AND(#REF!,"AAAAAE2//do=")</f>
        <v>#REF!</v>
      </c>
      <c r="HL56" t="e">
        <f>AND(#REF!,"AAAAAE2//ds=")</f>
        <v>#REF!</v>
      </c>
      <c r="HM56" t="e">
        <f>AND(#REF!,"AAAAAE2//dw=")</f>
        <v>#REF!</v>
      </c>
      <c r="HN56" t="e">
        <f>AND(#REF!,"AAAAAE2//d0=")</f>
        <v>#REF!</v>
      </c>
      <c r="HO56" t="e">
        <f>AND(#REF!,"AAAAAE2//d4=")</f>
        <v>#REF!</v>
      </c>
      <c r="HP56" t="e">
        <f>AND(#REF!,"AAAAAE2//d8=")</f>
        <v>#REF!</v>
      </c>
      <c r="HQ56" t="e">
        <f>AND(#REF!,"AAAAAE2//eA=")</f>
        <v>#REF!</v>
      </c>
      <c r="HR56" t="e">
        <f>AND(#REF!,"AAAAAE2//eE=")</f>
        <v>#REF!</v>
      </c>
      <c r="HS56" t="e">
        <f>AND(#REF!,"AAAAAE2//eI=")</f>
        <v>#REF!</v>
      </c>
      <c r="HT56" t="e">
        <f>AND(#REF!,"AAAAAE2//eM=")</f>
        <v>#REF!</v>
      </c>
      <c r="HU56" t="e">
        <f>AND(#REF!,"AAAAAE2//eQ=")</f>
        <v>#REF!</v>
      </c>
      <c r="HV56" t="e">
        <f>AND(#REF!,"AAAAAE2//eU=")</f>
        <v>#REF!</v>
      </c>
      <c r="HW56" t="e">
        <f>AND(#REF!,"AAAAAE2//eY=")</f>
        <v>#REF!</v>
      </c>
      <c r="HX56" t="e">
        <f>AND(#REF!,"AAAAAE2//ec=")</f>
        <v>#REF!</v>
      </c>
      <c r="HY56" t="e">
        <f>AND(#REF!,"AAAAAE2//eg=")</f>
        <v>#REF!</v>
      </c>
      <c r="HZ56" t="e">
        <f>AND(#REF!,"AAAAAE2//ek=")</f>
        <v>#REF!</v>
      </c>
      <c r="IA56" t="e">
        <f>AND(#REF!,"AAAAAE2//eo=")</f>
        <v>#REF!</v>
      </c>
      <c r="IB56" t="e">
        <f>AND(#REF!,"AAAAAE2//es=")</f>
        <v>#REF!</v>
      </c>
      <c r="IC56" t="e">
        <f>AND(#REF!,"AAAAAE2//ew=")</f>
        <v>#REF!</v>
      </c>
      <c r="ID56" t="e">
        <f>AND(#REF!,"AAAAAE2//e0=")</f>
        <v>#REF!</v>
      </c>
      <c r="IE56" t="e">
        <f>AND(#REF!,"AAAAAE2//e4=")</f>
        <v>#REF!</v>
      </c>
      <c r="IF56" t="e">
        <f>AND(#REF!,"AAAAAE2//e8=")</f>
        <v>#REF!</v>
      </c>
      <c r="IG56" t="e">
        <f>AND(#REF!,"AAAAAE2//fA=")</f>
        <v>#REF!</v>
      </c>
      <c r="IH56" t="e">
        <f>AND(#REF!,"AAAAAE2//fE=")</f>
        <v>#REF!</v>
      </c>
      <c r="II56" t="e">
        <f>AND(#REF!,"AAAAAE2//fI=")</f>
        <v>#REF!</v>
      </c>
      <c r="IJ56" t="e">
        <f>AND(#REF!,"AAAAAE2//fM=")</f>
        <v>#REF!</v>
      </c>
      <c r="IK56" t="e">
        <f>AND(#REF!,"AAAAAE2//fQ=")</f>
        <v>#REF!</v>
      </c>
      <c r="IL56" t="e">
        <f>AND(#REF!,"AAAAAE2//fU=")</f>
        <v>#REF!</v>
      </c>
      <c r="IM56" t="e">
        <f>AND(#REF!,"AAAAAE2//fY=")</f>
        <v>#REF!</v>
      </c>
      <c r="IN56" t="e">
        <f>AND(#REF!,"AAAAAE2//fc=")</f>
        <v>#REF!</v>
      </c>
      <c r="IO56" t="e">
        <f>IF(#REF!,"AAAAAE2//fg=",0)</f>
        <v>#REF!</v>
      </c>
      <c r="IP56" t="e">
        <f>AND(#REF!,"AAAAAE2//fk=")</f>
        <v>#REF!</v>
      </c>
      <c r="IQ56" t="e">
        <f>AND(#REF!,"AAAAAE2//fo=")</f>
        <v>#REF!</v>
      </c>
      <c r="IR56" t="e">
        <f>AND(#REF!,"AAAAAE2//fs=")</f>
        <v>#REF!</v>
      </c>
      <c r="IS56" t="e">
        <f>AND(#REF!,"AAAAAE2//fw=")</f>
        <v>#REF!</v>
      </c>
      <c r="IT56" t="e">
        <f>AND(#REF!,"AAAAAE2//f0=")</f>
        <v>#REF!</v>
      </c>
      <c r="IU56" t="e">
        <f>AND(#REF!,"AAAAAE2//f4=")</f>
        <v>#REF!</v>
      </c>
      <c r="IV56" t="e">
        <f>AND(#REF!,"AAAAAE2//f8=")</f>
        <v>#REF!</v>
      </c>
    </row>
    <row r="57" spans="1:256">
      <c r="A57" t="e">
        <f>AND(#REF!,"AAAAABv9+wA=")</f>
        <v>#REF!</v>
      </c>
      <c r="B57" t="e">
        <f>AND(#REF!,"AAAAABv9+wE=")</f>
        <v>#REF!</v>
      </c>
      <c r="C57" t="e">
        <f>AND(#REF!,"AAAAABv9+wI=")</f>
        <v>#REF!</v>
      </c>
      <c r="D57" t="e">
        <f>AND(#REF!,"AAAAABv9+wM=")</f>
        <v>#REF!</v>
      </c>
      <c r="E57" t="e">
        <f>AND(#REF!,"AAAAABv9+wQ=")</f>
        <v>#REF!</v>
      </c>
      <c r="F57" t="e">
        <f>AND(#REF!,"AAAAABv9+wU=")</f>
        <v>#REF!</v>
      </c>
      <c r="G57" t="e">
        <f>AND(#REF!,"AAAAABv9+wY=")</f>
        <v>#REF!</v>
      </c>
      <c r="H57" t="e">
        <f>AND(#REF!,"AAAAABv9+wc=")</f>
        <v>#REF!</v>
      </c>
      <c r="I57" t="e">
        <f>AND(#REF!,"AAAAABv9+wg=")</f>
        <v>#REF!</v>
      </c>
      <c r="J57" t="e">
        <f>AND(#REF!,"AAAAABv9+wk=")</f>
        <v>#REF!</v>
      </c>
      <c r="K57" t="e">
        <f>AND(#REF!,"AAAAABv9+wo=")</f>
        <v>#REF!</v>
      </c>
      <c r="L57" t="e">
        <f>AND(#REF!,"AAAAABv9+ws=")</f>
        <v>#REF!</v>
      </c>
      <c r="M57" t="e">
        <f>AND(#REF!,"AAAAABv9+ww=")</f>
        <v>#REF!</v>
      </c>
      <c r="N57" t="e">
        <f>AND(#REF!,"AAAAABv9+w0=")</f>
        <v>#REF!</v>
      </c>
      <c r="O57" t="e">
        <f>AND(#REF!,"AAAAABv9+w4=")</f>
        <v>#REF!</v>
      </c>
      <c r="P57" t="e">
        <f>AND(#REF!,"AAAAABv9+w8=")</f>
        <v>#REF!</v>
      </c>
      <c r="Q57" t="e">
        <f>AND(#REF!,"AAAAABv9+xA=")</f>
        <v>#REF!</v>
      </c>
      <c r="R57" t="e">
        <f>AND(#REF!,"AAAAABv9+xE=")</f>
        <v>#REF!</v>
      </c>
      <c r="S57" t="e">
        <f>AND(#REF!,"AAAAABv9+xI=")</f>
        <v>#REF!</v>
      </c>
      <c r="T57" t="e">
        <f>AND(#REF!,"AAAAABv9+xM=")</f>
        <v>#REF!</v>
      </c>
      <c r="U57" t="e">
        <f>AND(#REF!,"AAAAABv9+xQ=")</f>
        <v>#REF!</v>
      </c>
      <c r="V57" t="e">
        <f>AND(#REF!,"AAAAABv9+xU=")</f>
        <v>#REF!</v>
      </c>
      <c r="W57" t="e">
        <f>AND(#REF!,"AAAAABv9+xY=")</f>
        <v>#REF!</v>
      </c>
      <c r="X57" t="e">
        <f>AND(#REF!,"AAAAABv9+xc=")</f>
        <v>#REF!</v>
      </c>
      <c r="Y57" t="e">
        <f>AND(#REF!,"AAAAABv9+xg=")</f>
        <v>#REF!</v>
      </c>
      <c r="Z57" t="e">
        <f>AND(#REF!,"AAAAABv9+xk=")</f>
        <v>#REF!</v>
      </c>
      <c r="AA57" t="e">
        <f>AND(#REF!,"AAAAABv9+xo=")</f>
        <v>#REF!</v>
      </c>
      <c r="AB57" t="e">
        <f>AND(#REF!,"AAAAABv9+xs=")</f>
        <v>#REF!</v>
      </c>
      <c r="AC57" t="e">
        <f>IF(#REF!,"AAAAABv9+xw=",0)</f>
        <v>#REF!</v>
      </c>
      <c r="AD57" t="e">
        <f>AND(#REF!,"AAAAABv9+x0=")</f>
        <v>#REF!</v>
      </c>
      <c r="AE57" t="e">
        <f>AND(#REF!,"AAAAABv9+x4=")</f>
        <v>#REF!</v>
      </c>
      <c r="AF57" t="e">
        <f>AND(#REF!,"AAAAABv9+x8=")</f>
        <v>#REF!</v>
      </c>
      <c r="AG57" t="e">
        <f>AND(#REF!,"AAAAABv9+yA=")</f>
        <v>#REF!</v>
      </c>
      <c r="AH57" t="e">
        <f>AND(#REF!,"AAAAABv9+yE=")</f>
        <v>#REF!</v>
      </c>
      <c r="AI57" t="e">
        <f>AND(#REF!,"AAAAABv9+yI=")</f>
        <v>#REF!</v>
      </c>
      <c r="AJ57" t="e">
        <f>AND(#REF!,"AAAAABv9+yM=")</f>
        <v>#REF!</v>
      </c>
      <c r="AK57" t="e">
        <f>AND(#REF!,"AAAAABv9+yQ=")</f>
        <v>#REF!</v>
      </c>
      <c r="AL57" t="e">
        <f>AND(#REF!,"AAAAABv9+yU=")</f>
        <v>#REF!</v>
      </c>
      <c r="AM57" t="e">
        <f>AND(#REF!,"AAAAABv9+yY=")</f>
        <v>#REF!</v>
      </c>
      <c r="AN57" t="e">
        <f>AND(#REF!,"AAAAABv9+yc=")</f>
        <v>#REF!</v>
      </c>
      <c r="AO57" t="e">
        <f>AND(#REF!,"AAAAABv9+yg=")</f>
        <v>#REF!</v>
      </c>
      <c r="AP57" t="e">
        <f>AND(#REF!,"AAAAABv9+yk=")</f>
        <v>#REF!</v>
      </c>
      <c r="AQ57" t="e">
        <f>AND(#REF!,"AAAAABv9+yo=")</f>
        <v>#REF!</v>
      </c>
      <c r="AR57" t="e">
        <f>AND(#REF!,"AAAAABv9+ys=")</f>
        <v>#REF!</v>
      </c>
      <c r="AS57" t="e">
        <f>AND(#REF!,"AAAAABv9+yw=")</f>
        <v>#REF!</v>
      </c>
      <c r="AT57" t="e">
        <f>AND(#REF!,"AAAAABv9+y0=")</f>
        <v>#REF!</v>
      </c>
      <c r="AU57" t="e">
        <f>AND(#REF!,"AAAAABv9+y4=")</f>
        <v>#REF!</v>
      </c>
      <c r="AV57" t="e">
        <f>AND(#REF!,"AAAAABv9+y8=")</f>
        <v>#REF!</v>
      </c>
      <c r="AW57" t="e">
        <f>AND(#REF!,"AAAAABv9+zA=")</f>
        <v>#REF!</v>
      </c>
      <c r="AX57" t="e">
        <f>AND(#REF!,"AAAAABv9+zE=")</f>
        <v>#REF!</v>
      </c>
      <c r="AY57" t="e">
        <f>AND(#REF!,"AAAAABv9+zI=")</f>
        <v>#REF!</v>
      </c>
      <c r="AZ57" t="e">
        <f>AND(#REF!,"AAAAABv9+zM=")</f>
        <v>#REF!</v>
      </c>
      <c r="BA57" t="e">
        <f>AND(#REF!,"AAAAABv9+zQ=")</f>
        <v>#REF!</v>
      </c>
      <c r="BB57" t="e">
        <f>AND(#REF!,"AAAAABv9+zU=")</f>
        <v>#REF!</v>
      </c>
      <c r="BC57" t="e">
        <f>AND(#REF!,"AAAAABv9+zY=")</f>
        <v>#REF!</v>
      </c>
      <c r="BD57" t="e">
        <f>AND(#REF!,"AAAAABv9+zc=")</f>
        <v>#REF!</v>
      </c>
      <c r="BE57" t="e">
        <f>AND(#REF!,"AAAAABv9+zg=")</f>
        <v>#REF!</v>
      </c>
      <c r="BF57" t="e">
        <f>AND(#REF!,"AAAAABv9+zk=")</f>
        <v>#REF!</v>
      </c>
      <c r="BG57" t="e">
        <f>AND(#REF!,"AAAAABv9+zo=")</f>
        <v>#REF!</v>
      </c>
      <c r="BH57" t="e">
        <f>AND(#REF!,"AAAAABv9+zs=")</f>
        <v>#REF!</v>
      </c>
      <c r="BI57" t="e">
        <f>AND(#REF!,"AAAAABv9+zw=")</f>
        <v>#REF!</v>
      </c>
      <c r="BJ57" t="e">
        <f>AND(#REF!,"AAAAABv9+z0=")</f>
        <v>#REF!</v>
      </c>
      <c r="BK57" t="e">
        <f>AND(#REF!,"AAAAABv9+z4=")</f>
        <v>#REF!</v>
      </c>
      <c r="BL57" t="e">
        <f>AND(#REF!,"AAAAABv9+z8=")</f>
        <v>#REF!</v>
      </c>
      <c r="BM57" t="e">
        <f>IF(#REF!,"AAAAABv9+0A=",0)</f>
        <v>#REF!</v>
      </c>
      <c r="BN57" t="e">
        <f>AND(#REF!,"AAAAABv9+0E=")</f>
        <v>#REF!</v>
      </c>
      <c r="BO57" t="e">
        <f>AND(#REF!,"AAAAABv9+0I=")</f>
        <v>#REF!</v>
      </c>
      <c r="BP57" t="e">
        <f>AND(#REF!,"AAAAABv9+0M=")</f>
        <v>#REF!</v>
      </c>
      <c r="BQ57" t="e">
        <f>AND(#REF!,"AAAAABv9+0Q=")</f>
        <v>#REF!</v>
      </c>
      <c r="BR57" t="e">
        <f>AND(#REF!,"AAAAABv9+0U=")</f>
        <v>#REF!</v>
      </c>
      <c r="BS57" t="e">
        <f>AND(#REF!,"AAAAABv9+0Y=")</f>
        <v>#REF!</v>
      </c>
      <c r="BT57" t="e">
        <f>AND(#REF!,"AAAAABv9+0c=")</f>
        <v>#REF!</v>
      </c>
      <c r="BU57" t="e">
        <f>AND(#REF!,"AAAAABv9+0g=")</f>
        <v>#REF!</v>
      </c>
      <c r="BV57" t="e">
        <f>AND(#REF!,"AAAAABv9+0k=")</f>
        <v>#REF!</v>
      </c>
      <c r="BW57" t="e">
        <f>AND(#REF!,"AAAAABv9+0o=")</f>
        <v>#REF!</v>
      </c>
      <c r="BX57" t="e">
        <f>AND(#REF!,"AAAAABv9+0s=")</f>
        <v>#REF!</v>
      </c>
      <c r="BY57" t="e">
        <f>AND(#REF!,"AAAAABv9+0w=")</f>
        <v>#REF!</v>
      </c>
      <c r="BZ57" t="e">
        <f>AND(#REF!,"AAAAABv9+00=")</f>
        <v>#REF!</v>
      </c>
      <c r="CA57" t="e">
        <f>AND(#REF!,"AAAAABv9+04=")</f>
        <v>#REF!</v>
      </c>
      <c r="CB57" t="e">
        <f>AND(#REF!,"AAAAABv9+08=")</f>
        <v>#REF!</v>
      </c>
      <c r="CC57" t="e">
        <f>AND(#REF!,"AAAAABv9+1A=")</f>
        <v>#REF!</v>
      </c>
      <c r="CD57" t="e">
        <f>AND(#REF!,"AAAAABv9+1E=")</f>
        <v>#REF!</v>
      </c>
      <c r="CE57" t="e">
        <f>AND(#REF!,"AAAAABv9+1I=")</f>
        <v>#REF!</v>
      </c>
      <c r="CF57" t="e">
        <f>AND(#REF!,"AAAAABv9+1M=")</f>
        <v>#REF!</v>
      </c>
      <c r="CG57" t="e">
        <f>AND(#REF!,"AAAAABv9+1Q=")</f>
        <v>#REF!</v>
      </c>
      <c r="CH57" t="e">
        <f>AND(#REF!,"AAAAABv9+1U=")</f>
        <v>#REF!</v>
      </c>
      <c r="CI57" t="e">
        <f>AND(#REF!,"AAAAABv9+1Y=")</f>
        <v>#REF!</v>
      </c>
      <c r="CJ57" t="e">
        <f>AND(#REF!,"AAAAABv9+1c=")</f>
        <v>#REF!</v>
      </c>
      <c r="CK57" t="e">
        <f>AND(#REF!,"AAAAABv9+1g=")</f>
        <v>#REF!</v>
      </c>
      <c r="CL57" t="e">
        <f>AND(#REF!,"AAAAABv9+1k=")</f>
        <v>#REF!</v>
      </c>
      <c r="CM57" t="e">
        <f>AND(#REF!,"AAAAABv9+1o=")</f>
        <v>#REF!</v>
      </c>
      <c r="CN57" t="e">
        <f>AND(#REF!,"AAAAABv9+1s=")</f>
        <v>#REF!</v>
      </c>
      <c r="CO57" t="e">
        <f>AND(#REF!,"AAAAABv9+1w=")</f>
        <v>#REF!</v>
      </c>
      <c r="CP57" t="e">
        <f>AND(#REF!,"AAAAABv9+10=")</f>
        <v>#REF!</v>
      </c>
      <c r="CQ57" t="e">
        <f>AND(#REF!,"AAAAABv9+14=")</f>
        <v>#REF!</v>
      </c>
      <c r="CR57" t="e">
        <f>AND(#REF!,"AAAAABv9+18=")</f>
        <v>#REF!</v>
      </c>
      <c r="CS57" t="e">
        <f>AND(#REF!,"AAAAABv9+2A=")</f>
        <v>#REF!</v>
      </c>
      <c r="CT57" t="e">
        <f>AND(#REF!,"AAAAABv9+2E=")</f>
        <v>#REF!</v>
      </c>
      <c r="CU57" t="e">
        <f>AND(#REF!,"AAAAABv9+2I=")</f>
        <v>#REF!</v>
      </c>
      <c r="CV57" t="e">
        <f>AND(#REF!,"AAAAABv9+2M=")</f>
        <v>#REF!</v>
      </c>
      <c r="CW57" t="e">
        <f>IF(#REF!,"AAAAABv9+2Q=",0)</f>
        <v>#REF!</v>
      </c>
      <c r="CX57" t="e">
        <f>AND(#REF!,"AAAAABv9+2U=")</f>
        <v>#REF!</v>
      </c>
      <c r="CY57" t="e">
        <f>AND(#REF!,"AAAAABv9+2Y=")</f>
        <v>#REF!</v>
      </c>
      <c r="CZ57" t="e">
        <f>AND(#REF!,"AAAAABv9+2c=")</f>
        <v>#REF!</v>
      </c>
      <c r="DA57" t="e">
        <f>AND(#REF!,"AAAAABv9+2g=")</f>
        <v>#REF!</v>
      </c>
      <c r="DB57" t="e">
        <f>AND(#REF!,"AAAAABv9+2k=")</f>
        <v>#REF!</v>
      </c>
      <c r="DC57" t="e">
        <f>AND(#REF!,"AAAAABv9+2o=")</f>
        <v>#REF!</v>
      </c>
      <c r="DD57" t="e">
        <f>AND(#REF!,"AAAAABv9+2s=")</f>
        <v>#REF!</v>
      </c>
      <c r="DE57" t="e">
        <f>AND(#REF!,"AAAAABv9+2w=")</f>
        <v>#REF!</v>
      </c>
      <c r="DF57" t="e">
        <f>AND(#REF!,"AAAAABv9+20=")</f>
        <v>#REF!</v>
      </c>
      <c r="DG57" t="e">
        <f>AND(#REF!,"AAAAABv9+24=")</f>
        <v>#REF!</v>
      </c>
      <c r="DH57" t="e">
        <f>AND(#REF!,"AAAAABv9+28=")</f>
        <v>#REF!</v>
      </c>
      <c r="DI57" t="e">
        <f>AND(#REF!,"AAAAABv9+3A=")</f>
        <v>#REF!</v>
      </c>
      <c r="DJ57" t="e">
        <f>AND(#REF!,"AAAAABv9+3E=")</f>
        <v>#REF!</v>
      </c>
      <c r="DK57" t="e">
        <f>AND(#REF!,"AAAAABv9+3I=")</f>
        <v>#REF!</v>
      </c>
      <c r="DL57" t="e">
        <f>AND(#REF!,"AAAAABv9+3M=")</f>
        <v>#REF!</v>
      </c>
      <c r="DM57" t="e">
        <f>AND(#REF!,"AAAAABv9+3Q=")</f>
        <v>#REF!</v>
      </c>
      <c r="DN57" t="e">
        <f>AND(#REF!,"AAAAABv9+3U=")</f>
        <v>#REF!</v>
      </c>
      <c r="DO57" t="e">
        <f>AND(#REF!,"AAAAABv9+3Y=")</f>
        <v>#REF!</v>
      </c>
      <c r="DP57" t="e">
        <f>AND(#REF!,"AAAAABv9+3c=")</f>
        <v>#REF!</v>
      </c>
      <c r="DQ57" t="e">
        <f>AND(#REF!,"AAAAABv9+3g=")</f>
        <v>#REF!</v>
      </c>
      <c r="DR57" t="e">
        <f>AND(#REF!,"AAAAABv9+3k=")</f>
        <v>#REF!</v>
      </c>
      <c r="DS57" t="e">
        <f>AND(#REF!,"AAAAABv9+3o=")</f>
        <v>#REF!</v>
      </c>
      <c r="DT57" t="e">
        <f>AND(#REF!,"AAAAABv9+3s=")</f>
        <v>#REF!</v>
      </c>
      <c r="DU57" t="e">
        <f>AND(#REF!,"AAAAABv9+3w=")</f>
        <v>#REF!</v>
      </c>
      <c r="DV57" t="e">
        <f>AND(#REF!,"AAAAABv9+30=")</f>
        <v>#REF!</v>
      </c>
      <c r="DW57" t="e">
        <f>AND(#REF!,"AAAAABv9+34=")</f>
        <v>#REF!</v>
      </c>
      <c r="DX57" t="e">
        <f>AND(#REF!,"AAAAABv9+38=")</f>
        <v>#REF!</v>
      </c>
      <c r="DY57" t="e">
        <f>AND(#REF!,"AAAAABv9+4A=")</f>
        <v>#REF!</v>
      </c>
      <c r="DZ57" t="e">
        <f>AND(#REF!,"AAAAABv9+4E=")</f>
        <v>#REF!</v>
      </c>
      <c r="EA57" t="e">
        <f>AND(#REF!,"AAAAABv9+4I=")</f>
        <v>#REF!</v>
      </c>
      <c r="EB57" t="e">
        <f>AND(#REF!,"AAAAABv9+4M=")</f>
        <v>#REF!</v>
      </c>
      <c r="EC57" t="e">
        <f>AND(#REF!,"AAAAABv9+4Q=")</f>
        <v>#REF!</v>
      </c>
      <c r="ED57" t="e">
        <f>AND(#REF!,"AAAAABv9+4U=")</f>
        <v>#REF!</v>
      </c>
      <c r="EE57" t="e">
        <f>AND(#REF!,"AAAAABv9+4Y=")</f>
        <v>#REF!</v>
      </c>
      <c r="EF57" t="e">
        <f>AND(#REF!,"AAAAABv9+4c=")</f>
        <v>#REF!</v>
      </c>
      <c r="EG57" t="e">
        <f>IF(#REF!,"AAAAABv9+4g=",0)</f>
        <v>#REF!</v>
      </c>
      <c r="EH57" t="e">
        <f>AND(#REF!,"AAAAABv9+4k=")</f>
        <v>#REF!</v>
      </c>
      <c r="EI57" t="e">
        <f>AND(#REF!,"AAAAABv9+4o=")</f>
        <v>#REF!</v>
      </c>
      <c r="EJ57" t="e">
        <f>AND(#REF!,"AAAAABv9+4s=")</f>
        <v>#REF!</v>
      </c>
      <c r="EK57" t="e">
        <f>AND(#REF!,"AAAAABv9+4w=")</f>
        <v>#REF!</v>
      </c>
      <c r="EL57" t="e">
        <f>AND(#REF!,"AAAAABv9+40=")</f>
        <v>#REF!</v>
      </c>
      <c r="EM57" t="e">
        <f>AND(#REF!,"AAAAABv9+44=")</f>
        <v>#REF!</v>
      </c>
      <c r="EN57" t="e">
        <f>AND(#REF!,"AAAAABv9+48=")</f>
        <v>#REF!</v>
      </c>
      <c r="EO57" t="e">
        <f>AND(#REF!,"AAAAABv9+5A=")</f>
        <v>#REF!</v>
      </c>
      <c r="EP57" t="e">
        <f>AND(#REF!,"AAAAABv9+5E=")</f>
        <v>#REF!</v>
      </c>
      <c r="EQ57" t="e">
        <f>AND(#REF!,"AAAAABv9+5I=")</f>
        <v>#REF!</v>
      </c>
      <c r="ER57" t="e">
        <f>AND(#REF!,"AAAAABv9+5M=")</f>
        <v>#REF!</v>
      </c>
      <c r="ES57" t="e">
        <f>AND(#REF!,"AAAAABv9+5Q=")</f>
        <v>#REF!</v>
      </c>
      <c r="ET57" t="e">
        <f>AND(#REF!,"AAAAABv9+5U=")</f>
        <v>#REF!</v>
      </c>
      <c r="EU57" t="e">
        <f>AND(#REF!,"AAAAABv9+5Y=")</f>
        <v>#REF!</v>
      </c>
      <c r="EV57" t="e">
        <f>AND(#REF!,"AAAAABv9+5c=")</f>
        <v>#REF!</v>
      </c>
      <c r="EW57" t="e">
        <f>AND(#REF!,"AAAAABv9+5g=")</f>
        <v>#REF!</v>
      </c>
      <c r="EX57" t="e">
        <f>AND(#REF!,"AAAAABv9+5k=")</f>
        <v>#REF!</v>
      </c>
      <c r="EY57" t="e">
        <f>AND(#REF!,"AAAAABv9+5o=")</f>
        <v>#REF!</v>
      </c>
      <c r="EZ57" t="e">
        <f>AND(#REF!,"AAAAABv9+5s=")</f>
        <v>#REF!</v>
      </c>
      <c r="FA57" t="e">
        <f>AND(#REF!,"AAAAABv9+5w=")</f>
        <v>#REF!</v>
      </c>
      <c r="FB57" t="e">
        <f>AND(#REF!,"AAAAABv9+50=")</f>
        <v>#REF!</v>
      </c>
      <c r="FC57" t="e">
        <f>AND(#REF!,"AAAAABv9+54=")</f>
        <v>#REF!</v>
      </c>
      <c r="FD57" t="e">
        <f>AND(#REF!,"AAAAABv9+58=")</f>
        <v>#REF!</v>
      </c>
      <c r="FE57" t="e">
        <f>AND(#REF!,"AAAAABv9+6A=")</f>
        <v>#REF!</v>
      </c>
      <c r="FF57" t="e">
        <f>AND(#REF!,"AAAAABv9+6E=")</f>
        <v>#REF!</v>
      </c>
      <c r="FG57" t="e">
        <f>AND(#REF!,"AAAAABv9+6I=")</f>
        <v>#REF!</v>
      </c>
      <c r="FH57" t="e">
        <f>AND(#REF!,"AAAAABv9+6M=")</f>
        <v>#REF!</v>
      </c>
      <c r="FI57" t="e">
        <f>AND(#REF!,"AAAAABv9+6Q=")</f>
        <v>#REF!</v>
      </c>
      <c r="FJ57" t="e">
        <f>AND(#REF!,"AAAAABv9+6U=")</f>
        <v>#REF!</v>
      </c>
      <c r="FK57" t="e">
        <f>AND(#REF!,"AAAAABv9+6Y=")</f>
        <v>#REF!</v>
      </c>
      <c r="FL57" t="e">
        <f>AND(#REF!,"AAAAABv9+6c=")</f>
        <v>#REF!</v>
      </c>
      <c r="FM57" t="e">
        <f>AND(#REF!,"AAAAABv9+6g=")</f>
        <v>#REF!</v>
      </c>
      <c r="FN57" t="e">
        <f>AND(#REF!,"AAAAABv9+6k=")</f>
        <v>#REF!</v>
      </c>
      <c r="FO57" t="e">
        <f>AND(#REF!,"AAAAABv9+6o=")</f>
        <v>#REF!</v>
      </c>
      <c r="FP57" t="e">
        <f>AND(#REF!,"AAAAABv9+6s=")</f>
        <v>#REF!</v>
      </c>
      <c r="FQ57" t="e">
        <f>IF(#REF!,"AAAAABv9+6w=",0)</f>
        <v>#REF!</v>
      </c>
      <c r="FR57" t="e">
        <f>AND(#REF!,"AAAAABv9+60=")</f>
        <v>#REF!</v>
      </c>
      <c r="FS57" t="e">
        <f>AND(#REF!,"AAAAABv9+64=")</f>
        <v>#REF!</v>
      </c>
      <c r="FT57" t="e">
        <f>AND(#REF!,"AAAAABv9+68=")</f>
        <v>#REF!</v>
      </c>
      <c r="FU57" t="e">
        <f>AND(#REF!,"AAAAABv9+7A=")</f>
        <v>#REF!</v>
      </c>
      <c r="FV57" t="e">
        <f>AND(#REF!,"AAAAABv9+7E=")</f>
        <v>#REF!</v>
      </c>
      <c r="FW57" t="e">
        <f>AND(#REF!,"AAAAABv9+7I=")</f>
        <v>#REF!</v>
      </c>
      <c r="FX57" t="e">
        <f>AND(#REF!,"AAAAABv9+7M=")</f>
        <v>#REF!</v>
      </c>
      <c r="FY57" t="e">
        <f>AND(#REF!,"AAAAABv9+7Q=")</f>
        <v>#REF!</v>
      </c>
      <c r="FZ57" t="e">
        <f>AND(#REF!,"AAAAABv9+7U=")</f>
        <v>#REF!</v>
      </c>
      <c r="GA57" t="e">
        <f>AND(#REF!,"AAAAABv9+7Y=")</f>
        <v>#REF!</v>
      </c>
      <c r="GB57" t="e">
        <f>AND(#REF!,"AAAAABv9+7c=")</f>
        <v>#REF!</v>
      </c>
      <c r="GC57" t="e">
        <f>AND(#REF!,"AAAAABv9+7g=")</f>
        <v>#REF!</v>
      </c>
      <c r="GD57" t="e">
        <f>AND(#REF!,"AAAAABv9+7k=")</f>
        <v>#REF!</v>
      </c>
      <c r="GE57" t="e">
        <f>AND(#REF!,"AAAAABv9+7o=")</f>
        <v>#REF!</v>
      </c>
      <c r="GF57" t="e">
        <f>AND(#REF!,"AAAAABv9+7s=")</f>
        <v>#REF!</v>
      </c>
      <c r="GG57" t="e">
        <f>AND(#REF!,"AAAAABv9+7w=")</f>
        <v>#REF!</v>
      </c>
      <c r="GH57" t="e">
        <f>AND(#REF!,"AAAAABv9+70=")</f>
        <v>#REF!</v>
      </c>
      <c r="GI57" t="e">
        <f>AND(#REF!,"AAAAABv9+74=")</f>
        <v>#REF!</v>
      </c>
      <c r="GJ57" t="e">
        <f>AND(#REF!,"AAAAABv9+78=")</f>
        <v>#REF!</v>
      </c>
      <c r="GK57" t="e">
        <f>AND(#REF!,"AAAAABv9+8A=")</f>
        <v>#REF!</v>
      </c>
      <c r="GL57" t="e">
        <f>AND(#REF!,"AAAAABv9+8E=")</f>
        <v>#REF!</v>
      </c>
      <c r="GM57" t="e">
        <f>AND(#REF!,"AAAAABv9+8I=")</f>
        <v>#REF!</v>
      </c>
      <c r="GN57" t="e">
        <f>AND(#REF!,"AAAAABv9+8M=")</f>
        <v>#REF!</v>
      </c>
      <c r="GO57" t="e">
        <f>AND(#REF!,"AAAAABv9+8Q=")</f>
        <v>#REF!</v>
      </c>
      <c r="GP57" t="e">
        <f>AND(#REF!,"AAAAABv9+8U=")</f>
        <v>#REF!</v>
      </c>
      <c r="GQ57" t="e">
        <f>AND(#REF!,"AAAAABv9+8Y=")</f>
        <v>#REF!</v>
      </c>
      <c r="GR57" t="e">
        <f>AND(#REF!,"AAAAABv9+8c=")</f>
        <v>#REF!</v>
      </c>
      <c r="GS57" t="e">
        <f>AND(#REF!,"AAAAABv9+8g=")</f>
        <v>#REF!</v>
      </c>
      <c r="GT57" t="e">
        <f>AND(#REF!,"AAAAABv9+8k=")</f>
        <v>#REF!</v>
      </c>
      <c r="GU57" t="e">
        <f>AND(#REF!,"AAAAABv9+8o=")</f>
        <v>#REF!</v>
      </c>
      <c r="GV57" t="e">
        <f>AND(#REF!,"AAAAABv9+8s=")</f>
        <v>#REF!</v>
      </c>
      <c r="GW57" t="e">
        <f>AND(#REF!,"AAAAABv9+8w=")</f>
        <v>#REF!</v>
      </c>
      <c r="GX57" t="e">
        <f>AND(#REF!,"AAAAABv9+80=")</f>
        <v>#REF!</v>
      </c>
      <c r="GY57" t="e">
        <f>AND(#REF!,"AAAAABv9+84=")</f>
        <v>#REF!</v>
      </c>
      <c r="GZ57" t="e">
        <f>AND(#REF!,"AAAAABv9+88=")</f>
        <v>#REF!</v>
      </c>
      <c r="HA57" t="e">
        <f>IF(#REF!,"AAAAABv9+9A=",0)</f>
        <v>#REF!</v>
      </c>
      <c r="HB57" t="e">
        <f>AND(#REF!,"AAAAABv9+9E=")</f>
        <v>#REF!</v>
      </c>
      <c r="HC57" t="e">
        <f>AND(#REF!,"AAAAABv9+9I=")</f>
        <v>#REF!</v>
      </c>
      <c r="HD57" t="e">
        <f>AND(#REF!,"AAAAABv9+9M=")</f>
        <v>#REF!</v>
      </c>
      <c r="HE57" t="e">
        <f>AND(#REF!,"AAAAABv9+9Q=")</f>
        <v>#REF!</v>
      </c>
      <c r="HF57" t="e">
        <f>AND(#REF!,"AAAAABv9+9U=")</f>
        <v>#REF!</v>
      </c>
      <c r="HG57" t="e">
        <f>AND(#REF!,"AAAAABv9+9Y=")</f>
        <v>#REF!</v>
      </c>
      <c r="HH57" t="e">
        <f>AND(#REF!,"AAAAABv9+9c=")</f>
        <v>#REF!</v>
      </c>
      <c r="HI57" t="e">
        <f>AND(#REF!,"AAAAABv9+9g=")</f>
        <v>#REF!</v>
      </c>
      <c r="HJ57" t="e">
        <f>AND(#REF!,"AAAAABv9+9k=")</f>
        <v>#REF!</v>
      </c>
      <c r="HK57" t="e">
        <f>AND(#REF!,"AAAAABv9+9o=")</f>
        <v>#REF!</v>
      </c>
      <c r="HL57" t="e">
        <f>AND(#REF!,"AAAAABv9+9s=")</f>
        <v>#REF!</v>
      </c>
      <c r="HM57" t="e">
        <f>AND(#REF!,"AAAAABv9+9w=")</f>
        <v>#REF!</v>
      </c>
      <c r="HN57" t="e">
        <f>AND(#REF!,"AAAAABv9+90=")</f>
        <v>#REF!</v>
      </c>
      <c r="HO57" t="e">
        <f>AND(#REF!,"AAAAABv9+94=")</f>
        <v>#REF!</v>
      </c>
      <c r="HP57" t="e">
        <f>AND(#REF!,"AAAAABv9+98=")</f>
        <v>#REF!</v>
      </c>
      <c r="HQ57" t="e">
        <f>AND(#REF!,"AAAAABv9++A=")</f>
        <v>#REF!</v>
      </c>
      <c r="HR57" t="e">
        <f>AND(#REF!,"AAAAABv9++E=")</f>
        <v>#REF!</v>
      </c>
      <c r="HS57" t="e">
        <f>AND(#REF!,"AAAAABv9++I=")</f>
        <v>#REF!</v>
      </c>
      <c r="HT57" t="e">
        <f>AND(#REF!,"AAAAABv9++M=")</f>
        <v>#REF!</v>
      </c>
      <c r="HU57" t="e">
        <f>AND(#REF!,"AAAAABv9++Q=")</f>
        <v>#REF!</v>
      </c>
      <c r="HV57" t="e">
        <f>AND(#REF!,"AAAAABv9++U=")</f>
        <v>#REF!</v>
      </c>
      <c r="HW57" t="e">
        <f>AND(#REF!,"AAAAABv9++Y=")</f>
        <v>#REF!</v>
      </c>
      <c r="HX57" t="e">
        <f>AND(#REF!,"AAAAABv9++c=")</f>
        <v>#REF!</v>
      </c>
      <c r="HY57" t="e">
        <f>AND(#REF!,"AAAAABv9++g=")</f>
        <v>#REF!</v>
      </c>
      <c r="HZ57" t="e">
        <f>AND(#REF!,"AAAAABv9++k=")</f>
        <v>#REF!</v>
      </c>
      <c r="IA57" t="e">
        <f>AND(#REF!,"AAAAABv9++o=")</f>
        <v>#REF!</v>
      </c>
      <c r="IB57" t="e">
        <f>AND(#REF!,"AAAAABv9++s=")</f>
        <v>#REF!</v>
      </c>
      <c r="IC57" t="e">
        <f>AND(#REF!,"AAAAABv9++w=")</f>
        <v>#REF!</v>
      </c>
      <c r="ID57" t="e">
        <f>AND(#REF!,"AAAAABv9++0=")</f>
        <v>#REF!</v>
      </c>
      <c r="IE57" t="e">
        <f>AND(#REF!,"AAAAABv9++4=")</f>
        <v>#REF!</v>
      </c>
      <c r="IF57" t="e">
        <f>AND(#REF!,"AAAAABv9++8=")</f>
        <v>#REF!</v>
      </c>
      <c r="IG57" t="e">
        <f>AND(#REF!,"AAAAABv9+/A=")</f>
        <v>#REF!</v>
      </c>
      <c r="IH57" t="e">
        <f>AND(#REF!,"AAAAABv9+/E=")</f>
        <v>#REF!</v>
      </c>
      <c r="II57" t="e">
        <f>AND(#REF!,"AAAAABv9+/I=")</f>
        <v>#REF!</v>
      </c>
      <c r="IJ57" t="e">
        <f>AND(#REF!,"AAAAABv9+/M=")</f>
        <v>#REF!</v>
      </c>
      <c r="IK57" t="e">
        <f>IF(#REF!,"AAAAABv9+/Q=",0)</f>
        <v>#REF!</v>
      </c>
      <c r="IL57" t="e">
        <f>AND(#REF!,"AAAAABv9+/U=")</f>
        <v>#REF!</v>
      </c>
      <c r="IM57" t="e">
        <f>AND(#REF!,"AAAAABv9+/Y=")</f>
        <v>#REF!</v>
      </c>
      <c r="IN57" t="e">
        <f>AND(#REF!,"AAAAABv9+/c=")</f>
        <v>#REF!</v>
      </c>
      <c r="IO57" t="e">
        <f>AND(#REF!,"AAAAABv9+/g=")</f>
        <v>#REF!</v>
      </c>
      <c r="IP57" t="e">
        <f>AND(#REF!,"AAAAABv9+/k=")</f>
        <v>#REF!</v>
      </c>
      <c r="IQ57" t="e">
        <f>AND(#REF!,"AAAAABv9+/o=")</f>
        <v>#REF!</v>
      </c>
      <c r="IR57" t="e">
        <f>AND(#REF!,"AAAAABv9+/s=")</f>
        <v>#REF!</v>
      </c>
      <c r="IS57" t="e">
        <f>AND(#REF!,"AAAAABv9+/w=")</f>
        <v>#REF!</v>
      </c>
      <c r="IT57" t="e">
        <f>AND(#REF!,"AAAAABv9+/0=")</f>
        <v>#REF!</v>
      </c>
      <c r="IU57" t="e">
        <f>AND(#REF!,"AAAAABv9+/4=")</f>
        <v>#REF!</v>
      </c>
      <c r="IV57" t="e">
        <f>AND(#REF!,"AAAAABv9+/8=")</f>
        <v>#REF!</v>
      </c>
    </row>
    <row r="58" spans="1:256">
      <c r="A58" t="e">
        <f>AND(#REF!,"AAAAAH/9eQA=")</f>
        <v>#REF!</v>
      </c>
      <c r="B58" t="e">
        <f>AND(#REF!,"AAAAAH/9eQE=")</f>
        <v>#REF!</v>
      </c>
      <c r="C58" t="e">
        <f>AND(#REF!,"AAAAAH/9eQI=")</f>
        <v>#REF!</v>
      </c>
      <c r="D58" t="e">
        <f>AND(#REF!,"AAAAAH/9eQM=")</f>
        <v>#REF!</v>
      </c>
      <c r="E58" t="e">
        <f>AND(#REF!,"AAAAAH/9eQQ=")</f>
        <v>#REF!</v>
      </c>
      <c r="F58" t="e">
        <f>AND(#REF!,"AAAAAH/9eQU=")</f>
        <v>#REF!</v>
      </c>
      <c r="G58" t="e">
        <f>AND(#REF!,"AAAAAH/9eQY=")</f>
        <v>#REF!</v>
      </c>
      <c r="H58" t="e">
        <f>AND(#REF!,"AAAAAH/9eQc=")</f>
        <v>#REF!</v>
      </c>
      <c r="I58" t="e">
        <f>AND(#REF!,"AAAAAH/9eQg=")</f>
        <v>#REF!</v>
      </c>
      <c r="J58" t="e">
        <f>AND(#REF!,"AAAAAH/9eQk=")</f>
        <v>#REF!</v>
      </c>
      <c r="K58" t="e">
        <f>AND(#REF!,"AAAAAH/9eQo=")</f>
        <v>#REF!</v>
      </c>
      <c r="L58" t="e">
        <f>AND(#REF!,"AAAAAH/9eQs=")</f>
        <v>#REF!</v>
      </c>
      <c r="M58" t="e">
        <f>AND(#REF!,"AAAAAH/9eQw=")</f>
        <v>#REF!</v>
      </c>
      <c r="N58" t="e">
        <f>AND(#REF!,"AAAAAH/9eQ0=")</f>
        <v>#REF!</v>
      </c>
      <c r="O58" t="e">
        <f>AND(#REF!,"AAAAAH/9eQ4=")</f>
        <v>#REF!</v>
      </c>
      <c r="P58" t="e">
        <f>AND(#REF!,"AAAAAH/9eQ8=")</f>
        <v>#REF!</v>
      </c>
      <c r="Q58" t="e">
        <f>AND(#REF!,"AAAAAH/9eRA=")</f>
        <v>#REF!</v>
      </c>
      <c r="R58" t="e">
        <f>AND(#REF!,"AAAAAH/9eRE=")</f>
        <v>#REF!</v>
      </c>
      <c r="S58" t="e">
        <f>AND(#REF!,"AAAAAH/9eRI=")</f>
        <v>#REF!</v>
      </c>
      <c r="T58" t="e">
        <f>AND(#REF!,"AAAAAH/9eRM=")</f>
        <v>#REF!</v>
      </c>
      <c r="U58" t="e">
        <f>AND(#REF!,"AAAAAH/9eRQ=")</f>
        <v>#REF!</v>
      </c>
      <c r="V58" t="e">
        <f>AND(#REF!,"AAAAAH/9eRU=")</f>
        <v>#REF!</v>
      </c>
      <c r="W58" t="e">
        <f>AND(#REF!,"AAAAAH/9eRY=")</f>
        <v>#REF!</v>
      </c>
      <c r="X58" t="e">
        <f>AND(#REF!,"AAAAAH/9eRc=")</f>
        <v>#REF!</v>
      </c>
      <c r="Y58" t="e">
        <f>IF(#REF!,"AAAAAH/9eRg=",0)</f>
        <v>#REF!</v>
      </c>
      <c r="Z58" t="e">
        <f>AND(#REF!,"AAAAAH/9eRk=")</f>
        <v>#REF!</v>
      </c>
      <c r="AA58" t="e">
        <f>AND(#REF!,"AAAAAH/9eRo=")</f>
        <v>#REF!</v>
      </c>
      <c r="AB58" t="e">
        <f>AND(#REF!,"AAAAAH/9eRs=")</f>
        <v>#REF!</v>
      </c>
      <c r="AC58" t="e">
        <f>AND(#REF!,"AAAAAH/9eRw=")</f>
        <v>#REF!</v>
      </c>
      <c r="AD58" t="e">
        <f>AND(#REF!,"AAAAAH/9eR0=")</f>
        <v>#REF!</v>
      </c>
      <c r="AE58" t="e">
        <f>AND(#REF!,"AAAAAH/9eR4=")</f>
        <v>#REF!</v>
      </c>
      <c r="AF58" t="e">
        <f>AND(#REF!,"AAAAAH/9eR8=")</f>
        <v>#REF!</v>
      </c>
      <c r="AG58" t="e">
        <f>AND(#REF!,"AAAAAH/9eSA=")</f>
        <v>#REF!</v>
      </c>
      <c r="AH58" t="e">
        <f>AND(#REF!,"AAAAAH/9eSE=")</f>
        <v>#REF!</v>
      </c>
      <c r="AI58" t="e">
        <f>AND(#REF!,"AAAAAH/9eSI=")</f>
        <v>#REF!</v>
      </c>
      <c r="AJ58" t="e">
        <f>AND(#REF!,"AAAAAH/9eSM=")</f>
        <v>#REF!</v>
      </c>
      <c r="AK58" t="e">
        <f>AND(#REF!,"AAAAAH/9eSQ=")</f>
        <v>#REF!</v>
      </c>
      <c r="AL58" t="e">
        <f>AND(#REF!,"AAAAAH/9eSU=")</f>
        <v>#REF!</v>
      </c>
      <c r="AM58" t="e">
        <f>AND(#REF!,"AAAAAH/9eSY=")</f>
        <v>#REF!</v>
      </c>
      <c r="AN58" t="e">
        <f>AND(#REF!,"AAAAAH/9eSc=")</f>
        <v>#REF!</v>
      </c>
      <c r="AO58" t="e">
        <f>AND(#REF!,"AAAAAH/9eSg=")</f>
        <v>#REF!</v>
      </c>
      <c r="AP58" t="e">
        <f>AND(#REF!,"AAAAAH/9eSk=")</f>
        <v>#REF!</v>
      </c>
      <c r="AQ58" t="e">
        <f>AND(#REF!,"AAAAAH/9eSo=")</f>
        <v>#REF!</v>
      </c>
      <c r="AR58" t="e">
        <f>AND(#REF!,"AAAAAH/9eSs=")</f>
        <v>#REF!</v>
      </c>
      <c r="AS58" t="e">
        <f>AND(#REF!,"AAAAAH/9eSw=")</f>
        <v>#REF!</v>
      </c>
      <c r="AT58" t="e">
        <f>AND(#REF!,"AAAAAH/9eS0=")</f>
        <v>#REF!</v>
      </c>
      <c r="AU58" t="e">
        <f>AND(#REF!,"AAAAAH/9eS4=")</f>
        <v>#REF!</v>
      </c>
      <c r="AV58" t="e">
        <f>AND(#REF!,"AAAAAH/9eS8=")</f>
        <v>#REF!</v>
      </c>
      <c r="AW58" t="e">
        <f>AND(#REF!,"AAAAAH/9eTA=")</f>
        <v>#REF!</v>
      </c>
      <c r="AX58" t="e">
        <f>AND(#REF!,"AAAAAH/9eTE=")</f>
        <v>#REF!</v>
      </c>
      <c r="AY58" t="e">
        <f>AND(#REF!,"AAAAAH/9eTI=")</f>
        <v>#REF!</v>
      </c>
      <c r="AZ58" t="e">
        <f>AND(#REF!,"AAAAAH/9eTM=")</f>
        <v>#REF!</v>
      </c>
      <c r="BA58" t="e">
        <f>AND(#REF!,"AAAAAH/9eTQ=")</f>
        <v>#REF!</v>
      </c>
      <c r="BB58" t="e">
        <f>AND(#REF!,"AAAAAH/9eTU=")</f>
        <v>#REF!</v>
      </c>
      <c r="BC58" t="e">
        <f>AND(#REF!,"AAAAAH/9eTY=")</f>
        <v>#REF!</v>
      </c>
      <c r="BD58" t="e">
        <f>AND(#REF!,"AAAAAH/9eTc=")</f>
        <v>#REF!</v>
      </c>
      <c r="BE58" t="e">
        <f>AND(#REF!,"AAAAAH/9eTg=")</f>
        <v>#REF!</v>
      </c>
      <c r="BF58" t="e">
        <f>AND(#REF!,"AAAAAH/9eTk=")</f>
        <v>#REF!</v>
      </c>
      <c r="BG58" t="e">
        <f>AND(#REF!,"AAAAAH/9eTo=")</f>
        <v>#REF!</v>
      </c>
      <c r="BH58" t="e">
        <f>AND(#REF!,"AAAAAH/9eTs=")</f>
        <v>#REF!</v>
      </c>
      <c r="BI58" t="e">
        <f>IF(#REF!,"AAAAAH/9eTw=",0)</f>
        <v>#REF!</v>
      </c>
      <c r="BJ58" t="e">
        <f>AND(#REF!,"AAAAAH/9eT0=")</f>
        <v>#REF!</v>
      </c>
      <c r="BK58" t="e">
        <f>AND(#REF!,"AAAAAH/9eT4=")</f>
        <v>#REF!</v>
      </c>
      <c r="BL58" t="e">
        <f>AND(#REF!,"AAAAAH/9eT8=")</f>
        <v>#REF!</v>
      </c>
      <c r="BM58" t="e">
        <f>AND(#REF!,"AAAAAH/9eUA=")</f>
        <v>#REF!</v>
      </c>
      <c r="BN58" t="e">
        <f>AND(#REF!,"AAAAAH/9eUE=")</f>
        <v>#REF!</v>
      </c>
      <c r="BO58" t="e">
        <f>AND(#REF!,"AAAAAH/9eUI=")</f>
        <v>#REF!</v>
      </c>
      <c r="BP58" t="e">
        <f>AND(#REF!,"AAAAAH/9eUM=")</f>
        <v>#REF!</v>
      </c>
      <c r="BQ58" t="e">
        <f>AND(#REF!,"AAAAAH/9eUQ=")</f>
        <v>#REF!</v>
      </c>
      <c r="BR58" t="e">
        <f>AND(#REF!,"AAAAAH/9eUU=")</f>
        <v>#REF!</v>
      </c>
      <c r="BS58" t="e">
        <f>AND(#REF!,"AAAAAH/9eUY=")</f>
        <v>#REF!</v>
      </c>
      <c r="BT58" t="e">
        <f>AND(#REF!,"AAAAAH/9eUc=")</f>
        <v>#REF!</v>
      </c>
      <c r="BU58" t="e">
        <f>AND(#REF!,"AAAAAH/9eUg=")</f>
        <v>#REF!</v>
      </c>
      <c r="BV58" t="e">
        <f>AND(#REF!,"AAAAAH/9eUk=")</f>
        <v>#REF!</v>
      </c>
      <c r="BW58" t="e">
        <f>AND(#REF!,"AAAAAH/9eUo=")</f>
        <v>#REF!</v>
      </c>
      <c r="BX58" t="e">
        <f>AND(#REF!,"AAAAAH/9eUs=")</f>
        <v>#REF!</v>
      </c>
      <c r="BY58" t="e">
        <f>AND(#REF!,"AAAAAH/9eUw=")</f>
        <v>#REF!</v>
      </c>
      <c r="BZ58" t="e">
        <f>AND(#REF!,"AAAAAH/9eU0=")</f>
        <v>#REF!</v>
      </c>
      <c r="CA58" t="e">
        <f>AND(#REF!,"AAAAAH/9eU4=")</f>
        <v>#REF!</v>
      </c>
      <c r="CB58" t="e">
        <f>AND(#REF!,"AAAAAH/9eU8=")</f>
        <v>#REF!</v>
      </c>
      <c r="CC58" t="e">
        <f>AND(#REF!,"AAAAAH/9eVA=")</f>
        <v>#REF!</v>
      </c>
      <c r="CD58" t="e">
        <f>AND(#REF!,"AAAAAH/9eVE=")</f>
        <v>#REF!</v>
      </c>
      <c r="CE58" t="e">
        <f>AND(#REF!,"AAAAAH/9eVI=")</f>
        <v>#REF!</v>
      </c>
      <c r="CF58" t="e">
        <f>AND(#REF!,"AAAAAH/9eVM=")</f>
        <v>#REF!</v>
      </c>
      <c r="CG58" t="e">
        <f>AND(#REF!,"AAAAAH/9eVQ=")</f>
        <v>#REF!</v>
      </c>
      <c r="CH58" t="e">
        <f>AND(#REF!,"AAAAAH/9eVU=")</f>
        <v>#REF!</v>
      </c>
      <c r="CI58" t="e">
        <f>AND(#REF!,"AAAAAH/9eVY=")</f>
        <v>#REF!</v>
      </c>
      <c r="CJ58" t="e">
        <f>AND(#REF!,"AAAAAH/9eVc=")</f>
        <v>#REF!</v>
      </c>
      <c r="CK58" t="e">
        <f>AND(#REF!,"AAAAAH/9eVg=")</f>
        <v>#REF!</v>
      </c>
      <c r="CL58" t="e">
        <f>AND(#REF!,"AAAAAH/9eVk=")</f>
        <v>#REF!</v>
      </c>
      <c r="CM58" t="e">
        <f>AND(#REF!,"AAAAAH/9eVo=")</f>
        <v>#REF!</v>
      </c>
      <c r="CN58" t="e">
        <f>AND(#REF!,"AAAAAH/9eVs=")</f>
        <v>#REF!</v>
      </c>
      <c r="CO58" t="e">
        <f>AND(#REF!,"AAAAAH/9eVw=")</f>
        <v>#REF!</v>
      </c>
      <c r="CP58" t="e">
        <f>AND(#REF!,"AAAAAH/9eV0=")</f>
        <v>#REF!</v>
      </c>
      <c r="CQ58" t="e">
        <f>AND(#REF!,"AAAAAH/9eV4=")</f>
        <v>#REF!</v>
      </c>
      <c r="CR58" t="e">
        <f>AND(#REF!,"AAAAAH/9eV8=")</f>
        <v>#REF!</v>
      </c>
      <c r="CS58" t="e">
        <f>IF(#REF!,"AAAAAH/9eWA=",0)</f>
        <v>#REF!</v>
      </c>
      <c r="CT58" t="e">
        <f>AND(#REF!,"AAAAAH/9eWE=")</f>
        <v>#REF!</v>
      </c>
      <c r="CU58" t="e">
        <f>AND(#REF!,"AAAAAH/9eWI=")</f>
        <v>#REF!</v>
      </c>
      <c r="CV58" t="e">
        <f>AND(#REF!,"AAAAAH/9eWM=")</f>
        <v>#REF!</v>
      </c>
      <c r="CW58" t="e">
        <f>AND(#REF!,"AAAAAH/9eWQ=")</f>
        <v>#REF!</v>
      </c>
      <c r="CX58" t="e">
        <f>AND(#REF!,"AAAAAH/9eWU=")</f>
        <v>#REF!</v>
      </c>
      <c r="CY58" t="e">
        <f>AND(#REF!,"AAAAAH/9eWY=")</f>
        <v>#REF!</v>
      </c>
      <c r="CZ58" t="e">
        <f>AND(#REF!,"AAAAAH/9eWc=")</f>
        <v>#REF!</v>
      </c>
      <c r="DA58" t="e">
        <f>AND(#REF!,"AAAAAH/9eWg=")</f>
        <v>#REF!</v>
      </c>
      <c r="DB58" t="e">
        <f>AND(#REF!,"AAAAAH/9eWk=")</f>
        <v>#REF!</v>
      </c>
      <c r="DC58" t="e">
        <f>AND(#REF!,"AAAAAH/9eWo=")</f>
        <v>#REF!</v>
      </c>
      <c r="DD58" t="e">
        <f>AND(#REF!,"AAAAAH/9eWs=")</f>
        <v>#REF!</v>
      </c>
      <c r="DE58" t="e">
        <f>AND(#REF!,"AAAAAH/9eWw=")</f>
        <v>#REF!</v>
      </c>
      <c r="DF58" t="e">
        <f>AND(#REF!,"AAAAAH/9eW0=")</f>
        <v>#REF!</v>
      </c>
      <c r="DG58" t="e">
        <f>AND(#REF!,"AAAAAH/9eW4=")</f>
        <v>#REF!</v>
      </c>
      <c r="DH58" t="e">
        <f>AND(#REF!,"AAAAAH/9eW8=")</f>
        <v>#REF!</v>
      </c>
      <c r="DI58" t="e">
        <f>AND(#REF!,"AAAAAH/9eXA=")</f>
        <v>#REF!</v>
      </c>
      <c r="DJ58" t="e">
        <f>AND(#REF!,"AAAAAH/9eXE=")</f>
        <v>#REF!</v>
      </c>
      <c r="DK58" t="e">
        <f>AND(#REF!,"AAAAAH/9eXI=")</f>
        <v>#REF!</v>
      </c>
      <c r="DL58" t="e">
        <f>AND(#REF!,"AAAAAH/9eXM=")</f>
        <v>#REF!</v>
      </c>
      <c r="DM58" t="e">
        <f>AND(#REF!,"AAAAAH/9eXQ=")</f>
        <v>#REF!</v>
      </c>
      <c r="DN58" t="e">
        <f>AND(#REF!,"AAAAAH/9eXU=")</f>
        <v>#REF!</v>
      </c>
      <c r="DO58" t="e">
        <f>AND(#REF!,"AAAAAH/9eXY=")</f>
        <v>#REF!</v>
      </c>
      <c r="DP58" t="e">
        <f>AND(#REF!,"AAAAAH/9eXc=")</f>
        <v>#REF!</v>
      </c>
      <c r="DQ58" t="e">
        <f>AND(#REF!,"AAAAAH/9eXg=")</f>
        <v>#REF!</v>
      </c>
      <c r="DR58" t="e">
        <f>AND(#REF!,"AAAAAH/9eXk=")</f>
        <v>#REF!</v>
      </c>
      <c r="DS58" t="e">
        <f>AND(#REF!,"AAAAAH/9eXo=")</f>
        <v>#REF!</v>
      </c>
      <c r="DT58" t="e">
        <f>AND(#REF!,"AAAAAH/9eXs=")</f>
        <v>#REF!</v>
      </c>
      <c r="DU58" t="e">
        <f>AND(#REF!,"AAAAAH/9eXw=")</f>
        <v>#REF!</v>
      </c>
      <c r="DV58" t="e">
        <f>AND(#REF!,"AAAAAH/9eX0=")</f>
        <v>#REF!</v>
      </c>
      <c r="DW58" t="e">
        <f>AND(#REF!,"AAAAAH/9eX4=")</f>
        <v>#REF!</v>
      </c>
      <c r="DX58" t="e">
        <f>AND(#REF!,"AAAAAH/9eX8=")</f>
        <v>#REF!</v>
      </c>
      <c r="DY58" t="e">
        <f>AND(#REF!,"AAAAAH/9eYA=")</f>
        <v>#REF!</v>
      </c>
      <c r="DZ58" t="e">
        <f>AND(#REF!,"AAAAAH/9eYE=")</f>
        <v>#REF!</v>
      </c>
      <c r="EA58" t="e">
        <f>AND(#REF!,"AAAAAH/9eYI=")</f>
        <v>#REF!</v>
      </c>
      <c r="EB58" t="e">
        <f>AND(#REF!,"AAAAAH/9eYM=")</f>
        <v>#REF!</v>
      </c>
      <c r="EC58" t="e">
        <f>IF(#REF!,"AAAAAH/9eYQ=",0)</f>
        <v>#REF!</v>
      </c>
      <c r="ED58" t="e">
        <f>AND(#REF!,"AAAAAH/9eYU=")</f>
        <v>#REF!</v>
      </c>
      <c r="EE58" t="e">
        <f>AND(#REF!,"AAAAAH/9eYY=")</f>
        <v>#REF!</v>
      </c>
      <c r="EF58" t="e">
        <f>AND(#REF!,"AAAAAH/9eYc=")</f>
        <v>#REF!</v>
      </c>
      <c r="EG58" t="e">
        <f>AND(#REF!,"AAAAAH/9eYg=")</f>
        <v>#REF!</v>
      </c>
      <c r="EH58" t="e">
        <f>AND(#REF!,"AAAAAH/9eYk=")</f>
        <v>#REF!</v>
      </c>
      <c r="EI58" t="e">
        <f>AND(#REF!,"AAAAAH/9eYo=")</f>
        <v>#REF!</v>
      </c>
      <c r="EJ58" t="e">
        <f>AND(#REF!,"AAAAAH/9eYs=")</f>
        <v>#REF!</v>
      </c>
      <c r="EK58" t="e">
        <f>AND(#REF!,"AAAAAH/9eYw=")</f>
        <v>#REF!</v>
      </c>
      <c r="EL58" t="e">
        <f>AND(#REF!,"AAAAAH/9eY0=")</f>
        <v>#REF!</v>
      </c>
      <c r="EM58" t="e">
        <f>AND(#REF!,"AAAAAH/9eY4=")</f>
        <v>#REF!</v>
      </c>
      <c r="EN58" t="e">
        <f>AND(#REF!,"AAAAAH/9eY8=")</f>
        <v>#REF!</v>
      </c>
      <c r="EO58" t="e">
        <f>AND(#REF!,"AAAAAH/9eZA=")</f>
        <v>#REF!</v>
      </c>
      <c r="EP58" t="e">
        <f>AND(#REF!,"AAAAAH/9eZE=")</f>
        <v>#REF!</v>
      </c>
      <c r="EQ58" t="e">
        <f>AND(#REF!,"AAAAAH/9eZI=")</f>
        <v>#REF!</v>
      </c>
      <c r="ER58" t="e">
        <f>AND(#REF!,"AAAAAH/9eZM=")</f>
        <v>#REF!</v>
      </c>
      <c r="ES58" t="e">
        <f>AND(#REF!,"AAAAAH/9eZQ=")</f>
        <v>#REF!</v>
      </c>
      <c r="ET58" t="e">
        <f>AND(#REF!,"AAAAAH/9eZU=")</f>
        <v>#REF!</v>
      </c>
      <c r="EU58" t="e">
        <f>AND(#REF!,"AAAAAH/9eZY=")</f>
        <v>#REF!</v>
      </c>
      <c r="EV58" t="e">
        <f>AND(#REF!,"AAAAAH/9eZc=")</f>
        <v>#REF!</v>
      </c>
      <c r="EW58" t="e">
        <f>AND(#REF!,"AAAAAH/9eZg=")</f>
        <v>#REF!</v>
      </c>
      <c r="EX58" t="e">
        <f>AND(#REF!,"AAAAAH/9eZk=")</f>
        <v>#REF!</v>
      </c>
      <c r="EY58" t="e">
        <f>AND(#REF!,"AAAAAH/9eZo=")</f>
        <v>#REF!</v>
      </c>
      <c r="EZ58" t="e">
        <f>AND(#REF!,"AAAAAH/9eZs=")</f>
        <v>#REF!</v>
      </c>
      <c r="FA58" t="e">
        <f>AND(#REF!,"AAAAAH/9eZw=")</f>
        <v>#REF!</v>
      </c>
      <c r="FB58" t="e">
        <f>AND(#REF!,"AAAAAH/9eZ0=")</f>
        <v>#REF!</v>
      </c>
      <c r="FC58" t="e">
        <f>AND(#REF!,"AAAAAH/9eZ4=")</f>
        <v>#REF!</v>
      </c>
      <c r="FD58" t="e">
        <f>AND(#REF!,"AAAAAH/9eZ8=")</f>
        <v>#REF!</v>
      </c>
      <c r="FE58" t="e">
        <f>AND(#REF!,"AAAAAH/9eaA=")</f>
        <v>#REF!</v>
      </c>
      <c r="FF58" t="e">
        <f>AND(#REF!,"AAAAAH/9eaE=")</f>
        <v>#REF!</v>
      </c>
      <c r="FG58" t="e">
        <f>AND(#REF!,"AAAAAH/9eaI=")</f>
        <v>#REF!</v>
      </c>
      <c r="FH58" t="e">
        <f>AND(#REF!,"AAAAAH/9eaM=")</f>
        <v>#REF!</v>
      </c>
      <c r="FI58" t="e">
        <f>AND(#REF!,"AAAAAH/9eaQ=")</f>
        <v>#REF!</v>
      </c>
      <c r="FJ58" t="e">
        <f>AND(#REF!,"AAAAAH/9eaU=")</f>
        <v>#REF!</v>
      </c>
      <c r="FK58" t="e">
        <f>AND(#REF!,"AAAAAH/9eaY=")</f>
        <v>#REF!</v>
      </c>
      <c r="FL58" t="e">
        <f>AND(#REF!,"AAAAAH/9eac=")</f>
        <v>#REF!</v>
      </c>
      <c r="FM58" t="e">
        <f>IF(#REF!,"AAAAAH/9eag=",0)</f>
        <v>#REF!</v>
      </c>
      <c r="FN58" t="e">
        <f>IF(#REF!,"AAAAAH/9eak=",0)</f>
        <v>#REF!</v>
      </c>
      <c r="FO58" t="e">
        <f>IF(#REF!,"AAAAAH/9eao=",0)</f>
        <v>#REF!</v>
      </c>
      <c r="FP58" t="e">
        <f>IF(#REF!,"AAAAAH/9eas=",0)</f>
        <v>#REF!</v>
      </c>
      <c r="FQ58" t="e">
        <f>IF(#REF!,"AAAAAH/9eaw=",0)</f>
        <v>#REF!</v>
      </c>
      <c r="FR58" t="e">
        <f>IF(#REF!,"AAAAAH/9ea0=",0)</f>
        <v>#REF!</v>
      </c>
      <c r="FS58" t="e">
        <f>IF(#REF!,"AAAAAH/9ea4=",0)</f>
        <v>#REF!</v>
      </c>
      <c r="FT58" t="e">
        <f>IF(#REF!,"AAAAAH/9ea8=",0)</f>
        <v>#REF!</v>
      </c>
      <c r="FU58" t="e">
        <f>IF(#REF!,"AAAAAH/9ebA=",0)</f>
        <v>#REF!</v>
      </c>
      <c r="FV58" t="e">
        <f>IF(#REF!,"AAAAAH/9ebE=",0)</f>
        <v>#REF!</v>
      </c>
      <c r="FW58" t="e">
        <f>IF(#REF!,"AAAAAH/9ebI=",0)</f>
        <v>#REF!</v>
      </c>
      <c r="FX58" t="e">
        <f>IF(#REF!,"AAAAAH/9ebM=",0)</f>
        <v>#REF!</v>
      </c>
      <c r="FY58" t="e">
        <f>IF(#REF!,"AAAAAH/9ebQ=",0)</f>
        <v>#REF!</v>
      </c>
      <c r="FZ58" t="e">
        <f>IF(#REF!,"AAAAAH/9ebU=",0)</f>
        <v>#REF!</v>
      </c>
      <c r="GA58" t="e">
        <f>IF(#REF!,"AAAAAH/9ebY=",0)</f>
        <v>#REF!</v>
      </c>
      <c r="GB58" t="e">
        <f>IF(#REF!,"AAAAAH/9ebc=",0)</f>
        <v>#REF!</v>
      </c>
      <c r="GC58" t="e">
        <f>IF(#REF!,"AAAAAH/9ebg=",0)</f>
        <v>#REF!</v>
      </c>
      <c r="GD58" t="e">
        <f>IF(#REF!,"AAAAAH/9ebk=",0)</f>
        <v>#REF!</v>
      </c>
      <c r="GE58" t="e">
        <f>IF(#REF!,"AAAAAH/9ebo=",0)</f>
        <v>#REF!</v>
      </c>
      <c r="GF58" t="e">
        <f>IF(#REF!,"AAAAAH/9ebs=",0)</f>
        <v>#REF!</v>
      </c>
      <c r="GG58" t="e">
        <f>IF(#REF!,"AAAAAH/9ebw=",0)</f>
        <v>#REF!</v>
      </c>
      <c r="GH58" t="e">
        <f>IF(#REF!,"AAAAAH/9eb0=",0)</f>
        <v>#REF!</v>
      </c>
      <c r="GI58" t="e">
        <f>IF(#REF!,"AAAAAH/9eb4=",0)</f>
        <v>#REF!</v>
      </c>
      <c r="GJ58" t="e">
        <f>IF(#REF!,"AAAAAH/9eb8=",0)</f>
        <v>#REF!</v>
      </c>
      <c r="GK58" t="e">
        <f>IF(#REF!,"AAAAAH/9ecA=",0)</f>
        <v>#REF!</v>
      </c>
      <c r="GL58" t="e">
        <f>IF(#REF!,"AAAAAH/9ecE=",0)</f>
        <v>#REF!</v>
      </c>
      <c r="GM58" t="e">
        <f>IF(#REF!,"AAAAAH/9ecI=",0)</f>
        <v>#REF!</v>
      </c>
      <c r="GN58" t="e">
        <f>IF(#REF!,"AAAAAH/9ecM=",0)</f>
        <v>#REF!</v>
      </c>
      <c r="GO58" t="e">
        <f>IF(#REF!,"AAAAAH/9ecQ=",0)</f>
        <v>#REF!</v>
      </c>
      <c r="GP58" t="e">
        <f>IF(#REF!,"AAAAAH/9ecU=",0)</f>
        <v>#REF!</v>
      </c>
      <c r="GQ58" t="e">
        <f>IF(#REF!,"AAAAAH/9ecY=",0)</f>
        <v>#REF!</v>
      </c>
      <c r="GR58" t="e">
        <f>IF(#REF!,"AAAAAH/9ecc=",0)</f>
        <v>#REF!</v>
      </c>
      <c r="GS58" t="e">
        <f>IF(#REF!,"AAAAAH/9ecg=",0)</f>
        <v>#REF!</v>
      </c>
      <c r="GT58" t="e">
        <f>IF(#REF!,"AAAAAH/9eck=",0)</f>
        <v>#REF!</v>
      </c>
      <c r="GU58" t="e">
        <f>IF(#REF!,"AAAAAH/9eco=",0)</f>
        <v>#REF!</v>
      </c>
      <c r="GV58" t="e">
        <f>IF(#REF!,"AAAAAH/9ecs=",0)</f>
        <v>#REF!</v>
      </c>
      <c r="GW58" t="e">
        <f>IF(#REF!,"AAAAAH/9ecw=",0)</f>
        <v>#REF!</v>
      </c>
      <c r="GX58" t="e">
        <f>IF(#REF!,"AAAAAH/9ec0=",0)</f>
        <v>#REF!</v>
      </c>
      <c r="GY58" t="e">
        <f>IF(#REF!,"AAAAAH/9ec4=",0)</f>
        <v>#REF!</v>
      </c>
      <c r="GZ58" t="e">
        <f>IF(#REF!,"AAAAAH/9ec8=",0)</f>
        <v>#REF!</v>
      </c>
      <c r="HA58" t="e">
        <f>IF(#REF!,"AAAAAH/9edA=",0)</f>
        <v>#REF!</v>
      </c>
      <c r="HB58" t="e">
        <f>IF(#REF!,"AAAAAH/9edE=",0)</f>
        <v>#REF!</v>
      </c>
      <c r="HC58" t="e">
        <f>IF(#REF!,"AAAAAH/9edI=",0)</f>
        <v>#REF!</v>
      </c>
      <c r="HD58" t="e">
        <f>IF(#REF!,"AAAAAH/9edM=",0)</f>
        <v>#REF!</v>
      </c>
      <c r="HE58" t="e">
        <f>IF(#REF!,"AAAAAH/9edQ=",0)</f>
        <v>#REF!</v>
      </c>
      <c r="HF58" t="e">
        <f>IF(#REF!,"AAAAAH/9edU=",0)</f>
        <v>#REF!</v>
      </c>
      <c r="HG58" t="e">
        <f>IF(#REF!,"AAAAAH/9edY=",0)</f>
        <v>#REF!</v>
      </c>
      <c r="HH58" t="e">
        <f>IF(#REF!,"AAAAAH/9edc=",0)</f>
        <v>#REF!</v>
      </c>
      <c r="HI58" t="e">
        <f>IF(#REF!,"AAAAAH/9edg=",0)</f>
        <v>#REF!</v>
      </c>
      <c r="HJ58" t="e">
        <f>IF(#REF!,"AAAAAH/9edk=",0)</f>
        <v>#REF!</v>
      </c>
      <c r="HK58" t="e">
        <f>IF(#REF!,"AAAAAH/9edo=",0)</f>
        <v>#REF!</v>
      </c>
      <c r="HL58" t="e">
        <f>IF(#REF!,"AAAAAH/9eds=",0)</f>
        <v>#REF!</v>
      </c>
      <c r="HM58" t="e">
        <f>IF(#REF!,"AAAAAH/9edw=",0)</f>
        <v>#REF!</v>
      </c>
      <c r="HN58" t="e">
        <f>IF(#REF!,"AAAAAH/9ed0=",0)</f>
        <v>#REF!</v>
      </c>
      <c r="HO58" t="e">
        <f>IF(#REF!,"AAAAAH/9ed4=",0)</f>
        <v>#REF!</v>
      </c>
      <c r="HP58" t="e">
        <f>IF(#REF!,"AAAAAH/9ed8=",0)</f>
        <v>#REF!</v>
      </c>
      <c r="HQ58" t="e">
        <f>IF(#REF!,"AAAAAH/9eeA=",0)</f>
        <v>#REF!</v>
      </c>
      <c r="HR58" t="e">
        <f>AND(#REF!,"AAAAAH/9eeE=")</f>
        <v>#REF!</v>
      </c>
      <c r="HS58" t="e">
        <f>AND(#REF!,"AAAAAH/9eeI=")</f>
        <v>#REF!</v>
      </c>
      <c r="HT58" t="e">
        <f>AND(#REF!,"AAAAAH/9eeM=")</f>
        <v>#REF!</v>
      </c>
      <c r="HU58" t="e">
        <f>AND(#REF!,"AAAAAH/9eeQ=")</f>
        <v>#REF!</v>
      </c>
      <c r="HV58" t="e">
        <f>AND(#REF!,"AAAAAH/9eeU=")</f>
        <v>#REF!</v>
      </c>
      <c r="HW58" t="e">
        <f>AND(#REF!,"AAAAAH/9eeY=")</f>
        <v>#REF!</v>
      </c>
      <c r="HX58" t="e">
        <f>AND(#REF!,"AAAAAH/9eec=")</f>
        <v>#REF!</v>
      </c>
      <c r="HY58" t="e">
        <f>AND(#REF!,"AAAAAH/9eeg=")</f>
        <v>#REF!</v>
      </c>
      <c r="HZ58" t="e">
        <f>AND(#REF!,"AAAAAH/9eek=")</f>
        <v>#REF!</v>
      </c>
      <c r="IA58" t="e">
        <f>AND(#REF!,"AAAAAH/9eeo=")</f>
        <v>#REF!</v>
      </c>
      <c r="IB58" t="e">
        <f>AND(#REF!,"AAAAAH/9ees=")</f>
        <v>#REF!</v>
      </c>
      <c r="IC58" t="e">
        <f>AND(#REF!,"AAAAAH/9eew=")</f>
        <v>#REF!</v>
      </c>
      <c r="ID58" t="e">
        <f>AND(#REF!,"AAAAAH/9ee0=")</f>
        <v>#REF!</v>
      </c>
      <c r="IE58" t="e">
        <f>AND(#REF!,"AAAAAH/9ee4=")</f>
        <v>#REF!</v>
      </c>
      <c r="IF58" t="e">
        <f>AND(#REF!,"AAAAAH/9ee8=")</f>
        <v>#REF!</v>
      </c>
      <c r="IG58" t="e">
        <f>AND(#REF!,"AAAAAH/9efA=")</f>
        <v>#REF!</v>
      </c>
      <c r="IH58" t="e">
        <f>AND(#REF!,"AAAAAH/9efE=")</f>
        <v>#REF!</v>
      </c>
      <c r="II58" t="e">
        <f>AND(#REF!,"AAAAAH/9efI=")</f>
        <v>#REF!</v>
      </c>
      <c r="IJ58" t="e">
        <f>AND(#REF!,"AAAAAH/9efM=")</f>
        <v>#REF!</v>
      </c>
      <c r="IK58" t="e">
        <f>AND(#REF!,"AAAAAH/9efQ=")</f>
        <v>#REF!</v>
      </c>
      <c r="IL58" t="e">
        <f>AND(#REF!,"AAAAAH/9efU=")</f>
        <v>#REF!</v>
      </c>
      <c r="IM58" t="e">
        <f>AND(#REF!,"AAAAAH/9efY=")</f>
        <v>#REF!</v>
      </c>
      <c r="IN58" t="e">
        <f>AND(#REF!,"AAAAAH/9efc=")</f>
        <v>#REF!</v>
      </c>
      <c r="IO58" t="e">
        <f>AND(#REF!,"AAAAAH/9efg=")</f>
        <v>#REF!</v>
      </c>
      <c r="IP58" t="e">
        <f>AND(#REF!,"AAAAAH/9efk=")</f>
        <v>#REF!</v>
      </c>
      <c r="IQ58" t="e">
        <f>AND(#REF!,"AAAAAH/9efo=")</f>
        <v>#REF!</v>
      </c>
      <c r="IR58" t="e">
        <f>AND(#REF!,"AAAAAH/9efs=")</f>
        <v>#REF!</v>
      </c>
      <c r="IS58" t="e">
        <f>AND(#REF!,"AAAAAH/9efw=")</f>
        <v>#REF!</v>
      </c>
      <c r="IT58" t="e">
        <f>AND(#REF!,"AAAAAH/9ef0=")</f>
        <v>#REF!</v>
      </c>
      <c r="IU58" t="e">
        <f>AND(#REF!,"AAAAAH/9ef4=")</f>
        <v>#REF!</v>
      </c>
      <c r="IV58" t="e">
        <f>AND(#REF!,"AAAAAH/9ef8=")</f>
        <v>#REF!</v>
      </c>
    </row>
    <row r="59" spans="1:256">
      <c r="A59" t="e">
        <f>AND(#REF!,"AAAAAGd/1wA=")</f>
        <v>#REF!</v>
      </c>
      <c r="B59" t="e">
        <f>AND(#REF!,"AAAAAGd/1wE=")</f>
        <v>#REF!</v>
      </c>
      <c r="C59" t="e">
        <f>AND(#REF!,"AAAAAGd/1wI=")</f>
        <v>#REF!</v>
      </c>
      <c r="D59" t="e">
        <f>AND(#REF!,"AAAAAGd/1wM=")</f>
        <v>#REF!</v>
      </c>
      <c r="E59" t="e">
        <f>IF(#REF!,"AAAAAGd/1wQ=",0)</f>
        <v>#REF!</v>
      </c>
      <c r="F59" t="e">
        <f>AND(#REF!,"AAAAAGd/1wU=")</f>
        <v>#REF!</v>
      </c>
      <c r="G59" t="e">
        <f>AND(#REF!,"AAAAAGd/1wY=")</f>
        <v>#REF!</v>
      </c>
      <c r="H59" t="e">
        <f>AND(#REF!,"AAAAAGd/1wc=")</f>
        <v>#REF!</v>
      </c>
      <c r="I59" t="e">
        <f>AND(#REF!,"AAAAAGd/1wg=")</f>
        <v>#REF!</v>
      </c>
      <c r="J59" t="e">
        <f>AND(#REF!,"AAAAAGd/1wk=")</f>
        <v>#REF!</v>
      </c>
      <c r="K59" t="e">
        <f>AND(#REF!,"AAAAAGd/1wo=")</f>
        <v>#REF!</v>
      </c>
      <c r="L59" t="e">
        <f>AND(#REF!,"AAAAAGd/1ws=")</f>
        <v>#REF!</v>
      </c>
      <c r="M59" t="e">
        <f>AND(#REF!,"AAAAAGd/1ww=")</f>
        <v>#REF!</v>
      </c>
      <c r="N59" t="e">
        <f>AND(#REF!,"AAAAAGd/1w0=")</f>
        <v>#REF!</v>
      </c>
      <c r="O59" t="e">
        <f>AND(#REF!,"AAAAAGd/1w4=")</f>
        <v>#REF!</v>
      </c>
      <c r="P59" t="e">
        <f>AND(#REF!,"AAAAAGd/1w8=")</f>
        <v>#REF!</v>
      </c>
      <c r="Q59" t="e">
        <f>AND(#REF!,"AAAAAGd/1xA=")</f>
        <v>#REF!</v>
      </c>
      <c r="R59" t="e">
        <f>AND(#REF!,"AAAAAGd/1xE=")</f>
        <v>#REF!</v>
      </c>
      <c r="S59" t="e">
        <f>AND(#REF!,"AAAAAGd/1xI=")</f>
        <v>#REF!</v>
      </c>
      <c r="T59" t="e">
        <f>AND(#REF!,"AAAAAGd/1xM=")</f>
        <v>#REF!</v>
      </c>
      <c r="U59" t="e">
        <f>AND(#REF!,"AAAAAGd/1xQ=")</f>
        <v>#REF!</v>
      </c>
      <c r="V59" t="e">
        <f>AND(#REF!,"AAAAAGd/1xU=")</f>
        <v>#REF!</v>
      </c>
      <c r="W59" t="e">
        <f>AND(#REF!,"AAAAAGd/1xY=")</f>
        <v>#REF!</v>
      </c>
      <c r="X59" t="e">
        <f>AND(#REF!,"AAAAAGd/1xc=")</f>
        <v>#REF!</v>
      </c>
      <c r="Y59" t="e">
        <f>AND(#REF!,"AAAAAGd/1xg=")</f>
        <v>#REF!</v>
      </c>
      <c r="Z59" t="e">
        <f>AND(#REF!,"AAAAAGd/1xk=")</f>
        <v>#REF!</v>
      </c>
      <c r="AA59" t="e">
        <f>AND(#REF!,"AAAAAGd/1xo=")</f>
        <v>#REF!</v>
      </c>
      <c r="AB59" t="e">
        <f>AND(#REF!,"AAAAAGd/1xs=")</f>
        <v>#REF!</v>
      </c>
      <c r="AC59" t="e">
        <f>AND(#REF!,"AAAAAGd/1xw=")</f>
        <v>#REF!</v>
      </c>
      <c r="AD59" t="e">
        <f>AND(#REF!,"AAAAAGd/1x0=")</f>
        <v>#REF!</v>
      </c>
      <c r="AE59" t="e">
        <f>AND(#REF!,"AAAAAGd/1x4=")</f>
        <v>#REF!</v>
      </c>
      <c r="AF59" t="e">
        <f>AND(#REF!,"AAAAAGd/1x8=")</f>
        <v>#REF!</v>
      </c>
      <c r="AG59" t="e">
        <f>AND(#REF!,"AAAAAGd/1yA=")</f>
        <v>#REF!</v>
      </c>
      <c r="AH59" t="e">
        <f>AND(#REF!,"AAAAAGd/1yE=")</f>
        <v>#REF!</v>
      </c>
      <c r="AI59" t="e">
        <f>AND(#REF!,"AAAAAGd/1yI=")</f>
        <v>#REF!</v>
      </c>
      <c r="AJ59" t="e">
        <f>AND(#REF!,"AAAAAGd/1yM=")</f>
        <v>#REF!</v>
      </c>
      <c r="AK59" t="e">
        <f>AND(#REF!,"AAAAAGd/1yQ=")</f>
        <v>#REF!</v>
      </c>
      <c r="AL59" t="e">
        <f>AND(#REF!,"AAAAAGd/1yU=")</f>
        <v>#REF!</v>
      </c>
      <c r="AM59" t="e">
        <f>AND(#REF!,"AAAAAGd/1yY=")</f>
        <v>#REF!</v>
      </c>
      <c r="AN59" t="e">
        <f>AND(#REF!,"AAAAAGd/1yc=")</f>
        <v>#REF!</v>
      </c>
      <c r="AO59" t="e">
        <f>IF(#REF!,"AAAAAGd/1yg=",0)</f>
        <v>#REF!</v>
      </c>
      <c r="AP59" t="e">
        <f>AND(#REF!,"AAAAAGd/1yk=")</f>
        <v>#REF!</v>
      </c>
      <c r="AQ59" t="e">
        <f>AND(#REF!,"AAAAAGd/1yo=")</f>
        <v>#REF!</v>
      </c>
      <c r="AR59" t="e">
        <f>AND(#REF!,"AAAAAGd/1ys=")</f>
        <v>#REF!</v>
      </c>
      <c r="AS59" t="e">
        <f>AND(#REF!,"AAAAAGd/1yw=")</f>
        <v>#REF!</v>
      </c>
      <c r="AT59" t="e">
        <f>AND(#REF!,"AAAAAGd/1y0=")</f>
        <v>#REF!</v>
      </c>
      <c r="AU59" t="e">
        <f>AND(#REF!,"AAAAAGd/1y4=")</f>
        <v>#REF!</v>
      </c>
      <c r="AV59" t="e">
        <f>AND(#REF!,"AAAAAGd/1y8=")</f>
        <v>#REF!</v>
      </c>
      <c r="AW59" t="e">
        <f>AND(#REF!,"AAAAAGd/1zA=")</f>
        <v>#REF!</v>
      </c>
      <c r="AX59" t="e">
        <f>AND(#REF!,"AAAAAGd/1zE=")</f>
        <v>#REF!</v>
      </c>
      <c r="AY59" t="e">
        <f>AND(#REF!,"AAAAAGd/1zI=")</f>
        <v>#REF!</v>
      </c>
      <c r="AZ59" t="e">
        <f>AND(#REF!,"AAAAAGd/1zM=")</f>
        <v>#REF!</v>
      </c>
      <c r="BA59" t="e">
        <f>AND(#REF!,"AAAAAGd/1zQ=")</f>
        <v>#REF!</v>
      </c>
      <c r="BB59" t="e">
        <f>AND(#REF!,"AAAAAGd/1zU=")</f>
        <v>#REF!</v>
      </c>
      <c r="BC59" t="e">
        <f>AND(#REF!,"AAAAAGd/1zY=")</f>
        <v>#REF!</v>
      </c>
      <c r="BD59" t="e">
        <f>AND(#REF!,"AAAAAGd/1zc=")</f>
        <v>#REF!</v>
      </c>
      <c r="BE59" t="e">
        <f>AND(#REF!,"AAAAAGd/1zg=")</f>
        <v>#REF!</v>
      </c>
      <c r="BF59" t="e">
        <f>AND(#REF!,"AAAAAGd/1zk=")</f>
        <v>#REF!</v>
      </c>
      <c r="BG59" t="e">
        <f>AND(#REF!,"AAAAAGd/1zo=")</f>
        <v>#REF!</v>
      </c>
      <c r="BH59" t="e">
        <f>AND(#REF!,"AAAAAGd/1zs=")</f>
        <v>#REF!</v>
      </c>
      <c r="BI59" t="e">
        <f>AND(#REF!,"AAAAAGd/1zw=")</f>
        <v>#REF!</v>
      </c>
      <c r="BJ59" t="e">
        <f>AND(#REF!,"AAAAAGd/1z0=")</f>
        <v>#REF!</v>
      </c>
      <c r="BK59" t="e">
        <f>AND(#REF!,"AAAAAGd/1z4=")</f>
        <v>#REF!</v>
      </c>
      <c r="BL59" t="e">
        <f>AND(#REF!,"AAAAAGd/1z8=")</f>
        <v>#REF!</v>
      </c>
      <c r="BM59" t="e">
        <f>AND(#REF!,"AAAAAGd/10A=")</f>
        <v>#REF!</v>
      </c>
      <c r="BN59" t="e">
        <f>AND(#REF!,"AAAAAGd/10E=")</f>
        <v>#REF!</v>
      </c>
      <c r="BO59" t="e">
        <f>AND(#REF!,"AAAAAGd/10I=")</f>
        <v>#REF!</v>
      </c>
      <c r="BP59" t="e">
        <f>AND(#REF!,"AAAAAGd/10M=")</f>
        <v>#REF!</v>
      </c>
      <c r="BQ59" t="e">
        <f>AND(#REF!,"AAAAAGd/10Q=")</f>
        <v>#REF!</v>
      </c>
      <c r="BR59" t="e">
        <f>AND(#REF!,"AAAAAGd/10U=")</f>
        <v>#REF!</v>
      </c>
      <c r="BS59" t="e">
        <f>AND(#REF!,"AAAAAGd/10Y=")</f>
        <v>#REF!</v>
      </c>
      <c r="BT59" t="e">
        <f>AND(#REF!,"AAAAAGd/10c=")</f>
        <v>#REF!</v>
      </c>
      <c r="BU59" t="e">
        <f>AND(#REF!,"AAAAAGd/10g=")</f>
        <v>#REF!</v>
      </c>
      <c r="BV59" t="e">
        <f>AND(#REF!,"AAAAAGd/10k=")</f>
        <v>#REF!</v>
      </c>
      <c r="BW59" t="e">
        <f>AND(#REF!,"AAAAAGd/10o=")</f>
        <v>#REF!</v>
      </c>
      <c r="BX59" t="e">
        <f>AND(#REF!,"AAAAAGd/10s=")</f>
        <v>#REF!</v>
      </c>
      <c r="BY59" t="e">
        <f>IF(#REF!,"AAAAAGd/10w=",0)</f>
        <v>#REF!</v>
      </c>
      <c r="BZ59" t="e">
        <f>AND(#REF!,"AAAAAGd/100=")</f>
        <v>#REF!</v>
      </c>
      <c r="CA59" t="e">
        <f>AND(#REF!,"AAAAAGd/104=")</f>
        <v>#REF!</v>
      </c>
      <c r="CB59" t="e">
        <f>AND(#REF!,"AAAAAGd/108=")</f>
        <v>#REF!</v>
      </c>
      <c r="CC59" t="e">
        <f>AND(#REF!,"AAAAAGd/11A=")</f>
        <v>#REF!</v>
      </c>
      <c r="CD59" t="e">
        <f>AND(#REF!,"AAAAAGd/11E=")</f>
        <v>#REF!</v>
      </c>
      <c r="CE59" t="e">
        <f>AND(#REF!,"AAAAAGd/11I=")</f>
        <v>#REF!</v>
      </c>
      <c r="CF59" t="e">
        <f>AND(#REF!,"AAAAAGd/11M=")</f>
        <v>#REF!</v>
      </c>
      <c r="CG59" t="e">
        <f>AND(#REF!,"AAAAAGd/11Q=")</f>
        <v>#REF!</v>
      </c>
      <c r="CH59" t="e">
        <f>AND(#REF!,"AAAAAGd/11U=")</f>
        <v>#REF!</v>
      </c>
      <c r="CI59" t="e">
        <f>AND(#REF!,"AAAAAGd/11Y=")</f>
        <v>#REF!</v>
      </c>
      <c r="CJ59" t="e">
        <f>AND(#REF!,"AAAAAGd/11c=")</f>
        <v>#REF!</v>
      </c>
      <c r="CK59" t="e">
        <f>AND(#REF!,"AAAAAGd/11g=")</f>
        <v>#REF!</v>
      </c>
      <c r="CL59" t="e">
        <f>AND(#REF!,"AAAAAGd/11k=")</f>
        <v>#REF!</v>
      </c>
      <c r="CM59" t="e">
        <f>AND(#REF!,"AAAAAGd/11o=")</f>
        <v>#REF!</v>
      </c>
      <c r="CN59" t="e">
        <f>AND(#REF!,"AAAAAGd/11s=")</f>
        <v>#REF!</v>
      </c>
      <c r="CO59" t="e">
        <f>AND(#REF!,"AAAAAGd/11w=")</f>
        <v>#REF!</v>
      </c>
      <c r="CP59" t="e">
        <f>AND(#REF!,"AAAAAGd/110=")</f>
        <v>#REF!</v>
      </c>
      <c r="CQ59" t="e">
        <f>AND(#REF!,"AAAAAGd/114=")</f>
        <v>#REF!</v>
      </c>
      <c r="CR59" t="e">
        <f>AND(#REF!,"AAAAAGd/118=")</f>
        <v>#REF!</v>
      </c>
      <c r="CS59" t="e">
        <f>AND(#REF!,"AAAAAGd/12A=")</f>
        <v>#REF!</v>
      </c>
      <c r="CT59" t="e">
        <f>AND(#REF!,"AAAAAGd/12E=")</f>
        <v>#REF!</v>
      </c>
      <c r="CU59" t="e">
        <f>AND(#REF!,"AAAAAGd/12I=")</f>
        <v>#REF!</v>
      </c>
      <c r="CV59" t="e">
        <f>AND(#REF!,"AAAAAGd/12M=")</f>
        <v>#REF!</v>
      </c>
      <c r="CW59" t="e">
        <f>AND(#REF!,"AAAAAGd/12Q=")</f>
        <v>#REF!</v>
      </c>
      <c r="CX59" t="e">
        <f>AND(#REF!,"AAAAAGd/12U=")</f>
        <v>#REF!</v>
      </c>
      <c r="CY59" t="e">
        <f>AND(#REF!,"AAAAAGd/12Y=")</f>
        <v>#REF!</v>
      </c>
      <c r="CZ59" t="e">
        <f>AND(#REF!,"AAAAAGd/12c=")</f>
        <v>#REF!</v>
      </c>
      <c r="DA59" t="e">
        <f>AND(#REF!,"AAAAAGd/12g=")</f>
        <v>#REF!</v>
      </c>
      <c r="DB59" t="e">
        <f>AND(#REF!,"AAAAAGd/12k=")</f>
        <v>#REF!</v>
      </c>
      <c r="DC59" t="e">
        <f>AND(#REF!,"AAAAAGd/12o=")</f>
        <v>#REF!</v>
      </c>
      <c r="DD59" t="e">
        <f>AND(#REF!,"AAAAAGd/12s=")</f>
        <v>#REF!</v>
      </c>
      <c r="DE59" t="e">
        <f>AND(#REF!,"AAAAAGd/12w=")</f>
        <v>#REF!</v>
      </c>
      <c r="DF59" t="e">
        <f>AND(#REF!,"AAAAAGd/120=")</f>
        <v>#REF!</v>
      </c>
      <c r="DG59" t="e">
        <f>AND(#REF!,"AAAAAGd/124=")</f>
        <v>#REF!</v>
      </c>
      <c r="DH59" t="e">
        <f>AND(#REF!,"AAAAAGd/128=")</f>
        <v>#REF!</v>
      </c>
      <c r="DI59" t="e">
        <f>IF(#REF!,"AAAAAGd/13A=",0)</f>
        <v>#REF!</v>
      </c>
      <c r="DJ59" t="e">
        <f>AND(#REF!,"AAAAAGd/13E=")</f>
        <v>#REF!</v>
      </c>
      <c r="DK59" t="e">
        <f>AND(#REF!,"AAAAAGd/13I=")</f>
        <v>#REF!</v>
      </c>
      <c r="DL59" t="e">
        <f>AND(#REF!,"AAAAAGd/13M=")</f>
        <v>#REF!</v>
      </c>
      <c r="DM59" t="e">
        <f>AND(#REF!,"AAAAAGd/13Q=")</f>
        <v>#REF!</v>
      </c>
      <c r="DN59" t="e">
        <f>AND(#REF!,"AAAAAGd/13U=")</f>
        <v>#REF!</v>
      </c>
      <c r="DO59" t="e">
        <f>AND(#REF!,"AAAAAGd/13Y=")</f>
        <v>#REF!</v>
      </c>
      <c r="DP59" t="e">
        <f>AND(#REF!,"AAAAAGd/13c=")</f>
        <v>#REF!</v>
      </c>
      <c r="DQ59" t="e">
        <f>AND(#REF!,"AAAAAGd/13g=")</f>
        <v>#REF!</v>
      </c>
      <c r="DR59" t="e">
        <f>AND(#REF!,"AAAAAGd/13k=")</f>
        <v>#REF!</v>
      </c>
      <c r="DS59" t="e">
        <f>AND(#REF!,"AAAAAGd/13o=")</f>
        <v>#REF!</v>
      </c>
      <c r="DT59" t="e">
        <f>AND(#REF!,"AAAAAGd/13s=")</f>
        <v>#REF!</v>
      </c>
      <c r="DU59" t="e">
        <f>AND(#REF!,"AAAAAGd/13w=")</f>
        <v>#REF!</v>
      </c>
      <c r="DV59" t="e">
        <f>AND(#REF!,"AAAAAGd/130=")</f>
        <v>#REF!</v>
      </c>
      <c r="DW59" t="e">
        <f>AND(#REF!,"AAAAAGd/134=")</f>
        <v>#REF!</v>
      </c>
      <c r="DX59" t="e">
        <f>AND(#REF!,"AAAAAGd/138=")</f>
        <v>#REF!</v>
      </c>
      <c r="DY59" t="e">
        <f>AND(#REF!,"AAAAAGd/14A=")</f>
        <v>#REF!</v>
      </c>
      <c r="DZ59" t="e">
        <f>AND(#REF!,"AAAAAGd/14E=")</f>
        <v>#REF!</v>
      </c>
      <c r="EA59" t="e">
        <f>AND(#REF!,"AAAAAGd/14I=")</f>
        <v>#REF!</v>
      </c>
      <c r="EB59" t="e">
        <f>AND(#REF!,"AAAAAGd/14M=")</f>
        <v>#REF!</v>
      </c>
      <c r="EC59" t="e">
        <f>AND(#REF!,"AAAAAGd/14Q=")</f>
        <v>#REF!</v>
      </c>
      <c r="ED59" t="e">
        <f>AND(#REF!,"AAAAAGd/14U=")</f>
        <v>#REF!</v>
      </c>
      <c r="EE59" t="e">
        <f>AND(#REF!,"AAAAAGd/14Y=")</f>
        <v>#REF!</v>
      </c>
      <c r="EF59" t="e">
        <f>AND(#REF!,"AAAAAGd/14c=")</f>
        <v>#REF!</v>
      </c>
      <c r="EG59" t="e">
        <f>AND(#REF!,"AAAAAGd/14g=")</f>
        <v>#REF!</v>
      </c>
      <c r="EH59" t="e">
        <f>AND(#REF!,"AAAAAGd/14k=")</f>
        <v>#REF!</v>
      </c>
      <c r="EI59" t="e">
        <f>AND(#REF!,"AAAAAGd/14o=")</f>
        <v>#REF!</v>
      </c>
      <c r="EJ59" t="e">
        <f>AND(#REF!,"AAAAAGd/14s=")</f>
        <v>#REF!</v>
      </c>
      <c r="EK59" t="e">
        <f>AND(#REF!,"AAAAAGd/14w=")</f>
        <v>#REF!</v>
      </c>
      <c r="EL59" t="e">
        <f>AND(#REF!,"AAAAAGd/140=")</f>
        <v>#REF!</v>
      </c>
      <c r="EM59" t="e">
        <f>AND(#REF!,"AAAAAGd/144=")</f>
        <v>#REF!</v>
      </c>
      <c r="EN59" t="e">
        <f>AND(#REF!,"AAAAAGd/148=")</f>
        <v>#REF!</v>
      </c>
      <c r="EO59" t="e">
        <f>AND(#REF!,"AAAAAGd/15A=")</f>
        <v>#REF!</v>
      </c>
      <c r="EP59" t="e">
        <f>AND(#REF!,"AAAAAGd/15E=")</f>
        <v>#REF!</v>
      </c>
      <c r="EQ59" t="e">
        <f>AND(#REF!,"AAAAAGd/15I=")</f>
        <v>#REF!</v>
      </c>
      <c r="ER59" t="e">
        <f>AND(#REF!,"AAAAAGd/15M=")</f>
        <v>#REF!</v>
      </c>
      <c r="ES59" t="e">
        <f>IF(#REF!,"AAAAAGd/15Q=",0)</f>
        <v>#REF!</v>
      </c>
      <c r="ET59" t="e">
        <f>AND(#REF!,"AAAAAGd/15U=")</f>
        <v>#REF!</v>
      </c>
      <c r="EU59" t="e">
        <f>AND(#REF!,"AAAAAGd/15Y=")</f>
        <v>#REF!</v>
      </c>
      <c r="EV59" t="e">
        <f>AND(#REF!,"AAAAAGd/15c=")</f>
        <v>#REF!</v>
      </c>
      <c r="EW59" t="e">
        <f>AND(#REF!,"AAAAAGd/15g=")</f>
        <v>#REF!</v>
      </c>
      <c r="EX59" t="e">
        <f>AND(#REF!,"AAAAAGd/15k=")</f>
        <v>#REF!</v>
      </c>
      <c r="EY59" t="e">
        <f>AND(#REF!,"AAAAAGd/15o=")</f>
        <v>#REF!</v>
      </c>
      <c r="EZ59" t="e">
        <f>AND(#REF!,"AAAAAGd/15s=")</f>
        <v>#REF!</v>
      </c>
      <c r="FA59" t="e">
        <f>AND(#REF!,"AAAAAGd/15w=")</f>
        <v>#REF!</v>
      </c>
      <c r="FB59" t="e">
        <f>AND(#REF!,"AAAAAGd/150=")</f>
        <v>#REF!</v>
      </c>
      <c r="FC59" t="e">
        <f>AND(#REF!,"AAAAAGd/154=")</f>
        <v>#REF!</v>
      </c>
      <c r="FD59" t="e">
        <f>AND(#REF!,"AAAAAGd/158=")</f>
        <v>#REF!</v>
      </c>
      <c r="FE59" t="e">
        <f>AND(#REF!,"AAAAAGd/16A=")</f>
        <v>#REF!</v>
      </c>
      <c r="FF59" t="e">
        <f>AND(#REF!,"AAAAAGd/16E=")</f>
        <v>#REF!</v>
      </c>
      <c r="FG59" t="e">
        <f>AND(#REF!,"AAAAAGd/16I=")</f>
        <v>#REF!</v>
      </c>
      <c r="FH59" t="e">
        <f>AND(#REF!,"AAAAAGd/16M=")</f>
        <v>#REF!</v>
      </c>
      <c r="FI59" t="e">
        <f>AND(#REF!,"AAAAAGd/16Q=")</f>
        <v>#REF!</v>
      </c>
      <c r="FJ59" t="e">
        <f>AND(#REF!,"AAAAAGd/16U=")</f>
        <v>#REF!</v>
      </c>
      <c r="FK59" t="e">
        <f>AND(#REF!,"AAAAAGd/16Y=")</f>
        <v>#REF!</v>
      </c>
      <c r="FL59" t="e">
        <f>AND(#REF!,"AAAAAGd/16c=")</f>
        <v>#REF!</v>
      </c>
      <c r="FM59" t="e">
        <f>AND(#REF!,"AAAAAGd/16g=")</f>
        <v>#REF!</v>
      </c>
      <c r="FN59" t="e">
        <f>AND(#REF!,"AAAAAGd/16k=")</f>
        <v>#REF!</v>
      </c>
      <c r="FO59" t="e">
        <f>AND(#REF!,"AAAAAGd/16o=")</f>
        <v>#REF!</v>
      </c>
      <c r="FP59" t="e">
        <f>AND(#REF!,"AAAAAGd/16s=")</f>
        <v>#REF!</v>
      </c>
      <c r="FQ59" t="e">
        <f>AND(#REF!,"AAAAAGd/16w=")</f>
        <v>#REF!</v>
      </c>
      <c r="FR59" t="e">
        <f>AND(#REF!,"AAAAAGd/160=")</f>
        <v>#REF!</v>
      </c>
      <c r="FS59" t="e">
        <f>AND(#REF!,"AAAAAGd/164=")</f>
        <v>#REF!</v>
      </c>
      <c r="FT59" t="e">
        <f>AND(#REF!,"AAAAAGd/168=")</f>
        <v>#REF!</v>
      </c>
      <c r="FU59" t="e">
        <f>AND(#REF!,"AAAAAGd/17A=")</f>
        <v>#REF!</v>
      </c>
      <c r="FV59" t="e">
        <f>AND(#REF!,"AAAAAGd/17E=")</f>
        <v>#REF!</v>
      </c>
      <c r="FW59" t="e">
        <f>AND(#REF!,"AAAAAGd/17I=")</f>
        <v>#REF!</v>
      </c>
      <c r="FX59" t="e">
        <f>AND(#REF!,"AAAAAGd/17M=")</f>
        <v>#REF!</v>
      </c>
      <c r="FY59" t="e">
        <f>AND(#REF!,"AAAAAGd/17Q=")</f>
        <v>#REF!</v>
      </c>
      <c r="FZ59" t="e">
        <f>AND(#REF!,"AAAAAGd/17U=")</f>
        <v>#REF!</v>
      </c>
      <c r="GA59" t="e">
        <f>AND(#REF!,"AAAAAGd/17Y=")</f>
        <v>#REF!</v>
      </c>
      <c r="GB59" t="e">
        <f>AND(#REF!,"AAAAAGd/17c=")</f>
        <v>#REF!</v>
      </c>
      <c r="GC59" t="e">
        <f>IF(#REF!,"AAAAAGd/17g=",0)</f>
        <v>#REF!</v>
      </c>
      <c r="GD59" t="e">
        <f>AND(#REF!,"AAAAAGd/17k=")</f>
        <v>#REF!</v>
      </c>
      <c r="GE59" t="e">
        <f>AND(#REF!,"AAAAAGd/17o=")</f>
        <v>#REF!</v>
      </c>
      <c r="GF59" t="e">
        <f>AND(#REF!,"AAAAAGd/17s=")</f>
        <v>#REF!</v>
      </c>
      <c r="GG59" t="e">
        <f>AND(#REF!,"AAAAAGd/17w=")</f>
        <v>#REF!</v>
      </c>
      <c r="GH59" t="e">
        <f>AND(#REF!,"AAAAAGd/170=")</f>
        <v>#REF!</v>
      </c>
      <c r="GI59" t="e">
        <f>AND(#REF!,"AAAAAGd/174=")</f>
        <v>#REF!</v>
      </c>
      <c r="GJ59" t="e">
        <f>AND(#REF!,"AAAAAGd/178=")</f>
        <v>#REF!</v>
      </c>
      <c r="GK59" t="e">
        <f>AND(#REF!,"AAAAAGd/18A=")</f>
        <v>#REF!</v>
      </c>
      <c r="GL59" t="e">
        <f>AND(#REF!,"AAAAAGd/18E=")</f>
        <v>#REF!</v>
      </c>
      <c r="GM59" t="e">
        <f>AND(#REF!,"AAAAAGd/18I=")</f>
        <v>#REF!</v>
      </c>
      <c r="GN59" t="e">
        <f>AND(#REF!,"AAAAAGd/18M=")</f>
        <v>#REF!</v>
      </c>
      <c r="GO59" t="e">
        <f>AND(#REF!,"AAAAAGd/18Q=")</f>
        <v>#REF!</v>
      </c>
      <c r="GP59" t="e">
        <f>AND(#REF!,"AAAAAGd/18U=")</f>
        <v>#REF!</v>
      </c>
      <c r="GQ59" t="e">
        <f>AND(#REF!,"AAAAAGd/18Y=")</f>
        <v>#REF!</v>
      </c>
      <c r="GR59" t="e">
        <f>AND(#REF!,"AAAAAGd/18c=")</f>
        <v>#REF!</v>
      </c>
      <c r="GS59" t="e">
        <f>AND(#REF!,"AAAAAGd/18g=")</f>
        <v>#REF!</v>
      </c>
      <c r="GT59" t="e">
        <f>AND(#REF!,"AAAAAGd/18k=")</f>
        <v>#REF!</v>
      </c>
      <c r="GU59" t="e">
        <f>AND(#REF!,"AAAAAGd/18o=")</f>
        <v>#REF!</v>
      </c>
      <c r="GV59" t="e">
        <f>AND(#REF!,"AAAAAGd/18s=")</f>
        <v>#REF!</v>
      </c>
      <c r="GW59" t="e">
        <f>AND(#REF!,"AAAAAGd/18w=")</f>
        <v>#REF!</v>
      </c>
      <c r="GX59" t="e">
        <f>AND(#REF!,"AAAAAGd/180=")</f>
        <v>#REF!</v>
      </c>
      <c r="GY59" t="e">
        <f>AND(#REF!,"AAAAAGd/184=")</f>
        <v>#REF!</v>
      </c>
      <c r="GZ59" t="e">
        <f>AND(#REF!,"AAAAAGd/188=")</f>
        <v>#REF!</v>
      </c>
      <c r="HA59" t="e">
        <f>AND(#REF!,"AAAAAGd/19A=")</f>
        <v>#REF!</v>
      </c>
      <c r="HB59" t="e">
        <f>AND(#REF!,"AAAAAGd/19E=")</f>
        <v>#REF!</v>
      </c>
      <c r="HC59" t="e">
        <f>AND(#REF!,"AAAAAGd/19I=")</f>
        <v>#REF!</v>
      </c>
      <c r="HD59" t="e">
        <f>AND(#REF!,"AAAAAGd/19M=")</f>
        <v>#REF!</v>
      </c>
      <c r="HE59" t="e">
        <f>AND(#REF!,"AAAAAGd/19Q=")</f>
        <v>#REF!</v>
      </c>
      <c r="HF59" t="e">
        <f>AND(#REF!,"AAAAAGd/19U=")</f>
        <v>#REF!</v>
      </c>
      <c r="HG59" t="e">
        <f>AND(#REF!,"AAAAAGd/19Y=")</f>
        <v>#REF!</v>
      </c>
      <c r="HH59" t="e">
        <f>AND(#REF!,"AAAAAGd/19c=")</f>
        <v>#REF!</v>
      </c>
      <c r="HI59" t="e">
        <f>AND(#REF!,"AAAAAGd/19g=")</f>
        <v>#REF!</v>
      </c>
      <c r="HJ59" t="e">
        <f>AND(#REF!,"AAAAAGd/19k=")</f>
        <v>#REF!</v>
      </c>
      <c r="HK59" t="e">
        <f>AND(#REF!,"AAAAAGd/19o=")</f>
        <v>#REF!</v>
      </c>
      <c r="HL59" t="e">
        <f>AND(#REF!,"AAAAAGd/19s=")</f>
        <v>#REF!</v>
      </c>
      <c r="HM59" t="e">
        <f>IF(#REF!,"AAAAAGd/19w=",0)</f>
        <v>#REF!</v>
      </c>
      <c r="HN59" t="e">
        <f>AND(#REF!,"AAAAAGd/190=")</f>
        <v>#REF!</v>
      </c>
      <c r="HO59" t="e">
        <f>AND(#REF!,"AAAAAGd/194=")</f>
        <v>#REF!</v>
      </c>
      <c r="HP59" t="e">
        <f>AND(#REF!,"AAAAAGd/198=")</f>
        <v>#REF!</v>
      </c>
      <c r="HQ59" t="e">
        <f>AND(#REF!,"AAAAAGd/1+A=")</f>
        <v>#REF!</v>
      </c>
      <c r="HR59" t="e">
        <f>AND(#REF!,"AAAAAGd/1+E=")</f>
        <v>#REF!</v>
      </c>
      <c r="HS59" t="e">
        <f>AND(#REF!,"AAAAAGd/1+I=")</f>
        <v>#REF!</v>
      </c>
      <c r="HT59" t="e">
        <f>AND(#REF!,"AAAAAGd/1+M=")</f>
        <v>#REF!</v>
      </c>
      <c r="HU59" t="e">
        <f>AND(#REF!,"AAAAAGd/1+Q=")</f>
        <v>#REF!</v>
      </c>
      <c r="HV59" t="e">
        <f>AND(#REF!,"AAAAAGd/1+U=")</f>
        <v>#REF!</v>
      </c>
      <c r="HW59" t="e">
        <f>AND(#REF!,"AAAAAGd/1+Y=")</f>
        <v>#REF!</v>
      </c>
      <c r="HX59" t="e">
        <f>AND(#REF!,"AAAAAGd/1+c=")</f>
        <v>#REF!</v>
      </c>
      <c r="HY59" t="e">
        <f>AND(#REF!,"AAAAAGd/1+g=")</f>
        <v>#REF!</v>
      </c>
      <c r="HZ59" t="e">
        <f>AND(#REF!,"AAAAAGd/1+k=")</f>
        <v>#REF!</v>
      </c>
      <c r="IA59" t="e">
        <f>AND(#REF!,"AAAAAGd/1+o=")</f>
        <v>#REF!</v>
      </c>
      <c r="IB59" t="e">
        <f>AND(#REF!,"AAAAAGd/1+s=")</f>
        <v>#REF!</v>
      </c>
      <c r="IC59" t="e">
        <f>AND(#REF!,"AAAAAGd/1+w=")</f>
        <v>#REF!</v>
      </c>
      <c r="ID59" t="e">
        <f>AND(#REF!,"AAAAAGd/1+0=")</f>
        <v>#REF!</v>
      </c>
      <c r="IE59" t="e">
        <f>AND(#REF!,"AAAAAGd/1+4=")</f>
        <v>#REF!</v>
      </c>
      <c r="IF59" t="e">
        <f>AND(#REF!,"AAAAAGd/1+8=")</f>
        <v>#REF!</v>
      </c>
      <c r="IG59" t="e">
        <f>AND(#REF!,"AAAAAGd/1/A=")</f>
        <v>#REF!</v>
      </c>
      <c r="IH59" t="e">
        <f>AND(#REF!,"AAAAAGd/1/E=")</f>
        <v>#REF!</v>
      </c>
      <c r="II59" t="e">
        <f>AND(#REF!,"AAAAAGd/1/I=")</f>
        <v>#REF!</v>
      </c>
      <c r="IJ59" t="e">
        <f>AND(#REF!,"AAAAAGd/1/M=")</f>
        <v>#REF!</v>
      </c>
      <c r="IK59" t="e">
        <f>AND(#REF!,"AAAAAGd/1/Q=")</f>
        <v>#REF!</v>
      </c>
      <c r="IL59" t="e">
        <f>AND(#REF!,"AAAAAGd/1/U=")</f>
        <v>#REF!</v>
      </c>
      <c r="IM59" t="e">
        <f>AND(#REF!,"AAAAAGd/1/Y=")</f>
        <v>#REF!</v>
      </c>
      <c r="IN59" t="e">
        <f>AND(#REF!,"AAAAAGd/1/c=")</f>
        <v>#REF!</v>
      </c>
      <c r="IO59" t="e">
        <f>AND(#REF!,"AAAAAGd/1/g=")</f>
        <v>#REF!</v>
      </c>
      <c r="IP59" t="e">
        <f>AND(#REF!,"AAAAAGd/1/k=")</f>
        <v>#REF!</v>
      </c>
      <c r="IQ59" t="e">
        <f>AND(#REF!,"AAAAAGd/1/o=")</f>
        <v>#REF!</v>
      </c>
      <c r="IR59" t="e">
        <f>AND(#REF!,"AAAAAGd/1/s=")</f>
        <v>#REF!</v>
      </c>
      <c r="IS59" t="e">
        <f>AND(#REF!,"AAAAAGd/1/w=")</f>
        <v>#REF!</v>
      </c>
      <c r="IT59" t="e">
        <f>AND(#REF!,"AAAAAGd/1/0=")</f>
        <v>#REF!</v>
      </c>
      <c r="IU59" t="e">
        <f>AND(#REF!,"AAAAAGd/1/4=")</f>
        <v>#REF!</v>
      </c>
      <c r="IV59" t="e">
        <f>AND(#REF!,"AAAAAGd/1/8=")</f>
        <v>#REF!</v>
      </c>
    </row>
    <row r="60" spans="1:256">
      <c r="A60" t="e">
        <f>IF(#REF!,"AAAAAF2/4QA=",0)</f>
        <v>#REF!</v>
      </c>
      <c r="B60" t="e">
        <f>AND(#REF!,"AAAAAF2/4QE=")</f>
        <v>#REF!</v>
      </c>
      <c r="C60" t="e">
        <f>AND(#REF!,"AAAAAF2/4QI=")</f>
        <v>#REF!</v>
      </c>
      <c r="D60" t="e">
        <f>AND(#REF!,"AAAAAF2/4QM=")</f>
        <v>#REF!</v>
      </c>
      <c r="E60" t="e">
        <f>AND(#REF!,"AAAAAF2/4QQ=")</f>
        <v>#REF!</v>
      </c>
      <c r="F60" t="e">
        <f>AND(#REF!,"AAAAAF2/4QU=")</f>
        <v>#REF!</v>
      </c>
      <c r="G60" t="e">
        <f>AND(#REF!,"AAAAAF2/4QY=")</f>
        <v>#REF!</v>
      </c>
      <c r="H60" t="e">
        <f>AND(#REF!,"AAAAAF2/4Qc=")</f>
        <v>#REF!</v>
      </c>
      <c r="I60" t="e">
        <f>AND(#REF!,"AAAAAF2/4Qg=")</f>
        <v>#REF!</v>
      </c>
      <c r="J60" t="e">
        <f>AND(#REF!,"AAAAAF2/4Qk=")</f>
        <v>#REF!</v>
      </c>
      <c r="K60" t="e">
        <f>AND(#REF!,"AAAAAF2/4Qo=")</f>
        <v>#REF!</v>
      </c>
      <c r="L60" t="e">
        <f>AND(#REF!,"AAAAAF2/4Qs=")</f>
        <v>#REF!</v>
      </c>
      <c r="M60" t="e">
        <f>AND(#REF!,"AAAAAF2/4Qw=")</f>
        <v>#REF!</v>
      </c>
      <c r="N60" t="e">
        <f>AND(#REF!,"AAAAAF2/4Q0=")</f>
        <v>#REF!</v>
      </c>
      <c r="O60" t="e">
        <f>AND(#REF!,"AAAAAF2/4Q4=")</f>
        <v>#REF!</v>
      </c>
      <c r="P60" t="e">
        <f>AND(#REF!,"AAAAAF2/4Q8=")</f>
        <v>#REF!</v>
      </c>
      <c r="Q60" t="e">
        <f>AND(#REF!,"AAAAAF2/4RA=")</f>
        <v>#REF!</v>
      </c>
      <c r="R60" t="e">
        <f>AND(#REF!,"AAAAAF2/4RE=")</f>
        <v>#REF!</v>
      </c>
      <c r="S60" t="e">
        <f>AND(#REF!,"AAAAAF2/4RI=")</f>
        <v>#REF!</v>
      </c>
      <c r="T60" t="e">
        <f>AND(#REF!,"AAAAAF2/4RM=")</f>
        <v>#REF!</v>
      </c>
      <c r="U60" t="e">
        <f>AND(#REF!,"AAAAAF2/4RQ=")</f>
        <v>#REF!</v>
      </c>
      <c r="V60" t="e">
        <f>AND(#REF!,"AAAAAF2/4RU=")</f>
        <v>#REF!</v>
      </c>
      <c r="W60" t="e">
        <f>AND(#REF!,"AAAAAF2/4RY=")</f>
        <v>#REF!</v>
      </c>
      <c r="X60" t="e">
        <f>AND(#REF!,"AAAAAF2/4Rc=")</f>
        <v>#REF!</v>
      </c>
      <c r="Y60" t="e">
        <f>AND(#REF!,"AAAAAF2/4Rg=")</f>
        <v>#REF!</v>
      </c>
      <c r="Z60" t="e">
        <f>AND(#REF!,"AAAAAF2/4Rk=")</f>
        <v>#REF!</v>
      </c>
      <c r="AA60" t="e">
        <f>AND(#REF!,"AAAAAF2/4Ro=")</f>
        <v>#REF!</v>
      </c>
      <c r="AB60" t="e">
        <f>AND(#REF!,"AAAAAF2/4Rs=")</f>
        <v>#REF!</v>
      </c>
      <c r="AC60" t="e">
        <f>AND(#REF!,"AAAAAF2/4Rw=")</f>
        <v>#REF!</v>
      </c>
      <c r="AD60" t="e">
        <f>AND(#REF!,"AAAAAF2/4R0=")</f>
        <v>#REF!</v>
      </c>
      <c r="AE60" t="e">
        <f>AND(#REF!,"AAAAAF2/4R4=")</f>
        <v>#REF!</v>
      </c>
      <c r="AF60" t="e">
        <f>AND(#REF!,"AAAAAF2/4R8=")</f>
        <v>#REF!</v>
      </c>
      <c r="AG60" t="e">
        <f>AND(#REF!,"AAAAAF2/4SA=")</f>
        <v>#REF!</v>
      </c>
      <c r="AH60" t="e">
        <f>AND(#REF!,"AAAAAF2/4SE=")</f>
        <v>#REF!</v>
      </c>
      <c r="AI60" t="e">
        <f>AND(#REF!,"AAAAAF2/4SI=")</f>
        <v>#REF!</v>
      </c>
      <c r="AJ60" t="e">
        <f>AND(#REF!,"AAAAAF2/4SM=")</f>
        <v>#REF!</v>
      </c>
      <c r="AK60" t="e">
        <f>IF(#REF!,"AAAAAF2/4SQ=",0)</f>
        <v>#REF!</v>
      </c>
      <c r="AL60" t="e">
        <f>AND(#REF!,"AAAAAF2/4SU=")</f>
        <v>#REF!</v>
      </c>
      <c r="AM60" t="e">
        <f>AND(#REF!,"AAAAAF2/4SY=")</f>
        <v>#REF!</v>
      </c>
      <c r="AN60" t="e">
        <f>AND(#REF!,"AAAAAF2/4Sc=")</f>
        <v>#REF!</v>
      </c>
      <c r="AO60" t="e">
        <f>AND(#REF!,"AAAAAF2/4Sg=")</f>
        <v>#REF!</v>
      </c>
      <c r="AP60" t="e">
        <f>AND(#REF!,"AAAAAF2/4Sk=")</f>
        <v>#REF!</v>
      </c>
      <c r="AQ60" t="e">
        <f>AND(#REF!,"AAAAAF2/4So=")</f>
        <v>#REF!</v>
      </c>
      <c r="AR60" t="e">
        <f>AND(#REF!,"AAAAAF2/4Ss=")</f>
        <v>#REF!</v>
      </c>
      <c r="AS60" t="e">
        <f>AND(#REF!,"AAAAAF2/4Sw=")</f>
        <v>#REF!</v>
      </c>
      <c r="AT60" t="e">
        <f>AND(#REF!,"AAAAAF2/4S0=")</f>
        <v>#REF!</v>
      </c>
      <c r="AU60" t="e">
        <f>AND(#REF!,"AAAAAF2/4S4=")</f>
        <v>#REF!</v>
      </c>
      <c r="AV60" t="e">
        <f>AND(#REF!,"AAAAAF2/4S8=")</f>
        <v>#REF!</v>
      </c>
      <c r="AW60" t="e">
        <f>AND(#REF!,"AAAAAF2/4TA=")</f>
        <v>#REF!</v>
      </c>
      <c r="AX60" t="e">
        <f>AND(#REF!,"AAAAAF2/4TE=")</f>
        <v>#REF!</v>
      </c>
      <c r="AY60" t="e">
        <f>AND(#REF!,"AAAAAF2/4TI=")</f>
        <v>#REF!</v>
      </c>
      <c r="AZ60" t="e">
        <f>AND(#REF!,"AAAAAF2/4TM=")</f>
        <v>#REF!</v>
      </c>
      <c r="BA60" t="e">
        <f>AND(#REF!,"AAAAAF2/4TQ=")</f>
        <v>#REF!</v>
      </c>
      <c r="BB60" t="e">
        <f>AND(#REF!,"AAAAAF2/4TU=")</f>
        <v>#REF!</v>
      </c>
      <c r="BC60" t="e">
        <f>AND(#REF!,"AAAAAF2/4TY=")</f>
        <v>#REF!</v>
      </c>
      <c r="BD60" t="e">
        <f>AND(#REF!,"AAAAAF2/4Tc=")</f>
        <v>#REF!</v>
      </c>
      <c r="BE60" t="e">
        <f>AND(#REF!,"AAAAAF2/4Tg=")</f>
        <v>#REF!</v>
      </c>
      <c r="BF60" t="e">
        <f>AND(#REF!,"AAAAAF2/4Tk=")</f>
        <v>#REF!</v>
      </c>
      <c r="BG60" t="e">
        <f>AND(#REF!,"AAAAAF2/4To=")</f>
        <v>#REF!</v>
      </c>
      <c r="BH60" t="e">
        <f>AND(#REF!,"AAAAAF2/4Ts=")</f>
        <v>#REF!</v>
      </c>
      <c r="BI60" t="e">
        <f>AND(#REF!,"AAAAAF2/4Tw=")</f>
        <v>#REF!</v>
      </c>
      <c r="BJ60" t="e">
        <f>AND(#REF!,"AAAAAF2/4T0=")</f>
        <v>#REF!</v>
      </c>
      <c r="BK60" t="e">
        <f>AND(#REF!,"AAAAAF2/4T4=")</f>
        <v>#REF!</v>
      </c>
      <c r="BL60" t="e">
        <f>AND(#REF!,"AAAAAF2/4T8=")</f>
        <v>#REF!</v>
      </c>
      <c r="BM60" t="e">
        <f>AND(#REF!,"AAAAAF2/4UA=")</f>
        <v>#REF!</v>
      </c>
      <c r="BN60" t="e">
        <f>AND(#REF!,"AAAAAF2/4UE=")</f>
        <v>#REF!</v>
      </c>
      <c r="BO60" t="e">
        <f>AND(#REF!,"AAAAAF2/4UI=")</f>
        <v>#REF!</v>
      </c>
      <c r="BP60" t="e">
        <f>AND(#REF!,"AAAAAF2/4UM=")</f>
        <v>#REF!</v>
      </c>
      <c r="BQ60" t="e">
        <f>AND(#REF!,"AAAAAF2/4UQ=")</f>
        <v>#REF!</v>
      </c>
      <c r="BR60" t="e">
        <f>AND(#REF!,"AAAAAF2/4UU=")</f>
        <v>#REF!</v>
      </c>
      <c r="BS60" t="e">
        <f>AND(#REF!,"AAAAAF2/4UY=")</f>
        <v>#REF!</v>
      </c>
      <c r="BT60" t="e">
        <f>AND(#REF!,"AAAAAF2/4Uc=")</f>
        <v>#REF!</v>
      </c>
      <c r="BU60" t="e">
        <f>IF(#REF!,"AAAAAF2/4Ug=",0)</f>
        <v>#REF!</v>
      </c>
      <c r="BV60" t="e">
        <f>AND(#REF!,"AAAAAF2/4Uk=")</f>
        <v>#REF!</v>
      </c>
      <c r="BW60" t="e">
        <f>AND(#REF!,"AAAAAF2/4Uo=")</f>
        <v>#REF!</v>
      </c>
      <c r="BX60" t="e">
        <f>AND(#REF!,"AAAAAF2/4Us=")</f>
        <v>#REF!</v>
      </c>
      <c r="BY60" t="e">
        <f>AND(#REF!,"AAAAAF2/4Uw=")</f>
        <v>#REF!</v>
      </c>
      <c r="BZ60" t="e">
        <f>AND(#REF!,"AAAAAF2/4U0=")</f>
        <v>#REF!</v>
      </c>
      <c r="CA60" t="e">
        <f>AND(#REF!,"AAAAAF2/4U4=")</f>
        <v>#REF!</v>
      </c>
      <c r="CB60" t="e">
        <f>AND(#REF!,"AAAAAF2/4U8=")</f>
        <v>#REF!</v>
      </c>
      <c r="CC60" t="e">
        <f>AND(#REF!,"AAAAAF2/4VA=")</f>
        <v>#REF!</v>
      </c>
      <c r="CD60" t="e">
        <f>AND(#REF!,"AAAAAF2/4VE=")</f>
        <v>#REF!</v>
      </c>
      <c r="CE60" t="e">
        <f>AND(#REF!,"AAAAAF2/4VI=")</f>
        <v>#REF!</v>
      </c>
      <c r="CF60" t="e">
        <f>AND(#REF!,"AAAAAF2/4VM=")</f>
        <v>#REF!</v>
      </c>
      <c r="CG60" t="e">
        <f>AND(#REF!,"AAAAAF2/4VQ=")</f>
        <v>#REF!</v>
      </c>
      <c r="CH60" t="e">
        <f>AND(#REF!,"AAAAAF2/4VU=")</f>
        <v>#REF!</v>
      </c>
      <c r="CI60" t="e">
        <f>AND(#REF!,"AAAAAF2/4VY=")</f>
        <v>#REF!</v>
      </c>
      <c r="CJ60" t="e">
        <f>AND(#REF!,"AAAAAF2/4Vc=")</f>
        <v>#REF!</v>
      </c>
      <c r="CK60" t="e">
        <f>AND(#REF!,"AAAAAF2/4Vg=")</f>
        <v>#REF!</v>
      </c>
      <c r="CL60" t="e">
        <f>AND(#REF!,"AAAAAF2/4Vk=")</f>
        <v>#REF!</v>
      </c>
      <c r="CM60" t="e">
        <f>AND(#REF!,"AAAAAF2/4Vo=")</f>
        <v>#REF!</v>
      </c>
      <c r="CN60" t="e">
        <f>AND(#REF!,"AAAAAF2/4Vs=")</f>
        <v>#REF!</v>
      </c>
      <c r="CO60" t="e">
        <f>AND(#REF!,"AAAAAF2/4Vw=")</f>
        <v>#REF!</v>
      </c>
      <c r="CP60" t="e">
        <f>AND(#REF!,"AAAAAF2/4V0=")</f>
        <v>#REF!</v>
      </c>
      <c r="CQ60" t="e">
        <f>AND(#REF!,"AAAAAF2/4V4=")</f>
        <v>#REF!</v>
      </c>
      <c r="CR60" t="e">
        <f>AND(#REF!,"AAAAAF2/4V8=")</f>
        <v>#REF!</v>
      </c>
      <c r="CS60" t="e">
        <f>AND(#REF!,"AAAAAF2/4WA=")</f>
        <v>#REF!</v>
      </c>
      <c r="CT60" t="e">
        <f>AND(#REF!,"AAAAAF2/4WE=")</f>
        <v>#REF!</v>
      </c>
      <c r="CU60" t="e">
        <f>AND(#REF!,"AAAAAF2/4WI=")</f>
        <v>#REF!</v>
      </c>
      <c r="CV60" t="e">
        <f>AND(#REF!,"AAAAAF2/4WM=")</f>
        <v>#REF!</v>
      </c>
      <c r="CW60" t="e">
        <f>AND(#REF!,"AAAAAF2/4WQ=")</f>
        <v>#REF!</v>
      </c>
      <c r="CX60" t="e">
        <f>AND(#REF!,"AAAAAF2/4WU=")</f>
        <v>#REF!</v>
      </c>
      <c r="CY60" t="e">
        <f>AND(#REF!,"AAAAAF2/4WY=")</f>
        <v>#REF!</v>
      </c>
      <c r="CZ60" t="e">
        <f>AND(#REF!,"AAAAAF2/4Wc=")</f>
        <v>#REF!</v>
      </c>
      <c r="DA60" t="e">
        <f>AND(#REF!,"AAAAAF2/4Wg=")</f>
        <v>#REF!</v>
      </c>
      <c r="DB60" t="e">
        <f>AND(#REF!,"AAAAAF2/4Wk=")</f>
        <v>#REF!</v>
      </c>
      <c r="DC60" t="e">
        <f>AND(#REF!,"AAAAAF2/4Wo=")</f>
        <v>#REF!</v>
      </c>
      <c r="DD60" t="e">
        <f>AND(#REF!,"AAAAAF2/4Ws=")</f>
        <v>#REF!</v>
      </c>
      <c r="DE60" t="e">
        <f>IF(#REF!,"AAAAAF2/4Ww=",0)</f>
        <v>#REF!</v>
      </c>
      <c r="DF60" t="e">
        <f>AND(#REF!,"AAAAAF2/4W0=")</f>
        <v>#REF!</v>
      </c>
      <c r="DG60" t="e">
        <f>AND(#REF!,"AAAAAF2/4W4=")</f>
        <v>#REF!</v>
      </c>
      <c r="DH60" t="e">
        <f>AND(#REF!,"AAAAAF2/4W8=")</f>
        <v>#REF!</v>
      </c>
      <c r="DI60" t="e">
        <f>AND(#REF!,"AAAAAF2/4XA=")</f>
        <v>#REF!</v>
      </c>
      <c r="DJ60" t="e">
        <f>AND(#REF!,"AAAAAF2/4XE=")</f>
        <v>#REF!</v>
      </c>
      <c r="DK60" t="e">
        <f>AND(#REF!,"AAAAAF2/4XI=")</f>
        <v>#REF!</v>
      </c>
      <c r="DL60" t="e">
        <f>AND(#REF!,"AAAAAF2/4XM=")</f>
        <v>#REF!</v>
      </c>
      <c r="DM60" t="e">
        <f>AND(#REF!,"AAAAAF2/4XQ=")</f>
        <v>#REF!</v>
      </c>
      <c r="DN60" t="e">
        <f>AND(#REF!,"AAAAAF2/4XU=")</f>
        <v>#REF!</v>
      </c>
      <c r="DO60" t="e">
        <f>AND(#REF!,"AAAAAF2/4XY=")</f>
        <v>#REF!</v>
      </c>
      <c r="DP60" t="e">
        <f>AND(#REF!,"AAAAAF2/4Xc=")</f>
        <v>#REF!</v>
      </c>
      <c r="DQ60" t="e">
        <f>AND(#REF!,"AAAAAF2/4Xg=")</f>
        <v>#REF!</v>
      </c>
      <c r="DR60" t="e">
        <f>AND(#REF!,"AAAAAF2/4Xk=")</f>
        <v>#REF!</v>
      </c>
      <c r="DS60" t="e">
        <f>AND(#REF!,"AAAAAF2/4Xo=")</f>
        <v>#REF!</v>
      </c>
      <c r="DT60" t="e">
        <f>AND(#REF!,"AAAAAF2/4Xs=")</f>
        <v>#REF!</v>
      </c>
      <c r="DU60" t="e">
        <f>AND(#REF!,"AAAAAF2/4Xw=")</f>
        <v>#REF!</v>
      </c>
      <c r="DV60" t="e">
        <f>AND(#REF!,"AAAAAF2/4X0=")</f>
        <v>#REF!</v>
      </c>
      <c r="DW60" t="e">
        <f>AND(#REF!,"AAAAAF2/4X4=")</f>
        <v>#REF!</v>
      </c>
      <c r="DX60" t="e">
        <f>AND(#REF!,"AAAAAF2/4X8=")</f>
        <v>#REF!</v>
      </c>
      <c r="DY60" t="e">
        <f>AND(#REF!,"AAAAAF2/4YA=")</f>
        <v>#REF!</v>
      </c>
      <c r="DZ60" t="e">
        <f>AND(#REF!,"AAAAAF2/4YE=")</f>
        <v>#REF!</v>
      </c>
      <c r="EA60" t="e">
        <f>AND(#REF!,"AAAAAF2/4YI=")</f>
        <v>#REF!</v>
      </c>
      <c r="EB60" t="e">
        <f>AND(#REF!,"AAAAAF2/4YM=")</f>
        <v>#REF!</v>
      </c>
      <c r="EC60" t="e">
        <f>AND(#REF!,"AAAAAF2/4YQ=")</f>
        <v>#REF!</v>
      </c>
      <c r="ED60" t="e">
        <f>AND(#REF!,"AAAAAF2/4YU=")</f>
        <v>#REF!</v>
      </c>
      <c r="EE60" t="e">
        <f>AND(#REF!,"AAAAAF2/4YY=")</f>
        <v>#REF!</v>
      </c>
      <c r="EF60" t="e">
        <f>AND(#REF!,"AAAAAF2/4Yc=")</f>
        <v>#REF!</v>
      </c>
      <c r="EG60" t="e">
        <f>AND(#REF!,"AAAAAF2/4Yg=")</f>
        <v>#REF!</v>
      </c>
      <c r="EH60" t="e">
        <f>AND(#REF!,"AAAAAF2/4Yk=")</f>
        <v>#REF!</v>
      </c>
      <c r="EI60" t="e">
        <f>AND(#REF!,"AAAAAF2/4Yo=")</f>
        <v>#REF!</v>
      </c>
      <c r="EJ60" t="e">
        <f>AND(#REF!,"AAAAAF2/4Ys=")</f>
        <v>#REF!</v>
      </c>
      <c r="EK60" t="e">
        <f>AND(#REF!,"AAAAAF2/4Yw=")</f>
        <v>#REF!</v>
      </c>
      <c r="EL60" t="e">
        <f>AND(#REF!,"AAAAAF2/4Y0=")</f>
        <v>#REF!</v>
      </c>
      <c r="EM60" t="e">
        <f>AND(#REF!,"AAAAAF2/4Y4=")</f>
        <v>#REF!</v>
      </c>
      <c r="EN60" t="e">
        <f>AND(#REF!,"AAAAAF2/4Y8=")</f>
        <v>#REF!</v>
      </c>
      <c r="EO60" t="e">
        <f>IF(#REF!,"AAAAAF2/4ZA=",0)</f>
        <v>#REF!</v>
      </c>
      <c r="EP60" t="e">
        <f>AND(#REF!,"AAAAAF2/4ZE=")</f>
        <v>#REF!</v>
      </c>
      <c r="EQ60" t="e">
        <f>AND(#REF!,"AAAAAF2/4ZI=")</f>
        <v>#REF!</v>
      </c>
      <c r="ER60" t="e">
        <f>AND(#REF!,"AAAAAF2/4ZM=")</f>
        <v>#REF!</v>
      </c>
      <c r="ES60" t="e">
        <f>AND(#REF!,"AAAAAF2/4ZQ=")</f>
        <v>#REF!</v>
      </c>
      <c r="ET60" t="e">
        <f>AND(#REF!,"AAAAAF2/4ZU=")</f>
        <v>#REF!</v>
      </c>
      <c r="EU60" t="e">
        <f>AND(#REF!,"AAAAAF2/4ZY=")</f>
        <v>#REF!</v>
      </c>
      <c r="EV60" t="e">
        <f>AND(#REF!,"AAAAAF2/4Zc=")</f>
        <v>#REF!</v>
      </c>
      <c r="EW60" t="e">
        <f>AND(#REF!,"AAAAAF2/4Zg=")</f>
        <v>#REF!</v>
      </c>
      <c r="EX60" t="e">
        <f>AND(#REF!,"AAAAAF2/4Zk=")</f>
        <v>#REF!</v>
      </c>
      <c r="EY60" t="e">
        <f>AND(#REF!,"AAAAAF2/4Zo=")</f>
        <v>#REF!</v>
      </c>
      <c r="EZ60" t="e">
        <f>AND(#REF!,"AAAAAF2/4Zs=")</f>
        <v>#REF!</v>
      </c>
      <c r="FA60" t="e">
        <f>AND(#REF!,"AAAAAF2/4Zw=")</f>
        <v>#REF!</v>
      </c>
      <c r="FB60" t="e">
        <f>AND(#REF!,"AAAAAF2/4Z0=")</f>
        <v>#REF!</v>
      </c>
      <c r="FC60" t="e">
        <f>AND(#REF!,"AAAAAF2/4Z4=")</f>
        <v>#REF!</v>
      </c>
      <c r="FD60" t="e">
        <f>AND(#REF!,"AAAAAF2/4Z8=")</f>
        <v>#REF!</v>
      </c>
      <c r="FE60" t="e">
        <f>AND(#REF!,"AAAAAF2/4aA=")</f>
        <v>#REF!</v>
      </c>
      <c r="FF60" t="e">
        <f>AND(#REF!,"AAAAAF2/4aE=")</f>
        <v>#REF!</v>
      </c>
      <c r="FG60" t="e">
        <f>AND(#REF!,"AAAAAF2/4aI=")</f>
        <v>#REF!</v>
      </c>
      <c r="FH60" t="e">
        <f>AND(#REF!,"AAAAAF2/4aM=")</f>
        <v>#REF!</v>
      </c>
      <c r="FI60" t="e">
        <f>AND(#REF!,"AAAAAF2/4aQ=")</f>
        <v>#REF!</v>
      </c>
      <c r="FJ60" t="e">
        <f>AND(#REF!,"AAAAAF2/4aU=")</f>
        <v>#REF!</v>
      </c>
      <c r="FK60" t="e">
        <f>AND(#REF!,"AAAAAF2/4aY=")</f>
        <v>#REF!</v>
      </c>
      <c r="FL60" t="e">
        <f>AND(#REF!,"AAAAAF2/4ac=")</f>
        <v>#REF!</v>
      </c>
      <c r="FM60" t="e">
        <f>AND(#REF!,"AAAAAF2/4ag=")</f>
        <v>#REF!</v>
      </c>
      <c r="FN60" t="e">
        <f>AND(#REF!,"AAAAAF2/4ak=")</f>
        <v>#REF!</v>
      </c>
      <c r="FO60" t="e">
        <f>AND(#REF!,"AAAAAF2/4ao=")</f>
        <v>#REF!</v>
      </c>
      <c r="FP60" t="e">
        <f>AND(#REF!,"AAAAAF2/4as=")</f>
        <v>#REF!</v>
      </c>
      <c r="FQ60" t="e">
        <f>AND(#REF!,"AAAAAF2/4aw=")</f>
        <v>#REF!</v>
      </c>
      <c r="FR60" t="e">
        <f>AND(#REF!,"AAAAAF2/4a0=")</f>
        <v>#REF!</v>
      </c>
      <c r="FS60" t="e">
        <f>AND(#REF!,"AAAAAF2/4a4=")</f>
        <v>#REF!</v>
      </c>
      <c r="FT60" t="e">
        <f>AND(#REF!,"AAAAAF2/4a8=")</f>
        <v>#REF!</v>
      </c>
      <c r="FU60" t="e">
        <f>AND(#REF!,"AAAAAF2/4bA=")</f>
        <v>#REF!</v>
      </c>
      <c r="FV60" t="e">
        <f>AND(#REF!,"AAAAAF2/4bE=")</f>
        <v>#REF!</v>
      </c>
      <c r="FW60" t="e">
        <f>AND(#REF!,"AAAAAF2/4bI=")</f>
        <v>#REF!</v>
      </c>
      <c r="FX60" t="e">
        <f>AND(#REF!,"AAAAAF2/4bM=")</f>
        <v>#REF!</v>
      </c>
      <c r="FY60" t="e">
        <f>IF(#REF!,"AAAAAF2/4bQ=",0)</f>
        <v>#REF!</v>
      </c>
      <c r="FZ60" t="e">
        <f>AND(#REF!,"AAAAAF2/4bU=")</f>
        <v>#REF!</v>
      </c>
      <c r="GA60" t="e">
        <f>AND(#REF!,"AAAAAF2/4bY=")</f>
        <v>#REF!</v>
      </c>
      <c r="GB60" t="e">
        <f>AND(#REF!,"AAAAAF2/4bc=")</f>
        <v>#REF!</v>
      </c>
      <c r="GC60" t="e">
        <f>AND(#REF!,"AAAAAF2/4bg=")</f>
        <v>#REF!</v>
      </c>
      <c r="GD60" t="e">
        <f>AND(#REF!,"AAAAAF2/4bk=")</f>
        <v>#REF!</v>
      </c>
      <c r="GE60" t="e">
        <f>AND(#REF!,"AAAAAF2/4bo=")</f>
        <v>#REF!</v>
      </c>
      <c r="GF60" t="e">
        <f>AND(#REF!,"AAAAAF2/4bs=")</f>
        <v>#REF!</v>
      </c>
      <c r="GG60" t="e">
        <f>AND(#REF!,"AAAAAF2/4bw=")</f>
        <v>#REF!</v>
      </c>
      <c r="GH60" t="e">
        <f>AND(#REF!,"AAAAAF2/4b0=")</f>
        <v>#REF!</v>
      </c>
      <c r="GI60" t="e">
        <f>AND(#REF!,"AAAAAF2/4b4=")</f>
        <v>#REF!</v>
      </c>
      <c r="GJ60" t="e">
        <f>AND(#REF!,"AAAAAF2/4b8=")</f>
        <v>#REF!</v>
      </c>
      <c r="GK60" t="e">
        <f>AND(#REF!,"AAAAAF2/4cA=")</f>
        <v>#REF!</v>
      </c>
      <c r="GL60" t="e">
        <f>AND(#REF!,"AAAAAF2/4cE=")</f>
        <v>#REF!</v>
      </c>
      <c r="GM60" t="e">
        <f>AND(#REF!,"AAAAAF2/4cI=")</f>
        <v>#REF!</v>
      </c>
      <c r="GN60" t="e">
        <f>AND(#REF!,"AAAAAF2/4cM=")</f>
        <v>#REF!</v>
      </c>
      <c r="GO60" t="e">
        <f>AND(#REF!,"AAAAAF2/4cQ=")</f>
        <v>#REF!</v>
      </c>
      <c r="GP60" t="e">
        <f>AND(#REF!,"AAAAAF2/4cU=")</f>
        <v>#REF!</v>
      </c>
      <c r="GQ60" t="e">
        <f>AND(#REF!,"AAAAAF2/4cY=")</f>
        <v>#REF!</v>
      </c>
      <c r="GR60" t="e">
        <f>AND(#REF!,"AAAAAF2/4cc=")</f>
        <v>#REF!</v>
      </c>
      <c r="GS60" t="e">
        <f>AND(#REF!,"AAAAAF2/4cg=")</f>
        <v>#REF!</v>
      </c>
      <c r="GT60" t="e">
        <f>AND(#REF!,"AAAAAF2/4ck=")</f>
        <v>#REF!</v>
      </c>
      <c r="GU60" t="e">
        <f>AND(#REF!,"AAAAAF2/4co=")</f>
        <v>#REF!</v>
      </c>
      <c r="GV60" t="e">
        <f>AND(#REF!,"AAAAAF2/4cs=")</f>
        <v>#REF!</v>
      </c>
      <c r="GW60" t="e">
        <f>AND(#REF!,"AAAAAF2/4cw=")</f>
        <v>#REF!</v>
      </c>
      <c r="GX60" t="e">
        <f>AND(#REF!,"AAAAAF2/4c0=")</f>
        <v>#REF!</v>
      </c>
      <c r="GY60" t="e">
        <f>AND(#REF!,"AAAAAF2/4c4=")</f>
        <v>#REF!</v>
      </c>
      <c r="GZ60" t="e">
        <f>AND(#REF!,"AAAAAF2/4c8=")</f>
        <v>#REF!</v>
      </c>
      <c r="HA60" t="e">
        <f>AND(#REF!,"AAAAAF2/4dA=")</f>
        <v>#REF!</v>
      </c>
      <c r="HB60" t="e">
        <f>AND(#REF!,"AAAAAF2/4dE=")</f>
        <v>#REF!</v>
      </c>
      <c r="HC60" t="e">
        <f>AND(#REF!,"AAAAAF2/4dI=")</f>
        <v>#REF!</v>
      </c>
      <c r="HD60" t="e">
        <f>AND(#REF!,"AAAAAF2/4dM=")</f>
        <v>#REF!</v>
      </c>
      <c r="HE60" t="e">
        <f>AND(#REF!,"AAAAAF2/4dQ=")</f>
        <v>#REF!</v>
      </c>
      <c r="HF60" t="e">
        <f>AND(#REF!,"AAAAAF2/4dU=")</f>
        <v>#REF!</v>
      </c>
      <c r="HG60" t="e">
        <f>AND(#REF!,"AAAAAF2/4dY=")</f>
        <v>#REF!</v>
      </c>
      <c r="HH60" t="e">
        <f>AND(#REF!,"AAAAAF2/4dc=")</f>
        <v>#REF!</v>
      </c>
      <c r="HI60" t="e">
        <f>IF(#REF!,"AAAAAF2/4dg=",0)</f>
        <v>#REF!</v>
      </c>
      <c r="HJ60" t="e">
        <f>AND(#REF!,"AAAAAF2/4dk=")</f>
        <v>#REF!</v>
      </c>
      <c r="HK60" t="e">
        <f>AND(#REF!,"AAAAAF2/4do=")</f>
        <v>#REF!</v>
      </c>
      <c r="HL60" t="e">
        <f>AND(#REF!,"AAAAAF2/4ds=")</f>
        <v>#REF!</v>
      </c>
      <c r="HM60" t="e">
        <f>AND(#REF!,"AAAAAF2/4dw=")</f>
        <v>#REF!</v>
      </c>
      <c r="HN60" t="e">
        <f>AND(#REF!,"AAAAAF2/4d0=")</f>
        <v>#REF!</v>
      </c>
      <c r="HO60" t="e">
        <f>AND(#REF!,"AAAAAF2/4d4=")</f>
        <v>#REF!</v>
      </c>
      <c r="HP60" t="e">
        <f>AND(#REF!,"AAAAAF2/4d8=")</f>
        <v>#REF!</v>
      </c>
      <c r="HQ60" t="e">
        <f>AND(#REF!,"AAAAAF2/4eA=")</f>
        <v>#REF!</v>
      </c>
      <c r="HR60" t="e">
        <f>AND(#REF!,"AAAAAF2/4eE=")</f>
        <v>#REF!</v>
      </c>
      <c r="HS60" t="e">
        <f>AND(#REF!,"AAAAAF2/4eI=")</f>
        <v>#REF!</v>
      </c>
      <c r="HT60" t="e">
        <f>AND(#REF!,"AAAAAF2/4eM=")</f>
        <v>#REF!</v>
      </c>
      <c r="HU60" t="e">
        <f>AND(#REF!,"AAAAAF2/4eQ=")</f>
        <v>#REF!</v>
      </c>
      <c r="HV60" t="e">
        <f>AND(#REF!,"AAAAAF2/4eU=")</f>
        <v>#REF!</v>
      </c>
      <c r="HW60" t="e">
        <f>AND(#REF!,"AAAAAF2/4eY=")</f>
        <v>#REF!</v>
      </c>
      <c r="HX60" t="e">
        <f>AND(#REF!,"AAAAAF2/4ec=")</f>
        <v>#REF!</v>
      </c>
      <c r="HY60" t="e">
        <f>AND(#REF!,"AAAAAF2/4eg=")</f>
        <v>#REF!</v>
      </c>
      <c r="HZ60" t="e">
        <f>AND(#REF!,"AAAAAF2/4ek=")</f>
        <v>#REF!</v>
      </c>
      <c r="IA60" t="e">
        <f>AND(#REF!,"AAAAAF2/4eo=")</f>
        <v>#REF!</v>
      </c>
      <c r="IB60" t="e">
        <f>AND(#REF!,"AAAAAF2/4es=")</f>
        <v>#REF!</v>
      </c>
      <c r="IC60" t="e">
        <f>AND(#REF!,"AAAAAF2/4ew=")</f>
        <v>#REF!</v>
      </c>
      <c r="ID60" t="e">
        <f>AND(#REF!,"AAAAAF2/4e0=")</f>
        <v>#REF!</v>
      </c>
      <c r="IE60" t="e">
        <f>AND(#REF!,"AAAAAF2/4e4=")</f>
        <v>#REF!</v>
      </c>
      <c r="IF60" t="e">
        <f>AND(#REF!,"AAAAAF2/4e8=")</f>
        <v>#REF!</v>
      </c>
      <c r="IG60" t="e">
        <f>AND(#REF!,"AAAAAF2/4fA=")</f>
        <v>#REF!</v>
      </c>
      <c r="IH60" t="e">
        <f>AND(#REF!,"AAAAAF2/4fE=")</f>
        <v>#REF!</v>
      </c>
      <c r="II60" t="e">
        <f>AND(#REF!,"AAAAAF2/4fI=")</f>
        <v>#REF!</v>
      </c>
      <c r="IJ60" t="e">
        <f>AND(#REF!,"AAAAAF2/4fM=")</f>
        <v>#REF!</v>
      </c>
      <c r="IK60" t="e">
        <f>AND(#REF!,"AAAAAF2/4fQ=")</f>
        <v>#REF!</v>
      </c>
      <c r="IL60" t="e">
        <f>AND(#REF!,"AAAAAF2/4fU=")</f>
        <v>#REF!</v>
      </c>
      <c r="IM60" t="e">
        <f>AND(#REF!,"AAAAAF2/4fY=")</f>
        <v>#REF!</v>
      </c>
      <c r="IN60" t="e">
        <f>AND(#REF!,"AAAAAF2/4fc=")</f>
        <v>#REF!</v>
      </c>
      <c r="IO60" t="e">
        <f>AND(#REF!,"AAAAAF2/4fg=")</f>
        <v>#REF!</v>
      </c>
      <c r="IP60" t="e">
        <f>AND(#REF!,"AAAAAF2/4fk=")</f>
        <v>#REF!</v>
      </c>
      <c r="IQ60" t="e">
        <f>AND(#REF!,"AAAAAF2/4fo=")</f>
        <v>#REF!</v>
      </c>
      <c r="IR60" t="e">
        <f>AND(#REF!,"AAAAAF2/4fs=")</f>
        <v>#REF!</v>
      </c>
      <c r="IS60" t="e">
        <f>IF(#REF!,"AAAAAF2/4fw=",0)</f>
        <v>#REF!</v>
      </c>
      <c r="IT60" t="e">
        <f>AND(#REF!,"AAAAAF2/4f0=")</f>
        <v>#REF!</v>
      </c>
      <c r="IU60" t="e">
        <f>AND(#REF!,"AAAAAF2/4f4=")</f>
        <v>#REF!</v>
      </c>
      <c r="IV60" t="e">
        <f>AND(#REF!,"AAAAAF2/4f8=")</f>
        <v>#REF!</v>
      </c>
    </row>
    <row r="61" spans="1:256">
      <c r="A61" t="e">
        <f>AND(#REF!,"AAAAADvnuQA=")</f>
        <v>#REF!</v>
      </c>
      <c r="B61" t="e">
        <f>AND(#REF!,"AAAAADvnuQE=")</f>
        <v>#REF!</v>
      </c>
      <c r="C61" t="e">
        <f>AND(#REF!,"AAAAADvnuQI=")</f>
        <v>#REF!</v>
      </c>
      <c r="D61" t="e">
        <f>AND(#REF!,"AAAAADvnuQM=")</f>
        <v>#REF!</v>
      </c>
      <c r="E61" t="e">
        <f>AND(#REF!,"AAAAADvnuQQ=")</f>
        <v>#REF!</v>
      </c>
      <c r="F61" t="e">
        <f>AND(#REF!,"AAAAADvnuQU=")</f>
        <v>#REF!</v>
      </c>
      <c r="G61" t="e">
        <f>AND(#REF!,"AAAAADvnuQY=")</f>
        <v>#REF!</v>
      </c>
      <c r="H61" t="e">
        <f>AND(#REF!,"AAAAADvnuQc=")</f>
        <v>#REF!</v>
      </c>
      <c r="I61" t="e">
        <f>AND(#REF!,"AAAAADvnuQg=")</f>
        <v>#REF!</v>
      </c>
      <c r="J61" t="e">
        <f>AND(#REF!,"AAAAADvnuQk=")</f>
        <v>#REF!</v>
      </c>
      <c r="K61" t="e">
        <f>AND(#REF!,"AAAAADvnuQo=")</f>
        <v>#REF!</v>
      </c>
      <c r="L61" t="e">
        <f>AND(#REF!,"AAAAADvnuQs=")</f>
        <v>#REF!</v>
      </c>
      <c r="M61" t="e">
        <f>AND(#REF!,"AAAAADvnuQw=")</f>
        <v>#REF!</v>
      </c>
      <c r="N61" t="e">
        <f>AND(#REF!,"AAAAADvnuQ0=")</f>
        <v>#REF!</v>
      </c>
      <c r="O61" t="e">
        <f>AND(#REF!,"AAAAADvnuQ4=")</f>
        <v>#REF!</v>
      </c>
      <c r="P61" t="e">
        <f>AND(#REF!,"AAAAADvnuQ8=")</f>
        <v>#REF!</v>
      </c>
      <c r="Q61" t="e">
        <f>AND(#REF!,"AAAAADvnuRA=")</f>
        <v>#REF!</v>
      </c>
      <c r="R61" t="e">
        <f>AND(#REF!,"AAAAADvnuRE=")</f>
        <v>#REF!</v>
      </c>
      <c r="S61" t="e">
        <f>AND(#REF!,"AAAAADvnuRI=")</f>
        <v>#REF!</v>
      </c>
      <c r="T61" t="e">
        <f>AND(#REF!,"AAAAADvnuRM=")</f>
        <v>#REF!</v>
      </c>
      <c r="U61" t="e">
        <f>AND(#REF!,"AAAAADvnuRQ=")</f>
        <v>#REF!</v>
      </c>
      <c r="V61" t="e">
        <f>AND(#REF!,"AAAAADvnuRU=")</f>
        <v>#REF!</v>
      </c>
      <c r="W61" t="e">
        <f>AND(#REF!,"AAAAADvnuRY=")</f>
        <v>#REF!</v>
      </c>
      <c r="X61" t="e">
        <f>AND(#REF!,"AAAAADvnuRc=")</f>
        <v>#REF!</v>
      </c>
      <c r="Y61" t="e">
        <f>AND(#REF!,"AAAAADvnuRg=")</f>
        <v>#REF!</v>
      </c>
      <c r="Z61" t="e">
        <f>AND(#REF!,"AAAAADvnuRk=")</f>
        <v>#REF!</v>
      </c>
      <c r="AA61" t="e">
        <f>AND(#REF!,"AAAAADvnuRo=")</f>
        <v>#REF!</v>
      </c>
      <c r="AB61" t="e">
        <f>AND(#REF!,"AAAAADvnuRs=")</f>
        <v>#REF!</v>
      </c>
      <c r="AC61" t="e">
        <f>AND(#REF!,"AAAAADvnuRw=")</f>
        <v>#REF!</v>
      </c>
      <c r="AD61" t="e">
        <f>AND(#REF!,"AAAAADvnuR0=")</f>
        <v>#REF!</v>
      </c>
      <c r="AE61" t="e">
        <f>AND(#REF!,"AAAAADvnuR4=")</f>
        <v>#REF!</v>
      </c>
      <c r="AF61" t="e">
        <f>AND(#REF!,"AAAAADvnuR8=")</f>
        <v>#REF!</v>
      </c>
      <c r="AG61" t="e">
        <f>IF(#REF!,"AAAAADvnuSA=",0)</f>
        <v>#REF!</v>
      </c>
      <c r="AH61" t="e">
        <f>AND(#REF!,"AAAAADvnuSE=")</f>
        <v>#REF!</v>
      </c>
      <c r="AI61" t="e">
        <f>AND(#REF!,"AAAAADvnuSI=")</f>
        <v>#REF!</v>
      </c>
      <c r="AJ61" t="e">
        <f>AND(#REF!,"AAAAADvnuSM=")</f>
        <v>#REF!</v>
      </c>
      <c r="AK61" t="e">
        <f>AND(#REF!,"AAAAADvnuSQ=")</f>
        <v>#REF!</v>
      </c>
      <c r="AL61" t="e">
        <f>AND(#REF!,"AAAAADvnuSU=")</f>
        <v>#REF!</v>
      </c>
      <c r="AM61" t="e">
        <f>AND(#REF!,"AAAAADvnuSY=")</f>
        <v>#REF!</v>
      </c>
      <c r="AN61" t="e">
        <f>AND(#REF!,"AAAAADvnuSc=")</f>
        <v>#REF!</v>
      </c>
      <c r="AO61" t="e">
        <f>AND(#REF!,"AAAAADvnuSg=")</f>
        <v>#REF!</v>
      </c>
      <c r="AP61" t="e">
        <f>AND(#REF!,"AAAAADvnuSk=")</f>
        <v>#REF!</v>
      </c>
      <c r="AQ61" t="e">
        <f>AND(#REF!,"AAAAADvnuSo=")</f>
        <v>#REF!</v>
      </c>
      <c r="AR61" t="e">
        <f>AND(#REF!,"AAAAADvnuSs=")</f>
        <v>#REF!</v>
      </c>
      <c r="AS61" t="e">
        <f>AND(#REF!,"AAAAADvnuSw=")</f>
        <v>#REF!</v>
      </c>
      <c r="AT61" t="e">
        <f>AND(#REF!,"AAAAADvnuS0=")</f>
        <v>#REF!</v>
      </c>
      <c r="AU61" t="e">
        <f>AND(#REF!,"AAAAADvnuS4=")</f>
        <v>#REF!</v>
      </c>
      <c r="AV61" t="e">
        <f>AND(#REF!,"AAAAADvnuS8=")</f>
        <v>#REF!</v>
      </c>
      <c r="AW61" t="e">
        <f>AND(#REF!,"AAAAADvnuTA=")</f>
        <v>#REF!</v>
      </c>
      <c r="AX61" t="e">
        <f>AND(#REF!,"AAAAADvnuTE=")</f>
        <v>#REF!</v>
      </c>
      <c r="AY61" t="e">
        <f>AND(#REF!,"AAAAADvnuTI=")</f>
        <v>#REF!</v>
      </c>
      <c r="AZ61" t="e">
        <f>AND(#REF!,"AAAAADvnuTM=")</f>
        <v>#REF!</v>
      </c>
      <c r="BA61" t="e">
        <f>AND(#REF!,"AAAAADvnuTQ=")</f>
        <v>#REF!</v>
      </c>
      <c r="BB61" t="e">
        <f>AND(#REF!,"AAAAADvnuTU=")</f>
        <v>#REF!</v>
      </c>
      <c r="BC61" t="e">
        <f>AND(#REF!,"AAAAADvnuTY=")</f>
        <v>#REF!</v>
      </c>
      <c r="BD61" t="e">
        <f>AND(#REF!,"AAAAADvnuTc=")</f>
        <v>#REF!</v>
      </c>
      <c r="BE61" t="e">
        <f>AND(#REF!,"AAAAADvnuTg=")</f>
        <v>#REF!</v>
      </c>
      <c r="BF61" t="e">
        <f>AND(#REF!,"AAAAADvnuTk=")</f>
        <v>#REF!</v>
      </c>
      <c r="BG61" t="e">
        <f>AND(#REF!,"AAAAADvnuTo=")</f>
        <v>#REF!</v>
      </c>
      <c r="BH61" t="e">
        <f>AND(#REF!,"AAAAADvnuTs=")</f>
        <v>#REF!</v>
      </c>
      <c r="BI61" t="e">
        <f>AND(#REF!,"AAAAADvnuTw=")</f>
        <v>#REF!</v>
      </c>
      <c r="BJ61" t="e">
        <f>AND(#REF!,"AAAAADvnuT0=")</f>
        <v>#REF!</v>
      </c>
      <c r="BK61" t="e">
        <f>AND(#REF!,"AAAAADvnuT4=")</f>
        <v>#REF!</v>
      </c>
      <c r="BL61" t="e">
        <f>AND(#REF!,"AAAAADvnuT8=")</f>
        <v>#REF!</v>
      </c>
      <c r="BM61" t="e">
        <f>AND(#REF!,"AAAAADvnuUA=")</f>
        <v>#REF!</v>
      </c>
      <c r="BN61" t="e">
        <f>AND(#REF!,"AAAAADvnuUE=")</f>
        <v>#REF!</v>
      </c>
      <c r="BO61" t="e">
        <f>AND(#REF!,"AAAAADvnuUI=")</f>
        <v>#REF!</v>
      </c>
      <c r="BP61" t="e">
        <f>AND(#REF!,"AAAAADvnuUM=")</f>
        <v>#REF!</v>
      </c>
      <c r="BQ61" t="e">
        <f>IF(#REF!,"AAAAADvnuUQ=",0)</f>
        <v>#REF!</v>
      </c>
      <c r="BR61" t="e">
        <f>AND(#REF!,"AAAAADvnuUU=")</f>
        <v>#REF!</v>
      </c>
      <c r="BS61" t="e">
        <f>AND(#REF!,"AAAAADvnuUY=")</f>
        <v>#REF!</v>
      </c>
      <c r="BT61" t="e">
        <f>AND(#REF!,"AAAAADvnuUc=")</f>
        <v>#REF!</v>
      </c>
      <c r="BU61" t="e">
        <f>AND(#REF!,"AAAAADvnuUg=")</f>
        <v>#REF!</v>
      </c>
      <c r="BV61" t="e">
        <f>AND(#REF!,"AAAAADvnuUk=")</f>
        <v>#REF!</v>
      </c>
      <c r="BW61" t="e">
        <f>AND(#REF!,"AAAAADvnuUo=")</f>
        <v>#REF!</v>
      </c>
      <c r="BX61" t="e">
        <f>AND(#REF!,"AAAAADvnuUs=")</f>
        <v>#REF!</v>
      </c>
      <c r="BY61" t="e">
        <f>AND(#REF!,"AAAAADvnuUw=")</f>
        <v>#REF!</v>
      </c>
      <c r="BZ61" t="e">
        <f>AND(#REF!,"AAAAADvnuU0=")</f>
        <v>#REF!</v>
      </c>
      <c r="CA61" t="e">
        <f>AND(#REF!,"AAAAADvnuU4=")</f>
        <v>#REF!</v>
      </c>
      <c r="CB61" t="e">
        <f>AND(#REF!,"AAAAADvnuU8=")</f>
        <v>#REF!</v>
      </c>
      <c r="CC61" t="e">
        <f>AND(#REF!,"AAAAADvnuVA=")</f>
        <v>#REF!</v>
      </c>
      <c r="CD61" t="e">
        <f>AND(#REF!,"AAAAADvnuVE=")</f>
        <v>#REF!</v>
      </c>
      <c r="CE61" t="e">
        <f>AND(#REF!,"AAAAADvnuVI=")</f>
        <v>#REF!</v>
      </c>
      <c r="CF61" t="e">
        <f>AND(#REF!,"AAAAADvnuVM=")</f>
        <v>#REF!</v>
      </c>
      <c r="CG61" t="e">
        <f>AND(#REF!,"AAAAADvnuVQ=")</f>
        <v>#REF!</v>
      </c>
      <c r="CH61" t="e">
        <f>AND(#REF!,"AAAAADvnuVU=")</f>
        <v>#REF!</v>
      </c>
      <c r="CI61" t="e">
        <f>AND(#REF!,"AAAAADvnuVY=")</f>
        <v>#REF!</v>
      </c>
      <c r="CJ61" t="e">
        <f>AND(#REF!,"AAAAADvnuVc=")</f>
        <v>#REF!</v>
      </c>
      <c r="CK61" t="e">
        <f>AND(#REF!,"AAAAADvnuVg=")</f>
        <v>#REF!</v>
      </c>
      <c r="CL61" t="e">
        <f>AND(#REF!,"AAAAADvnuVk=")</f>
        <v>#REF!</v>
      </c>
      <c r="CM61" t="e">
        <f>AND(#REF!,"AAAAADvnuVo=")</f>
        <v>#REF!</v>
      </c>
      <c r="CN61" t="e">
        <f>AND(#REF!,"AAAAADvnuVs=")</f>
        <v>#REF!</v>
      </c>
      <c r="CO61" t="e">
        <f>AND(#REF!,"AAAAADvnuVw=")</f>
        <v>#REF!</v>
      </c>
      <c r="CP61" t="e">
        <f>AND(#REF!,"AAAAADvnuV0=")</f>
        <v>#REF!</v>
      </c>
      <c r="CQ61" t="e">
        <f>AND(#REF!,"AAAAADvnuV4=")</f>
        <v>#REF!</v>
      </c>
      <c r="CR61" t="e">
        <f>AND(#REF!,"AAAAADvnuV8=")</f>
        <v>#REF!</v>
      </c>
      <c r="CS61" t="e">
        <f>AND(#REF!,"AAAAADvnuWA=")</f>
        <v>#REF!</v>
      </c>
      <c r="CT61" t="e">
        <f>AND(#REF!,"AAAAADvnuWE=")</f>
        <v>#REF!</v>
      </c>
      <c r="CU61" t="e">
        <f>AND(#REF!,"AAAAADvnuWI=")</f>
        <v>#REF!</v>
      </c>
      <c r="CV61" t="e">
        <f>AND(#REF!,"AAAAADvnuWM=")</f>
        <v>#REF!</v>
      </c>
      <c r="CW61" t="e">
        <f>AND(#REF!,"AAAAADvnuWQ=")</f>
        <v>#REF!</v>
      </c>
      <c r="CX61" t="e">
        <f>AND(#REF!,"AAAAADvnuWU=")</f>
        <v>#REF!</v>
      </c>
      <c r="CY61" t="e">
        <f>AND(#REF!,"AAAAADvnuWY=")</f>
        <v>#REF!</v>
      </c>
      <c r="CZ61" t="e">
        <f>AND(#REF!,"AAAAADvnuWc=")</f>
        <v>#REF!</v>
      </c>
      <c r="DA61" t="e">
        <f>IF(#REF!,"AAAAADvnuWg=",0)</f>
        <v>#REF!</v>
      </c>
      <c r="DB61" t="e">
        <f>AND(#REF!,"AAAAADvnuWk=")</f>
        <v>#REF!</v>
      </c>
      <c r="DC61" t="e">
        <f>AND(#REF!,"AAAAADvnuWo=")</f>
        <v>#REF!</v>
      </c>
      <c r="DD61" t="e">
        <f>AND(#REF!,"AAAAADvnuWs=")</f>
        <v>#REF!</v>
      </c>
      <c r="DE61" t="e">
        <f>AND(#REF!,"AAAAADvnuWw=")</f>
        <v>#REF!</v>
      </c>
      <c r="DF61" t="e">
        <f>AND(#REF!,"AAAAADvnuW0=")</f>
        <v>#REF!</v>
      </c>
      <c r="DG61" t="e">
        <f>AND(#REF!,"AAAAADvnuW4=")</f>
        <v>#REF!</v>
      </c>
      <c r="DH61" t="e">
        <f>AND(#REF!,"AAAAADvnuW8=")</f>
        <v>#REF!</v>
      </c>
      <c r="DI61" t="e">
        <f>AND(#REF!,"AAAAADvnuXA=")</f>
        <v>#REF!</v>
      </c>
      <c r="DJ61" t="e">
        <f>AND(#REF!,"AAAAADvnuXE=")</f>
        <v>#REF!</v>
      </c>
      <c r="DK61" t="e">
        <f>AND(#REF!,"AAAAADvnuXI=")</f>
        <v>#REF!</v>
      </c>
      <c r="DL61" t="e">
        <f>AND(#REF!,"AAAAADvnuXM=")</f>
        <v>#REF!</v>
      </c>
      <c r="DM61" t="e">
        <f>AND(#REF!,"AAAAADvnuXQ=")</f>
        <v>#REF!</v>
      </c>
      <c r="DN61" t="e">
        <f>AND(#REF!,"AAAAADvnuXU=")</f>
        <v>#REF!</v>
      </c>
      <c r="DO61" t="e">
        <f>AND(#REF!,"AAAAADvnuXY=")</f>
        <v>#REF!</v>
      </c>
      <c r="DP61" t="e">
        <f>AND(#REF!,"AAAAADvnuXc=")</f>
        <v>#REF!</v>
      </c>
      <c r="DQ61" t="e">
        <f>AND(#REF!,"AAAAADvnuXg=")</f>
        <v>#REF!</v>
      </c>
      <c r="DR61" t="e">
        <f>AND(#REF!,"AAAAADvnuXk=")</f>
        <v>#REF!</v>
      </c>
      <c r="DS61" t="e">
        <f>AND(#REF!,"AAAAADvnuXo=")</f>
        <v>#REF!</v>
      </c>
      <c r="DT61" t="e">
        <f>AND(#REF!,"AAAAADvnuXs=")</f>
        <v>#REF!</v>
      </c>
      <c r="DU61" t="e">
        <f>AND(#REF!,"AAAAADvnuXw=")</f>
        <v>#REF!</v>
      </c>
      <c r="DV61" t="e">
        <f>AND(#REF!,"AAAAADvnuX0=")</f>
        <v>#REF!</v>
      </c>
      <c r="DW61" t="e">
        <f>AND(#REF!,"AAAAADvnuX4=")</f>
        <v>#REF!</v>
      </c>
      <c r="DX61" t="e">
        <f>AND(#REF!,"AAAAADvnuX8=")</f>
        <v>#REF!</v>
      </c>
      <c r="DY61" t="e">
        <f>AND(#REF!,"AAAAADvnuYA=")</f>
        <v>#REF!</v>
      </c>
      <c r="DZ61" t="e">
        <f>AND(#REF!,"AAAAADvnuYE=")</f>
        <v>#REF!</v>
      </c>
      <c r="EA61" t="e">
        <f>AND(#REF!,"AAAAADvnuYI=")</f>
        <v>#REF!</v>
      </c>
      <c r="EB61" t="e">
        <f>AND(#REF!,"AAAAADvnuYM=")</f>
        <v>#REF!</v>
      </c>
      <c r="EC61" t="e">
        <f>AND(#REF!,"AAAAADvnuYQ=")</f>
        <v>#REF!</v>
      </c>
      <c r="ED61" t="e">
        <f>AND(#REF!,"AAAAADvnuYU=")</f>
        <v>#REF!</v>
      </c>
      <c r="EE61" t="e">
        <f>AND(#REF!,"AAAAADvnuYY=")</f>
        <v>#REF!</v>
      </c>
      <c r="EF61" t="e">
        <f>AND(#REF!,"AAAAADvnuYc=")</f>
        <v>#REF!</v>
      </c>
      <c r="EG61" t="e">
        <f>AND(#REF!,"AAAAADvnuYg=")</f>
        <v>#REF!</v>
      </c>
      <c r="EH61" t="e">
        <f>AND(#REF!,"AAAAADvnuYk=")</f>
        <v>#REF!</v>
      </c>
      <c r="EI61" t="e">
        <f>AND(#REF!,"AAAAADvnuYo=")</f>
        <v>#REF!</v>
      </c>
      <c r="EJ61" t="e">
        <f>AND(#REF!,"AAAAADvnuYs=")</f>
        <v>#REF!</v>
      </c>
      <c r="EK61" t="e">
        <f>IF(#REF!,"AAAAADvnuYw=",0)</f>
        <v>#REF!</v>
      </c>
      <c r="EL61" t="e">
        <f>AND(#REF!,"AAAAADvnuY0=")</f>
        <v>#REF!</v>
      </c>
      <c r="EM61" t="e">
        <f>AND(#REF!,"AAAAADvnuY4=")</f>
        <v>#REF!</v>
      </c>
      <c r="EN61" t="e">
        <f>AND(#REF!,"AAAAADvnuY8=")</f>
        <v>#REF!</v>
      </c>
      <c r="EO61" t="e">
        <f>AND(#REF!,"AAAAADvnuZA=")</f>
        <v>#REF!</v>
      </c>
      <c r="EP61" t="e">
        <f>AND(#REF!,"AAAAADvnuZE=")</f>
        <v>#REF!</v>
      </c>
      <c r="EQ61" t="e">
        <f>AND(#REF!,"AAAAADvnuZI=")</f>
        <v>#REF!</v>
      </c>
      <c r="ER61" t="e">
        <f>AND(#REF!,"AAAAADvnuZM=")</f>
        <v>#REF!</v>
      </c>
      <c r="ES61" t="e">
        <f>AND(#REF!,"AAAAADvnuZQ=")</f>
        <v>#REF!</v>
      </c>
      <c r="ET61" t="e">
        <f>AND(#REF!,"AAAAADvnuZU=")</f>
        <v>#REF!</v>
      </c>
      <c r="EU61" t="e">
        <f>AND(#REF!,"AAAAADvnuZY=")</f>
        <v>#REF!</v>
      </c>
      <c r="EV61" t="e">
        <f>AND(#REF!,"AAAAADvnuZc=")</f>
        <v>#REF!</v>
      </c>
      <c r="EW61" t="e">
        <f>AND(#REF!,"AAAAADvnuZg=")</f>
        <v>#REF!</v>
      </c>
      <c r="EX61" t="e">
        <f>AND(#REF!,"AAAAADvnuZk=")</f>
        <v>#REF!</v>
      </c>
      <c r="EY61" t="e">
        <f>AND(#REF!,"AAAAADvnuZo=")</f>
        <v>#REF!</v>
      </c>
      <c r="EZ61" t="e">
        <f>AND(#REF!,"AAAAADvnuZs=")</f>
        <v>#REF!</v>
      </c>
      <c r="FA61" t="e">
        <f>AND(#REF!,"AAAAADvnuZw=")</f>
        <v>#REF!</v>
      </c>
      <c r="FB61" t="e">
        <f>AND(#REF!,"AAAAADvnuZ0=")</f>
        <v>#REF!</v>
      </c>
      <c r="FC61" t="e">
        <f>AND(#REF!,"AAAAADvnuZ4=")</f>
        <v>#REF!</v>
      </c>
      <c r="FD61" t="e">
        <f>AND(#REF!,"AAAAADvnuZ8=")</f>
        <v>#REF!</v>
      </c>
      <c r="FE61" t="e">
        <f>AND(#REF!,"AAAAADvnuaA=")</f>
        <v>#REF!</v>
      </c>
      <c r="FF61" t="e">
        <f>AND(#REF!,"AAAAADvnuaE=")</f>
        <v>#REF!</v>
      </c>
      <c r="FG61" t="e">
        <f>AND(#REF!,"AAAAADvnuaI=")</f>
        <v>#REF!</v>
      </c>
      <c r="FH61" t="e">
        <f>AND(#REF!,"AAAAADvnuaM=")</f>
        <v>#REF!</v>
      </c>
      <c r="FI61" t="e">
        <f>AND(#REF!,"AAAAADvnuaQ=")</f>
        <v>#REF!</v>
      </c>
      <c r="FJ61" t="e">
        <f>AND(#REF!,"AAAAADvnuaU=")</f>
        <v>#REF!</v>
      </c>
      <c r="FK61" t="e">
        <f>AND(#REF!,"AAAAADvnuaY=")</f>
        <v>#REF!</v>
      </c>
      <c r="FL61" t="e">
        <f>AND(#REF!,"AAAAADvnuac=")</f>
        <v>#REF!</v>
      </c>
      <c r="FM61" t="e">
        <f>AND(#REF!,"AAAAADvnuag=")</f>
        <v>#REF!</v>
      </c>
      <c r="FN61" t="e">
        <f>AND(#REF!,"AAAAADvnuak=")</f>
        <v>#REF!</v>
      </c>
      <c r="FO61" t="e">
        <f>AND(#REF!,"AAAAADvnuao=")</f>
        <v>#REF!</v>
      </c>
      <c r="FP61" t="e">
        <f>AND(#REF!,"AAAAADvnuas=")</f>
        <v>#REF!</v>
      </c>
      <c r="FQ61" t="e">
        <f>AND(#REF!,"AAAAADvnuaw=")</f>
        <v>#REF!</v>
      </c>
      <c r="FR61" t="e">
        <f>AND(#REF!,"AAAAADvnua0=")</f>
        <v>#REF!</v>
      </c>
      <c r="FS61" t="e">
        <f>AND(#REF!,"AAAAADvnua4=")</f>
        <v>#REF!</v>
      </c>
      <c r="FT61" t="e">
        <f>AND(#REF!,"AAAAADvnua8=")</f>
        <v>#REF!</v>
      </c>
      <c r="FU61" t="e">
        <f>IF(#REF!,"AAAAADvnubA=",0)</f>
        <v>#REF!</v>
      </c>
      <c r="FV61" t="e">
        <f>AND(#REF!,"AAAAADvnubE=")</f>
        <v>#REF!</v>
      </c>
      <c r="FW61" t="e">
        <f>AND(#REF!,"AAAAADvnubI=")</f>
        <v>#REF!</v>
      </c>
      <c r="FX61" t="e">
        <f>AND(#REF!,"AAAAADvnubM=")</f>
        <v>#REF!</v>
      </c>
      <c r="FY61" t="e">
        <f>AND(#REF!,"AAAAADvnubQ=")</f>
        <v>#REF!</v>
      </c>
      <c r="FZ61" t="e">
        <f>AND(#REF!,"AAAAADvnubU=")</f>
        <v>#REF!</v>
      </c>
      <c r="GA61" t="e">
        <f>AND(#REF!,"AAAAADvnubY=")</f>
        <v>#REF!</v>
      </c>
      <c r="GB61" t="e">
        <f>AND(#REF!,"AAAAADvnubc=")</f>
        <v>#REF!</v>
      </c>
      <c r="GC61" t="e">
        <f>AND(#REF!,"AAAAADvnubg=")</f>
        <v>#REF!</v>
      </c>
      <c r="GD61" t="e">
        <f>AND(#REF!,"AAAAADvnubk=")</f>
        <v>#REF!</v>
      </c>
      <c r="GE61" t="e">
        <f>AND(#REF!,"AAAAADvnubo=")</f>
        <v>#REF!</v>
      </c>
      <c r="GF61" t="e">
        <f>AND(#REF!,"AAAAADvnubs=")</f>
        <v>#REF!</v>
      </c>
      <c r="GG61" t="e">
        <f>AND(#REF!,"AAAAADvnubw=")</f>
        <v>#REF!</v>
      </c>
      <c r="GH61" t="e">
        <f>AND(#REF!,"AAAAADvnub0=")</f>
        <v>#REF!</v>
      </c>
      <c r="GI61" t="e">
        <f>AND(#REF!,"AAAAADvnub4=")</f>
        <v>#REF!</v>
      </c>
      <c r="GJ61" t="e">
        <f>AND(#REF!,"AAAAADvnub8=")</f>
        <v>#REF!</v>
      </c>
      <c r="GK61" t="e">
        <f>AND(#REF!,"AAAAADvnucA=")</f>
        <v>#REF!</v>
      </c>
      <c r="GL61" t="e">
        <f>AND(#REF!,"AAAAADvnucE=")</f>
        <v>#REF!</v>
      </c>
      <c r="GM61" t="e">
        <f>AND(#REF!,"AAAAADvnucI=")</f>
        <v>#REF!</v>
      </c>
      <c r="GN61" t="e">
        <f>AND(#REF!,"AAAAADvnucM=")</f>
        <v>#REF!</v>
      </c>
      <c r="GO61" t="e">
        <f>AND(#REF!,"AAAAADvnucQ=")</f>
        <v>#REF!</v>
      </c>
      <c r="GP61" t="e">
        <f>AND(#REF!,"AAAAADvnucU=")</f>
        <v>#REF!</v>
      </c>
      <c r="GQ61" t="e">
        <f>AND(#REF!,"AAAAADvnucY=")</f>
        <v>#REF!</v>
      </c>
      <c r="GR61" t="e">
        <f>AND(#REF!,"AAAAADvnucc=")</f>
        <v>#REF!</v>
      </c>
      <c r="GS61" t="e">
        <f>AND(#REF!,"AAAAADvnucg=")</f>
        <v>#REF!</v>
      </c>
      <c r="GT61" t="e">
        <f>AND(#REF!,"AAAAADvnuck=")</f>
        <v>#REF!</v>
      </c>
      <c r="GU61" t="e">
        <f>AND(#REF!,"AAAAADvnuco=")</f>
        <v>#REF!</v>
      </c>
      <c r="GV61" t="e">
        <f>AND(#REF!,"AAAAADvnucs=")</f>
        <v>#REF!</v>
      </c>
      <c r="GW61" t="e">
        <f>AND(#REF!,"AAAAADvnucw=")</f>
        <v>#REF!</v>
      </c>
      <c r="GX61" t="e">
        <f>AND(#REF!,"AAAAADvnuc0=")</f>
        <v>#REF!</v>
      </c>
      <c r="GY61" t="e">
        <f>AND(#REF!,"AAAAADvnuc4=")</f>
        <v>#REF!</v>
      </c>
      <c r="GZ61" t="e">
        <f>AND(#REF!,"AAAAADvnuc8=")</f>
        <v>#REF!</v>
      </c>
      <c r="HA61" t="e">
        <f>AND(#REF!,"AAAAADvnudA=")</f>
        <v>#REF!</v>
      </c>
      <c r="HB61" t="e">
        <f>AND(#REF!,"AAAAADvnudE=")</f>
        <v>#REF!</v>
      </c>
      <c r="HC61" t="e">
        <f>AND(#REF!,"AAAAADvnudI=")</f>
        <v>#REF!</v>
      </c>
      <c r="HD61" t="e">
        <f>AND(#REF!,"AAAAADvnudM=")</f>
        <v>#REF!</v>
      </c>
      <c r="HE61" t="e">
        <f>IF(#REF!,"AAAAADvnudQ=",0)</f>
        <v>#REF!</v>
      </c>
      <c r="HF61" t="e">
        <f>AND(#REF!,"AAAAADvnudU=")</f>
        <v>#REF!</v>
      </c>
      <c r="HG61" t="e">
        <f>AND(#REF!,"AAAAADvnudY=")</f>
        <v>#REF!</v>
      </c>
      <c r="HH61" t="e">
        <f>AND(#REF!,"AAAAADvnudc=")</f>
        <v>#REF!</v>
      </c>
      <c r="HI61" t="e">
        <f>AND(#REF!,"AAAAADvnudg=")</f>
        <v>#REF!</v>
      </c>
      <c r="HJ61" t="e">
        <f>AND(#REF!,"AAAAADvnudk=")</f>
        <v>#REF!</v>
      </c>
      <c r="HK61" t="e">
        <f>AND(#REF!,"AAAAADvnudo=")</f>
        <v>#REF!</v>
      </c>
      <c r="HL61" t="e">
        <f>AND(#REF!,"AAAAADvnuds=")</f>
        <v>#REF!</v>
      </c>
      <c r="HM61" t="e">
        <f>AND(#REF!,"AAAAADvnudw=")</f>
        <v>#REF!</v>
      </c>
      <c r="HN61" t="e">
        <f>AND(#REF!,"AAAAADvnud0=")</f>
        <v>#REF!</v>
      </c>
      <c r="HO61" t="e">
        <f>AND(#REF!,"AAAAADvnud4=")</f>
        <v>#REF!</v>
      </c>
      <c r="HP61" t="e">
        <f>AND(#REF!,"AAAAADvnud8=")</f>
        <v>#REF!</v>
      </c>
      <c r="HQ61" t="e">
        <f>AND(#REF!,"AAAAADvnueA=")</f>
        <v>#REF!</v>
      </c>
      <c r="HR61" t="e">
        <f>AND(#REF!,"AAAAADvnueE=")</f>
        <v>#REF!</v>
      </c>
      <c r="HS61" t="e">
        <f>AND(#REF!,"AAAAADvnueI=")</f>
        <v>#REF!</v>
      </c>
      <c r="HT61" t="e">
        <f>AND(#REF!,"AAAAADvnueM=")</f>
        <v>#REF!</v>
      </c>
      <c r="HU61" t="e">
        <f>AND(#REF!,"AAAAADvnueQ=")</f>
        <v>#REF!</v>
      </c>
      <c r="HV61" t="e">
        <f>AND(#REF!,"AAAAADvnueU=")</f>
        <v>#REF!</v>
      </c>
      <c r="HW61" t="e">
        <f>AND(#REF!,"AAAAADvnueY=")</f>
        <v>#REF!</v>
      </c>
      <c r="HX61" t="e">
        <f>AND(#REF!,"AAAAADvnuec=")</f>
        <v>#REF!</v>
      </c>
      <c r="HY61" t="e">
        <f>AND(#REF!,"AAAAADvnueg=")</f>
        <v>#REF!</v>
      </c>
      <c r="HZ61" t="e">
        <f>AND(#REF!,"AAAAADvnuek=")</f>
        <v>#REF!</v>
      </c>
      <c r="IA61" t="e">
        <f>AND(#REF!,"AAAAADvnueo=")</f>
        <v>#REF!</v>
      </c>
      <c r="IB61" t="e">
        <f>AND(#REF!,"AAAAADvnues=")</f>
        <v>#REF!</v>
      </c>
      <c r="IC61" t="e">
        <f>AND(#REF!,"AAAAADvnuew=")</f>
        <v>#REF!</v>
      </c>
      <c r="ID61" t="e">
        <f>AND(#REF!,"AAAAADvnue0=")</f>
        <v>#REF!</v>
      </c>
      <c r="IE61" t="e">
        <f>AND(#REF!,"AAAAADvnue4=")</f>
        <v>#REF!</v>
      </c>
      <c r="IF61" t="e">
        <f>AND(#REF!,"AAAAADvnue8=")</f>
        <v>#REF!</v>
      </c>
      <c r="IG61" t="e">
        <f>AND(#REF!,"AAAAADvnufA=")</f>
        <v>#REF!</v>
      </c>
      <c r="IH61" t="e">
        <f>AND(#REF!,"AAAAADvnufE=")</f>
        <v>#REF!</v>
      </c>
      <c r="II61" t="e">
        <f>AND(#REF!,"AAAAADvnufI=")</f>
        <v>#REF!</v>
      </c>
      <c r="IJ61" t="e">
        <f>AND(#REF!,"AAAAADvnufM=")</f>
        <v>#REF!</v>
      </c>
      <c r="IK61" t="e">
        <f>AND(#REF!,"AAAAADvnufQ=")</f>
        <v>#REF!</v>
      </c>
      <c r="IL61" t="e">
        <f>AND(#REF!,"AAAAADvnufU=")</f>
        <v>#REF!</v>
      </c>
      <c r="IM61" t="e">
        <f>AND(#REF!,"AAAAADvnufY=")</f>
        <v>#REF!</v>
      </c>
      <c r="IN61" t="e">
        <f>AND(#REF!,"AAAAADvnufc=")</f>
        <v>#REF!</v>
      </c>
      <c r="IO61" t="e">
        <f>IF(#REF!,"AAAAADvnufg=",0)</f>
        <v>#REF!</v>
      </c>
      <c r="IP61" t="e">
        <f>AND(#REF!,"AAAAADvnufk=")</f>
        <v>#REF!</v>
      </c>
      <c r="IQ61" t="e">
        <f>AND(#REF!,"AAAAADvnufo=")</f>
        <v>#REF!</v>
      </c>
      <c r="IR61" t="e">
        <f>AND(#REF!,"AAAAADvnufs=")</f>
        <v>#REF!</v>
      </c>
      <c r="IS61" t="e">
        <f>AND(#REF!,"AAAAADvnufw=")</f>
        <v>#REF!</v>
      </c>
      <c r="IT61" t="e">
        <f>AND(#REF!,"AAAAADvnuf0=")</f>
        <v>#REF!</v>
      </c>
      <c r="IU61" t="e">
        <f>AND(#REF!,"AAAAADvnuf4=")</f>
        <v>#REF!</v>
      </c>
      <c r="IV61" t="e">
        <f>AND(#REF!,"AAAAADvnuf8=")</f>
        <v>#REF!</v>
      </c>
    </row>
    <row r="62" spans="1:256">
      <c r="A62" t="e">
        <f>AND(#REF!,"AAAAAD///gA=")</f>
        <v>#REF!</v>
      </c>
      <c r="B62" t="e">
        <f>AND(#REF!,"AAAAAD///gE=")</f>
        <v>#REF!</v>
      </c>
      <c r="C62" t="e">
        <f>AND(#REF!,"AAAAAD///gI=")</f>
        <v>#REF!</v>
      </c>
      <c r="D62" t="e">
        <f>AND(#REF!,"AAAAAD///gM=")</f>
        <v>#REF!</v>
      </c>
      <c r="E62" t="e">
        <f>AND(#REF!,"AAAAAD///gQ=")</f>
        <v>#REF!</v>
      </c>
      <c r="F62" t="e">
        <f>AND(#REF!,"AAAAAD///gU=")</f>
        <v>#REF!</v>
      </c>
      <c r="G62" t="e">
        <f>AND(#REF!,"AAAAAD///gY=")</f>
        <v>#REF!</v>
      </c>
      <c r="H62" t="e">
        <f>AND(#REF!,"AAAAAD///gc=")</f>
        <v>#REF!</v>
      </c>
      <c r="I62" t="e">
        <f>AND(#REF!,"AAAAAD///gg=")</f>
        <v>#REF!</v>
      </c>
      <c r="J62" t="e">
        <f>AND(#REF!,"AAAAAD///gk=")</f>
        <v>#REF!</v>
      </c>
      <c r="K62" t="e">
        <f>AND(#REF!,"AAAAAD///go=")</f>
        <v>#REF!</v>
      </c>
      <c r="L62" t="e">
        <f>AND(#REF!,"AAAAAD///gs=")</f>
        <v>#REF!</v>
      </c>
      <c r="M62" t="e">
        <f>AND(#REF!,"AAAAAD///gw=")</f>
        <v>#REF!</v>
      </c>
      <c r="N62" t="e">
        <f>AND(#REF!,"AAAAAD///g0=")</f>
        <v>#REF!</v>
      </c>
      <c r="O62" t="e">
        <f>AND(#REF!,"AAAAAD///g4=")</f>
        <v>#REF!</v>
      </c>
      <c r="P62" t="e">
        <f>AND(#REF!,"AAAAAD///g8=")</f>
        <v>#REF!</v>
      </c>
      <c r="Q62" t="e">
        <f>AND(#REF!,"AAAAAD///hA=")</f>
        <v>#REF!</v>
      </c>
      <c r="R62" t="e">
        <f>AND(#REF!,"AAAAAD///hE=")</f>
        <v>#REF!</v>
      </c>
      <c r="S62" t="e">
        <f>AND(#REF!,"AAAAAD///hI=")</f>
        <v>#REF!</v>
      </c>
      <c r="T62" t="e">
        <f>AND(#REF!,"AAAAAD///hM=")</f>
        <v>#REF!</v>
      </c>
      <c r="U62" t="e">
        <f>AND(#REF!,"AAAAAD///hQ=")</f>
        <v>#REF!</v>
      </c>
      <c r="V62" t="e">
        <f>AND(#REF!,"AAAAAD///hU=")</f>
        <v>#REF!</v>
      </c>
      <c r="W62" t="e">
        <f>AND(#REF!,"AAAAAD///hY=")</f>
        <v>#REF!</v>
      </c>
      <c r="X62" t="e">
        <f>AND(#REF!,"AAAAAD///hc=")</f>
        <v>#REF!</v>
      </c>
      <c r="Y62" t="e">
        <f>AND(#REF!,"AAAAAD///hg=")</f>
        <v>#REF!</v>
      </c>
      <c r="Z62" t="e">
        <f>AND(#REF!,"AAAAAD///hk=")</f>
        <v>#REF!</v>
      </c>
      <c r="AA62" t="e">
        <f>AND(#REF!,"AAAAAD///ho=")</f>
        <v>#REF!</v>
      </c>
      <c r="AB62" t="e">
        <f>AND(#REF!,"AAAAAD///hs=")</f>
        <v>#REF!</v>
      </c>
      <c r="AC62" t="e">
        <f>IF(#REF!,"AAAAAD///hw=",0)</f>
        <v>#REF!</v>
      </c>
      <c r="AD62" t="e">
        <f>AND(#REF!,"AAAAAD///h0=")</f>
        <v>#REF!</v>
      </c>
      <c r="AE62" t="e">
        <f>AND(#REF!,"AAAAAD///h4=")</f>
        <v>#REF!</v>
      </c>
      <c r="AF62" t="e">
        <f>AND(#REF!,"AAAAAD///h8=")</f>
        <v>#REF!</v>
      </c>
      <c r="AG62" t="e">
        <f>AND(#REF!,"AAAAAD///iA=")</f>
        <v>#REF!</v>
      </c>
      <c r="AH62" t="e">
        <f>AND(#REF!,"AAAAAD///iE=")</f>
        <v>#REF!</v>
      </c>
      <c r="AI62" t="e">
        <f>AND(#REF!,"AAAAAD///iI=")</f>
        <v>#REF!</v>
      </c>
      <c r="AJ62" t="e">
        <f>AND(#REF!,"AAAAAD///iM=")</f>
        <v>#REF!</v>
      </c>
      <c r="AK62" t="e">
        <f>AND(#REF!,"AAAAAD///iQ=")</f>
        <v>#REF!</v>
      </c>
      <c r="AL62" t="e">
        <f>AND(#REF!,"AAAAAD///iU=")</f>
        <v>#REF!</v>
      </c>
      <c r="AM62" t="e">
        <f>AND(#REF!,"AAAAAD///iY=")</f>
        <v>#REF!</v>
      </c>
      <c r="AN62" t="e">
        <f>AND(#REF!,"AAAAAD///ic=")</f>
        <v>#REF!</v>
      </c>
      <c r="AO62" t="e">
        <f>AND(#REF!,"AAAAAD///ig=")</f>
        <v>#REF!</v>
      </c>
      <c r="AP62" t="e">
        <f>AND(#REF!,"AAAAAD///ik=")</f>
        <v>#REF!</v>
      </c>
      <c r="AQ62" t="e">
        <f>AND(#REF!,"AAAAAD///io=")</f>
        <v>#REF!</v>
      </c>
      <c r="AR62" t="e">
        <f>AND(#REF!,"AAAAAD///is=")</f>
        <v>#REF!</v>
      </c>
      <c r="AS62" t="e">
        <f>AND(#REF!,"AAAAAD///iw=")</f>
        <v>#REF!</v>
      </c>
      <c r="AT62" t="e">
        <f>AND(#REF!,"AAAAAD///i0=")</f>
        <v>#REF!</v>
      </c>
      <c r="AU62" t="e">
        <f>AND(#REF!,"AAAAAD///i4=")</f>
        <v>#REF!</v>
      </c>
      <c r="AV62" t="e">
        <f>AND(#REF!,"AAAAAD///i8=")</f>
        <v>#REF!</v>
      </c>
      <c r="AW62" t="e">
        <f>AND(#REF!,"AAAAAD///jA=")</f>
        <v>#REF!</v>
      </c>
      <c r="AX62" t="e">
        <f>AND(#REF!,"AAAAAD///jE=")</f>
        <v>#REF!</v>
      </c>
      <c r="AY62" t="e">
        <f>AND(#REF!,"AAAAAD///jI=")</f>
        <v>#REF!</v>
      </c>
      <c r="AZ62" t="e">
        <f>AND(#REF!,"AAAAAD///jM=")</f>
        <v>#REF!</v>
      </c>
      <c r="BA62" t="e">
        <f>AND(#REF!,"AAAAAD///jQ=")</f>
        <v>#REF!</v>
      </c>
      <c r="BB62" t="e">
        <f>AND(#REF!,"AAAAAD///jU=")</f>
        <v>#REF!</v>
      </c>
      <c r="BC62" t="e">
        <f>AND(#REF!,"AAAAAD///jY=")</f>
        <v>#REF!</v>
      </c>
      <c r="BD62" t="e">
        <f>AND(#REF!,"AAAAAD///jc=")</f>
        <v>#REF!</v>
      </c>
      <c r="BE62" t="e">
        <f>AND(#REF!,"AAAAAD///jg=")</f>
        <v>#REF!</v>
      </c>
      <c r="BF62" t="e">
        <f>AND(#REF!,"AAAAAD///jk=")</f>
        <v>#REF!</v>
      </c>
      <c r="BG62" t="e">
        <f>AND(#REF!,"AAAAAD///jo=")</f>
        <v>#REF!</v>
      </c>
      <c r="BH62" t="e">
        <f>AND(#REF!,"AAAAAD///js=")</f>
        <v>#REF!</v>
      </c>
      <c r="BI62" t="e">
        <f>AND(#REF!,"AAAAAD///jw=")</f>
        <v>#REF!</v>
      </c>
      <c r="BJ62" t="e">
        <f>AND(#REF!,"AAAAAD///j0=")</f>
        <v>#REF!</v>
      </c>
      <c r="BK62" t="e">
        <f>AND(#REF!,"AAAAAD///j4=")</f>
        <v>#REF!</v>
      </c>
      <c r="BL62" t="e">
        <f>AND(#REF!,"AAAAAD///j8=")</f>
        <v>#REF!</v>
      </c>
      <c r="BM62" t="e">
        <f>IF(#REF!,"AAAAAD///kA=",0)</f>
        <v>#REF!</v>
      </c>
      <c r="BN62" t="e">
        <f>AND(#REF!,"AAAAAD///kE=")</f>
        <v>#REF!</v>
      </c>
      <c r="BO62" t="e">
        <f>AND(#REF!,"AAAAAD///kI=")</f>
        <v>#REF!</v>
      </c>
      <c r="BP62" t="e">
        <f>AND(#REF!,"AAAAAD///kM=")</f>
        <v>#REF!</v>
      </c>
      <c r="BQ62" t="e">
        <f>AND(#REF!,"AAAAAD///kQ=")</f>
        <v>#REF!</v>
      </c>
      <c r="BR62" t="e">
        <f>AND(#REF!,"AAAAAD///kU=")</f>
        <v>#REF!</v>
      </c>
      <c r="BS62" t="e">
        <f>AND(#REF!,"AAAAAD///kY=")</f>
        <v>#REF!</v>
      </c>
      <c r="BT62" t="e">
        <f>AND(#REF!,"AAAAAD///kc=")</f>
        <v>#REF!</v>
      </c>
      <c r="BU62" t="e">
        <f>AND(#REF!,"AAAAAD///kg=")</f>
        <v>#REF!</v>
      </c>
      <c r="BV62" t="e">
        <f>AND(#REF!,"AAAAAD///kk=")</f>
        <v>#REF!</v>
      </c>
      <c r="BW62" t="e">
        <f>AND(#REF!,"AAAAAD///ko=")</f>
        <v>#REF!</v>
      </c>
      <c r="BX62" t="e">
        <f>AND(#REF!,"AAAAAD///ks=")</f>
        <v>#REF!</v>
      </c>
      <c r="BY62" t="e">
        <f>AND(#REF!,"AAAAAD///kw=")</f>
        <v>#REF!</v>
      </c>
      <c r="BZ62" t="e">
        <f>AND(#REF!,"AAAAAD///k0=")</f>
        <v>#REF!</v>
      </c>
      <c r="CA62" t="e">
        <f>AND(#REF!,"AAAAAD///k4=")</f>
        <v>#REF!</v>
      </c>
      <c r="CB62" t="e">
        <f>AND(#REF!,"AAAAAD///k8=")</f>
        <v>#REF!</v>
      </c>
      <c r="CC62" t="e">
        <f>AND(#REF!,"AAAAAD///lA=")</f>
        <v>#REF!</v>
      </c>
      <c r="CD62" t="e">
        <f>AND(#REF!,"AAAAAD///lE=")</f>
        <v>#REF!</v>
      </c>
      <c r="CE62" t="e">
        <f>AND(#REF!,"AAAAAD///lI=")</f>
        <v>#REF!</v>
      </c>
      <c r="CF62" t="e">
        <f>AND(#REF!,"AAAAAD///lM=")</f>
        <v>#REF!</v>
      </c>
      <c r="CG62" t="e">
        <f>AND(#REF!,"AAAAAD///lQ=")</f>
        <v>#REF!</v>
      </c>
      <c r="CH62" t="e">
        <f>AND(#REF!,"AAAAAD///lU=")</f>
        <v>#REF!</v>
      </c>
      <c r="CI62" t="e">
        <f>AND(#REF!,"AAAAAD///lY=")</f>
        <v>#REF!</v>
      </c>
      <c r="CJ62" t="e">
        <f>AND(#REF!,"AAAAAD///lc=")</f>
        <v>#REF!</v>
      </c>
      <c r="CK62" t="e">
        <f>AND(#REF!,"AAAAAD///lg=")</f>
        <v>#REF!</v>
      </c>
      <c r="CL62" t="e">
        <f>AND(#REF!,"AAAAAD///lk=")</f>
        <v>#REF!</v>
      </c>
      <c r="CM62" t="e">
        <f>AND(#REF!,"AAAAAD///lo=")</f>
        <v>#REF!</v>
      </c>
      <c r="CN62" t="e">
        <f>AND(#REF!,"AAAAAD///ls=")</f>
        <v>#REF!</v>
      </c>
      <c r="CO62" t="e">
        <f>AND(#REF!,"AAAAAD///lw=")</f>
        <v>#REF!</v>
      </c>
      <c r="CP62" t="e">
        <f>AND(#REF!,"AAAAAD///l0=")</f>
        <v>#REF!</v>
      </c>
      <c r="CQ62" t="e">
        <f>AND(#REF!,"AAAAAD///l4=")</f>
        <v>#REF!</v>
      </c>
      <c r="CR62" t="e">
        <f>AND(#REF!,"AAAAAD///l8=")</f>
        <v>#REF!</v>
      </c>
      <c r="CS62" t="e">
        <f>AND(#REF!,"AAAAAD///mA=")</f>
        <v>#REF!</v>
      </c>
      <c r="CT62" t="e">
        <f>AND(#REF!,"AAAAAD///mE=")</f>
        <v>#REF!</v>
      </c>
      <c r="CU62" t="e">
        <f>AND(#REF!,"AAAAAD///mI=")</f>
        <v>#REF!</v>
      </c>
      <c r="CV62" t="e">
        <f>AND(#REF!,"AAAAAD///mM=")</f>
        <v>#REF!</v>
      </c>
      <c r="CW62" t="e">
        <f>IF(#REF!,"AAAAAD///mQ=",0)</f>
        <v>#REF!</v>
      </c>
      <c r="CX62" t="e">
        <f>AND(#REF!,"AAAAAD///mU=")</f>
        <v>#REF!</v>
      </c>
      <c r="CY62" t="e">
        <f>AND(#REF!,"AAAAAD///mY=")</f>
        <v>#REF!</v>
      </c>
      <c r="CZ62" t="e">
        <f>AND(#REF!,"AAAAAD///mc=")</f>
        <v>#REF!</v>
      </c>
      <c r="DA62" t="e">
        <f>AND(#REF!,"AAAAAD///mg=")</f>
        <v>#REF!</v>
      </c>
      <c r="DB62" t="e">
        <f>AND(#REF!,"AAAAAD///mk=")</f>
        <v>#REF!</v>
      </c>
      <c r="DC62" t="e">
        <f>AND(#REF!,"AAAAAD///mo=")</f>
        <v>#REF!</v>
      </c>
      <c r="DD62" t="e">
        <f>AND(#REF!,"AAAAAD///ms=")</f>
        <v>#REF!</v>
      </c>
      <c r="DE62" t="e">
        <f>AND(#REF!,"AAAAAD///mw=")</f>
        <v>#REF!</v>
      </c>
      <c r="DF62" t="e">
        <f>AND(#REF!,"AAAAAD///m0=")</f>
        <v>#REF!</v>
      </c>
      <c r="DG62" t="e">
        <f>AND(#REF!,"AAAAAD///m4=")</f>
        <v>#REF!</v>
      </c>
      <c r="DH62" t="e">
        <f>AND(#REF!,"AAAAAD///m8=")</f>
        <v>#REF!</v>
      </c>
      <c r="DI62" t="e">
        <f>AND(#REF!,"AAAAAD///nA=")</f>
        <v>#REF!</v>
      </c>
      <c r="DJ62" t="e">
        <f>AND(#REF!,"AAAAAD///nE=")</f>
        <v>#REF!</v>
      </c>
      <c r="DK62" t="e">
        <f>AND(#REF!,"AAAAAD///nI=")</f>
        <v>#REF!</v>
      </c>
      <c r="DL62" t="e">
        <f>AND(#REF!,"AAAAAD///nM=")</f>
        <v>#REF!</v>
      </c>
      <c r="DM62" t="e">
        <f>AND(#REF!,"AAAAAD///nQ=")</f>
        <v>#REF!</v>
      </c>
      <c r="DN62" t="e">
        <f>AND(#REF!,"AAAAAD///nU=")</f>
        <v>#REF!</v>
      </c>
      <c r="DO62" t="e">
        <f>AND(#REF!,"AAAAAD///nY=")</f>
        <v>#REF!</v>
      </c>
      <c r="DP62" t="e">
        <f>AND(#REF!,"AAAAAD///nc=")</f>
        <v>#REF!</v>
      </c>
      <c r="DQ62" t="e">
        <f>AND(#REF!,"AAAAAD///ng=")</f>
        <v>#REF!</v>
      </c>
      <c r="DR62" t="e">
        <f>AND(#REF!,"AAAAAD///nk=")</f>
        <v>#REF!</v>
      </c>
      <c r="DS62" t="e">
        <f>AND(#REF!,"AAAAAD///no=")</f>
        <v>#REF!</v>
      </c>
      <c r="DT62" t="e">
        <f>AND(#REF!,"AAAAAD///ns=")</f>
        <v>#REF!</v>
      </c>
      <c r="DU62" t="e">
        <f>AND(#REF!,"AAAAAD///nw=")</f>
        <v>#REF!</v>
      </c>
      <c r="DV62" t="e">
        <f>AND(#REF!,"AAAAAD///n0=")</f>
        <v>#REF!</v>
      </c>
      <c r="DW62" t="e">
        <f>AND(#REF!,"AAAAAD///n4=")</f>
        <v>#REF!</v>
      </c>
      <c r="DX62" t="e">
        <f>AND(#REF!,"AAAAAD///n8=")</f>
        <v>#REF!</v>
      </c>
      <c r="DY62" t="e">
        <f>AND(#REF!,"AAAAAD///oA=")</f>
        <v>#REF!</v>
      </c>
      <c r="DZ62" t="e">
        <f>AND(#REF!,"AAAAAD///oE=")</f>
        <v>#REF!</v>
      </c>
      <c r="EA62" t="e">
        <f>AND(#REF!,"AAAAAD///oI=")</f>
        <v>#REF!</v>
      </c>
      <c r="EB62" t="e">
        <f>AND(#REF!,"AAAAAD///oM=")</f>
        <v>#REF!</v>
      </c>
      <c r="EC62" t="e">
        <f>AND(#REF!,"AAAAAD///oQ=")</f>
        <v>#REF!</v>
      </c>
      <c r="ED62" t="e">
        <f>AND(#REF!,"AAAAAD///oU=")</f>
        <v>#REF!</v>
      </c>
      <c r="EE62" t="e">
        <f>AND(#REF!,"AAAAAD///oY=")</f>
        <v>#REF!</v>
      </c>
      <c r="EF62" t="e">
        <f>AND(#REF!,"AAAAAD///oc=")</f>
        <v>#REF!</v>
      </c>
      <c r="EG62" t="e">
        <f>IF(#REF!,"AAAAAD///og=",0)</f>
        <v>#REF!</v>
      </c>
      <c r="EH62" t="e">
        <f>AND(#REF!,"AAAAAD///ok=")</f>
        <v>#REF!</v>
      </c>
      <c r="EI62" t="e">
        <f>AND(#REF!,"AAAAAD///oo=")</f>
        <v>#REF!</v>
      </c>
      <c r="EJ62" t="e">
        <f>AND(#REF!,"AAAAAD///os=")</f>
        <v>#REF!</v>
      </c>
      <c r="EK62" t="e">
        <f>AND(#REF!,"AAAAAD///ow=")</f>
        <v>#REF!</v>
      </c>
      <c r="EL62" t="e">
        <f>AND(#REF!,"AAAAAD///o0=")</f>
        <v>#REF!</v>
      </c>
      <c r="EM62" t="e">
        <f>AND(#REF!,"AAAAAD///o4=")</f>
        <v>#REF!</v>
      </c>
      <c r="EN62" t="e">
        <f>AND(#REF!,"AAAAAD///o8=")</f>
        <v>#REF!</v>
      </c>
      <c r="EO62" t="e">
        <f>AND(#REF!,"AAAAAD///pA=")</f>
        <v>#REF!</v>
      </c>
      <c r="EP62" t="e">
        <f>AND(#REF!,"AAAAAD///pE=")</f>
        <v>#REF!</v>
      </c>
      <c r="EQ62" t="e">
        <f>AND(#REF!,"AAAAAD///pI=")</f>
        <v>#REF!</v>
      </c>
      <c r="ER62" t="e">
        <f>AND(#REF!,"AAAAAD///pM=")</f>
        <v>#REF!</v>
      </c>
      <c r="ES62" t="e">
        <f>AND(#REF!,"AAAAAD///pQ=")</f>
        <v>#REF!</v>
      </c>
      <c r="ET62" t="e">
        <f>AND(#REF!,"AAAAAD///pU=")</f>
        <v>#REF!</v>
      </c>
      <c r="EU62" t="e">
        <f>AND(#REF!,"AAAAAD///pY=")</f>
        <v>#REF!</v>
      </c>
      <c r="EV62" t="e">
        <f>AND(#REF!,"AAAAAD///pc=")</f>
        <v>#REF!</v>
      </c>
      <c r="EW62" t="e">
        <f>AND(#REF!,"AAAAAD///pg=")</f>
        <v>#REF!</v>
      </c>
      <c r="EX62" t="e">
        <f>AND(#REF!,"AAAAAD///pk=")</f>
        <v>#REF!</v>
      </c>
      <c r="EY62" t="e">
        <f>AND(#REF!,"AAAAAD///po=")</f>
        <v>#REF!</v>
      </c>
      <c r="EZ62" t="e">
        <f>AND(#REF!,"AAAAAD///ps=")</f>
        <v>#REF!</v>
      </c>
      <c r="FA62" t="e">
        <f>AND(#REF!,"AAAAAD///pw=")</f>
        <v>#REF!</v>
      </c>
      <c r="FB62" t="e">
        <f>AND(#REF!,"AAAAAD///p0=")</f>
        <v>#REF!</v>
      </c>
      <c r="FC62" t="e">
        <f>AND(#REF!,"AAAAAD///p4=")</f>
        <v>#REF!</v>
      </c>
      <c r="FD62" t="e">
        <f>AND(#REF!,"AAAAAD///p8=")</f>
        <v>#REF!</v>
      </c>
      <c r="FE62" t="e">
        <f>AND(#REF!,"AAAAAD///qA=")</f>
        <v>#REF!</v>
      </c>
      <c r="FF62" t="e">
        <f>AND(#REF!,"AAAAAD///qE=")</f>
        <v>#REF!</v>
      </c>
      <c r="FG62" t="e">
        <f>AND(#REF!,"AAAAAD///qI=")</f>
        <v>#REF!</v>
      </c>
      <c r="FH62" t="e">
        <f>AND(#REF!,"AAAAAD///qM=")</f>
        <v>#REF!</v>
      </c>
      <c r="FI62" t="e">
        <f>AND(#REF!,"AAAAAD///qQ=")</f>
        <v>#REF!</v>
      </c>
      <c r="FJ62" t="e">
        <f>AND(#REF!,"AAAAAD///qU=")</f>
        <v>#REF!</v>
      </c>
      <c r="FK62" t="e">
        <f>AND(#REF!,"AAAAAD///qY=")</f>
        <v>#REF!</v>
      </c>
      <c r="FL62" t="e">
        <f>AND(#REF!,"AAAAAD///qc=")</f>
        <v>#REF!</v>
      </c>
      <c r="FM62" t="e">
        <f>AND(#REF!,"AAAAAD///qg=")</f>
        <v>#REF!</v>
      </c>
      <c r="FN62" t="e">
        <f>AND(#REF!,"AAAAAD///qk=")</f>
        <v>#REF!</v>
      </c>
      <c r="FO62" t="e">
        <f>AND(#REF!,"AAAAAD///qo=")</f>
        <v>#REF!</v>
      </c>
      <c r="FP62" t="e">
        <f>AND(#REF!,"AAAAAD///qs=")</f>
        <v>#REF!</v>
      </c>
      <c r="FQ62" t="e">
        <f>IF(#REF!,"AAAAAD///qw=",0)</f>
        <v>#REF!</v>
      </c>
      <c r="FR62" t="e">
        <f>AND(#REF!,"AAAAAD///q0=")</f>
        <v>#REF!</v>
      </c>
      <c r="FS62" t="e">
        <f>AND(#REF!,"AAAAAD///q4=")</f>
        <v>#REF!</v>
      </c>
      <c r="FT62" t="e">
        <f>AND(#REF!,"AAAAAD///q8=")</f>
        <v>#REF!</v>
      </c>
      <c r="FU62" t="e">
        <f>AND(#REF!,"AAAAAD///rA=")</f>
        <v>#REF!</v>
      </c>
      <c r="FV62" t="e">
        <f>AND(#REF!,"AAAAAD///rE=")</f>
        <v>#REF!</v>
      </c>
      <c r="FW62" t="e">
        <f>AND(#REF!,"AAAAAD///rI=")</f>
        <v>#REF!</v>
      </c>
      <c r="FX62" t="e">
        <f>AND(#REF!,"AAAAAD///rM=")</f>
        <v>#REF!</v>
      </c>
      <c r="FY62" t="e">
        <f>AND(#REF!,"AAAAAD///rQ=")</f>
        <v>#REF!</v>
      </c>
      <c r="FZ62" t="e">
        <f>AND(#REF!,"AAAAAD///rU=")</f>
        <v>#REF!</v>
      </c>
      <c r="GA62" t="e">
        <f>AND(#REF!,"AAAAAD///rY=")</f>
        <v>#REF!</v>
      </c>
      <c r="GB62" t="e">
        <f>AND(#REF!,"AAAAAD///rc=")</f>
        <v>#REF!</v>
      </c>
      <c r="GC62" t="e">
        <f>AND(#REF!,"AAAAAD///rg=")</f>
        <v>#REF!</v>
      </c>
      <c r="GD62" t="e">
        <f>AND(#REF!,"AAAAAD///rk=")</f>
        <v>#REF!</v>
      </c>
      <c r="GE62" t="e">
        <f>AND(#REF!,"AAAAAD///ro=")</f>
        <v>#REF!</v>
      </c>
      <c r="GF62" t="e">
        <f>AND(#REF!,"AAAAAD///rs=")</f>
        <v>#REF!</v>
      </c>
      <c r="GG62" t="e">
        <f>AND(#REF!,"AAAAAD///rw=")</f>
        <v>#REF!</v>
      </c>
      <c r="GH62" t="e">
        <f>AND(#REF!,"AAAAAD///r0=")</f>
        <v>#REF!</v>
      </c>
      <c r="GI62" t="e">
        <f>AND(#REF!,"AAAAAD///r4=")</f>
        <v>#REF!</v>
      </c>
      <c r="GJ62" t="e">
        <f>AND(#REF!,"AAAAAD///r8=")</f>
        <v>#REF!</v>
      </c>
      <c r="GK62" t="e">
        <f>AND(#REF!,"AAAAAD///sA=")</f>
        <v>#REF!</v>
      </c>
      <c r="GL62" t="e">
        <f>AND(#REF!,"AAAAAD///sE=")</f>
        <v>#REF!</v>
      </c>
      <c r="GM62" t="e">
        <f>AND(#REF!,"AAAAAD///sI=")</f>
        <v>#REF!</v>
      </c>
      <c r="GN62" t="e">
        <f>AND(#REF!,"AAAAAD///sM=")</f>
        <v>#REF!</v>
      </c>
      <c r="GO62" t="e">
        <f>AND(#REF!,"AAAAAD///sQ=")</f>
        <v>#REF!</v>
      </c>
      <c r="GP62" t="e">
        <f>AND(#REF!,"AAAAAD///sU=")</f>
        <v>#REF!</v>
      </c>
      <c r="GQ62" t="e">
        <f>AND(#REF!,"AAAAAD///sY=")</f>
        <v>#REF!</v>
      </c>
      <c r="GR62" t="e">
        <f>AND(#REF!,"AAAAAD///sc=")</f>
        <v>#REF!</v>
      </c>
      <c r="GS62" t="e">
        <f>AND(#REF!,"AAAAAD///sg=")</f>
        <v>#REF!</v>
      </c>
      <c r="GT62" t="e">
        <f>AND(#REF!,"AAAAAD///sk=")</f>
        <v>#REF!</v>
      </c>
      <c r="GU62" t="e">
        <f>AND(#REF!,"AAAAAD///so=")</f>
        <v>#REF!</v>
      </c>
      <c r="GV62" t="e">
        <f>AND(#REF!,"AAAAAD///ss=")</f>
        <v>#REF!</v>
      </c>
      <c r="GW62" t="e">
        <f>AND(#REF!,"AAAAAD///sw=")</f>
        <v>#REF!</v>
      </c>
      <c r="GX62" t="e">
        <f>AND(#REF!,"AAAAAD///s0=")</f>
        <v>#REF!</v>
      </c>
      <c r="GY62" t="e">
        <f>AND(#REF!,"AAAAAD///s4=")</f>
        <v>#REF!</v>
      </c>
      <c r="GZ62" t="e">
        <f>AND(#REF!,"AAAAAD///s8=")</f>
        <v>#REF!</v>
      </c>
      <c r="HA62" t="e">
        <f>IF(#REF!,"AAAAAD///tA=",0)</f>
        <v>#REF!</v>
      </c>
      <c r="HB62" t="e">
        <f>AND(#REF!,"AAAAAD///tE=")</f>
        <v>#REF!</v>
      </c>
      <c r="HC62" t="e">
        <f>AND(#REF!,"AAAAAD///tI=")</f>
        <v>#REF!</v>
      </c>
      <c r="HD62" t="e">
        <f>AND(#REF!,"AAAAAD///tM=")</f>
        <v>#REF!</v>
      </c>
      <c r="HE62" t="e">
        <f>AND(#REF!,"AAAAAD///tQ=")</f>
        <v>#REF!</v>
      </c>
      <c r="HF62" t="e">
        <f>AND(#REF!,"AAAAAD///tU=")</f>
        <v>#REF!</v>
      </c>
      <c r="HG62" t="e">
        <f>AND(#REF!,"AAAAAD///tY=")</f>
        <v>#REF!</v>
      </c>
      <c r="HH62" t="e">
        <f>AND(#REF!,"AAAAAD///tc=")</f>
        <v>#REF!</v>
      </c>
      <c r="HI62" t="e">
        <f>AND(#REF!,"AAAAAD///tg=")</f>
        <v>#REF!</v>
      </c>
      <c r="HJ62" t="e">
        <f>AND(#REF!,"AAAAAD///tk=")</f>
        <v>#REF!</v>
      </c>
      <c r="HK62" t="e">
        <f>AND(#REF!,"AAAAAD///to=")</f>
        <v>#REF!</v>
      </c>
      <c r="HL62" t="e">
        <f>AND(#REF!,"AAAAAD///ts=")</f>
        <v>#REF!</v>
      </c>
      <c r="HM62" t="e">
        <f>AND(#REF!,"AAAAAD///tw=")</f>
        <v>#REF!</v>
      </c>
      <c r="HN62" t="e">
        <f>AND(#REF!,"AAAAAD///t0=")</f>
        <v>#REF!</v>
      </c>
      <c r="HO62" t="e">
        <f>AND(#REF!,"AAAAAD///t4=")</f>
        <v>#REF!</v>
      </c>
      <c r="HP62" t="e">
        <f>AND(#REF!,"AAAAAD///t8=")</f>
        <v>#REF!</v>
      </c>
      <c r="HQ62" t="e">
        <f>AND(#REF!,"AAAAAD///uA=")</f>
        <v>#REF!</v>
      </c>
      <c r="HR62" t="e">
        <f>AND(#REF!,"AAAAAD///uE=")</f>
        <v>#REF!</v>
      </c>
      <c r="HS62" t="e">
        <f>AND(#REF!,"AAAAAD///uI=")</f>
        <v>#REF!</v>
      </c>
      <c r="HT62" t="e">
        <f>AND(#REF!,"AAAAAD///uM=")</f>
        <v>#REF!</v>
      </c>
      <c r="HU62" t="e">
        <f>AND(#REF!,"AAAAAD///uQ=")</f>
        <v>#REF!</v>
      </c>
      <c r="HV62" t="e">
        <f>AND(#REF!,"AAAAAD///uU=")</f>
        <v>#REF!</v>
      </c>
      <c r="HW62" t="e">
        <f>AND(#REF!,"AAAAAD///uY=")</f>
        <v>#REF!</v>
      </c>
      <c r="HX62" t="e">
        <f>AND(#REF!,"AAAAAD///uc=")</f>
        <v>#REF!</v>
      </c>
      <c r="HY62" t="e">
        <f>AND(#REF!,"AAAAAD///ug=")</f>
        <v>#REF!</v>
      </c>
      <c r="HZ62" t="e">
        <f>AND(#REF!,"AAAAAD///uk=")</f>
        <v>#REF!</v>
      </c>
      <c r="IA62" t="e">
        <f>AND(#REF!,"AAAAAD///uo=")</f>
        <v>#REF!</v>
      </c>
      <c r="IB62" t="e">
        <f>AND(#REF!,"AAAAAD///us=")</f>
        <v>#REF!</v>
      </c>
      <c r="IC62" t="e">
        <f>AND(#REF!,"AAAAAD///uw=")</f>
        <v>#REF!</v>
      </c>
      <c r="ID62" t="e">
        <f>AND(#REF!,"AAAAAD///u0=")</f>
        <v>#REF!</v>
      </c>
      <c r="IE62" t="e">
        <f>AND(#REF!,"AAAAAD///u4=")</f>
        <v>#REF!</v>
      </c>
      <c r="IF62" t="e">
        <f>AND(#REF!,"AAAAAD///u8=")</f>
        <v>#REF!</v>
      </c>
      <c r="IG62" t="e">
        <f>AND(#REF!,"AAAAAD///vA=")</f>
        <v>#REF!</v>
      </c>
      <c r="IH62" t="e">
        <f>AND(#REF!,"AAAAAD///vE=")</f>
        <v>#REF!</v>
      </c>
      <c r="II62" t="e">
        <f>AND(#REF!,"AAAAAD///vI=")</f>
        <v>#REF!</v>
      </c>
      <c r="IJ62" t="e">
        <f>AND(#REF!,"AAAAAD///vM=")</f>
        <v>#REF!</v>
      </c>
      <c r="IK62" t="e">
        <f>IF(#REF!,"AAAAAD///vQ=",0)</f>
        <v>#REF!</v>
      </c>
      <c r="IL62" t="e">
        <f>AND(#REF!,"AAAAAD///vU=")</f>
        <v>#REF!</v>
      </c>
      <c r="IM62" t="e">
        <f>AND(#REF!,"AAAAAD///vY=")</f>
        <v>#REF!</v>
      </c>
      <c r="IN62" t="e">
        <f>AND(#REF!,"AAAAAD///vc=")</f>
        <v>#REF!</v>
      </c>
      <c r="IO62" t="e">
        <f>AND(#REF!,"AAAAAD///vg=")</f>
        <v>#REF!</v>
      </c>
      <c r="IP62" t="e">
        <f>AND(#REF!,"AAAAAD///vk=")</f>
        <v>#REF!</v>
      </c>
      <c r="IQ62" t="e">
        <f>AND(#REF!,"AAAAAD///vo=")</f>
        <v>#REF!</v>
      </c>
      <c r="IR62" t="e">
        <f>AND(#REF!,"AAAAAD///vs=")</f>
        <v>#REF!</v>
      </c>
      <c r="IS62" t="e">
        <f>AND(#REF!,"AAAAAD///vw=")</f>
        <v>#REF!</v>
      </c>
      <c r="IT62" t="e">
        <f>AND(#REF!,"AAAAAD///v0=")</f>
        <v>#REF!</v>
      </c>
      <c r="IU62" t="e">
        <f>AND(#REF!,"AAAAAD///v4=")</f>
        <v>#REF!</v>
      </c>
      <c r="IV62" t="e">
        <f>AND(#REF!,"AAAAAD///v8=")</f>
        <v>#REF!</v>
      </c>
    </row>
    <row r="63" spans="1:256">
      <c r="A63" t="e">
        <f>AND(#REF!,"AAAAAG7P/wA=")</f>
        <v>#REF!</v>
      </c>
      <c r="B63" t="e">
        <f>AND(#REF!,"AAAAAG7P/wE=")</f>
        <v>#REF!</v>
      </c>
      <c r="C63" t="e">
        <f>AND(#REF!,"AAAAAG7P/wI=")</f>
        <v>#REF!</v>
      </c>
      <c r="D63" t="e">
        <f>AND(#REF!,"AAAAAG7P/wM=")</f>
        <v>#REF!</v>
      </c>
      <c r="E63" t="e">
        <f>AND(#REF!,"AAAAAG7P/wQ=")</f>
        <v>#REF!</v>
      </c>
      <c r="F63" t="e">
        <f>AND(#REF!,"AAAAAG7P/wU=")</f>
        <v>#REF!</v>
      </c>
      <c r="G63" t="e">
        <f>AND(#REF!,"AAAAAG7P/wY=")</f>
        <v>#REF!</v>
      </c>
      <c r="H63" t="e">
        <f>AND(#REF!,"AAAAAG7P/wc=")</f>
        <v>#REF!</v>
      </c>
      <c r="I63" t="e">
        <f>AND(#REF!,"AAAAAG7P/wg=")</f>
        <v>#REF!</v>
      </c>
      <c r="J63" t="e">
        <f>AND(#REF!,"AAAAAG7P/wk=")</f>
        <v>#REF!</v>
      </c>
      <c r="K63" t="e">
        <f>AND(#REF!,"AAAAAG7P/wo=")</f>
        <v>#REF!</v>
      </c>
      <c r="L63" t="e">
        <f>AND(#REF!,"AAAAAG7P/ws=")</f>
        <v>#REF!</v>
      </c>
      <c r="M63" t="e">
        <f>AND(#REF!,"AAAAAG7P/ww=")</f>
        <v>#REF!</v>
      </c>
      <c r="N63" t="e">
        <f>AND(#REF!,"AAAAAG7P/w0=")</f>
        <v>#REF!</v>
      </c>
      <c r="O63" t="e">
        <f>AND(#REF!,"AAAAAG7P/w4=")</f>
        <v>#REF!</v>
      </c>
      <c r="P63" t="e">
        <f>AND(#REF!,"AAAAAG7P/w8=")</f>
        <v>#REF!</v>
      </c>
      <c r="Q63" t="e">
        <f>AND(#REF!,"AAAAAG7P/xA=")</f>
        <v>#REF!</v>
      </c>
      <c r="R63" t="e">
        <f>AND(#REF!,"AAAAAG7P/xE=")</f>
        <v>#REF!</v>
      </c>
      <c r="S63" t="e">
        <f>AND(#REF!,"AAAAAG7P/xI=")</f>
        <v>#REF!</v>
      </c>
      <c r="T63" t="e">
        <f>AND(#REF!,"AAAAAG7P/xM=")</f>
        <v>#REF!</v>
      </c>
      <c r="U63" t="e">
        <f>AND(#REF!,"AAAAAG7P/xQ=")</f>
        <v>#REF!</v>
      </c>
      <c r="V63" t="e">
        <f>AND(#REF!,"AAAAAG7P/xU=")</f>
        <v>#REF!</v>
      </c>
      <c r="W63" t="e">
        <f>AND(#REF!,"AAAAAG7P/xY=")</f>
        <v>#REF!</v>
      </c>
      <c r="X63" t="e">
        <f>AND(#REF!,"AAAAAG7P/xc=")</f>
        <v>#REF!</v>
      </c>
      <c r="Y63" t="e">
        <f>IF(#REF!,"AAAAAG7P/xg=",0)</f>
        <v>#REF!</v>
      </c>
      <c r="Z63" t="e">
        <f>AND(#REF!,"AAAAAG7P/xk=")</f>
        <v>#REF!</v>
      </c>
      <c r="AA63" t="e">
        <f>AND(#REF!,"AAAAAG7P/xo=")</f>
        <v>#REF!</v>
      </c>
      <c r="AB63" t="e">
        <f>AND(#REF!,"AAAAAG7P/xs=")</f>
        <v>#REF!</v>
      </c>
      <c r="AC63" t="e">
        <f>AND(#REF!,"AAAAAG7P/xw=")</f>
        <v>#REF!</v>
      </c>
      <c r="AD63" t="e">
        <f>AND(#REF!,"AAAAAG7P/x0=")</f>
        <v>#REF!</v>
      </c>
      <c r="AE63" t="e">
        <f>AND(#REF!,"AAAAAG7P/x4=")</f>
        <v>#REF!</v>
      </c>
      <c r="AF63" t="e">
        <f>AND(#REF!,"AAAAAG7P/x8=")</f>
        <v>#REF!</v>
      </c>
      <c r="AG63" t="e">
        <f>AND(#REF!,"AAAAAG7P/yA=")</f>
        <v>#REF!</v>
      </c>
      <c r="AH63" t="e">
        <f>AND(#REF!,"AAAAAG7P/yE=")</f>
        <v>#REF!</v>
      </c>
      <c r="AI63" t="e">
        <f>AND(#REF!,"AAAAAG7P/yI=")</f>
        <v>#REF!</v>
      </c>
      <c r="AJ63" t="e">
        <f>AND(#REF!,"AAAAAG7P/yM=")</f>
        <v>#REF!</v>
      </c>
      <c r="AK63" t="e">
        <f>AND(#REF!,"AAAAAG7P/yQ=")</f>
        <v>#REF!</v>
      </c>
      <c r="AL63" t="e">
        <f>AND(#REF!,"AAAAAG7P/yU=")</f>
        <v>#REF!</v>
      </c>
      <c r="AM63" t="e">
        <f>AND(#REF!,"AAAAAG7P/yY=")</f>
        <v>#REF!</v>
      </c>
      <c r="AN63" t="e">
        <f>AND(#REF!,"AAAAAG7P/yc=")</f>
        <v>#REF!</v>
      </c>
      <c r="AO63" t="e">
        <f>AND(#REF!,"AAAAAG7P/yg=")</f>
        <v>#REF!</v>
      </c>
      <c r="AP63" t="e">
        <f>AND(#REF!,"AAAAAG7P/yk=")</f>
        <v>#REF!</v>
      </c>
      <c r="AQ63" t="e">
        <f>AND(#REF!,"AAAAAG7P/yo=")</f>
        <v>#REF!</v>
      </c>
      <c r="AR63" t="e">
        <f>AND(#REF!,"AAAAAG7P/ys=")</f>
        <v>#REF!</v>
      </c>
      <c r="AS63" t="e">
        <f>AND(#REF!,"AAAAAG7P/yw=")</f>
        <v>#REF!</v>
      </c>
      <c r="AT63" t="e">
        <f>AND(#REF!,"AAAAAG7P/y0=")</f>
        <v>#REF!</v>
      </c>
      <c r="AU63" t="e">
        <f>AND(#REF!,"AAAAAG7P/y4=")</f>
        <v>#REF!</v>
      </c>
      <c r="AV63" t="e">
        <f>AND(#REF!,"AAAAAG7P/y8=")</f>
        <v>#REF!</v>
      </c>
      <c r="AW63" t="e">
        <f>AND(#REF!,"AAAAAG7P/zA=")</f>
        <v>#REF!</v>
      </c>
      <c r="AX63" t="e">
        <f>AND(#REF!,"AAAAAG7P/zE=")</f>
        <v>#REF!</v>
      </c>
      <c r="AY63" t="e">
        <f>AND(#REF!,"AAAAAG7P/zI=")</f>
        <v>#REF!</v>
      </c>
      <c r="AZ63" t="e">
        <f>AND(#REF!,"AAAAAG7P/zM=")</f>
        <v>#REF!</v>
      </c>
      <c r="BA63" t="e">
        <f>AND(#REF!,"AAAAAG7P/zQ=")</f>
        <v>#REF!</v>
      </c>
      <c r="BB63" t="e">
        <f>AND(#REF!,"AAAAAG7P/zU=")</f>
        <v>#REF!</v>
      </c>
      <c r="BC63" t="e">
        <f>AND(#REF!,"AAAAAG7P/zY=")</f>
        <v>#REF!</v>
      </c>
      <c r="BD63" t="e">
        <f>AND(#REF!,"AAAAAG7P/zc=")</f>
        <v>#REF!</v>
      </c>
      <c r="BE63" t="e">
        <f>AND(#REF!,"AAAAAG7P/zg=")</f>
        <v>#REF!</v>
      </c>
      <c r="BF63" t="e">
        <f>AND(#REF!,"AAAAAG7P/zk=")</f>
        <v>#REF!</v>
      </c>
      <c r="BG63" t="e">
        <f>AND(#REF!,"AAAAAG7P/zo=")</f>
        <v>#REF!</v>
      </c>
      <c r="BH63" t="e">
        <f>AND(#REF!,"AAAAAG7P/zs=")</f>
        <v>#REF!</v>
      </c>
      <c r="BI63" t="e">
        <f>IF(#REF!,"AAAAAG7P/zw=",0)</f>
        <v>#REF!</v>
      </c>
      <c r="BJ63" t="e">
        <f>AND(#REF!,"AAAAAG7P/z0=")</f>
        <v>#REF!</v>
      </c>
      <c r="BK63" t="e">
        <f>AND(#REF!,"AAAAAG7P/z4=")</f>
        <v>#REF!</v>
      </c>
      <c r="BL63" t="e">
        <f>AND(#REF!,"AAAAAG7P/z8=")</f>
        <v>#REF!</v>
      </c>
      <c r="BM63" t="e">
        <f>AND(#REF!,"AAAAAG7P/0A=")</f>
        <v>#REF!</v>
      </c>
      <c r="BN63" t="e">
        <f>AND(#REF!,"AAAAAG7P/0E=")</f>
        <v>#REF!</v>
      </c>
      <c r="BO63" t="e">
        <f>AND(#REF!,"AAAAAG7P/0I=")</f>
        <v>#REF!</v>
      </c>
      <c r="BP63" t="e">
        <f>AND(#REF!,"AAAAAG7P/0M=")</f>
        <v>#REF!</v>
      </c>
      <c r="BQ63" t="e">
        <f>AND(#REF!,"AAAAAG7P/0Q=")</f>
        <v>#REF!</v>
      </c>
      <c r="BR63" t="e">
        <f>AND(#REF!,"AAAAAG7P/0U=")</f>
        <v>#REF!</v>
      </c>
      <c r="BS63" t="e">
        <f>AND(#REF!,"AAAAAG7P/0Y=")</f>
        <v>#REF!</v>
      </c>
      <c r="BT63" t="e">
        <f>AND(#REF!,"AAAAAG7P/0c=")</f>
        <v>#REF!</v>
      </c>
      <c r="BU63" t="e">
        <f>AND(#REF!,"AAAAAG7P/0g=")</f>
        <v>#REF!</v>
      </c>
      <c r="BV63" t="e">
        <f>AND(#REF!,"AAAAAG7P/0k=")</f>
        <v>#REF!</v>
      </c>
      <c r="BW63" t="e">
        <f>AND(#REF!,"AAAAAG7P/0o=")</f>
        <v>#REF!</v>
      </c>
      <c r="BX63" t="e">
        <f>AND(#REF!,"AAAAAG7P/0s=")</f>
        <v>#REF!</v>
      </c>
      <c r="BY63" t="e">
        <f>AND(#REF!,"AAAAAG7P/0w=")</f>
        <v>#REF!</v>
      </c>
      <c r="BZ63" t="e">
        <f>AND(#REF!,"AAAAAG7P/00=")</f>
        <v>#REF!</v>
      </c>
      <c r="CA63" t="e">
        <f>AND(#REF!,"AAAAAG7P/04=")</f>
        <v>#REF!</v>
      </c>
      <c r="CB63" t="e">
        <f>AND(#REF!,"AAAAAG7P/08=")</f>
        <v>#REF!</v>
      </c>
      <c r="CC63" t="e">
        <f>AND(#REF!,"AAAAAG7P/1A=")</f>
        <v>#REF!</v>
      </c>
      <c r="CD63" t="e">
        <f>AND(#REF!,"AAAAAG7P/1E=")</f>
        <v>#REF!</v>
      </c>
      <c r="CE63" t="e">
        <f>AND(#REF!,"AAAAAG7P/1I=")</f>
        <v>#REF!</v>
      </c>
      <c r="CF63" t="e">
        <f>AND(#REF!,"AAAAAG7P/1M=")</f>
        <v>#REF!</v>
      </c>
      <c r="CG63" t="e">
        <f>AND(#REF!,"AAAAAG7P/1Q=")</f>
        <v>#REF!</v>
      </c>
      <c r="CH63" t="e">
        <f>AND(#REF!,"AAAAAG7P/1U=")</f>
        <v>#REF!</v>
      </c>
      <c r="CI63" t="e">
        <f>AND(#REF!,"AAAAAG7P/1Y=")</f>
        <v>#REF!</v>
      </c>
      <c r="CJ63" t="e">
        <f>AND(#REF!,"AAAAAG7P/1c=")</f>
        <v>#REF!</v>
      </c>
      <c r="CK63" t="e">
        <f>AND(#REF!,"AAAAAG7P/1g=")</f>
        <v>#REF!</v>
      </c>
      <c r="CL63" t="e">
        <f>AND(#REF!,"AAAAAG7P/1k=")</f>
        <v>#REF!</v>
      </c>
      <c r="CM63" t="e">
        <f>AND(#REF!,"AAAAAG7P/1o=")</f>
        <v>#REF!</v>
      </c>
      <c r="CN63" t="e">
        <f>AND(#REF!,"AAAAAG7P/1s=")</f>
        <v>#REF!</v>
      </c>
      <c r="CO63" t="e">
        <f>AND(#REF!,"AAAAAG7P/1w=")</f>
        <v>#REF!</v>
      </c>
      <c r="CP63" t="e">
        <f>AND(#REF!,"AAAAAG7P/10=")</f>
        <v>#REF!</v>
      </c>
      <c r="CQ63" t="e">
        <f>AND(#REF!,"AAAAAG7P/14=")</f>
        <v>#REF!</v>
      </c>
      <c r="CR63" t="e">
        <f>AND(#REF!,"AAAAAG7P/18=")</f>
        <v>#REF!</v>
      </c>
      <c r="CS63" t="e">
        <f>IF(#REF!,"AAAAAG7P/2A=",0)</f>
        <v>#REF!</v>
      </c>
      <c r="CT63" t="e">
        <f>AND(#REF!,"AAAAAG7P/2E=")</f>
        <v>#REF!</v>
      </c>
      <c r="CU63" t="e">
        <f>AND(#REF!,"AAAAAG7P/2I=")</f>
        <v>#REF!</v>
      </c>
      <c r="CV63" t="e">
        <f>AND(#REF!,"AAAAAG7P/2M=")</f>
        <v>#REF!</v>
      </c>
      <c r="CW63" t="e">
        <f>AND(#REF!,"AAAAAG7P/2Q=")</f>
        <v>#REF!</v>
      </c>
      <c r="CX63" t="e">
        <f>AND(#REF!,"AAAAAG7P/2U=")</f>
        <v>#REF!</v>
      </c>
      <c r="CY63" t="e">
        <f>AND(#REF!,"AAAAAG7P/2Y=")</f>
        <v>#REF!</v>
      </c>
      <c r="CZ63" t="e">
        <f>AND(#REF!,"AAAAAG7P/2c=")</f>
        <v>#REF!</v>
      </c>
      <c r="DA63" t="e">
        <f>AND(#REF!,"AAAAAG7P/2g=")</f>
        <v>#REF!</v>
      </c>
      <c r="DB63" t="e">
        <f>AND(#REF!,"AAAAAG7P/2k=")</f>
        <v>#REF!</v>
      </c>
      <c r="DC63" t="e">
        <f>AND(#REF!,"AAAAAG7P/2o=")</f>
        <v>#REF!</v>
      </c>
      <c r="DD63" t="e">
        <f>AND(#REF!,"AAAAAG7P/2s=")</f>
        <v>#REF!</v>
      </c>
      <c r="DE63" t="e">
        <f>AND(#REF!,"AAAAAG7P/2w=")</f>
        <v>#REF!</v>
      </c>
      <c r="DF63" t="e">
        <f>AND(#REF!,"AAAAAG7P/20=")</f>
        <v>#REF!</v>
      </c>
      <c r="DG63" t="e">
        <f>AND(#REF!,"AAAAAG7P/24=")</f>
        <v>#REF!</v>
      </c>
      <c r="DH63" t="e">
        <f>AND(#REF!,"AAAAAG7P/28=")</f>
        <v>#REF!</v>
      </c>
      <c r="DI63" t="e">
        <f>AND(#REF!,"AAAAAG7P/3A=")</f>
        <v>#REF!</v>
      </c>
      <c r="DJ63" t="e">
        <f>AND(#REF!,"AAAAAG7P/3E=")</f>
        <v>#REF!</v>
      </c>
      <c r="DK63" t="e">
        <f>AND(#REF!,"AAAAAG7P/3I=")</f>
        <v>#REF!</v>
      </c>
      <c r="DL63" t="e">
        <f>AND(#REF!,"AAAAAG7P/3M=")</f>
        <v>#REF!</v>
      </c>
      <c r="DM63" t="e">
        <f>AND(#REF!,"AAAAAG7P/3Q=")</f>
        <v>#REF!</v>
      </c>
      <c r="DN63" t="e">
        <f>AND(#REF!,"AAAAAG7P/3U=")</f>
        <v>#REF!</v>
      </c>
      <c r="DO63" t="e">
        <f>AND(#REF!,"AAAAAG7P/3Y=")</f>
        <v>#REF!</v>
      </c>
      <c r="DP63" t="e">
        <f>AND(#REF!,"AAAAAG7P/3c=")</f>
        <v>#REF!</v>
      </c>
      <c r="DQ63" t="e">
        <f>AND(#REF!,"AAAAAG7P/3g=")</f>
        <v>#REF!</v>
      </c>
      <c r="DR63" t="e">
        <f>AND(#REF!,"AAAAAG7P/3k=")</f>
        <v>#REF!</v>
      </c>
      <c r="DS63" t="e">
        <f>AND(#REF!,"AAAAAG7P/3o=")</f>
        <v>#REF!</v>
      </c>
      <c r="DT63" t="e">
        <f>AND(#REF!,"AAAAAG7P/3s=")</f>
        <v>#REF!</v>
      </c>
      <c r="DU63" t="e">
        <f>AND(#REF!,"AAAAAG7P/3w=")</f>
        <v>#REF!</v>
      </c>
      <c r="DV63" t="e">
        <f>AND(#REF!,"AAAAAG7P/30=")</f>
        <v>#REF!</v>
      </c>
      <c r="DW63" t="e">
        <f>AND(#REF!,"AAAAAG7P/34=")</f>
        <v>#REF!</v>
      </c>
      <c r="DX63" t="e">
        <f>AND(#REF!,"AAAAAG7P/38=")</f>
        <v>#REF!</v>
      </c>
      <c r="DY63" t="e">
        <f>AND(#REF!,"AAAAAG7P/4A=")</f>
        <v>#REF!</v>
      </c>
      <c r="DZ63" t="e">
        <f>AND(#REF!,"AAAAAG7P/4E=")</f>
        <v>#REF!</v>
      </c>
      <c r="EA63" t="e">
        <f>AND(#REF!,"AAAAAG7P/4I=")</f>
        <v>#REF!</v>
      </c>
      <c r="EB63" t="e">
        <f>AND(#REF!,"AAAAAG7P/4M=")</f>
        <v>#REF!</v>
      </c>
      <c r="EC63" t="e">
        <f>IF(#REF!,"AAAAAG7P/4Q=",0)</f>
        <v>#REF!</v>
      </c>
      <c r="ED63" t="e">
        <f>AND(#REF!,"AAAAAG7P/4U=")</f>
        <v>#REF!</v>
      </c>
      <c r="EE63" t="e">
        <f>AND(#REF!,"AAAAAG7P/4Y=")</f>
        <v>#REF!</v>
      </c>
      <c r="EF63" t="e">
        <f>AND(#REF!,"AAAAAG7P/4c=")</f>
        <v>#REF!</v>
      </c>
      <c r="EG63" t="e">
        <f>AND(#REF!,"AAAAAG7P/4g=")</f>
        <v>#REF!</v>
      </c>
      <c r="EH63" t="e">
        <f>AND(#REF!,"AAAAAG7P/4k=")</f>
        <v>#REF!</v>
      </c>
      <c r="EI63" t="e">
        <f>AND(#REF!,"AAAAAG7P/4o=")</f>
        <v>#REF!</v>
      </c>
      <c r="EJ63" t="e">
        <f>AND(#REF!,"AAAAAG7P/4s=")</f>
        <v>#REF!</v>
      </c>
      <c r="EK63" t="e">
        <f>AND(#REF!,"AAAAAG7P/4w=")</f>
        <v>#REF!</v>
      </c>
      <c r="EL63" t="e">
        <f>AND(#REF!,"AAAAAG7P/40=")</f>
        <v>#REF!</v>
      </c>
      <c r="EM63" t="e">
        <f>AND(#REF!,"AAAAAG7P/44=")</f>
        <v>#REF!</v>
      </c>
      <c r="EN63" t="e">
        <f>AND(#REF!,"AAAAAG7P/48=")</f>
        <v>#REF!</v>
      </c>
      <c r="EO63" t="e">
        <f>AND(#REF!,"AAAAAG7P/5A=")</f>
        <v>#REF!</v>
      </c>
      <c r="EP63" t="e">
        <f>AND(#REF!,"AAAAAG7P/5E=")</f>
        <v>#REF!</v>
      </c>
      <c r="EQ63" t="e">
        <f>AND(#REF!,"AAAAAG7P/5I=")</f>
        <v>#REF!</v>
      </c>
      <c r="ER63" t="e">
        <f>AND(#REF!,"AAAAAG7P/5M=")</f>
        <v>#REF!</v>
      </c>
      <c r="ES63" t="e">
        <f>AND(#REF!,"AAAAAG7P/5Q=")</f>
        <v>#REF!</v>
      </c>
      <c r="ET63" t="e">
        <f>AND(#REF!,"AAAAAG7P/5U=")</f>
        <v>#REF!</v>
      </c>
      <c r="EU63" t="e">
        <f>AND(#REF!,"AAAAAG7P/5Y=")</f>
        <v>#REF!</v>
      </c>
      <c r="EV63" t="e">
        <f>AND(#REF!,"AAAAAG7P/5c=")</f>
        <v>#REF!</v>
      </c>
      <c r="EW63" t="e">
        <f>AND(#REF!,"AAAAAG7P/5g=")</f>
        <v>#REF!</v>
      </c>
      <c r="EX63" t="e">
        <f>AND(#REF!,"AAAAAG7P/5k=")</f>
        <v>#REF!</v>
      </c>
      <c r="EY63" t="e">
        <f>AND(#REF!,"AAAAAG7P/5o=")</f>
        <v>#REF!</v>
      </c>
      <c r="EZ63" t="e">
        <f>AND(#REF!,"AAAAAG7P/5s=")</f>
        <v>#REF!</v>
      </c>
      <c r="FA63" t="e">
        <f>AND(#REF!,"AAAAAG7P/5w=")</f>
        <v>#REF!</v>
      </c>
      <c r="FB63" t="e">
        <f>AND(#REF!,"AAAAAG7P/50=")</f>
        <v>#REF!</v>
      </c>
      <c r="FC63" t="e">
        <f>AND(#REF!,"AAAAAG7P/54=")</f>
        <v>#REF!</v>
      </c>
      <c r="FD63" t="e">
        <f>AND(#REF!,"AAAAAG7P/58=")</f>
        <v>#REF!</v>
      </c>
      <c r="FE63" t="e">
        <f>AND(#REF!,"AAAAAG7P/6A=")</f>
        <v>#REF!</v>
      </c>
      <c r="FF63" t="e">
        <f>AND(#REF!,"AAAAAG7P/6E=")</f>
        <v>#REF!</v>
      </c>
      <c r="FG63" t="e">
        <f>AND(#REF!,"AAAAAG7P/6I=")</f>
        <v>#REF!</v>
      </c>
      <c r="FH63" t="e">
        <f>AND(#REF!,"AAAAAG7P/6M=")</f>
        <v>#REF!</v>
      </c>
      <c r="FI63" t="e">
        <f>AND(#REF!,"AAAAAG7P/6Q=")</f>
        <v>#REF!</v>
      </c>
      <c r="FJ63" t="e">
        <f>AND(#REF!,"AAAAAG7P/6U=")</f>
        <v>#REF!</v>
      </c>
      <c r="FK63" t="e">
        <f>AND(#REF!,"AAAAAG7P/6Y=")</f>
        <v>#REF!</v>
      </c>
      <c r="FL63" t="e">
        <f>AND(#REF!,"AAAAAG7P/6c=")</f>
        <v>#REF!</v>
      </c>
      <c r="FM63" t="e">
        <f>IF(#REF!,"AAAAAG7P/6g=",0)</f>
        <v>#REF!</v>
      </c>
      <c r="FN63" t="e">
        <f>AND(#REF!,"AAAAAG7P/6k=")</f>
        <v>#REF!</v>
      </c>
      <c r="FO63" t="e">
        <f>AND(#REF!,"AAAAAG7P/6o=")</f>
        <v>#REF!</v>
      </c>
      <c r="FP63" t="e">
        <f>AND(#REF!,"AAAAAG7P/6s=")</f>
        <v>#REF!</v>
      </c>
      <c r="FQ63" t="e">
        <f>AND(#REF!,"AAAAAG7P/6w=")</f>
        <v>#REF!</v>
      </c>
      <c r="FR63" t="e">
        <f>AND(#REF!,"AAAAAG7P/60=")</f>
        <v>#REF!</v>
      </c>
      <c r="FS63" t="e">
        <f>AND(#REF!,"AAAAAG7P/64=")</f>
        <v>#REF!</v>
      </c>
      <c r="FT63" t="e">
        <f>AND(#REF!,"AAAAAG7P/68=")</f>
        <v>#REF!</v>
      </c>
      <c r="FU63" t="e">
        <f>AND(#REF!,"AAAAAG7P/7A=")</f>
        <v>#REF!</v>
      </c>
      <c r="FV63" t="e">
        <f>AND(#REF!,"AAAAAG7P/7E=")</f>
        <v>#REF!</v>
      </c>
      <c r="FW63" t="e">
        <f>AND(#REF!,"AAAAAG7P/7I=")</f>
        <v>#REF!</v>
      </c>
      <c r="FX63" t="e">
        <f>AND(#REF!,"AAAAAG7P/7M=")</f>
        <v>#REF!</v>
      </c>
      <c r="FY63" t="e">
        <f>AND(#REF!,"AAAAAG7P/7Q=")</f>
        <v>#REF!</v>
      </c>
      <c r="FZ63" t="e">
        <f>AND(#REF!,"AAAAAG7P/7U=")</f>
        <v>#REF!</v>
      </c>
      <c r="GA63" t="e">
        <f>AND(#REF!,"AAAAAG7P/7Y=")</f>
        <v>#REF!</v>
      </c>
      <c r="GB63" t="e">
        <f>AND(#REF!,"AAAAAG7P/7c=")</f>
        <v>#REF!</v>
      </c>
      <c r="GC63" t="e">
        <f>AND(#REF!,"AAAAAG7P/7g=")</f>
        <v>#REF!</v>
      </c>
      <c r="GD63" t="e">
        <f>AND(#REF!,"AAAAAG7P/7k=")</f>
        <v>#REF!</v>
      </c>
      <c r="GE63" t="e">
        <f>AND(#REF!,"AAAAAG7P/7o=")</f>
        <v>#REF!</v>
      </c>
      <c r="GF63" t="e">
        <f>AND(#REF!,"AAAAAG7P/7s=")</f>
        <v>#REF!</v>
      </c>
      <c r="GG63" t="e">
        <f>AND(#REF!,"AAAAAG7P/7w=")</f>
        <v>#REF!</v>
      </c>
      <c r="GH63" t="e">
        <f>AND(#REF!,"AAAAAG7P/70=")</f>
        <v>#REF!</v>
      </c>
      <c r="GI63" t="e">
        <f>AND(#REF!,"AAAAAG7P/74=")</f>
        <v>#REF!</v>
      </c>
      <c r="GJ63" t="e">
        <f>AND(#REF!,"AAAAAG7P/78=")</f>
        <v>#REF!</v>
      </c>
      <c r="GK63" t="e">
        <f>AND(#REF!,"AAAAAG7P/8A=")</f>
        <v>#REF!</v>
      </c>
      <c r="GL63" t="e">
        <f>AND(#REF!,"AAAAAG7P/8E=")</f>
        <v>#REF!</v>
      </c>
      <c r="GM63" t="e">
        <f>AND(#REF!,"AAAAAG7P/8I=")</f>
        <v>#REF!</v>
      </c>
      <c r="GN63" t="e">
        <f>AND(#REF!,"AAAAAG7P/8M=")</f>
        <v>#REF!</v>
      </c>
      <c r="GO63" t="e">
        <f>AND(#REF!,"AAAAAG7P/8Q=")</f>
        <v>#REF!</v>
      </c>
      <c r="GP63" t="e">
        <f>AND(#REF!,"AAAAAG7P/8U=")</f>
        <v>#REF!</v>
      </c>
      <c r="GQ63" t="e">
        <f>AND(#REF!,"AAAAAG7P/8Y=")</f>
        <v>#REF!</v>
      </c>
      <c r="GR63" t="e">
        <f>AND(#REF!,"AAAAAG7P/8c=")</f>
        <v>#REF!</v>
      </c>
      <c r="GS63" t="e">
        <f>AND(#REF!,"AAAAAG7P/8g=")</f>
        <v>#REF!</v>
      </c>
      <c r="GT63" t="e">
        <f>AND(#REF!,"AAAAAG7P/8k=")</f>
        <v>#REF!</v>
      </c>
      <c r="GU63" t="e">
        <f>AND(#REF!,"AAAAAG7P/8o=")</f>
        <v>#REF!</v>
      </c>
      <c r="GV63" t="e">
        <f>AND(#REF!,"AAAAAG7P/8s=")</f>
        <v>#REF!</v>
      </c>
      <c r="GW63" t="e">
        <f>IF(#REF!,"AAAAAG7P/8w=",0)</f>
        <v>#REF!</v>
      </c>
      <c r="GX63" t="e">
        <f>AND(#REF!,"AAAAAG7P/80=")</f>
        <v>#REF!</v>
      </c>
      <c r="GY63" t="e">
        <f>AND(#REF!,"AAAAAG7P/84=")</f>
        <v>#REF!</v>
      </c>
      <c r="GZ63" t="e">
        <f>AND(#REF!,"AAAAAG7P/88=")</f>
        <v>#REF!</v>
      </c>
      <c r="HA63" t="e">
        <f>AND(#REF!,"AAAAAG7P/9A=")</f>
        <v>#REF!</v>
      </c>
      <c r="HB63" t="e">
        <f>AND(#REF!,"AAAAAG7P/9E=")</f>
        <v>#REF!</v>
      </c>
      <c r="HC63" t="e">
        <f>AND(#REF!,"AAAAAG7P/9I=")</f>
        <v>#REF!</v>
      </c>
      <c r="HD63" t="e">
        <f>AND(#REF!,"AAAAAG7P/9M=")</f>
        <v>#REF!</v>
      </c>
      <c r="HE63" t="e">
        <f>AND(#REF!,"AAAAAG7P/9Q=")</f>
        <v>#REF!</v>
      </c>
      <c r="HF63" t="e">
        <f>AND(#REF!,"AAAAAG7P/9U=")</f>
        <v>#REF!</v>
      </c>
      <c r="HG63" t="e">
        <f>AND(#REF!,"AAAAAG7P/9Y=")</f>
        <v>#REF!</v>
      </c>
      <c r="HH63" t="e">
        <f>AND(#REF!,"AAAAAG7P/9c=")</f>
        <v>#REF!</v>
      </c>
      <c r="HI63" t="e">
        <f>AND(#REF!,"AAAAAG7P/9g=")</f>
        <v>#REF!</v>
      </c>
      <c r="HJ63" t="e">
        <f>AND(#REF!,"AAAAAG7P/9k=")</f>
        <v>#REF!</v>
      </c>
      <c r="HK63" t="e">
        <f>AND(#REF!,"AAAAAG7P/9o=")</f>
        <v>#REF!</v>
      </c>
      <c r="HL63" t="e">
        <f>AND(#REF!,"AAAAAG7P/9s=")</f>
        <v>#REF!</v>
      </c>
      <c r="HM63" t="e">
        <f>AND(#REF!,"AAAAAG7P/9w=")</f>
        <v>#REF!</v>
      </c>
      <c r="HN63" t="e">
        <f>AND(#REF!,"AAAAAG7P/90=")</f>
        <v>#REF!</v>
      </c>
      <c r="HO63" t="e">
        <f>AND(#REF!,"AAAAAG7P/94=")</f>
        <v>#REF!</v>
      </c>
      <c r="HP63" t="e">
        <f>AND(#REF!,"AAAAAG7P/98=")</f>
        <v>#REF!</v>
      </c>
      <c r="HQ63" t="e">
        <f>AND(#REF!,"AAAAAG7P/+A=")</f>
        <v>#REF!</v>
      </c>
      <c r="HR63" t="e">
        <f>AND(#REF!,"AAAAAG7P/+E=")</f>
        <v>#REF!</v>
      </c>
      <c r="HS63" t="e">
        <f>AND(#REF!,"AAAAAG7P/+I=")</f>
        <v>#REF!</v>
      </c>
      <c r="HT63" t="e">
        <f>AND(#REF!,"AAAAAG7P/+M=")</f>
        <v>#REF!</v>
      </c>
      <c r="HU63" t="e">
        <f>AND(#REF!,"AAAAAG7P/+Q=")</f>
        <v>#REF!</v>
      </c>
      <c r="HV63" t="e">
        <f>AND(#REF!,"AAAAAG7P/+U=")</f>
        <v>#REF!</v>
      </c>
      <c r="HW63" t="e">
        <f>AND(#REF!,"AAAAAG7P/+Y=")</f>
        <v>#REF!</v>
      </c>
      <c r="HX63" t="e">
        <f>AND(#REF!,"AAAAAG7P/+c=")</f>
        <v>#REF!</v>
      </c>
      <c r="HY63" t="e">
        <f>AND(#REF!,"AAAAAG7P/+g=")</f>
        <v>#REF!</v>
      </c>
      <c r="HZ63" t="e">
        <f>AND(#REF!,"AAAAAG7P/+k=")</f>
        <v>#REF!</v>
      </c>
      <c r="IA63" t="e">
        <f>AND(#REF!,"AAAAAG7P/+o=")</f>
        <v>#REF!</v>
      </c>
      <c r="IB63" t="e">
        <f>AND(#REF!,"AAAAAG7P/+s=")</f>
        <v>#REF!</v>
      </c>
      <c r="IC63" t="e">
        <f>AND(#REF!,"AAAAAG7P/+w=")</f>
        <v>#REF!</v>
      </c>
      <c r="ID63" t="e">
        <f>AND(#REF!,"AAAAAG7P/+0=")</f>
        <v>#REF!</v>
      </c>
      <c r="IE63" t="e">
        <f>AND(#REF!,"AAAAAG7P/+4=")</f>
        <v>#REF!</v>
      </c>
      <c r="IF63" t="e">
        <f>AND(#REF!,"AAAAAG7P/+8=")</f>
        <v>#REF!</v>
      </c>
      <c r="IG63" t="e">
        <f>IF(#REF!,"AAAAAG7P//A=",0)</f>
        <v>#REF!</v>
      </c>
      <c r="IH63" t="e">
        <f>AND(#REF!,"AAAAAG7P//E=")</f>
        <v>#REF!</v>
      </c>
      <c r="II63" t="e">
        <f>AND(#REF!,"AAAAAG7P//I=")</f>
        <v>#REF!</v>
      </c>
      <c r="IJ63" t="e">
        <f>AND(#REF!,"AAAAAG7P//M=")</f>
        <v>#REF!</v>
      </c>
      <c r="IK63" t="e">
        <f>AND(#REF!,"AAAAAG7P//Q=")</f>
        <v>#REF!</v>
      </c>
      <c r="IL63" t="e">
        <f>AND(#REF!,"AAAAAG7P//U=")</f>
        <v>#REF!</v>
      </c>
      <c r="IM63" t="e">
        <f>AND(#REF!,"AAAAAG7P//Y=")</f>
        <v>#REF!</v>
      </c>
      <c r="IN63" t="e">
        <f>AND(#REF!,"AAAAAG7P//c=")</f>
        <v>#REF!</v>
      </c>
      <c r="IO63" t="e">
        <f>AND(#REF!,"AAAAAG7P//g=")</f>
        <v>#REF!</v>
      </c>
      <c r="IP63" t="e">
        <f>AND(#REF!,"AAAAAG7P//k=")</f>
        <v>#REF!</v>
      </c>
      <c r="IQ63" t="e">
        <f>AND(#REF!,"AAAAAG7P//o=")</f>
        <v>#REF!</v>
      </c>
      <c r="IR63" t="e">
        <f>AND(#REF!,"AAAAAG7P//s=")</f>
        <v>#REF!</v>
      </c>
      <c r="IS63" t="e">
        <f>AND(#REF!,"AAAAAG7P//w=")</f>
        <v>#REF!</v>
      </c>
      <c r="IT63" t="e">
        <f>AND(#REF!,"AAAAAG7P//0=")</f>
        <v>#REF!</v>
      </c>
      <c r="IU63" t="e">
        <f>AND(#REF!,"AAAAAG7P//4=")</f>
        <v>#REF!</v>
      </c>
      <c r="IV63" t="e">
        <f>AND(#REF!,"AAAAAG7P//8=")</f>
        <v>#REF!</v>
      </c>
    </row>
    <row r="64" spans="1:256">
      <c r="A64" t="e">
        <f>AND(#REF!,"AAAAADYX/wA=")</f>
        <v>#REF!</v>
      </c>
      <c r="B64" t="e">
        <f>AND(#REF!,"AAAAADYX/wE=")</f>
        <v>#REF!</v>
      </c>
      <c r="C64" t="e">
        <f>AND(#REF!,"AAAAADYX/wI=")</f>
        <v>#REF!</v>
      </c>
      <c r="D64" t="e">
        <f>AND(#REF!,"AAAAADYX/wM=")</f>
        <v>#REF!</v>
      </c>
      <c r="E64" t="e">
        <f>AND(#REF!,"AAAAADYX/wQ=")</f>
        <v>#REF!</v>
      </c>
      <c r="F64" t="e">
        <f>AND(#REF!,"AAAAADYX/wU=")</f>
        <v>#REF!</v>
      </c>
      <c r="G64" t="e">
        <f>AND(#REF!,"AAAAADYX/wY=")</f>
        <v>#REF!</v>
      </c>
      <c r="H64" t="e">
        <f>AND(#REF!,"AAAAADYX/wc=")</f>
        <v>#REF!</v>
      </c>
      <c r="I64" t="e">
        <f>AND(#REF!,"AAAAADYX/wg=")</f>
        <v>#REF!</v>
      </c>
      <c r="J64" t="e">
        <f>AND(#REF!,"AAAAADYX/wk=")</f>
        <v>#REF!</v>
      </c>
      <c r="K64" t="e">
        <f>AND(#REF!,"AAAAADYX/wo=")</f>
        <v>#REF!</v>
      </c>
      <c r="L64" t="e">
        <f>AND(#REF!,"AAAAADYX/ws=")</f>
        <v>#REF!</v>
      </c>
      <c r="M64" t="e">
        <f>AND(#REF!,"AAAAADYX/ww=")</f>
        <v>#REF!</v>
      </c>
      <c r="N64" t="e">
        <f>AND(#REF!,"AAAAADYX/w0=")</f>
        <v>#REF!</v>
      </c>
      <c r="O64" t="e">
        <f>AND(#REF!,"AAAAADYX/w4=")</f>
        <v>#REF!</v>
      </c>
      <c r="P64" t="e">
        <f>AND(#REF!,"AAAAADYX/w8=")</f>
        <v>#REF!</v>
      </c>
      <c r="Q64" t="e">
        <f>AND(#REF!,"AAAAADYX/xA=")</f>
        <v>#REF!</v>
      </c>
      <c r="R64" t="e">
        <f>AND(#REF!,"AAAAADYX/xE=")</f>
        <v>#REF!</v>
      </c>
      <c r="S64" t="e">
        <f>AND(#REF!,"AAAAADYX/xI=")</f>
        <v>#REF!</v>
      </c>
      <c r="T64" t="e">
        <f>AND(#REF!,"AAAAADYX/xM=")</f>
        <v>#REF!</v>
      </c>
      <c r="U64" t="e">
        <f>IF(#REF!,"AAAAADYX/xQ=",0)</f>
        <v>#REF!</v>
      </c>
      <c r="V64" t="e">
        <f>AND(#REF!,"AAAAADYX/xU=")</f>
        <v>#REF!</v>
      </c>
      <c r="W64" t="e">
        <f>AND(#REF!,"AAAAADYX/xY=")</f>
        <v>#REF!</v>
      </c>
      <c r="X64" t="e">
        <f>AND(#REF!,"AAAAADYX/xc=")</f>
        <v>#REF!</v>
      </c>
      <c r="Y64" t="e">
        <f>AND(#REF!,"AAAAADYX/xg=")</f>
        <v>#REF!</v>
      </c>
      <c r="Z64" t="e">
        <f>AND(#REF!,"AAAAADYX/xk=")</f>
        <v>#REF!</v>
      </c>
      <c r="AA64" t="e">
        <f>AND(#REF!,"AAAAADYX/xo=")</f>
        <v>#REF!</v>
      </c>
      <c r="AB64" t="e">
        <f>AND(#REF!,"AAAAADYX/xs=")</f>
        <v>#REF!</v>
      </c>
      <c r="AC64" t="e">
        <f>AND(#REF!,"AAAAADYX/xw=")</f>
        <v>#REF!</v>
      </c>
      <c r="AD64" t="e">
        <f>AND(#REF!,"AAAAADYX/x0=")</f>
        <v>#REF!</v>
      </c>
      <c r="AE64" t="e">
        <f>AND(#REF!,"AAAAADYX/x4=")</f>
        <v>#REF!</v>
      </c>
      <c r="AF64" t="e">
        <f>AND(#REF!,"AAAAADYX/x8=")</f>
        <v>#REF!</v>
      </c>
      <c r="AG64" t="e">
        <f>AND(#REF!,"AAAAADYX/yA=")</f>
        <v>#REF!</v>
      </c>
      <c r="AH64" t="e">
        <f>AND(#REF!,"AAAAADYX/yE=")</f>
        <v>#REF!</v>
      </c>
      <c r="AI64" t="e">
        <f>AND(#REF!,"AAAAADYX/yI=")</f>
        <v>#REF!</v>
      </c>
      <c r="AJ64" t="e">
        <f>AND(#REF!,"AAAAADYX/yM=")</f>
        <v>#REF!</v>
      </c>
      <c r="AK64" t="e">
        <f>AND(#REF!,"AAAAADYX/yQ=")</f>
        <v>#REF!</v>
      </c>
      <c r="AL64" t="e">
        <f>AND(#REF!,"AAAAADYX/yU=")</f>
        <v>#REF!</v>
      </c>
      <c r="AM64" t="e">
        <f>AND(#REF!,"AAAAADYX/yY=")</f>
        <v>#REF!</v>
      </c>
      <c r="AN64" t="e">
        <f>AND(#REF!,"AAAAADYX/yc=")</f>
        <v>#REF!</v>
      </c>
      <c r="AO64" t="e">
        <f>AND(#REF!,"AAAAADYX/yg=")</f>
        <v>#REF!</v>
      </c>
      <c r="AP64" t="e">
        <f>AND(#REF!,"AAAAADYX/yk=")</f>
        <v>#REF!</v>
      </c>
      <c r="AQ64" t="e">
        <f>AND(#REF!,"AAAAADYX/yo=")</f>
        <v>#REF!</v>
      </c>
      <c r="AR64" t="e">
        <f>AND(#REF!,"AAAAADYX/ys=")</f>
        <v>#REF!</v>
      </c>
      <c r="AS64" t="e">
        <f>AND(#REF!,"AAAAADYX/yw=")</f>
        <v>#REF!</v>
      </c>
      <c r="AT64" t="e">
        <f>AND(#REF!,"AAAAADYX/y0=")</f>
        <v>#REF!</v>
      </c>
      <c r="AU64" t="e">
        <f>AND(#REF!,"AAAAADYX/y4=")</f>
        <v>#REF!</v>
      </c>
      <c r="AV64" t="e">
        <f>AND(#REF!,"AAAAADYX/y8=")</f>
        <v>#REF!</v>
      </c>
      <c r="AW64" t="e">
        <f>AND(#REF!,"AAAAADYX/zA=")</f>
        <v>#REF!</v>
      </c>
      <c r="AX64" t="e">
        <f>AND(#REF!,"AAAAADYX/zE=")</f>
        <v>#REF!</v>
      </c>
      <c r="AY64" t="e">
        <f>AND(#REF!,"AAAAADYX/zI=")</f>
        <v>#REF!</v>
      </c>
      <c r="AZ64" t="e">
        <f>AND(#REF!,"AAAAADYX/zM=")</f>
        <v>#REF!</v>
      </c>
      <c r="BA64" t="e">
        <f>AND(#REF!,"AAAAADYX/zQ=")</f>
        <v>#REF!</v>
      </c>
      <c r="BB64" t="e">
        <f>AND(#REF!,"AAAAADYX/zU=")</f>
        <v>#REF!</v>
      </c>
      <c r="BC64" t="e">
        <f>AND(#REF!,"AAAAADYX/zY=")</f>
        <v>#REF!</v>
      </c>
      <c r="BD64" t="e">
        <f>AND(#REF!,"AAAAADYX/zc=")</f>
        <v>#REF!</v>
      </c>
      <c r="BE64" t="e">
        <f>IF(#REF!,"AAAAADYX/zg=",0)</f>
        <v>#REF!</v>
      </c>
      <c r="BF64" t="e">
        <f>AND(#REF!,"AAAAADYX/zk=")</f>
        <v>#REF!</v>
      </c>
      <c r="BG64" t="e">
        <f>AND(#REF!,"AAAAADYX/zo=")</f>
        <v>#REF!</v>
      </c>
      <c r="BH64" t="e">
        <f>AND(#REF!,"AAAAADYX/zs=")</f>
        <v>#REF!</v>
      </c>
      <c r="BI64" t="e">
        <f>AND(#REF!,"AAAAADYX/zw=")</f>
        <v>#REF!</v>
      </c>
      <c r="BJ64" t="e">
        <f>AND(#REF!,"AAAAADYX/z0=")</f>
        <v>#REF!</v>
      </c>
      <c r="BK64" t="e">
        <f>AND(#REF!,"AAAAADYX/z4=")</f>
        <v>#REF!</v>
      </c>
      <c r="BL64" t="e">
        <f>AND(#REF!,"AAAAADYX/z8=")</f>
        <v>#REF!</v>
      </c>
      <c r="BM64" t="e">
        <f>AND(#REF!,"AAAAADYX/0A=")</f>
        <v>#REF!</v>
      </c>
      <c r="BN64" t="e">
        <f>AND(#REF!,"AAAAADYX/0E=")</f>
        <v>#REF!</v>
      </c>
      <c r="BO64" t="e">
        <f>AND(#REF!,"AAAAADYX/0I=")</f>
        <v>#REF!</v>
      </c>
      <c r="BP64" t="e">
        <f>AND(#REF!,"AAAAADYX/0M=")</f>
        <v>#REF!</v>
      </c>
      <c r="BQ64" t="e">
        <f>AND(#REF!,"AAAAADYX/0Q=")</f>
        <v>#REF!</v>
      </c>
      <c r="BR64" t="e">
        <f>AND(#REF!,"AAAAADYX/0U=")</f>
        <v>#REF!</v>
      </c>
      <c r="BS64" t="e">
        <f>AND(#REF!,"AAAAADYX/0Y=")</f>
        <v>#REF!</v>
      </c>
      <c r="BT64" t="e">
        <f>AND(#REF!,"AAAAADYX/0c=")</f>
        <v>#REF!</v>
      </c>
      <c r="BU64" t="e">
        <f>AND(#REF!,"AAAAADYX/0g=")</f>
        <v>#REF!</v>
      </c>
      <c r="BV64" t="e">
        <f>AND(#REF!,"AAAAADYX/0k=")</f>
        <v>#REF!</v>
      </c>
      <c r="BW64" t="e">
        <f>AND(#REF!,"AAAAADYX/0o=")</f>
        <v>#REF!</v>
      </c>
      <c r="BX64" t="e">
        <f>AND(#REF!,"AAAAADYX/0s=")</f>
        <v>#REF!</v>
      </c>
      <c r="BY64" t="e">
        <f>AND(#REF!,"AAAAADYX/0w=")</f>
        <v>#REF!</v>
      </c>
      <c r="BZ64" t="e">
        <f>AND(#REF!,"AAAAADYX/00=")</f>
        <v>#REF!</v>
      </c>
      <c r="CA64" t="e">
        <f>AND(#REF!,"AAAAADYX/04=")</f>
        <v>#REF!</v>
      </c>
      <c r="CB64" t="e">
        <f>AND(#REF!,"AAAAADYX/08=")</f>
        <v>#REF!</v>
      </c>
      <c r="CC64" t="e">
        <f>AND(#REF!,"AAAAADYX/1A=")</f>
        <v>#REF!</v>
      </c>
      <c r="CD64" t="e">
        <f>AND(#REF!,"AAAAADYX/1E=")</f>
        <v>#REF!</v>
      </c>
      <c r="CE64" t="e">
        <f>AND(#REF!,"AAAAADYX/1I=")</f>
        <v>#REF!</v>
      </c>
      <c r="CF64" t="e">
        <f>AND(#REF!,"AAAAADYX/1M=")</f>
        <v>#REF!</v>
      </c>
      <c r="CG64" t="e">
        <f>AND(#REF!,"AAAAADYX/1Q=")</f>
        <v>#REF!</v>
      </c>
      <c r="CH64" t="e">
        <f>AND(#REF!,"AAAAADYX/1U=")</f>
        <v>#REF!</v>
      </c>
      <c r="CI64" t="e">
        <f>AND(#REF!,"AAAAADYX/1Y=")</f>
        <v>#REF!</v>
      </c>
      <c r="CJ64" t="e">
        <f>AND(#REF!,"AAAAADYX/1c=")</f>
        <v>#REF!</v>
      </c>
      <c r="CK64" t="e">
        <f>AND(#REF!,"AAAAADYX/1g=")</f>
        <v>#REF!</v>
      </c>
      <c r="CL64" t="e">
        <f>AND(#REF!,"AAAAADYX/1k=")</f>
        <v>#REF!</v>
      </c>
      <c r="CM64" t="e">
        <f>AND(#REF!,"AAAAADYX/1o=")</f>
        <v>#REF!</v>
      </c>
      <c r="CN64" t="e">
        <f>AND(#REF!,"AAAAADYX/1s=")</f>
        <v>#REF!</v>
      </c>
      <c r="CO64" t="e">
        <f>IF(#REF!,"AAAAADYX/1w=",0)</f>
        <v>#REF!</v>
      </c>
      <c r="CP64" t="e">
        <f>AND(#REF!,"AAAAADYX/10=")</f>
        <v>#REF!</v>
      </c>
      <c r="CQ64" t="e">
        <f>AND(#REF!,"AAAAADYX/14=")</f>
        <v>#REF!</v>
      </c>
      <c r="CR64" t="e">
        <f>AND(#REF!,"AAAAADYX/18=")</f>
        <v>#REF!</v>
      </c>
      <c r="CS64" t="e">
        <f>AND(#REF!,"AAAAADYX/2A=")</f>
        <v>#REF!</v>
      </c>
      <c r="CT64" t="e">
        <f>AND(#REF!,"AAAAADYX/2E=")</f>
        <v>#REF!</v>
      </c>
      <c r="CU64" t="e">
        <f>AND(#REF!,"AAAAADYX/2I=")</f>
        <v>#REF!</v>
      </c>
      <c r="CV64" t="e">
        <f>AND(#REF!,"AAAAADYX/2M=")</f>
        <v>#REF!</v>
      </c>
      <c r="CW64" t="e">
        <f>AND(#REF!,"AAAAADYX/2Q=")</f>
        <v>#REF!</v>
      </c>
      <c r="CX64" t="e">
        <f>AND(#REF!,"AAAAADYX/2U=")</f>
        <v>#REF!</v>
      </c>
      <c r="CY64" t="e">
        <f>AND(#REF!,"AAAAADYX/2Y=")</f>
        <v>#REF!</v>
      </c>
      <c r="CZ64" t="e">
        <f>AND(#REF!,"AAAAADYX/2c=")</f>
        <v>#REF!</v>
      </c>
      <c r="DA64" t="e">
        <f>AND(#REF!,"AAAAADYX/2g=")</f>
        <v>#REF!</v>
      </c>
      <c r="DB64" t="e">
        <f>AND(#REF!,"AAAAADYX/2k=")</f>
        <v>#REF!</v>
      </c>
      <c r="DC64" t="e">
        <f>AND(#REF!,"AAAAADYX/2o=")</f>
        <v>#REF!</v>
      </c>
      <c r="DD64" t="e">
        <f>AND(#REF!,"AAAAADYX/2s=")</f>
        <v>#REF!</v>
      </c>
      <c r="DE64" t="e">
        <f>AND(#REF!,"AAAAADYX/2w=")</f>
        <v>#REF!</v>
      </c>
      <c r="DF64" t="e">
        <f>AND(#REF!,"AAAAADYX/20=")</f>
        <v>#REF!</v>
      </c>
      <c r="DG64" t="e">
        <f>AND(#REF!,"AAAAADYX/24=")</f>
        <v>#REF!</v>
      </c>
      <c r="DH64" t="e">
        <f>AND(#REF!,"AAAAADYX/28=")</f>
        <v>#REF!</v>
      </c>
      <c r="DI64" t="e">
        <f>AND(#REF!,"AAAAADYX/3A=")</f>
        <v>#REF!</v>
      </c>
      <c r="DJ64" t="e">
        <f>AND(#REF!,"AAAAADYX/3E=")</f>
        <v>#REF!</v>
      </c>
      <c r="DK64" t="e">
        <f>AND(#REF!,"AAAAADYX/3I=")</f>
        <v>#REF!</v>
      </c>
      <c r="DL64" t="e">
        <f>AND(#REF!,"AAAAADYX/3M=")</f>
        <v>#REF!</v>
      </c>
      <c r="DM64" t="e">
        <f>AND(#REF!,"AAAAADYX/3Q=")</f>
        <v>#REF!</v>
      </c>
      <c r="DN64" t="e">
        <f>AND(#REF!,"AAAAADYX/3U=")</f>
        <v>#REF!</v>
      </c>
      <c r="DO64" t="e">
        <f>AND(#REF!,"AAAAADYX/3Y=")</f>
        <v>#REF!</v>
      </c>
      <c r="DP64" t="e">
        <f>AND(#REF!,"AAAAADYX/3c=")</f>
        <v>#REF!</v>
      </c>
      <c r="DQ64" t="e">
        <f>AND(#REF!,"AAAAADYX/3g=")</f>
        <v>#REF!</v>
      </c>
      <c r="DR64" t="e">
        <f>AND(#REF!,"AAAAADYX/3k=")</f>
        <v>#REF!</v>
      </c>
      <c r="DS64" t="e">
        <f>AND(#REF!,"AAAAADYX/3o=")</f>
        <v>#REF!</v>
      </c>
      <c r="DT64" t="e">
        <f>AND(#REF!,"AAAAADYX/3s=")</f>
        <v>#REF!</v>
      </c>
      <c r="DU64" t="e">
        <f>AND(#REF!,"AAAAADYX/3w=")</f>
        <v>#REF!</v>
      </c>
      <c r="DV64" t="e">
        <f>AND(#REF!,"AAAAADYX/30=")</f>
        <v>#REF!</v>
      </c>
      <c r="DW64" t="e">
        <f>AND(#REF!,"AAAAADYX/34=")</f>
        <v>#REF!</v>
      </c>
      <c r="DX64" t="e">
        <f>AND(#REF!,"AAAAADYX/38=")</f>
        <v>#REF!</v>
      </c>
      <c r="DY64" t="e">
        <f>IF(#REF!,"AAAAADYX/4A=",0)</f>
        <v>#REF!</v>
      </c>
      <c r="DZ64" t="e">
        <f>AND(#REF!,"AAAAADYX/4E=")</f>
        <v>#REF!</v>
      </c>
      <c r="EA64" t="e">
        <f>AND(#REF!,"AAAAADYX/4I=")</f>
        <v>#REF!</v>
      </c>
      <c r="EB64" t="e">
        <f>AND(#REF!,"AAAAADYX/4M=")</f>
        <v>#REF!</v>
      </c>
      <c r="EC64" t="e">
        <f>AND(#REF!,"AAAAADYX/4Q=")</f>
        <v>#REF!</v>
      </c>
      <c r="ED64" t="e">
        <f>AND(#REF!,"AAAAADYX/4U=")</f>
        <v>#REF!</v>
      </c>
      <c r="EE64" t="e">
        <f>AND(#REF!,"AAAAADYX/4Y=")</f>
        <v>#REF!</v>
      </c>
      <c r="EF64" t="e">
        <f>AND(#REF!,"AAAAADYX/4c=")</f>
        <v>#REF!</v>
      </c>
      <c r="EG64" t="e">
        <f>AND(#REF!,"AAAAADYX/4g=")</f>
        <v>#REF!</v>
      </c>
      <c r="EH64" t="e">
        <f>AND(#REF!,"AAAAADYX/4k=")</f>
        <v>#REF!</v>
      </c>
      <c r="EI64" t="e">
        <f>AND(#REF!,"AAAAADYX/4o=")</f>
        <v>#REF!</v>
      </c>
      <c r="EJ64" t="e">
        <f>AND(#REF!,"AAAAADYX/4s=")</f>
        <v>#REF!</v>
      </c>
      <c r="EK64" t="e">
        <f>AND(#REF!,"AAAAADYX/4w=")</f>
        <v>#REF!</v>
      </c>
      <c r="EL64" t="e">
        <f>AND(#REF!,"AAAAADYX/40=")</f>
        <v>#REF!</v>
      </c>
      <c r="EM64" t="e">
        <f>AND(#REF!,"AAAAADYX/44=")</f>
        <v>#REF!</v>
      </c>
      <c r="EN64" t="e">
        <f>AND(#REF!,"AAAAADYX/48=")</f>
        <v>#REF!</v>
      </c>
      <c r="EO64" t="e">
        <f>AND(#REF!,"AAAAADYX/5A=")</f>
        <v>#REF!</v>
      </c>
      <c r="EP64" t="e">
        <f>AND(#REF!,"AAAAADYX/5E=")</f>
        <v>#REF!</v>
      </c>
      <c r="EQ64" t="e">
        <f>AND(#REF!,"AAAAADYX/5I=")</f>
        <v>#REF!</v>
      </c>
      <c r="ER64" t="e">
        <f>AND(#REF!,"AAAAADYX/5M=")</f>
        <v>#REF!</v>
      </c>
      <c r="ES64" t="e">
        <f>AND(#REF!,"AAAAADYX/5Q=")</f>
        <v>#REF!</v>
      </c>
      <c r="ET64" t="e">
        <f>AND(#REF!,"AAAAADYX/5U=")</f>
        <v>#REF!</v>
      </c>
      <c r="EU64" t="e">
        <f>AND(#REF!,"AAAAADYX/5Y=")</f>
        <v>#REF!</v>
      </c>
      <c r="EV64" t="e">
        <f>AND(#REF!,"AAAAADYX/5c=")</f>
        <v>#REF!</v>
      </c>
      <c r="EW64" t="e">
        <f>AND(#REF!,"AAAAADYX/5g=")</f>
        <v>#REF!</v>
      </c>
      <c r="EX64" t="e">
        <f>AND(#REF!,"AAAAADYX/5k=")</f>
        <v>#REF!</v>
      </c>
      <c r="EY64" t="e">
        <f>AND(#REF!,"AAAAADYX/5o=")</f>
        <v>#REF!</v>
      </c>
      <c r="EZ64" t="e">
        <f>AND(#REF!,"AAAAADYX/5s=")</f>
        <v>#REF!</v>
      </c>
      <c r="FA64" t="e">
        <f>AND(#REF!,"AAAAADYX/5w=")</f>
        <v>#REF!</v>
      </c>
      <c r="FB64" t="e">
        <f>AND(#REF!,"AAAAADYX/50=")</f>
        <v>#REF!</v>
      </c>
      <c r="FC64" t="e">
        <f>AND(#REF!,"AAAAADYX/54=")</f>
        <v>#REF!</v>
      </c>
      <c r="FD64" t="e">
        <f>AND(#REF!,"AAAAADYX/58=")</f>
        <v>#REF!</v>
      </c>
      <c r="FE64" t="e">
        <f>AND(#REF!,"AAAAADYX/6A=")</f>
        <v>#REF!</v>
      </c>
      <c r="FF64" t="e">
        <f>AND(#REF!,"AAAAADYX/6E=")</f>
        <v>#REF!</v>
      </c>
      <c r="FG64" t="e">
        <f>AND(#REF!,"AAAAADYX/6I=")</f>
        <v>#REF!</v>
      </c>
      <c r="FH64" t="e">
        <f>AND(#REF!,"AAAAADYX/6M=")</f>
        <v>#REF!</v>
      </c>
      <c r="FI64" t="e">
        <f>IF(#REF!,"AAAAADYX/6Q=",0)</f>
        <v>#REF!</v>
      </c>
      <c r="FJ64" t="e">
        <f>AND(#REF!,"AAAAADYX/6U=")</f>
        <v>#REF!</v>
      </c>
      <c r="FK64" t="e">
        <f>AND(#REF!,"AAAAADYX/6Y=")</f>
        <v>#REF!</v>
      </c>
      <c r="FL64" t="e">
        <f>AND(#REF!,"AAAAADYX/6c=")</f>
        <v>#REF!</v>
      </c>
      <c r="FM64" t="e">
        <f>AND(#REF!,"AAAAADYX/6g=")</f>
        <v>#REF!</v>
      </c>
      <c r="FN64" t="e">
        <f>AND(#REF!,"AAAAADYX/6k=")</f>
        <v>#REF!</v>
      </c>
      <c r="FO64" t="e">
        <f>AND(#REF!,"AAAAADYX/6o=")</f>
        <v>#REF!</v>
      </c>
      <c r="FP64" t="e">
        <f>AND(#REF!,"AAAAADYX/6s=")</f>
        <v>#REF!</v>
      </c>
      <c r="FQ64" t="e">
        <f>AND(#REF!,"AAAAADYX/6w=")</f>
        <v>#REF!</v>
      </c>
      <c r="FR64" t="e">
        <f>AND(#REF!,"AAAAADYX/60=")</f>
        <v>#REF!</v>
      </c>
      <c r="FS64" t="e">
        <f>AND(#REF!,"AAAAADYX/64=")</f>
        <v>#REF!</v>
      </c>
      <c r="FT64" t="e">
        <f>AND(#REF!,"AAAAADYX/68=")</f>
        <v>#REF!</v>
      </c>
      <c r="FU64" t="e">
        <f>AND(#REF!,"AAAAADYX/7A=")</f>
        <v>#REF!</v>
      </c>
      <c r="FV64" t="e">
        <f>AND(#REF!,"AAAAADYX/7E=")</f>
        <v>#REF!</v>
      </c>
      <c r="FW64" t="e">
        <f>AND(#REF!,"AAAAADYX/7I=")</f>
        <v>#REF!</v>
      </c>
      <c r="FX64" t="e">
        <f>AND(#REF!,"AAAAADYX/7M=")</f>
        <v>#REF!</v>
      </c>
      <c r="FY64" t="e">
        <f>AND(#REF!,"AAAAADYX/7Q=")</f>
        <v>#REF!</v>
      </c>
      <c r="FZ64" t="e">
        <f>AND(#REF!,"AAAAADYX/7U=")</f>
        <v>#REF!</v>
      </c>
      <c r="GA64" t="e">
        <f>AND(#REF!,"AAAAADYX/7Y=")</f>
        <v>#REF!</v>
      </c>
      <c r="GB64" t="e">
        <f>AND(#REF!,"AAAAADYX/7c=")</f>
        <v>#REF!</v>
      </c>
      <c r="GC64" t="e">
        <f>AND(#REF!,"AAAAADYX/7g=")</f>
        <v>#REF!</v>
      </c>
      <c r="GD64" t="e">
        <f>AND(#REF!,"AAAAADYX/7k=")</f>
        <v>#REF!</v>
      </c>
      <c r="GE64" t="e">
        <f>AND(#REF!,"AAAAADYX/7o=")</f>
        <v>#REF!</v>
      </c>
      <c r="GF64" t="e">
        <f>AND(#REF!,"AAAAADYX/7s=")</f>
        <v>#REF!</v>
      </c>
      <c r="GG64" t="e">
        <f>AND(#REF!,"AAAAADYX/7w=")</f>
        <v>#REF!</v>
      </c>
      <c r="GH64" t="e">
        <f>AND(#REF!,"AAAAADYX/70=")</f>
        <v>#REF!</v>
      </c>
      <c r="GI64" t="e">
        <f>AND(#REF!,"AAAAADYX/74=")</f>
        <v>#REF!</v>
      </c>
      <c r="GJ64" t="e">
        <f>AND(#REF!,"AAAAADYX/78=")</f>
        <v>#REF!</v>
      </c>
      <c r="GK64" t="e">
        <f>AND(#REF!,"AAAAADYX/8A=")</f>
        <v>#REF!</v>
      </c>
      <c r="GL64" t="e">
        <f>AND(#REF!,"AAAAADYX/8E=")</f>
        <v>#REF!</v>
      </c>
      <c r="GM64" t="e">
        <f>AND(#REF!,"AAAAADYX/8I=")</f>
        <v>#REF!</v>
      </c>
      <c r="GN64" t="e">
        <f>AND(#REF!,"AAAAADYX/8M=")</f>
        <v>#REF!</v>
      </c>
      <c r="GO64" t="e">
        <f>AND(#REF!,"AAAAADYX/8Q=")</f>
        <v>#REF!</v>
      </c>
      <c r="GP64" t="e">
        <f>AND(#REF!,"AAAAADYX/8U=")</f>
        <v>#REF!</v>
      </c>
      <c r="GQ64" t="e">
        <f>AND(#REF!,"AAAAADYX/8Y=")</f>
        <v>#REF!</v>
      </c>
      <c r="GR64" t="e">
        <f>AND(#REF!,"AAAAADYX/8c=")</f>
        <v>#REF!</v>
      </c>
      <c r="GS64" t="e">
        <f>IF(#REF!,"AAAAADYX/8g=",0)</f>
        <v>#REF!</v>
      </c>
      <c r="GT64" t="e">
        <f>AND(#REF!,"AAAAADYX/8k=")</f>
        <v>#REF!</v>
      </c>
      <c r="GU64" t="e">
        <f>AND(#REF!,"AAAAADYX/8o=")</f>
        <v>#REF!</v>
      </c>
      <c r="GV64" t="e">
        <f>AND(#REF!,"AAAAADYX/8s=")</f>
        <v>#REF!</v>
      </c>
      <c r="GW64" t="e">
        <f>AND(#REF!,"AAAAADYX/8w=")</f>
        <v>#REF!</v>
      </c>
      <c r="GX64" t="e">
        <f>AND(#REF!,"AAAAADYX/80=")</f>
        <v>#REF!</v>
      </c>
      <c r="GY64" t="e">
        <f>AND(#REF!,"AAAAADYX/84=")</f>
        <v>#REF!</v>
      </c>
      <c r="GZ64" t="e">
        <f>AND(#REF!,"AAAAADYX/88=")</f>
        <v>#REF!</v>
      </c>
      <c r="HA64" t="e">
        <f>AND(#REF!,"AAAAADYX/9A=")</f>
        <v>#REF!</v>
      </c>
      <c r="HB64" t="e">
        <f>AND(#REF!,"AAAAADYX/9E=")</f>
        <v>#REF!</v>
      </c>
      <c r="HC64" t="e">
        <f>AND(#REF!,"AAAAADYX/9I=")</f>
        <v>#REF!</v>
      </c>
      <c r="HD64" t="e">
        <f>AND(#REF!,"AAAAADYX/9M=")</f>
        <v>#REF!</v>
      </c>
      <c r="HE64" t="e">
        <f>AND(#REF!,"AAAAADYX/9Q=")</f>
        <v>#REF!</v>
      </c>
      <c r="HF64" t="e">
        <f>AND(#REF!,"AAAAADYX/9U=")</f>
        <v>#REF!</v>
      </c>
      <c r="HG64" t="e">
        <f>AND(#REF!,"AAAAADYX/9Y=")</f>
        <v>#REF!</v>
      </c>
      <c r="HH64" t="e">
        <f>AND(#REF!,"AAAAADYX/9c=")</f>
        <v>#REF!</v>
      </c>
      <c r="HI64" t="e">
        <f>AND(#REF!,"AAAAADYX/9g=")</f>
        <v>#REF!</v>
      </c>
      <c r="HJ64" t="e">
        <f>AND(#REF!,"AAAAADYX/9k=")</f>
        <v>#REF!</v>
      </c>
      <c r="HK64" t="e">
        <f>AND(#REF!,"AAAAADYX/9o=")</f>
        <v>#REF!</v>
      </c>
      <c r="HL64" t="e">
        <f>AND(#REF!,"AAAAADYX/9s=")</f>
        <v>#REF!</v>
      </c>
      <c r="HM64" t="e">
        <f>AND(#REF!,"AAAAADYX/9w=")</f>
        <v>#REF!</v>
      </c>
      <c r="HN64" t="e">
        <f>AND(#REF!,"AAAAADYX/90=")</f>
        <v>#REF!</v>
      </c>
      <c r="HO64" t="e">
        <f>AND(#REF!,"AAAAADYX/94=")</f>
        <v>#REF!</v>
      </c>
      <c r="HP64" t="e">
        <f>AND(#REF!,"AAAAADYX/98=")</f>
        <v>#REF!</v>
      </c>
      <c r="HQ64" t="e">
        <f>AND(#REF!,"AAAAADYX/+A=")</f>
        <v>#REF!</v>
      </c>
      <c r="HR64" t="e">
        <f>AND(#REF!,"AAAAADYX/+E=")</f>
        <v>#REF!</v>
      </c>
      <c r="HS64" t="e">
        <f>AND(#REF!,"AAAAADYX/+I=")</f>
        <v>#REF!</v>
      </c>
      <c r="HT64" t="e">
        <f>AND(#REF!,"AAAAADYX/+M=")</f>
        <v>#REF!</v>
      </c>
      <c r="HU64" t="e">
        <f>AND(#REF!,"AAAAADYX/+Q=")</f>
        <v>#REF!</v>
      </c>
      <c r="HV64" t="e">
        <f>AND(#REF!,"AAAAADYX/+U=")</f>
        <v>#REF!</v>
      </c>
      <c r="HW64" t="e">
        <f>AND(#REF!,"AAAAADYX/+Y=")</f>
        <v>#REF!</v>
      </c>
      <c r="HX64" t="e">
        <f>AND(#REF!,"AAAAADYX/+c=")</f>
        <v>#REF!</v>
      </c>
      <c r="HY64" t="e">
        <f>AND(#REF!,"AAAAADYX/+g=")</f>
        <v>#REF!</v>
      </c>
      <c r="HZ64" t="e">
        <f>AND(#REF!,"AAAAADYX/+k=")</f>
        <v>#REF!</v>
      </c>
      <c r="IA64" t="e">
        <f>AND(#REF!,"AAAAADYX/+o=")</f>
        <v>#REF!</v>
      </c>
      <c r="IB64" t="e">
        <f>AND(#REF!,"AAAAADYX/+s=")</f>
        <v>#REF!</v>
      </c>
      <c r="IC64" t="e">
        <f>IF(#REF!,"AAAAADYX/+w=",0)</f>
        <v>#REF!</v>
      </c>
      <c r="ID64" t="e">
        <f>AND(#REF!,"AAAAADYX/+0=")</f>
        <v>#REF!</v>
      </c>
      <c r="IE64" t="e">
        <f>AND(#REF!,"AAAAADYX/+4=")</f>
        <v>#REF!</v>
      </c>
      <c r="IF64" t="e">
        <f>AND(#REF!,"AAAAADYX/+8=")</f>
        <v>#REF!</v>
      </c>
      <c r="IG64" t="e">
        <f>AND(#REF!,"AAAAADYX//A=")</f>
        <v>#REF!</v>
      </c>
      <c r="IH64" t="e">
        <f>AND(#REF!,"AAAAADYX//E=")</f>
        <v>#REF!</v>
      </c>
      <c r="II64" t="e">
        <f>AND(#REF!,"AAAAADYX//I=")</f>
        <v>#REF!</v>
      </c>
      <c r="IJ64" t="e">
        <f>AND(#REF!,"AAAAADYX//M=")</f>
        <v>#REF!</v>
      </c>
      <c r="IK64" t="e">
        <f>AND(#REF!,"AAAAADYX//Q=")</f>
        <v>#REF!</v>
      </c>
      <c r="IL64" t="e">
        <f>AND(#REF!,"AAAAADYX//U=")</f>
        <v>#REF!</v>
      </c>
      <c r="IM64" t="e">
        <f>AND(#REF!,"AAAAADYX//Y=")</f>
        <v>#REF!</v>
      </c>
      <c r="IN64" t="e">
        <f>AND(#REF!,"AAAAADYX//c=")</f>
        <v>#REF!</v>
      </c>
      <c r="IO64" t="e">
        <f>AND(#REF!,"AAAAADYX//g=")</f>
        <v>#REF!</v>
      </c>
      <c r="IP64" t="e">
        <f>AND(#REF!,"AAAAADYX//k=")</f>
        <v>#REF!</v>
      </c>
      <c r="IQ64" t="e">
        <f>AND(#REF!,"AAAAADYX//o=")</f>
        <v>#REF!</v>
      </c>
      <c r="IR64" t="e">
        <f>AND(#REF!,"AAAAADYX//s=")</f>
        <v>#REF!</v>
      </c>
      <c r="IS64" t="e">
        <f>AND(#REF!,"AAAAADYX//w=")</f>
        <v>#REF!</v>
      </c>
      <c r="IT64" t="e">
        <f>AND(#REF!,"AAAAADYX//0=")</f>
        <v>#REF!</v>
      </c>
      <c r="IU64" t="e">
        <f>AND(#REF!,"AAAAADYX//4=")</f>
        <v>#REF!</v>
      </c>
      <c r="IV64" t="e">
        <f>AND(#REF!,"AAAAADYX//8=")</f>
        <v>#REF!</v>
      </c>
    </row>
    <row r="65" spans="1:256">
      <c r="A65" t="e">
        <f>AND(#REF!,"AAAAAAxWawA=")</f>
        <v>#REF!</v>
      </c>
      <c r="B65" t="e">
        <f>AND(#REF!,"AAAAAAxWawE=")</f>
        <v>#REF!</v>
      </c>
      <c r="C65" t="e">
        <f>AND(#REF!,"AAAAAAxWawI=")</f>
        <v>#REF!</v>
      </c>
      <c r="D65" t="e">
        <f>AND(#REF!,"AAAAAAxWawM=")</f>
        <v>#REF!</v>
      </c>
      <c r="E65" t="e">
        <f>AND(#REF!,"AAAAAAxWawQ=")</f>
        <v>#REF!</v>
      </c>
      <c r="F65" t="e">
        <f>AND(#REF!,"AAAAAAxWawU=")</f>
        <v>#REF!</v>
      </c>
      <c r="G65" t="e">
        <f>AND(#REF!,"AAAAAAxWawY=")</f>
        <v>#REF!</v>
      </c>
      <c r="H65" t="e">
        <f>AND(#REF!,"AAAAAAxWawc=")</f>
        <v>#REF!</v>
      </c>
      <c r="I65" t="e">
        <f>AND(#REF!,"AAAAAAxWawg=")</f>
        <v>#REF!</v>
      </c>
      <c r="J65" t="e">
        <f>AND(#REF!,"AAAAAAxWawk=")</f>
        <v>#REF!</v>
      </c>
      <c r="K65" t="e">
        <f>AND(#REF!,"AAAAAAxWawo=")</f>
        <v>#REF!</v>
      </c>
      <c r="L65" t="e">
        <f>AND(#REF!,"AAAAAAxWaws=")</f>
        <v>#REF!</v>
      </c>
      <c r="M65" t="e">
        <f>AND(#REF!,"AAAAAAxWaww=")</f>
        <v>#REF!</v>
      </c>
      <c r="N65" t="e">
        <f>AND(#REF!,"AAAAAAxWaw0=")</f>
        <v>#REF!</v>
      </c>
      <c r="O65" t="e">
        <f>AND(#REF!,"AAAAAAxWaw4=")</f>
        <v>#REF!</v>
      </c>
      <c r="P65" t="e">
        <f>AND(#REF!,"AAAAAAxWaw8=")</f>
        <v>#REF!</v>
      </c>
      <c r="Q65" t="e">
        <f>IF(#REF!,"AAAAAAxWaxA=",0)</f>
        <v>#REF!</v>
      </c>
      <c r="R65" t="e">
        <f>AND(#REF!,"AAAAAAxWaxE=")</f>
        <v>#REF!</v>
      </c>
      <c r="S65" t="e">
        <f>AND(#REF!,"AAAAAAxWaxI=")</f>
        <v>#REF!</v>
      </c>
      <c r="T65" t="e">
        <f>AND(#REF!,"AAAAAAxWaxM=")</f>
        <v>#REF!</v>
      </c>
      <c r="U65" t="e">
        <f>AND(#REF!,"AAAAAAxWaxQ=")</f>
        <v>#REF!</v>
      </c>
      <c r="V65" t="e">
        <f>AND(#REF!,"AAAAAAxWaxU=")</f>
        <v>#REF!</v>
      </c>
      <c r="W65" t="e">
        <f>AND(#REF!,"AAAAAAxWaxY=")</f>
        <v>#REF!</v>
      </c>
      <c r="X65" t="e">
        <f>AND(#REF!,"AAAAAAxWaxc=")</f>
        <v>#REF!</v>
      </c>
      <c r="Y65" t="e">
        <f>AND(#REF!,"AAAAAAxWaxg=")</f>
        <v>#REF!</v>
      </c>
      <c r="Z65" t="e">
        <f>AND(#REF!,"AAAAAAxWaxk=")</f>
        <v>#REF!</v>
      </c>
      <c r="AA65" t="e">
        <f>AND(#REF!,"AAAAAAxWaxo=")</f>
        <v>#REF!</v>
      </c>
      <c r="AB65" t="e">
        <f>AND(#REF!,"AAAAAAxWaxs=")</f>
        <v>#REF!</v>
      </c>
      <c r="AC65" t="e">
        <f>AND(#REF!,"AAAAAAxWaxw=")</f>
        <v>#REF!</v>
      </c>
      <c r="AD65" t="e">
        <f>AND(#REF!,"AAAAAAxWax0=")</f>
        <v>#REF!</v>
      </c>
      <c r="AE65" t="e">
        <f>AND(#REF!,"AAAAAAxWax4=")</f>
        <v>#REF!</v>
      </c>
      <c r="AF65" t="e">
        <f>AND(#REF!,"AAAAAAxWax8=")</f>
        <v>#REF!</v>
      </c>
      <c r="AG65" t="e">
        <f>AND(#REF!,"AAAAAAxWayA=")</f>
        <v>#REF!</v>
      </c>
      <c r="AH65" t="e">
        <f>AND(#REF!,"AAAAAAxWayE=")</f>
        <v>#REF!</v>
      </c>
      <c r="AI65" t="e">
        <f>AND(#REF!,"AAAAAAxWayI=")</f>
        <v>#REF!</v>
      </c>
      <c r="AJ65" t="e">
        <f>AND(#REF!,"AAAAAAxWayM=")</f>
        <v>#REF!</v>
      </c>
      <c r="AK65" t="e">
        <f>AND(#REF!,"AAAAAAxWayQ=")</f>
        <v>#REF!</v>
      </c>
      <c r="AL65" t="e">
        <f>AND(#REF!,"AAAAAAxWayU=")</f>
        <v>#REF!</v>
      </c>
      <c r="AM65" t="e">
        <f>AND(#REF!,"AAAAAAxWayY=")</f>
        <v>#REF!</v>
      </c>
      <c r="AN65" t="e">
        <f>AND(#REF!,"AAAAAAxWayc=")</f>
        <v>#REF!</v>
      </c>
      <c r="AO65" t="e">
        <f>AND(#REF!,"AAAAAAxWayg=")</f>
        <v>#REF!</v>
      </c>
      <c r="AP65" t="e">
        <f>AND(#REF!,"AAAAAAxWayk=")</f>
        <v>#REF!</v>
      </c>
      <c r="AQ65" t="e">
        <f>AND(#REF!,"AAAAAAxWayo=")</f>
        <v>#REF!</v>
      </c>
      <c r="AR65" t="e">
        <f>AND(#REF!,"AAAAAAxWays=")</f>
        <v>#REF!</v>
      </c>
      <c r="AS65" t="e">
        <f>AND(#REF!,"AAAAAAxWayw=")</f>
        <v>#REF!</v>
      </c>
      <c r="AT65" t="e">
        <f>AND(#REF!,"AAAAAAxWay0=")</f>
        <v>#REF!</v>
      </c>
      <c r="AU65" t="e">
        <f>AND(#REF!,"AAAAAAxWay4=")</f>
        <v>#REF!</v>
      </c>
      <c r="AV65" t="e">
        <f>AND(#REF!,"AAAAAAxWay8=")</f>
        <v>#REF!</v>
      </c>
      <c r="AW65" t="e">
        <f>AND(#REF!,"AAAAAAxWazA=")</f>
        <v>#REF!</v>
      </c>
      <c r="AX65" t="e">
        <f>AND(#REF!,"AAAAAAxWazE=")</f>
        <v>#REF!</v>
      </c>
      <c r="AY65" t="e">
        <f>AND(#REF!,"AAAAAAxWazI=")</f>
        <v>#REF!</v>
      </c>
      <c r="AZ65" t="e">
        <f>AND(#REF!,"AAAAAAxWazM=")</f>
        <v>#REF!</v>
      </c>
      <c r="BA65" t="e">
        <f>IF(#REF!,"AAAAAAxWazQ=",0)</f>
        <v>#REF!</v>
      </c>
      <c r="BB65" t="e">
        <f>AND(#REF!,"AAAAAAxWazU=")</f>
        <v>#REF!</v>
      </c>
      <c r="BC65" t="e">
        <f>AND(#REF!,"AAAAAAxWazY=")</f>
        <v>#REF!</v>
      </c>
      <c r="BD65" t="e">
        <f>AND(#REF!,"AAAAAAxWazc=")</f>
        <v>#REF!</v>
      </c>
      <c r="BE65" t="e">
        <f>AND(#REF!,"AAAAAAxWazg=")</f>
        <v>#REF!</v>
      </c>
      <c r="BF65" t="e">
        <f>AND(#REF!,"AAAAAAxWazk=")</f>
        <v>#REF!</v>
      </c>
      <c r="BG65" t="e">
        <f>AND(#REF!,"AAAAAAxWazo=")</f>
        <v>#REF!</v>
      </c>
      <c r="BH65" t="e">
        <f>AND(#REF!,"AAAAAAxWazs=")</f>
        <v>#REF!</v>
      </c>
      <c r="BI65" t="e">
        <f>AND(#REF!,"AAAAAAxWazw=")</f>
        <v>#REF!</v>
      </c>
      <c r="BJ65" t="e">
        <f>AND(#REF!,"AAAAAAxWaz0=")</f>
        <v>#REF!</v>
      </c>
      <c r="BK65" t="e">
        <f>AND(#REF!,"AAAAAAxWaz4=")</f>
        <v>#REF!</v>
      </c>
      <c r="BL65" t="e">
        <f>AND(#REF!,"AAAAAAxWaz8=")</f>
        <v>#REF!</v>
      </c>
      <c r="BM65" t="e">
        <f>AND(#REF!,"AAAAAAxWa0A=")</f>
        <v>#REF!</v>
      </c>
      <c r="BN65" t="e">
        <f>AND(#REF!,"AAAAAAxWa0E=")</f>
        <v>#REF!</v>
      </c>
      <c r="BO65" t="e">
        <f>AND(#REF!,"AAAAAAxWa0I=")</f>
        <v>#REF!</v>
      </c>
      <c r="BP65" t="e">
        <f>AND(#REF!,"AAAAAAxWa0M=")</f>
        <v>#REF!</v>
      </c>
      <c r="BQ65" t="e">
        <f>AND(#REF!,"AAAAAAxWa0Q=")</f>
        <v>#REF!</v>
      </c>
      <c r="BR65" t="e">
        <f>AND(#REF!,"AAAAAAxWa0U=")</f>
        <v>#REF!</v>
      </c>
      <c r="BS65" t="e">
        <f>AND(#REF!,"AAAAAAxWa0Y=")</f>
        <v>#REF!</v>
      </c>
      <c r="BT65" t="e">
        <f>AND(#REF!,"AAAAAAxWa0c=")</f>
        <v>#REF!</v>
      </c>
      <c r="BU65" t="e">
        <f>AND(#REF!,"AAAAAAxWa0g=")</f>
        <v>#REF!</v>
      </c>
      <c r="BV65" t="e">
        <f>AND(#REF!,"AAAAAAxWa0k=")</f>
        <v>#REF!</v>
      </c>
      <c r="BW65" t="e">
        <f>AND(#REF!,"AAAAAAxWa0o=")</f>
        <v>#REF!</v>
      </c>
      <c r="BX65" t="e">
        <f>AND(#REF!,"AAAAAAxWa0s=")</f>
        <v>#REF!</v>
      </c>
      <c r="BY65" t="e">
        <f>AND(#REF!,"AAAAAAxWa0w=")</f>
        <v>#REF!</v>
      </c>
      <c r="BZ65" t="e">
        <f>AND(#REF!,"AAAAAAxWa00=")</f>
        <v>#REF!</v>
      </c>
      <c r="CA65" t="e">
        <f>AND(#REF!,"AAAAAAxWa04=")</f>
        <v>#REF!</v>
      </c>
      <c r="CB65" t="e">
        <f>AND(#REF!,"AAAAAAxWa08=")</f>
        <v>#REF!</v>
      </c>
      <c r="CC65" t="e">
        <f>AND(#REF!,"AAAAAAxWa1A=")</f>
        <v>#REF!</v>
      </c>
      <c r="CD65" t="e">
        <f>AND(#REF!,"AAAAAAxWa1E=")</f>
        <v>#REF!</v>
      </c>
      <c r="CE65" t="e">
        <f>AND(#REF!,"AAAAAAxWa1I=")</f>
        <v>#REF!</v>
      </c>
      <c r="CF65" t="e">
        <f>AND(#REF!,"AAAAAAxWa1M=")</f>
        <v>#REF!</v>
      </c>
      <c r="CG65" t="e">
        <f>AND(#REF!,"AAAAAAxWa1Q=")</f>
        <v>#REF!</v>
      </c>
      <c r="CH65" t="e">
        <f>AND(#REF!,"AAAAAAxWa1U=")</f>
        <v>#REF!</v>
      </c>
      <c r="CI65" t="e">
        <f>AND(#REF!,"AAAAAAxWa1Y=")</f>
        <v>#REF!</v>
      </c>
      <c r="CJ65" t="e">
        <f>AND(#REF!,"AAAAAAxWa1c=")</f>
        <v>#REF!</v>
      </c>
      <c r="CK65" t="e">
        <f>IF(#REF!,"AAAAAAxWa1g=",0)</f>
        <v>#REF!</v>
      </c>
      <c r="CL65" t="e">
        <f>AND(#REF!,"AAAAAAxWa1k=")</f>
        <v>#REF!</v>
      </c>
      <c r="CM65" t="e">
        <f>AND(#REF!,"AAAAAAxWa1o=")</f>
        <v>#REF!</v>
      </c>
      <c r="CN65" t="e">
        <f>AND(#REF!,"AAAAAAxWa1s=")</f>
        <v>#REF!</v>
      </c>
      <c r="CO65" t="e">
        <f>AND(#REF!,"AAAAAAxWa1w=")</f>
        <v>#REF!</v>
      </c>
      <c r="CP65" t="e">
        <f>AND(#REF!,"AAAAAAxWa10=")</f>
        <v>#REF!</v>
      </c>
      <c r="CQ65" t="e">
        <f>AND(#REF!,"AAAAAAxWa14=")</f>
        <v>#REF!</v>
      </c>
      <c r="CR65" t="e">
        <f>AND(#REF!,"AAAAAAxWa18=")</f>
        <v>#REF!</v>
      </c>
      <c r="CS65" t="e">
        <f>AND(#REF!,"AAAAAAxWa2A=")</f>
        <v>#REF!</v>
      </c>
      <c r="CT65" t="e">
        <f>AND(#REF!,"AAAAAAxWa2E=")</f>
        <v>#REF!</v>
      </c>
      <c r="CU65" t="e">
        <f>AND(#REF!,"AAAAAAxWa2I=")</f>
        <v>#REF!</v>
      </c>
      <c r="CV65" t="e">
        <f>AND(#REF!,"AAAAAAxWa2M=")</f>
        <v>#REF!</v>
      </c>
      <c r="CW65" t="e">
        <f>AND(#REF!,"AAAAAAxWa2Q=")</f>
        <v>#REF!</v>
      </c>
      <c r="CX65" t="e">
        <f>AND(#REF!,"AAAAAAxWa2U=")</f>
        <v>#REF!</v>
      </c>
      <c r="CY65" t="e">
        <f>AND(#REF!,"AAAAAAxWa2Y=")</f>
        <v>#REF!</v>
      </c>
      <c r="CZ65" t="e">
        <f>AND(#REF!,"AAAAAAxWa2c=")</f>
        <v>#REF!</v>
      </c>
      <c r="DA65" t="e">
        <f>AND(#REF!,"AAAAAAxWa2g=")</f>
        <v>#REF!</v>
      </c>
      <c r="DB65" t="e">
        <f>AND(#REF!,"AAAAAAxWa2k=")</f>
        <v>#REF!</v>
      </c>
      <c r="DC65" t="e">
        <f>AND(#REF!,"AAAAAAxWa2o=")</f>
        <v>#REF!</v>
      </c>
      <c r="DD65" t="e">
        <f>AND(#REF!,"AAAAAAxWa2s=")</f>
        <v>#REF!</v>
      </c>
      <c r="DE65" t="e">
        <f>AND(#REF!,"AAAAAAxWa2w=")</f>
        <v>#REF!</v>
      </c>
      <c r="DF65" t="e">
        <f>AND(#REF!,"AAAAAAxWa20=")</f>
        <v>#REF!</v>
      </c>
      <c r="DG65" t="e">
        <f>AND(#REF!,"AAAAAAxWa24=")</f>
        <v>#REF!</v>
      </c>
      <c r="DH65" t="e">
        <f>AND(#REF!,"AAAAAAxWa28=")</f>
        <v>#REF!</v>
      </c>
      <c r="DI65" t="e">
        <f>AND(#REF!,"AAAAAAxWa3A=")</f>
        <v>#REF!</v>
      </c>
      <c r="DJ65" t="e">
        <f>AND(#REF!,"AAAAAAxWa3E=")</f>
        <v>#REF!</v>
      </c>
      <c r="DK65" t="e">
        <f>AND(#REF!,"AAAAAAxWa3I=")</f>
        <v>#REF!</v>
      </c>
      <c r="DL65" t="e">
        <f>AND(#REF!,"AAAAAAxWa3M=")</f>
        <v>#REF!</v>
      </c>
      <c r="DM65" t="e">
        <f>AND(#REF!,"AAAAAAxWa3Q=")</f>
        <v>#REF!</v>
      </c>
      <c r="DN65" t="e">
        <f>AND(#REF!,"AAAAAAxWa3U=")</f>
        <v>#REF!</v>
      </c>
      <c r="DO65" t="e">
        <f>AND(#REF!,"AAAAAAxWa3Y=")</f>
        <v>#REF!</v>
      </c>
      <c r="DP65" t="e">
        <f>AND(#REF!,"AAAAAAxWa3c=")</f>
        <v>#REF!</v>
      </c>
      <c r="DQ65" t="e">
        <f>AND(#REF!,"AAAAAAxWa3g=")</f>
        <v>#REF!</v>
      </c>
      <c r="DR65" t="e">
        <f>AND(#REF!,"AAAAAAxWa3k=")</f>
        <v>#REF!</v>
      </c>
      <c r="DS65" t="e">
        <f>AND(#REF!,"AAAAAAxWa3o=")</f>
        <v>#REF!</v>
      </c>
      <c r="DT65" t="e">
        <f>AND(#REF!,"AAAAAAxWa3s=")</f>
        <v>#REF!</v>
      </c>
      <c r="DU65" t="e">
        <f>IF(#REF!,"AAAAAAxWa3w=",0)</f>
        <v>#REF!</v>
      </c>
      <c r="DV65" t="e">
        <f>AND(#REF!,"AAAAAAxWa30=")</f>
        <v>#REF!</v>
      </c>
      <c r="DW65" t="e">
        <f>AND(#REF!,"AAAAAAxWa34=")</f>
        <v>#REF!</v>
      </c>
      <c r="DX65" t="e">
        <f>AND(#REF!,"AAAAAAxWa38=")</f>
        <v>#REF!</v>
      </c>
      <c r="DY65" t="e">
        <f>AND(#REF!,"AAAAAAxWa4A=")</f>
        <v>#REF!</v>
      </c>
      <c r="DZ65" t="e">
        <f>AND(#REF!,"AAAAAAxWa4E=")</f>
        <v>#REF!</v>
      </c>
      <c r="EA65" t="e">
        <f>AND(#REF!,"AAAAAAxWa4I=")</f>
        <v>#REF!</v>
      </c>
      <c r="EB65" t="e">
        <f>AND(#REF!,"AAAAAAxWa4M=")</f>
        <v>#REF!</v>
      </c>
      <c r="EC65" t="e">
        <f>AND(#REF!,"AAAAAAxWa4Q=")</f>
        <v>#REF!</v>
      </c>
      <c r="ED65" t="e">
        <f>AND(#REF!,"AAAAAAxWa4U=")</f>
        <v>#REF!</v>
      </c>
      <c r="EE65" t="e">
        <f>AND(#REF!,"AAAAAAxWa4Y=")</f>
        <v>#REF!</v>
      </c>
      <c r="EF65" t="e">
        <f>AND(#REF!,"AAAAAAxWa4c=")</f>
        <v>#REF!</v>
      </c>
      <c r="EG65" t="e">
        <f>AND(#REF!,"AAAAAAxWa4g=")</f>
        <v>#REF!</v>
      </c>
      <c r="EH65" t="e">
        <f>AND(#REF!,"AAAAAAxWa4k=")</f>
        <v>#REF!</v>
      </c>
      <c r="EI65" t="e">
        <f>AND(#REF!,"AAAAAAxWa4o=")</f>
        <v>#REF!</v>
      </c>
      <c r="EJ65" t="e">
        <f>AND(#REF!,"AAAAAAxWa4s=")</f>
        <v>#REF!</v>
      </c>
      <c r="EK65" t="e">
        <f>AND(#REF!,"AAAAAAxWa4w=")</f>
        <v>#REF!</v>
      </c>
      <c r="EL65" t="e">
        <f>AND(#REF!,"AAAAAAxWa40=")</f>
        <v>#REF!</v>
      </c>
      <c r="EM65" t="e">
        <f>AND(#REF!,"AAAAAAxWa44=")</f>
        <v>#REF!</v>
      </c>
      <c r="EN65" t="e">
        <f>AND(#REF!,"AAAAAAxWa48=")</f>
        <v>#REF!</v>
      </c>
      <c r="EO65" t="e">
        <f>AND(#REF!,"AAAAAAxWa5A=")</f>
        <v>#REF!</v>
      </c>
      <c r="EP65" t="e">
        <f>AND(#REF!,"AAAAAAxWa5E=")</f>
        <v>#REF!</v>
      </c>
      <c r="EQ65" t="e">
        <f>AND(#REF!,"AAAAAAxWa5I=")</f>
        <v>#REF!</v>
      </c>
      <c r="ER65" t="e">
        <f>AND(#REF!,"AAAAAAxWa5M=")</f>
        <v>#REF!</v>
      </c>
      <c r="ES65" t="e">
        <f>AND(#REF!,"AAAAAAxWa5Q=")</f>
        <v>#REF!</v>
      </c>
      <c r="ET65" t="e">
        <f>AND(#REF!,"AAAAAAxWa5U=")</f>
        <v>#REF!</v>
      </c>
      <c r="EU65" t="e">
        <f>AND(#REF!,"AAAAAAxWa5Y=")</f>
        <v>#REF!</v>
      </c>
      <c r="EV65" t="e">
        <f>AND(#REF!,"AAAAAAxWa5c=")</f>
        <v>#REF!</v>
      </c>
      <c r="EW65" t="e">
        <f>AND(#REF!,"AAAAAAxWa5g=")</f>
        <v>#REF!</v>
      </c>
      <c r="EX65" t="e">
        <f>AND(#REF!,"AAAAAAxWa5k=")</f>
        <v>#REF!</v>
      </c>
      <c r="EY65" t="e">
        <f>AND(#REF!,"AAAAAAxWa5o=")</f>
        <v>#REF!</v>
      </c>
      <c r="EZ65" t="e">
        <f>AND(#REF!,"AAAAAAxWa5s=")</f>
        <v>#REF!</v>
      </c>
      <c r="FA65" t="e">
        <f>AND(#REF!,"AAAAAAxWa5w=")</f>
        <v>#REF!</v>
      </c>
      <c r="FB65" t="e">
        <f>AND(#REF!,"AAAAAAxWa50=")</f>
        <v>#REF!</v>
      </c>
      <c r="FC65" t="e">
        <f>AND(#REF!,"AAAAAAxWa54=")</f>
        <v>#REF!</v>
      </c>
      <c r="FD65" t="e">
        <f>AND(#REF!,"AAAAAAxWa58=")</f>
        <v>#REF!</v>
      </c>
      <c r="FE65" t="e">
        <f>IF(#REF!,"AAAAAAxWa6A=",0)</f>
        <v>#REF!</v>
      </c>
      <c r="FF65" t="e">
        <f>AND(#REF!,"AAAAAAxWa6E=")</f>
        <v>#REF!</v>
      </c>
      <c r="FG65" t="e">
        <f>AND(#REF!,"AAAAAAxWa6I=")</f>
        <v>#REF!</v>
      </c>
      <c r="FH65" t="e">
        <f>AND(#REF!,"AAAAAAxWa6M=")</f>
        <v>#REF!</v>
      </c>
      <c r="FI65" t="e">
        <f>AND(#REF!,"AAAAAAxWa6Q=")</f>
        <v>#REF!</v>
      </c>
      <c r="FJ65" t="e">
        <f>AND(#REF!,"AAAAAAxWa6U=")</f>
        <v>#REF!</v>
      </c>
      <c r="FK65" t="e">
        <f>AND(#REF!,"AAAAAAxWa6Y=")</f>
        <v>#REF!</v>
      </c>
      <c r="FL65" t="e">
        <f>AND(#REF!,"AAAAAAxWa6c=")</f>
        <v>#REF!</v>
      </c>
      <c r="FM65" t="e">
        <f>AND(#REF!,"AAAAAAxWa6g=")</f>
        <v>#REF!</v>
      </c>
      <c r="FN65" t="e">
        <f>AND(#REF!,"AAAAAAxWa6k=")</f>
        <v>#REF!</v>
      </c>
      <c r="FO65" t="e">
        <f>AND(#REF!,"AAAAAAxWa6o=")</f>
        <v>#REF!</v>
      </c>
      <c r="FP65" t="e">
        <f>AND(#REF!,"AAAAAAxWa6s=")</f>
        <v>#REF!</v>
      </c>
      <c r="FQ65" t="e">
        <f>AND(#REF!,"AAAAAAxWa6w=")</f>
        <v>#REF!</v>
      </c>
      <c r="FR65" t="e">
        <f>AND(#REF!,"AAAAAAxWa60=")</f>
        <v>#REF!</v>
      </c>
      <c r="FS65" t="e">
        <f>AND(#REF!,"AAAAAAxWa64=")</f>
        <v>#REF!</v>
      </c>
      <c r="FT65" t="e">
        <f>AND(#REF!,"AAAAAAxWa68=")</f>
        <v>#REF!</v>
      </c>
      <c r="FU65" t="e">
        <f>AND(#REF!,"AAAAAAxWa7A=")</f>
        <v>#REF!</v>
      </c>
      <c r="FV65" t="e">
        <f>AND(#REF!,"AAAAAAxWa7E=")</f>
        <v>#REF!</v>
      </c>
      <c r="FW65" t="e">
        <f>AND(#REF!,"AAAAAAxWa7I=")</f>
        <v>#REF!</v>
      </c>
      <c r="FX65" t="e">
        <f>AND(#REF!,"AAAAAAxWa7M=")</f>
        <v>#REF!</v>
      </c>
      <c r="FY65" t="e">
        <f>AND(#REF!,"AAAAAAxWa7Q=")</f>
        <v>#REF!</v>
      </c>
      <c r="FZ65" t="e">
        <f>AND(#REF!,"AAAAAAxWa7U=")</f>
        <v>#REF!</v>
      </c>
      <c r="GA65" t="e">
        <f>AND(#REF!,"AAAAAAxWa7Y=")</f>
        <v>#REF!</v>
      </c>
      <c r="GB65" t="e">
        <f>AND(#REF!,"AAAAAAxWa7c=")</f>
        <v>#REF!</v>
      </c>
      <c r="GC65" t="e">
        <f>AND(#REF!,"AAAAAAxWa7g=")</f>
        <v>#REF!</v>
      </c>
      <c r="GD65" t="e">
        <f>AND(#REF!,"AAAAAAxWa7k=")</f>
        <v>#REF!</v>
      </c>
      <c r="GE65" t="e">
        <f>AND(#REF!,"AAAAAAxWa7o=")</f>
        <v>#REF!</v>
      </c>
      <c r="GF65" t="e">
        <f>AND(#REF!,"AAAAAAxWa7s=")</f>
        <v>#REF!</v>
      </c>
      <c r="GG65" t="e">
        <f>AND(#REF!,"AAAAAAxWa7w=")</f>
        <v>#REF!</v>
      </c>
      <c r="GH65" t="e">
        <f>AND(#REF!,"AAAAAAxWa70=")</f>
        <v>#REF!</v>
      </c>
      <c r="GI65" t="e">
        <f>AND(#REF!,"AAAAAAxWa74=")</f>
        <v>#REF!</v>
      </c>
      <c r="GJ65" t="e">
        <f>AND(#REF!,"AAAAAAxWa78=")</f>
        <v>#REF!</v>
      </c>
      <c r="GK65" t="e">
        <f>AND(#REF!,"AAAAAAxWa8A=")</f>
        <v>#REF!</v>
      </c>
      <c r="GL65" t="e">
        <f>AND(#REF!,"AAAAAAxWa8E=")</f>
        <v>#REF!</v>
      </c>
      <c r="GM65" t="e">
        <f>AND(#REF!,"AAAAAAxWa8I=")</f>
        <v>#REF!</v>
      </c>
      <c r="GN65" t="e">
        <f>AND(#REF!,"AAAAAAxWa8M=")</f>
        <v>#REF!</v>
      </c>
      <c r="GO65" t="e">
        <f>IF(#REF!,"AAAAAAxWa8Q=",0)</f>
        <v>#REF!</v>
      </c>
      <c r="GP65" t="e">
        <f>AND(#REF!,"AAAAAAxWa8U=")</f>
        <v>#REF!</v>
      </c>
      <c r="GQ65" t="e">
        <f>AND(#REF!,"AAAAAAxWa8Y=")</f>
        <v>#REF!</v>
      </c>
      <c r="GR65" t="e">
        <f>AND(#REF!,"AAAAAAxWa8c=")</f>
        <v>#REF!</v>
      </c>
      <c r="GS65" t="e">
        <f>AND(#REF!,"AAAAAAxWa8g=")</f>
        <v>#REF!</v>
      </c>
      <c r="GT65" t="e">
        <f>AND(#REF!,"AAAAAAxWa8k=")</f>
        <v>#REF!</v>
      </c>
      <c r="GU65" t="e">
        <f>AND(#REF!,"AAAAAAxWa8o=")</f>
        <v>#REF!</v>
      </c>
      <c r="GV65" t="e">
        <f>AND(#REF!,"AAAAAAxWa8s=")</f>
        <v>#REF!</v>
      </c>
      <c r="GW65" t="e">
        <f>AND(#REF!,"AAAAAAxWa8w=")</f>
        <v>#REF!</v>
      </c>
      <c r="GX65" t="e">
        <f>AND(#REF!,"AAAAAAxWa80=")</f>
        <v>#REF!</v>
      </c>
      <c r="GY65" t="e">
        <f>AND(#REF!,"AAAAAAxWa84=")</f>
        <v>#REF!</v>
      </c>
      <c r="GZ65" t="e">
        <f>AND(#REF!,"AAAAAAxWa88=")</f>
        <v>#REF!</v>
      </c>
      <c r="HA65" t="e">
        <f>AND(#REF!,"AAAAAAxWa9A=")</f>
        <v>#REF!</v>
      </c>
      <c r="HB65" t="e">
        <f>AND(#REF!,"AAAAAAxWa9E=")</f>
        <v>#REF!</v>
      </c>
      <c r="HC65" t="e">
        <f>AND(#REF!,"AAAAAAxWa9I=")</f>
        <v>#REF!</v>
      </c>
      <c r="HD65" t="e">
        <f>AND(#REF!,"AAAAAAxWa9M=")</f>
        <v>#REF!</v>
      </c>
      <c r="HE65" t="e">
        <f>AND(#REF!,"AAAAAAxWa9Q=")</f>
        <v>#REF!</v>
      </c>
      <c r="HF65" t="e">
        <f>AND(#REF!,"AAAAAAxWa9U=")</f>
        <v>#REF!</v>
      </c>
      <c r="HG65" t="e">
        <f>AND(#REF!,"AAAAAAxWa9Y=")</f>
        <v>#REF!</v>
      </c>
      <c r="HH65" t="e">
        <f>AND(#REF!,"AAAAAAxWa9c=")</f>
        <v>#REF!</v>
      </c>
      <c r="HI65" t="e">
        <f>AND(#REF!,"AAAAAAxWa9g=")</f>
        <v>#REF!</v>
      </c>
      <c r="HJ65" t="e">
        <f>AND(#REF!,"AAAAAAxWa9k=")</f>
        <v>#REF!</v>
      </c>
      <c r="HK65" t="e">
        <f>AND(#REF!,"AAAAAAxWa9o=")</f>
        <v>#REF!</v>
      </c>
      <c r="HL65" t="e">
        <f>AND(#REF!,"AAAAAAxWa9s=")</f>
        <v>#REF!</v>
      </c>
      <c r="HM65" t="e">
        <f>AND(#REF!,"AAAAAAxWa9w=")</f>
        <v>#REF!</v>
      </c>
      <c r="HN65" t="e">
        <f>AND(#REF!,"AAAAAAxWa90=")</f>
        <v>#REF!</v>
      </c>
      <c r="HO65" t="e">
        <f>AND(#REF!,"AAAAAAxWa94=")</f>
        <v>#REF!</v>
      </c>
      <c r="HP65" t="e">
        <f>AND(#REF!,"AAAAAAxWa98=")</f>
        <v>#REF!</v>
      </c>
      <c r="HQ65" t="e">
        <f>AND(#REF!,"AAAAAAxWa+A=")</f>
        <v>#REF!</v>
      </c>
      <c r="HR65" t="e">
        <f>AND(#REF!,"AAAAAAxWa+E=")</f>
        <v>#REF!</v>
      </c>
      <c r="HS65" t="e">
        <f>AND(#REF!,"AAAAAAxWa+I=")</f>
        <v>#REF!</v>
      </c>
      <c r="HT65" t="e">
        <f>AND(#REF!,"AAAAAAxWa+M=")</f>
        <v>#REF!</v>
      </c>
      <c r="HU65" t="e">
        <f>AND(#REF!,"AAAAAAxWa+Q=")</f>
        <v>#REF!</v>
      </c>
      <c r="HV65" t="e">
        <f>AND(#REF!,"AAAAAAxWa+U=")</f>
        <v>#REF!</v>
      </c>
      <c r="HW65" t="e">
        <f>AND(#REF!,"AAAAAAxWa+Y=")</f>
        <v>#REF!</v>
      </c>
      <c r="HX65" t="e">
        <f>AND(#REF!,"AAAAAAxWa+c=")</f>
        <v>#REF!</v>
      </c>
      <c r="HY65" t="e">
        <f>IF(#REF!,"AAAAAAxWa+g=",0)</f>
        <v>#REF!</v>
      </c>
      <c r="HZ65" t="e">
        <f>AND(#REF!,"AAAAAAxWa+k=")</f>
        <v>#REF!</v>
      </c>
      <c r="IA65" t="e">
        <f>AND(#REF!,"AAAAAAxWa+o=")</f>
        <v>#REF!</v>
      </c>
      <c r="IB65" t="e">
        <f>AND(#REF!,"AAAAAAxWa+s=")</f>
        <v>#REF!</v>
      </c>
      <c r="IC65" t="e">
        <f>AND(#REF!,"AAAAAAxWa+w=")</f>
        <v>#REF!</v>
      </c>
      <c r="ID65" t="e">
        <f>AND(#REF!,"AAAAAAxWa+0=")</f>
        <v>#REF!</v>
      </c>
      <c r="IE65" t="e">
        <f>AND(#REF!,"AAAAAAxWa+4=")</f>
        <v>#REF!</v>
      </c>
      <c r="IF65" t="e">
        <f>AND(#REF!,"AAAAAAxWa+8=")</f>
        <v>#REF!</v>
      </c>
      <c r="IG65" t="e">
        <f>AND(#REF!,"AAAAAAxWa/A=")</f>
        <v>#REF!</v>
      </c>
      <c r="IH65" t="e">
        <f>AND(#REF!,"AAAAAAxWa/E=")</f>
        <v>#REF!</v>
      </c>
      <c r="II65" t="e">
        <f>AND(#REF!,"AAAAAAxWa/I=")</f>
        <v>#REF!</v>
      </c>
      <c r="IJ65" t="e">
        <f>AND(#REF!,"AAAAAAxWa/M=")</f>
        <v>#REF!</v>
      </c>
      <c r="IK65" t="e">
        <f>AND(#REF!,"AAAAAAxWa/Q=")</f>
        <v>#REF!</v>
      </c>
      <c r="IL65" t="e">
        <f>AND(#REF!,"AAAAAAxWa/U=")</f>
        <v>#REF!</v>
      </c>
      <c r="IM65" t="e">
        <f>AND(#REF!,"AAAAAAxWa/Y=")</f>
        <v>#REF!</v>
      </c>
      <c r="IN65" t="e">
        <f>AND(#REF!,"AAAAAAxWa/c=")</f>
        <v>#REF!</v>
      </c>
      <c r="IO65" t="e">
        <f>AND(#REF!,"AAAAAAxWa/g=")</f>
        <v>#REF!</v>
      </c>
      <c r="IP65" t="e">
        <f>AND(#REF!,"AAAAAAxWa/k=")</f>
        <v>#REF!</v>
      </c>
      <c r="IQ65" t="e">
        <f>AND(#REF!,"AAAAAAxWa/o=")</f>
        <v>#REF!</v>
      </c>
      <c r="IR65" t="e">
        <f>AND(#REF!,"AAAAAAxWa/s=")</f>
        <v>#REF!</v>
      </c>
      <c r="IS65" t="e">
        <f>AND(#REF!,"AAAAAAxWa/w=")</f>
        <v>#REF!</v>
      </c>
      <c r="IT65" t="e">
        <f>AND(#REF!,"AAAAAAxWa/0=")</f>
        <v>#REF!</v>
      </c>
      <c r="IU65" t="e">
        <f>AND(#REF!,"AAAAAAxWa/4=")</f>
        <v>#REF!</v>
      </c>
      <c r="IV65" t="e">
        <f>AND(#REF!,"AAAAAAxWa/8=")</f>
        <v>#REF!</v>
      </c>
    </row>
    <row r="66" spans="1:256">
      <c r="A66" t="e">
        <f>AND(#REF!,"AAAAACtv/wA=")</f>
        <v>#REF!</v>
      </c>
      <c r="B66" t="e">
        <f>AND(#REF!,"AAAAACtv/wE=")</f>
        <v>#REF!</v>
      </c>
      <c r="C66" t="e">
        <f>AND(#REF!,"AAAAACtv/wI=")</f>
        <v>#REF!</v>
      </c>
      <c r="D66" t="e">
        <f>AND(#REF!,"AAAAACtv/wM=")</f>
        <v>#REF!</v>
      </c>
      <c r="E66" t="e">
        <f>AND(#REF!,"AAAAACtv/wQ=")</f>
        <v>#REF!</v>
      </c>
      <c r="F66" t="e">
        <f>AND(#REF!,"AAAAACtv/wU=")</f>
        <v>#REF!</v>
      </c>
      <c r="G66" t="e">
        <f>AND(#REF!,"AAAAACtv/wY=")</f>
        <v>#REF!</v>
      </c>
      <c r="H66" t="e">
        <f>AND(#REF!,"AAAAACtv/wc=")</f>
        <v>#REF!</v>
      </c>
      <c r="I66" t="e">
        <f>AND(#REF!,"AAAAACtv/wg=")</f>
        <v>#REF!</v>
      </c>
      <c r="J66" t="e">
        <f>AND(#REF!,"AAAAACtv/wk=")</f>
        <v>#REF!</v>
      </c>
      <c r="K66" t="e">
        <f>AND(#REF!,"AAAAACtv/wo=")</f>
        <v>#REF!</v>
      </c>
      <c r="L66" t="e">
        <f>AND(#REF!,"AAAAACtv/ws=")</f>
        <v>#REF!</v>
      </c>
      <c r="M66" t="e">
        <f>IF(#REF!,"AAAAACtv/ww=",0)</f>
        <v>#REF!</v>
      </c>
      <c r="N66" t="e">
        <f>AND(#REF!,"AAAAACtv/w0=")</f>
        <v>#REF!</v>
      </c>
      <c r="O66" t="e">
        <f>AND(#REF!,"AAAAACtv/w4=")</f>
        <v>#REF!</v>
      </c>
      <c r="P66" t="e">
        <f>AND(#REF!,"AAAAACtv/w8=")</f>
        <v>#REF!</v>
      </c>
      <c r="Q66" t="e">
        <f>AND(#REF!,"AAAAACtv/xA=")</f>
        <v>#REF!</v>
      </c>
      <c r="R66" t="e">
        <f>AND(#REF!,"AAAAACtv/xE=")</f>
        <v>#REF!</v>
      </c>
      <c r="S66" t="e">
        <f>AND(#REF!,"AAAAACtv/xI=")</f>
        <v>#REF!</v>
      </c>
      <c r="T66" t="e">
        <f>AND(#REF!,"AAAAACtv/xM=")</f>
        <v>#REF!</v>
      </c>
      <c r="U66" t="e">
        <f>AND(#REF!,"AAAAACtv/xQ=")</f>
        <v>#REF!</v>
      </c>
      <c r="V66" t="e">
        <f>AND(#REF!,"AAAAACtv/xU=")</f>
        <v>#REF!</v>
      </c>
      <c r="W66" t="e">
        <f>AND(#REF!,"AAAAACtv/xY=")</f>
        <v>#REF!</v>
      </c>
      <c r="X66" t="e">
        <f>AND(#REF!,"AAAAACtv/xc=")</f>
        <v>#REF!</v>
      </c>
      <c r="Y66" t="e">
        <f>AND(#REF!,"AAAAACtv/xg=")</f>
        <v>#REF!</v>
      </c>
      <c r="Z66" t="e">
        <f>AND(#REF!,"AAAAACtv/xk=")</f>
        <v>#REF!</v>
      </c>
      <c r="AA66" t="e">
        <f>AND(#REF!,"AAAAACtv/xo=")</f>
        <v>#REF!</v>
      </c>
      <c r="AB66" t="e">
        <f>AND(#REF!,"AAAAACtv/xs=")</f>
        <v>#REF!</v>
      </c>
      <c r="AC66" t="e">
        <f>AND(#REF!,"AAAAACtv/xw=")</f>
        <v>#REF!</v>
      </c>
      <c r="AD66" t="e">
        <f>AND(#REF!,"AAAAACtv/x0=")</f>
        <v>#REF!</v>
      </c>
      <c r="AE66" t="e">
        <f>AND(#REF!,"AAAAACtv/x4=")</f>
        <v>#REF!</v>
      </c>
      <c r="AF66" t="e">
        <f>AND(#REF!,"AAAAACtv/x8=")</f>
        <v>#REF!</v>
      </c>
      <c r="AG66" t="e">
        <f>AND(#REF!,"AAAAACtv/yA=")</f>
        <v>#REF!</v>
      </c>
      <c r="AH66" t="e">
        <f>AND(#REF!,"AAAAACtv/yE=")</f>
        <v>#REF!</v>
      </c>
      <c r="AI66" t="e">
        <f>AND(#REF!,"AAAAACtv/yI=")</f>
        <v>#REF!</v>
      </c>
      <c r="AJ66" t="e">
        <f>AND(#REF!,"AAAAACtv/yM=")</f>
        <v>#REF!</v>
      </c>
      <c r="AK66" t="e">
        <f>AND(#REF!,"AAAAACtv/yQ=")</f>
        <v>#REF!</v>
      </c>
      <c r="AL66" t="e">
        <f>AND(#REF!,"AAAAACtv/yU=")</f>
        <v>#REF!</v>
      </c>
      <c r="AM66" t="e">
        <f>AND(#REF!,"AAAAACtv/yY=")</f>
        <v>#REF!</v>
      </c>
      <c r="AN66" t="e">
        <f>AND(#REF!,"AAAAACtv/yc=")</f>
        <v>#REF!</v>
      </c>
      <c r="AO66" t="e">
        <f>AND(#REF!,"AAAAACtv/yg=")</f>
        <v>#REF!</v>
      </c>
      <c r="AP66" t="e">
        <f>AND(#REF!,"AAAAACtv/yk=")</f>
        <v>#REF!</v>
      </c>
      <c r="AQ66" t="e">
        <f>AND(#REF!,"AAAAACtv/yo=")</f>
        <v>#REF!</v>
      </c>
      <c r="AR66" t="e">
        <f>AND(#REF!,"AAAAACtv/ys=")</f>
        <v>#REF!</v>
      </c>
      <c r="AS66" t="e">
        <f>AND(#REF!,"AAAAACtv/yw=")</f>
        <v>#REF!</v>
      </c>
      <c r="AT66" t="e">
        <f>AND(#REF!,"AAAAACtv/y0=")</f>
        <v>#REF!</v>
      </c>
      <c r="AU66" t="e">
        <f>AND(#REF!,"AAAAACtv/y4=")</f>
        <v>#REF!</v>
      </c>
      <c r="AV66" t="e">
        <f>AND(#REF!,"AAAAACtv/y8=")</f>
        <v>#REF!</v>
      </c>
      <c r="AW66" t="e">
        <f>IF(#REF!,"AAAAACtv/zA=",0)</f>
        <v>#REF!</v>
      </c>
      <c r="AX66" t="e">
        <f>AND(#REF!,"AAAAACtv/zE=")</f>
        <v>#REF!</v>
      </c>
      <c r="AY66" t="e">
        <f>AND(#REF!,"AAAAACtv/zI=")</f>
        <v>#REF!</v>
      </c>
      <c r="AZ66" t="e">
        <f>AND(#REF!,"AAAAACtv/zM=")</f>
        <v>#REF!</v>
      </c>
      <c r="BA66" t="e">
        <f>AND(#REF!,"AAAAACtv/zQ=")</f>
        <v>#REF!</v>
      </c>
      <c r="BB66" t="e">
        <f>AND(#REF!,"AAAAACtv/zU=")</f>
        <v>#REF!</v>
      </c>
      <c r="BC66" t="e">
        <f>AND(#REF!,"AAAAACtv/zY=")</f>
        <v>#REF!</v>
      </c>
      <c r="BD66" t="e">
        <f>AND(#REF!,"AAAAACtv/zc=")</f>
        <v>#REF!</v>
      </c>
      <c r="BE66" t="e">
        <f>AND(#REF!,"AAAAACtv/zg=")</f>
        <v>#REF!</v>
      </c>
      <c r="BF66" t="e">
        <f>AND(#REF!,"AAAAACtv/zk=")</f>
        <v>#REF!</v>
      </c>
      <c r="BG66" t="e">
        <f>AND(#REF!,"AAAAACtv/zo=")</f>
        <v>#REF!</v>
      </c>
      <c r="BH66" t="e">
        <f>AND(#REF!,"AAAAACtv/zs=")</f>
        <v>#REF!</v>
      </c>
      <c r="BI66" t="e">
        <f>AND(#REF!,"AAAAACtv/zw=")</f>
        <v>#REF!</v>
      </c>
      <c r="BJ66" t="e">
        <f>AND(#REF!,"AAAAACtv/z0=")</f>
        <v>#REF!</v>
      </c>
      <c r="BK66" t="e">
        <f>AND(#REF!,"AAAAACtv/z4=")</f>
        <v>#REF!</v>
      </c>
      <c r="BL66" t="e">
        <f>AND(#REF!,"AAAAACtv/z8=")</f>
        <v>#REF!</v>
      </c>
      <c r="BM66" t="e">
        <f>AND(#REF!,"AAAAACtv/0A=")</f>
        <v>#REF!</v>
      </c>
      <c r="BN66" t="e">
        <f>AND(#REF!,"AAAAACtv/0E=")</f>
        <v>#REF!</v>
      </c>
      <c r="BO66" t="e">
        <f>AND(#REF!,"AAAAACtv/0I=")</f>
        <v>#REF!</v>
      </c>
      <c r="BP66" t="e">
        <f>AND(#REF!,"AAAAACtv/0M=")</f>
        <v>#REF!</v>
      </c>
      <c r="BQ66" t="e">
        <f>AND(#REF!,"AAAAACtv/0Q=")</f>
        <v>#REF!</v>
      </c>
      <c r="BR66" t="e">
        <f>AND(#REF!,"AAAAACtv/0U=")</f>
        <v>#REF!</v>
      </c>
      <c r="BS66" t="e">
        <f>AND(#REF!,"AAAAACtv/0Y=")</f>
        <v>#REF!</v>
      </c>
      <c r="BT66" t="e">
        <f>AND(#REF!,"AAAAACtv/0c=")</f>
        <v>#REF!</v>
      </c>
      <c r="BU66" t="e">
        <f>AND(#REF!,"AAAAACtv/0g=")</f>
        <v>#REF!</v>
      </c>
      <c r="BV66" t="e">
        <f>AND(#REF!,"AAAAACtv/0k=")</f>
        <v>#REF!</v>
      </c>
      <c r="BW66" t="e">
        <f>AND(#REF!,"AAAAACtv/0o=")</f>
        <v>#REF!</v>
      </c>
      <c r="BX66" t="e">
        <f>AND(#REF!,"AAAAACtv/0s=")</f>
        <v>#REF!</v>
      </c>
      <c r="BY66" t="e">
        <f>AND(#REF!,"AAAAACtv/0w=")</f>
        <v>#REF!</v>
      </c>
      <c r="BZ66" t="e">
        <f>AND(#REF!,"AAAAACtv/00=")</f>
        <v>#REF!</v>
      </c>
      <c r="CA66" t="e">
        <f>AND(#REF!,"AAAAACtv/04=")</f>
        <v>#REF!</v>
      </c>
      <c r="CB66" t="e">
        <f>AND(#REF!,"AAAAACtv/08=")</f>
        <v>#REF!</v>
      </c>
      <c r="CC66" t="e">
        <f>AND(#REF!,"AAAAACtv/1A=")</f>
        <v>#REF!</v>
      </c>
      <c r="CD66" t="e">
        <f>AND(#REF!,"AAAAACtv/1E=")</f>
        <v>#REF!</v>
      </c>
      <c r="CE66" t="e">
        <f>AND(#REF!,"AAAAACtv/1I=")</f>
        <v>#REF!</v>
      </c>
      <c r="CF66" t="e">
        <f>AND(#REF!,"AAAAACtv/1M=")</f>
        <v>#REF!</v>
      </c>
      <c r="CG66" t="e">
        <f>IF(#REF!,"AAAAACtv/1Q=",0)</f>
        <v>#REF!</v>
      </c>
      <c r="CH66" t="e">
        <f>AND(#REF!,"AAAAACtv/1U=")</f>
        <v>#REF!</v>
      </c>
      <c r="CI66" t="e">
        <f>AND(#REF!,"AAAAACtv/1Y=")</f>
        <v>#REF!</v>
      </c>
      <c r="CJ66" t="e">
        <f>AND(#REF!,"AAAAACtv/1c=")</f>
        <v>#REF!</v>
      </c>
      <c r="CK66" t="e">
        <f>AND(#REF!,"AAAAACtv/1g=")</f>
        <v>#REF!</v>
      </c>
      <c r="CL66" t="e">
        <f>AND(#REF!,"AAAAACtv/1k=")</f>
        <v>#REF!</v>
      </c>
      <c r="CM66" t="e">
        <f>AND(#REF!,"AAAAACtv/1o=")</f>
        <v>#REF!</v>
      </c>
      <c r="CN66" t="e">
        <f>AND(#REF!,"AAAAACtv/1s=")</f>
        <v>#REF!</v>
      </c>
      <c r="CO66" t="e">
        <f>AND(#REF!,"AAAAACtv/1w=")</f>
        <v>#REF!</v>
      </c>
      <c r="CP66" t="e">
        <f>AND(#REF!,"AAAAACtv/10=")</f>
        <v>#REF!</v>
      </c>
      <c r="CQ66" t="e">
        <f>AND(#REF!,"AAAAACtv/14=")</f>
        <v>#REF!</v>
      </c>
      <c r="CR66" t="e">
        <f>AND(#REF!,"AAAAACtv/18=")</f>
        <v>#REF!</v>
      </c>
      <c r="CS66" t="e">
        <f>AND(#REF!,"AAAAACtv/2A=")</f>
        <v>#REF!</v>
      </c>
      <c r="CT66" t="e">
        <f>AND(#REF!,"AAAAACtv/2E=")</f>
        <v>#REF!</v>
      </c>
      <c r="CU66" t="e">
        <f>AND(#REF!,"AAAAACtv/2I=")</f>
        <v>#REF!</v>
      </c>
      <c r="CV66" t="e">
        <f>AND(#REF!,"AAAAACtv/2M=")</f>
        <v>#REF!</v>
      </c>
      <c r="CW66" t="e">
        <f>AND(#REF!,"AAAAACtv/2Q=")</f>
        <v>#REF!</v>
      </c>
      <c r="CX66" t="e">
        <f>AND(#REF!,"AAAAACtv/2U=")</f>
        <v>#REF!</v>
      </c>
      <c r="CY66" t="e">
        <f>AND(#REF!,"AAAAACtv/2Y=")</f>
        <v>#REF!</v>
      </c>
      <c r="CZ66" t="e">
        <f>AND(#REF!,"AAAAACtv/2c=")</f>
        <v>#REF!</v>
      </c>
      <c r="DA66" t="e">
        <f>AND(#REF!,"AAAAACtv/2g=")</f>
        <v>#REF!</v>
      </c>
      <c r="DB66" t="e">
        <f>AND(#REF!,"AAAAACtv/2k=")</f>
        <v>#REF!</v>
      </c>
      <c r="DC66" t="e">
        <f>AND(#REF!,"AAAAACtv/2o=")</f>
        <v>#REF!</v>
      </c>
      <c r="DD66" t="e">
        <f>AND(#REF!,"AAAAACtv/2s=")</f>
        <v>#REF!</v>
      </c>
      <c r="DE66" t="e">
        <f>AND(#REF!,"AAAAACtv/2w=")</f>
        <v>#REF!</v>
      </c>
      <c r="DF66" t="e">
        <f>AND(#REF!,"AAAAACtv/20=")</f>
        <v>#REF!</v>
      </c>
      <c r="DG66" t="e">
        <f>AND(#REF!,"AAAAACtv/24=")</f>
        <v>#REF!</v>
      </c>
      <c r="DH66" t="e">
        <f>AND(#REF!,"AAAAACtv/28=")</f>
        <v>#REF!</v>
      </c>
      <c r="DI66" t="e">
        <f>AND(#REF!,"AAAAACtv/3A=")</f>
        <v>#REF!</v>
      </c>
      <c r="DJ66" t="e">
        <f>AND(#REF!,"AAAAACtv/3E=")</f>
        <v>#REF!</v>
      </c>
      <c r="DK66" t="e">
        <f>AND(#REF!,"AAAAACtv/3I=")</f>
        <v>#REF!</v>
      </c>
      <c r="DL66" t="e">
        <f>AND(#REF!,"AAAAACtv/3M=")</f>
        <v>#REF!</v>
      </c>
      <c r="DM66" t="e">
        <f>AND(#REF!,"AAAAACtv/3Q=")</f>
        <v>#REF!</v>
      </c>
      <c r="DN66" t="e">
        <f>AND(#REF!,"AAAAACtv/3U=")</f>
        <v>#REF!</v>
      </c>
      <c r="DO66" t="e">
        <f>AND(#REF!,"AAAAACtv/3Y=")</f>
        <v>#REF!</v>
      </c>
      <c r="DP66" t="e">
        <f>AND(#REF!,"AAAAACtv/3c=")</f>
        <v>#REF!</v>
      </c>
      <c r="DQ66" t="e">
        <f>IF(#REF!,"AAAAACtv/3g=",0)</f>
        <v>#REF!</v>
      </c>
      <c r="DR66" t="e">
        <f>AND(#REF!,"AAAAACtv/3k=")</f>
        <v>#REF!</v>
      </c>
      <c r="DS66" t="e">
        <f>AND(#REF!,"AAAAACtv/3o=")</f>
        <v>#REF!</v>
      </c>
      <c r="DT66" t="e">
        <f>AND(#REF!,"AAAAACtv/3s=")</f>
        <v>#REF!</v>
      </c>
      <c r="DU66" t="e">
        <f>AND(#REF!,"AAAAACtv/3w=")</f>
        <v>#REF!</v>
      </c>
      <c r="DV66" t="e">
        <f>AND(#REF!,"AAAAACtv/30=")</f>
        <v>#REF!</v>
      </c>
      <c r="DW66" t="e">
        <f>AND(#REF!,"AAAAACtv/34=")</f>
        <v>#REF!</v>
      </c>
      <c r="DX66" t="e">
        <f>AND(#REF!,"AAAAACtv/38=")</f>
        <v>#REF!</v>
      </c>
      <c r="DY66" t="e">
        <f>AND(#REF!,"AAAAACtv/4A=")</f>
        <v>#REF!</v>
      </c>
      <c r="DZ66" t="e">
        <f>AND(#REF!,"AAAAACtv/4E=")</f>
        <v>#REF!</v>
      </c>
      <c r="EA66" t="e">
        <f>AND(#REF!,"AAAAACtv/4I=")</f>
        <v>#REF!</v>
      </c>
      <c r="EB66" t="e">
        <f>AND(#REF!,"AAAAACtv/4M=")</f>
        <v>#REF!</v>
      </c>
      <c r="EC66" t="e">
        <f>AND(#REF!,"AAAAACtv/4Q=")</f>
        <v>#REF!</v>
      </c>
      <c r="ED66" t="e">
        <f>AND(#REF!,"AAAAACtv/4U=")</f>
        <v>#REF!</v>
      </c>
      <c r="EE66" t="e">
        <f>AND(#REF!,"AAAAACtv/4Y=")</f>
        <v>#REF!</v>
      </c>
      <c r="EF66" t="e">
        <f>AND(#REF!,"AAAAACtv/4c=")</f>
        <v>#REF!</v>
      </c>
      <c r="EG66" t="e">
        <f>AND(#REF!,"AAAAACtv/4g=")</f>
        <v>#REF!</v>
      </c>
      <c r="EH66" t="e">
        <f>AND(#REF!,"AAAAACtv/4k=")</f>
        <v>#REF!</v>
      </c>
      <c r="EI66" t="e">
        <f>AND(#REF!,"AAAAACtv/4o=")</f>
        <v>#REF!</v>
      </c>
      <c r="EJ66" t="e">
        <f>AND(#REF!,"AAAAACtv/4s=")</f>
        <v>#REF!</v>
      </c>
      <c r="EK66" t="e">
        <f>AND(#REF!,"AAAAACtv/4w=")</f>
        <v>#REF!</v>
      </c>
      <c r="EL66" t="e">
        <f>AND(#REF!,"AAAAACtv/40=")</f>
        <v>#REF!</v>
      </c>
      <c r="EM66" t="e">
        <f>AND(#REF!,"AAAAACtv/44=")</f>
        <v>#REF!</v>
      </c>
      <c r="EN66" t="e">
        <f>AND(#REF!,"AAAAACtv/48=")</f>
        <v>#REF!</v>
      </c>
      <c r="EO66" t="e">
        <f>AND(#REF!,"AAAAACtv/5A=")</f>
        <v>#REF!</v>
      </c>
      <c r="EP66" t="e">
        <f>AND(#REF!,"AAAAACtv/5E=")</f>
        <v>#REF!</v>
      </c>
      <c r="EQ66" t="e">
        <f>AND(#REF!,"AAAAACtv/5I=")</f>
        <v>#REF!</v>
      </c>
      <c r="ER66" t="e">
        <f>AND(#REF!,"AAAAACtv/5M=")</f>
        <v>#REF!</v>
      </c>
      <c r="ES66" t="e">
        <f>AND(#REF!,"AAAAACtv/5Q=")</f>
        <v>#REF!</v>
      </c>
      <c r="ET66" t="e">
        <f>AND(#REF!,"AAAAACtv/5U=")</f>
        <v>#REF!</v>
      </c>
      <c r="EU66" t="e">
        <f>AND(#REF!,"AAAAACtv/5Y=")</f>
        <v>#REF!</v>
      </c>
      <c r="EV66" t="e">
        <f>AND(#REF!,"AAAAACtv/5c=")</f>
        <v>#REF!</v>
      </c>
      <c r="EW66" t="e">
        <f>AND(#REF!,"AAAAACtv/5g=")</f>
        <v>#REF!</v>
      </c>
      <c r="EX66" t="e">
        <f>AND(#REF!,"AAAAACtv/5k=")</f>
        <v>#REF!</v>
      </c>
      <c r="EY66" t="e">
        <f>AND(#REF!,"AAAAACtv/5o=")</f>
        <v>#REF!</v>
      </c>
      <c r="EZ66" t="e">
        <f>AND(#REF!,"AAAAACtv/5s=")</f>
        <v>#REF!</v>
      </c>
      <c r="FA66" t="e">
        <f>IF(#REF!,"AAAAACtv/5w=",0)</f>
        <v>#REF!</v>
      </c>
      <c r="FB66" t="e">
        <f>AND(#REF!,"AAAAACtv/50=")</f>
        <v>#REF!</v>
      </c>
      <c r="FC66" t="e">
        <f>AND(#REF!,"AAAAACtv/54=")</f>
        <v>#REF!</v>
      </c>
      <c r="FD66" t="e">
        <f>AND(#REF!,"AAAAACtv/58=")</f>
        <v>#REF!</v>
      </c>
      <c r="FE66" t="e">
        <f>AND(#REF!,"AAAAACtv/6A=")</f>
        <v>#REF!</v>
      </c>
      <c r="FF66" t="e">
        <f>AND(#REF!,"AAAAACtv/6E=")</f>
        <v>#REF!</v>
      </c>
      <c r="FG66" t="e">
        <f>AND(#REF!,"AAAAACtv/6I=")</f>
        <v>#REF!</v>
      </c>
      <c r="FH66" t="e">
        <f>AND(#REF!,"AAAAACtv/6M=")</f>
        <v>#REF!</v>
      </c>
      <c r="FI66" t="e">
        <f>AND(#REF!,"AAAAACtv/6Q=")</f>
        <v>#REF!</v>
      </c>
      <c r="FJ66" t="e">
        <f>AND(#REF!,"AAAAACtv/6U=")</f>
        <v>#REF!</v>
      </c>
      <c r="FK66" t="e">
        <f>AND(#REF!,"AAAAACtv/6Y=")</f>
        <v>#REF!</v>
      </c>
      <c r="FL66" t="e">
        <f>AND(#REF!,"AAAAACtv/6c=")</f>
        <v>#REF!</v>
      </c>
      <c r="FM66" t="e">
        <f>AND(#REF!,"AAAAACtv/6g=")</f>
        <v>#REF!</v>
      </c>
      <c r="FN66" t="e">
        <f>AND(#REF!,"AAAAACtv/6k=")</f>
        <v>#REF!</v>
      </c>
      <c r="FO66" t="e">
        <f>AND(#REF!,"AAAAACtv/6o=")</f>
        <v>#REF!</v>
      </c>
      <c r="FP66" t="e">
        <f>AND(#REF!,"AAAAACtv/6s=")</f>
        <v>#REF!</v>
      </c>
      <c r="FQ66" t="e">
        <f>AND(#REF!,"AAAAACtv/6w=")</f>
        <v>#REF!</v>
      </c>
      <c r="FR66" t="e">
        <f>AND(#REF!,"AAAAACtv/60=")</f>
        <v>#REF!</v>
      </c>
      <c r="FS66" t="e">
        <f>AND(#REF!,"AAAAACtv/64=")</f>
        <v>#REF!</v>
      </c>
      <c r="FT66" t="e">
        <f>AND(#REF!,"AAAAACtv/68=")</f>
        <v>#REF!</v>
      </c>
      <c r="FU66" t="e">
        <f>AND(#REF!,"AAAAACtv/7A=")</f>
        <v>#REF!</v>
      </c>
      <c r="FV66" t="e">
        <f>AND(#REF!,"AAAAACtv/7E=")</f>
        <v>#REF!</v>
      </c>
      <c r="FW66" t="e">
        <f>AND(#REF!,"AAAAACtv/7I=")</f>
        <v>#REF!</v>
      </c>
      <c r="FX66" t="e">
        <f>AND(#REF!,"AAAAACtv/7M=")</f>
        <v>#REF!</v>
      </c>
      <c r="FY66" t="e">
        <f>AND(#REF!,"AAAAACtv/7Q=")</f>
        <v>#REF!</v>
      </c>
      <c r="FZ66" t="e">
        <f>AND(#REF!,"AAAAACtv/7U=")</f>
        <v>#REF!</v>
      </c>
      <c r="GA66" t="e">
        <f>AND(#REF!,"AAAAACtv/7Y=")</f>
        <v>#REF!</v>
      </c>
      <c r="GB66" t="e">
        <f>AND(#REF!,"AAAAACtv/7c=")</f>
        <v>#REF!</v>
      </c>
      <c r="GC66" t="e">
        <f>AND(#REF!,"AAAAACtv/7g=")</f>
        <v>#REF!</v>
      </c>
      <c r="GD66" t="e">
        <f>AND(#REF!,"AAAAACtv/7k=")</f>
        <v>#REF!</v>
      </c>
      <c r="GE66" t="e">
        <f>AND(#REF!,"AAAAACtv/7o=")</f>
        <v>#REF!</v>
      </c>
      <c r="GF66" t="e">
        <f>AND(#REF!,"AAAAACtv/7s=")</f>
        <v>#REF!</v>
      </c>
      <c r="GG66" t="e">
        <f>AND(#REF!,"AAAAACtv/7w=")</f>
        <v>#REF!</v>
      </c>
      <c r="GH66" t="e">
        <f>AND(#REF!,"AAAAACtv/70=")</f>
        <v>#REF!</v>
      </c>
      <c r="GI66" t="e">
        <f>AND(#REF!,"AAAAACtv/74=")</f>
        <v>#REF!</v>
      </c>
      <c r="GJ66" t="e">
        <f>AND(#REF!,"AAAAACtv/78=")</f>
        <v>#REF!</v>
      </c>
      <c r="GK66" t="e">
        <f>IF(#REF!,"AAAAACtv/8A=",0)</f>
        <v>#REF!</v>
      </c>
      <c r="GL66" t="e">
        <f>AND(#REF!,"AAAAACtv/8E=")</f>
        <v>#REF!</v>
      </c>
      <c r="GM66" t="e">
        <f>AND(#REF!,"AAAAACtv/8I=")</f>
        <v>#REF!</v>
      </c>
      <c r="GN66" t="e">
        <f>AND(#REF!,"AAAAACtv/8M=")</f>
        <v>#REF!</v>
      </c>
      <c r="GO66" t="e">
        <f>AND(#REF!,"AAAAACtv/8Q=")</f>
        <v>#REF!</v>
      </c>
      <c r="GP66" t="e">
        <f>AND(#REF!,"AAAAACtv/8U=")</f>
        <v>#REF!</v>
      </c>
      <c r="GQ66" t="e">
        <f>AND(#REF!,"AAAAACtv/8Y=")</f>
        <v>#REF!</v>
      </c>
      <c r="GR66" t="e">
        <f>AND(#REF!,"AAAAACtv/8c=")</f>
        <v>#REF!</v>
      </c>
      <c r="GS66" t="e">
        <f>AND(#REF!,"AAAAACtv/8g=")</f>
        <v>#REF!</v>
      </c>
      <c r="GT66" t="e">
        <f>AND(#REF!,"AAAAACtv/8k=")</f>
        <v>#REF!</v>
      </c>
      <c r="GU66" t="e">
        <f>AND(#REF!,"AAAAACtv/8o=")</f>
        <v>#REF!</v>
      </c>
      <c r="GV66" t="e">
        <f>AND(#REF!,"AAAAACtv/8s=")</f>
        <v>#REF!</v>
      </c>
      <c r="GW66" t="e">
        <f>AND(#REF!,"AAAAACtv/8w=")</f>
        <v>#REF!</v>
      </c>
      <c r="GX66" t="e">
        <f>AND(#REF!,"AAAAACtv/80=")</f>
        <v>#REF!</v>
      </c>
      <c r="GY66" t="e">
        <f>AND(#REF!,"AAAAACtv/84=")</f>
        <v>#REF!</v>
      </c>
      <c r="GZ66" t="e">
        <f>AND(#REF!,"AAAAACtv/88=")</f>
        <v>#REF!</v>
      </c>
      <c r="HA66" t="e">
        <f>AND(#REF!,"AAAAACtv/9A=")</f>
        <v>#REF!</v>
      </c>
      <c r="HB66" t="e">
        <f>AND(#REF!,"AAAAACtv/9E=")</f>
        <v>#REF!</v>
      </c>
      <c r="HC66" t="e">
        <f>AND(#REF!,"AAAAACtv/9I=")</f>
        <v>#REF!</v>
      </c>
      <c r="HD66" t="e">
        <f>AND(#REF!,"AAAAACtv/9M=")</f>
        <v>#REF!</v>
      </c>
      <c r="HE66" t="e">
        <f>AND(#REF!,"AAAAACtv/9Q=")</f>
        <v>#REF!</v>
      </c>
      <c r="HF66" t="e">
        <f>AND(#REF!,"AAAAACtv/9U=")</f>
        <v>#REF!</v>
      </c>
      <c r="HG66" t="e">
        <f>AND(#REF!,"AAAAACtv/9Y=")</f>
        <v>#REF!</v>
      </c>
      <c r="HH66" t="e">
        <f>AND(#REF!,"AAAAACtv/9c=")</f>
        <v>#REF!</v>
      </c>
      <c r="HI66" t="e">
        <f>AND(#REF!,"AAAAACtv/9g=")</f>
        <v>#REF!</v>
      </c>
      <c r="HJ66" t="e">
        <f>AND(#REF!,"AAAAACtv/9k=")</f>
        <v>#REF!</v>
      </c>
      <c r="HK66" t="e">
        <f>AND(#REF!,"AAAAACtv/9o=")</f>
        <v>#REF!</v>
      </c>
      <c r="HL66" t="e">
        <f>AND(#REF!,"AAAAACtv/9s=")</f>
        <v>#REF!</v>
      </c>
      <c r="HM66" t="e">
        <f>AND(#REF!,"AAAAACtv/9w=")</f>
        <v>#REF!</v>
      </c>
      <c r="HN66" t="e">
        <f>AND(#REF!,"AAAAACtv/90=")</f>
        <v>#REF!</v>
      </c>
      <c r="HO66" t="e">
        <f>AND(#REF!,"AAAAACtv/94=")</f>
        <v>#REF!</v>
      </c>
      <c r="HP66" t="e">
        <f>AND(#REF!,"AAAAACtv/98=")</f>
        <v>#REF!</v>
      </c>
      <c r="HQ66" t="e">
        <f>AND(#REF!,"AAAAACtv/+A=")</f>
        <v>#REF!</v>
      </c>
      <c r="HR66" t="e">
        <f>AND(#REF!,"AAAAACtv/+E=")</f>
        <v>#REF!</v>
      </c>
      <c r="HS66" t="e">
        <f>AND(#REF!,"AAAAACtv/+I=")</f>
        <v>#REF!</v>
      </c>
      <c r="HT66" t="e">
        <f>AND(#REF!,"AAAAACtv/+M=")</f>
        <v>#REF!</v>
      </c>
      <c r="HU66" t="e">
        <f>IF(#REF!,"AAAAACtv/+Q=",0)</f>
        <v>#REF!</v>
      </c>
      <c r="HV66" t="e">
        <f>AND(#REF!,"AAAAACtv/+U=")</f>
        <v>#REF!</v>
      </c>
      <c r="HW66" t="e">
        <f>AND(#REF!,"AAAAACtv/+Y=")</f>
        <v>#REF!</v>
      </c>
      <c r="HX66" t="e">
        <f>AND(#REF!,"AAAAACtv/+c=")</f>
        <v>#REF!</v>
      </c>
      <c r="HY66" t="e">
        <f>AND(#REF!,"AAAAACtv/+g=")</f>
        <v>#REF!</v>
      </c>
      <c r="HZ66" t="e">
        <f>AND(#REF!,"AAAAACtv/+k=")</f>
        <v>#REF!</v>
      </c>
      <c r="IA66" t="e">
        <f>AND(#REF!,"AAAAACtv/+o=")</f>
        <v>#REF!</v>
      </c>
      <c r="IB66" t="e">
        <f>AND(#REF!,"AAAAACtv/+s=")</f>
        <v>#REF!</v>
      </c>
      <c r="IC66" t="e">
        <f>AND(#REF!,"AAAAACtv/+w=")</f>
        <v>#REF!</v>
      </c>
      <c r="ID66" t="e">
        <f>AND(#REF!,"AAAAACtv/+0=")</f>
        <v>#REF!</v>
      </c>
      <c r="IE66" t="e">
        <f>AND(#REF!,"AAAAACtv/+4=")</f>
        <v>#REF!</v>
      </c>
      <c r="IF66" t="e">
        <f>AND(#REF!,"AAAAACtv/+8=")</f>
        <v>#REF!</v>
      </c>
      <c r="IG66" t="e">
        <f>AND(#REF!,"AAAAACtv//A=")</f>
        <v>#REF!</v>
      </c>
      <c r="IH66" t="e">
        <f>AND(#REF!,"AAAAACtv//E=")</f>
        <v>#REF!</v>
      </c>
      <c r="II66" t="e">
        <f>AND(#REF!,"AAAAACtv//I=")</f>
        <v>#REF!</v>
      </c>
      <c r="IJ66" t="e">
        <f>AND(#REF!,"AAAAACtv//M=")</f>
        <v>#REF!</v>
      </c>
      <c r="IK66" t="e">
        <f>AND(#REF!,"AAAAACtv//Q=")</f>
        <v>#REF!</v>
      </c>
      <c r="IL66" t="e">
        <f>AND(#REF!,"AAAAACtv//U=")</f>
        <v>#REF!</v>
      </c>
      <c r="IM66" t="e">
        <f>AND(#REF!,"AAAAACtv//Y=")</f>
        <v>#REF!</v>
      </c>
      <c r="IN66" t="e">
        <f>AND(#REF!,"AAAAACtv//c=")</f>
        <v>#REF!</v>
      </c>
      <c r="IO66" t="e">
        <f>AND(#REF!,"AAAAACtv//g=")</f>
        <v>#REF!</v>
      </c>
      <c r="IP66" t="e">
        <f>AND(#REF!,"AAAAACtv//k=")</f>
        <v>#REF!</v>
      </c>
      <c r="IQ66" t="e">
        <f>AND(#REF!,"AAAAACtv//o=")</f>
        <v>#REF!</v>
      </c>
      <c r="IR66" t="e">
        <f>AND(#REF!,"AAAAACtv//s=")</f>
        <v>#REF!</v>
      </c>
      <c r="IS66" t="e">
        <f>AND(#REF!,"AAAAACtv//w=")</f>
        <v>#REF!</v>
      </c>
      <c r="IT66" t="e">
        <f>AND(#REF!,"AAAAACtv//0=")</f>
        <v>#REF!</v>
      </c>
      <c r="IU66" t="e">
        <f>AND(#REF!,"AAAAACtv//4=")</f>
        <v>#REF!</v>
      </c>
      <c r="IV66" t="e">
        <f>AND(#REF!,"AAAAACtv//8=")</f>
        <v>#REF!</v>
      </c>
    </row>
    <row r="67" spans="1:256">
      <c r="A67" t="e">
        <f>AND(#REF!,"AAAAAHz+fwA=")</f>
        <v>#REF!</v>
      </c>
      <c r="B67" t="e">
        <f>AND(#REF!,"AAAAAHz+fwE=")</f>
        <v>#REF!</v>
      </c>
      <c r="C67" t="e">
        <f>AND(#REF!,"AAAAAHz+fwI=")</f>
        <v>#REF!</v>
      </c>
      <c r="D67" t="e">
        <f>AND(#REF!,"AAAAAHz+fwM=")</f>
        <v>#REF!</v>
      </c>
      <c r="E67" t="e">
        <f>AND(#REF!,"AAAAAHz+fwQ=")</f>
        <v>#REF!</v>
      </c>
      <c r="F67" t="e">
        <f>AND(#REF!,"AAAAAHz+fwU=")</f>
        <v>#REF!</v>
      </c>
      <c r="G67" t="e">
        <f>AND(#REF!,"AAAAAHz+fwY=")</f>
        <v>#REF!</v>
      </c>
      <c r="H67" t="e">
        <f>AND(#REF!,"AAAAAHz+fwc=")</f>
        <v>#REF!</v>
      </c>
      <c r="I67" t="e">
        <f>IF(#REF!,"AAAAAHz+fwg=",0)</f>
        <v>#REF!</v>
      </c>
      <c r="J67" t="e">
        <f>AND(#REF!,"AAAAAHz+fwk=")</f>
        <v>#REF!</v>
      </c>
      <c r="K67" t="e">
        <f>AND(#REF!,"AAAAAHz+fwo=")</f>
        <v>#REF!</v>
      </c>
      <c r="L67" t="e">
        <f>AND(#REF!,"AAAAAHz+fws=")</f>
        <v>#REF!</v>
      </c>
      <c r="M67" t="e">
        <f>AND(#REF!,"AAAAAHz+fww=")</f>
        <v>#REF!</v>
      </c>
      <c r="N67" t="e">
        <f>AND(#REF!,"AAAAAHz+fw0=")</f>
        <v>#REF!</v>
      </c>
      <c r="O67" t="e">
        <f>AND(#REF!,"AAAAAHz+fw4=")</f>
        <v>#REF!</v>
      </c>
      <c r="P67" t="e">
        <f>AND(#REF!,"AAAAAHz+fw8=")</f>
        <v>#REF!</v>
      </c>
      <c r="Q67" t="e">
        <f>AND(#REF!,"AAAAAHz+fxA=")</f>
        <v>#REF!</v>
      </c>
      <c r="R67" t="e">
        <f>AND(#REF!,"AAAAAHz+fxE=")</f>
        <v>#REF!</v>
      </c>
      <c r="S67" t="e">
        <f>AND(#REF!,"AAAAAHz+fxI=")</f>
        <v>#REF!</v>
      </c>
      <c r="T67" t="e">
        <f>AND(#REF!,"AAAAAHz+fxM=")</f>
        <v>#REF!</v>
      </c>
      <c r="U67" t="e">
        <f>AND(#REF!,"AAAAAHz+fxQ=")</f>
        <v>#REF!</v>
      </c>
      <c r="V67" t="e">
        <f>AND(#REF!,"AAAAAHz+fxU=")</f>
        <v>#REF!</v>
      </c>
      <c r="W67" t="e">
        <f>AND(#REF!,"AAAAAHz+fxY=")</f>
        <v>#REF!</v>
      </c>
      <c r="X67" t="e">
        <f>AND(#REF!,"AAAAAHz+fxc=")</f>
        <v>#REF!</v>
      </c>
      <c r="Y67" t="e">
        <f>AND(#REF!,"AAAAAHz+fxg=")</f>
        <v>#REF!</v>
      </c>
      <c r="Z67" t="e">
        <f>AND(#REF!,"AAAAAHz+fxk=")</f>
        <v>#REF!</v>
      </c>
      <c r="AA67" t="e">
        <f>AND(#REF!,"AAAAAHz+fxo=")</f>
        <v>#REF!</v>
      </c>
      <c r="AB67" t="e">
        <f>AND(#REF!,"AAAAAHz+fxs=")</f>
        <v>#REF!</v>
      </c>
      <c r="AC67" t="e">
        <f>AND(#REF!,"AAAAAHz+fxw=")</f>
        <v>#REF!</v>
      </c>
      <c r="AD67" t="e">
        <f>AND(#REF!,"AAAAAHz+fx0=")</f>
        <v>#REF!</v>
      </c>
      <c r="AE67" t="e">
        <f>AND(#REF!,"AAAAAHz+fx4=")</f>
        <v>#REF!</v>
      </c>
      <c r="AF67" t="e">
        <f>AND(#REF!,"AAAAAHz+fx8=")</f>
        <v>#REF!</v>
      </c>
      <c r="AG67" t="e">
        <f>AND(#REF!,"AAAAAHz+fyA=")</f>
        <v>#REF!</v>
      </c>
      <c r="AH67" t="e">
        <f>AND(#REF!,"AAAAAHz+fyE=")</f>
        <v>#REF!</v>
      </c>
      <c r="AI67" t="e">
        <f>AND(#REF!,"AAAAAHz+fyI=")</f>
        <v>#REF!</v>
      </c>
      <c r="AJ67" t="e">
        <f>AND(#REF!,"AAAAAHz+fyM=")</f>
        <v>#REF!</v>
      </c>
      <c r="AK67" t="e">
        <f>AND(#REF!,"AAAAAHz+fyQ=")</f>
        <v>#REF!</v>
      </c>
      <c r="AL67" t="e">
        <f>AND(#REF!,"AAAAAHz+fyU=")</f>
        <v>#REF!</v>
      </c>
      <c r="AM67" t="e">
        <f>AND(#REF!,"AAAAAHz+fyY=")</f>
        <v>#REF!</v>
      </c>
      <c r="AN67" t="e">
        <f>AND(#REF!,"AAAAAHz+fyc=")</f>
        <v>#REF!</v>
      </c>
      <c r="AO67" t="e">
        <f>AND(#REF!,"AAAAAHz+fyg=")</f>
        <v>#REF!</v>
      </c>
      <c r="AP67" t="e">
        <f>AND(#REF!,"AAAAAHz+fyk=")</f>
        <v>#REF!</v>
      </c>
      <c r="AQ67" t="e">
        <f>AND(#REF!,"AAAAAHz+fyo=")</f>
        <v>#REF!</v>
      </c>
      <c r="AR67" t="e">
        <f>AND(#REF!,"AAAAAHz+fys=")</f>
        <v>#REF!</v>
      </c>
      <c r="AS67" t="e">
        <f>IF(#REF!,"AAAAAHz+fyw=",0)</f>
        <v>#REF!</v>
      </c>
      <c r="AT67" t="e">
        <f>AND(#REF!,"AAAAAHz+fy0=")</f>
        <v>#REF!</v>
      </c>
      <c r="AU67" t="e">
        <f>AND(#REF!,"AAAAAHz+fy4=")</f>
        <v>#REF!</v>
      </c>
      <c r="AV67" t="e">
        <f>AND(#REF!,"AAAAAHz+fy8=")</f>
        <v>#REF!</v>
      </c>
      <c r="AW67" t="e">
        <f>AND(#REF!,"AAAAAHz+fzA=")</f>
        <v>#REF!</v>
      </c>
      <c r="AX67" t="e">
        <f>AND(#REF!,"AAAAAHz+fzE=")</f>
        <v>#REF!</v>
      </c>
      <c r="AY67" t="e">
        <f>AND(#REF!,"AAAAAHz+fzI=")</f>
        <v>#REF!</v>
      </c>
      <c r="AZ67" t="e">
        <f>AND(#REF!,"AAAAAHz+fzM=")</f>
        <v>#REF!</v>
      </c>
      <c r="BA67" t="e">
        <f>AND(#REF!,"AAAAAHz+fzQ=")</f>
        <v>#REF!</v>
      </c>
      <c r="BB67" t="e">
        <f>AND(#REF!,"AAAAAHz+fzU=")</f>
        <v>#REF!</v>
      </c>
      <c r="BC67" t="e">
        <f>AND(#REF!,"AAAAAHz+fzY=")</f>
        <v>#REF!</v>
      </c>
      <c r="BD67" t="e">
        <f>AND(#REF!,"AAAAAHz+fzc=")</f>
        <v>#REF!</v>
      </c>
      <c r="BE67" t="e">
        <f>AND(#REF!,"AAAAAHz+fzg=")</f>
        <v>#REF!</v>
      </c>
      <c r="BF67" t="e">
        <f>AND(#REF!,"AAAAAHz+fzk=")</f>
        <v>#REF!</v>
      </c>
      <c r="BG67" t="e">
        <f>AND(#REF!,"AAAAAHz+fzo=")</f>
        <v>#REF!</v>
      </c>
      <c r="BH67" t="e">
        <f>AND(#REF!,"AAAAAHz+fzs=")</f>
        <v>#REF!</v>
      </c>
      <c r="BI67" t="e">
        <f>AND(#REF!,"AAAAAHz+fzw=")</f>
        <v>#REF!</v>
      </c>
      <c r="BJ67" t="e">
        <f>AND(#REF!,"AAAAAHz+fz0=")</f>
        <v>#REF!</v>
      </c>
      <c r="BK67" t="e">
        <f>AND(#REF!,"AAAAAHz+fz4=")</f>
        <v>#REF!</v>
      </c>
      <c r="BL67" t="e">
        <f>AND(#REF!,"AAAAAHz+fz8=")</f>
        <v>#REF!</v>
      </c>
      <c r="BM67" t="e">
        <f>AND(#REF!,"AAAAAHz+f0A=")</f>
        <v>#REF!</v>
      </c>
      <c r="BN67" t="e">
        <f>AND(#REF!,"AAAAAHz+f0E=")</f>
        <v>#REF!</v>
      </c>
      <c r="BO67" t="e">
        <f>AND(#REF!,"AAAAAHz+f0I=")</f>
        <v>#REF!</v>
      </c>
      <c r="BP67" t="e">
        <f>AND(#REF!,"AAAAAHz+f0M=")</f>
        <v>#REF!</v>
      </c>
      <c r="BQ67" t="e">
        <f>AND(#REF!,"AAAAAHz+f0Q=")</f>
        <v>#REF!</v>
      </c>
      <c r="BR67" t="e">
        <f>AND(#REF!,"AAAAAHz+f0U=")</f>
        <v>#REF!</v>
      </c>
      <c r="BS67" t="e">
        <f>AND(#REF!,"AAAAAHz+f0Y=")</f>
        <v>#REF!</v>
      </c>
      <c r="BT67" t="e">
        <f>AND(#REF!,"AAAAAHz+f0c=")</f>
        <v>#REF!</v>
      </c>
      <c r="BU67" t="e">
        <f>AND(#REF!,"AAAAAHz+f0g=")</f>
        <v>#REF!</v>
      </c>
      <c r="BV67" t="e">
        <f>AND(#REF!,"AAAAAHz+f0k=")</f>
        <v>#REF!</v>
      </c>
      <c r="BW67" t="e">
        <f>AND(#REF!,"AAAAAHz+f0o=")</f>
        <v>#REF!</v>
      </c>
      <c r="BX67" t="e">
        <f>AND(#REF!,"AAAAAHz+f0s=")</f>
        <v>#REF!</v>
      </c>
      <c r="BY67" t="e">
        <f>AND(#REF!,"AAAAAHz+f0w=")</f>
        <v>#REF!</v>
      </c>
      <c r="BZ67" t="e">
        <f>AND(#REF!,"AAAAAHz+f00=")</f>
        <v>#REF!</v>
      </c>
      <c r="CA67" t="e">
        <f>AND(#REF!,"AAAAAHz+f04=")</f>
        <v>#REF!</v>
      </c>
      <c r="CB67" t="e">
        <f>AND(#REF!,"AAAAAHz+f08=")</f>
        <v>#REF!</v>
      </c>
      <c r="CC67" t="e">
        <f>IF(#REF!,"AAAAAHz+f1A=",0)</f>
        <v>#REF!</v>
      </c>
      <c r="CD67" t="e">
        <f>IF(#REF!,"AAAAAHz+f1E=",0)</f>
        <v>#REF!</v>
      </c>
      <c r="CE67" t="e">
        <f>IF(#REF!,"AAAAAHz+f1I=",0)</f>
        <v>#REF!</v>
      </c>
      <c r="CF67" t="e">
        <f>IF(#REF!,"AAAAAHz+f1M=",0)</f>
        <v>#REF!</v>
      </c>
      <c r="CG67" t="e">
        <f>IF(#REF!,"AAAAAHz+f1Q=",0)</f>
        <v>#REF!</v>
      </c>
      <c r="CH67" t="e">
        <f>IF(#REF!,"AAAAAHz+f1U=",0)</f>
        <v>#REF!</v>
      </c>
      <c r="CI67" t="e">
        <f>IF(#REF!,"AAAAAHz+f1Y=",0)</f>
        <v>#REF!</v>
      </c>
      <c r="CJ67" t="e">
        <f>IF(#REF!,"AAAAAHz+f1c=",0)</f>
        <v>#REF!</v>
      </c>
      <c r="CK67" t="e">
        <f>IF(#REF!,"AAAAAHz+f1g=",0)</f>
        <v>#REF!</v>
      </c>
      <c r="CL67" t="e">
        <f>IF(#REF!,"AAAAAHz+f1k=",0)</f>
        <v>#REF!</v>
      </c>
      <c r="CM67" t="e">
        <f>IF(#REF!,"AAAAAHz+f1o=",0)</f>
        <v>#REF!</v>
      </c>
      <c r="CN67" t="e">
        <f>IF(#REF!,"AAAAAHz+f1s=",0)</f>
        <v>#REF!</v>
      </c>
      <c r="CO67" t="e">
        <f>IF(#REF!,"AAAAAHz+f1w=",0)</f>
        <v>#REF!</v>
      </c>
      <c r="CP67" t="e">
        <f>IF(#REF!,"AAAAAHz+f10=",0)</f>
        <v>#REF!</v>
      </c>
      <c r="CQ67" t="e">
        <f>IF(#REF!,"AAAAAHz+f14=",0)</f>
        <v>#REF!</v>
      </c>
      <c r="CR67" t="e">
        <f>IF(#REF!,"AAAAAHz+f18=",0)</f>
        <v>#REF!</v>
      </c>
      <c r="CS67" t="e">
        <f>IF(#REF!,"AAAAAHz+f2A=",0)</f>
        <v>#REF!</v>
      </c>
      <c r="CT67" t="e">
        <f>IF(#REF!,"AAAAAHz+f2E=",0)</f>
        <v>#REF!</v>
      </c>
      <c r="CU67" t="e">
        <f>IF(#REF!,"AAAAAHz+f2I=",0)</f>
        <v>#REF!</v>
      </c>
      <c r="CV67" t="e">
        <f>IF(#REF!,"AAAAAHz+f2M=",0)</f>
        <v>#REF!</v>
      </c>
      <c r="CW67" t="e">
        <f>IF(#REF!,"AAAAAHz+f2Q=",0)</f>
        <v>#REF!</v>
      </c>
      <c r="CX67" t="e">
        <f>IF(#REF!,"AAAAAHz+f2U=",0)</f>
        <v>#REF!</v>
      </c>
      <c r="CY67" t="e">
        <f>IF(#REF!,"AAAAAHz+f2Y=",0)</f>
        <v>#REF!</v>
      </c>
      <c r="CZ67" t="e">
        <f>IF(#REF!,"AAAAAHz+f2c=",0)</f>
        <v>#REF!</v>
      </c>
      <c r="DA67" t="e">
        <f>IF(#REF!,"AAAAAHz+f2g=",0)</f>
        <v>#REF!</v>
      </c>
      <c r="DB67" t="e">
        <f>IF(#REF!,"AAAAAHz+f2k=",0)</f>
        <v>#REF!</v>
      </c>
      <c r="DC67" t="e">
        <f>IF(#REF!,"AAAAAHz+f2o=",0)</f>
        <v>#REF!</v>
      </c>
      <c r="DD67" t="e">
        <f>IF(#REF!,"AAAAAHz+f2s=",0)</f>
        <v>#REF!</v>
      </c>
      <c r="DE67" t="e">
        <f>IF(#REF!,"AAAAAHz+f2w=",0)</f>
        <v>#REF!</v>
      </c>
      <c r="DF67" t="e">
        <f>IF(#REF!,"AAAAAHz+f20=",0)</f>
        <v>#REF!</v>
      </c>
      <c r="DG67" t="e">
        <f>IF(#REF!,"AAAAAHz+f24=",0)</f>
        <v>#REF!</v>
      </c>
      <c r="DH67" t="e">
        <f>IF(#REF!,"AAAAAHz+f28=",0)</f>
        <v>#REF!</v>
      </c>
      <c r="DI67" t="e">
        <f>IF(#REF!,"AAAAAHz+f3A=",0)</f>
        <v>#REF!</v>
      </c>
      <c r="DJ67" t="e">
        <f>IF(#REF!,"AAAAAHz+f3E=",0)</f>
        <v>#REF!</v>
      </c>
      <c r="DK67" t="e">
        <f>IF(#REF!,"AAAAAHz+f3I=",0)</f>
        <v>#REF!</v>
      </c>
      <c r="DL67" t="e">
        <f>IF(#REF!,"AAAAAHz+f3M=",0)</f>
        <v>#REF!</v>
      </c>
      <c r="DM67" t="e">
        <f>IF(#REF!,"AAAAAHz+f3Q=",0)</f>
        <v>#REF!</v>
      </c>
      <c r="DN67" t="e">
        <f>IF(#REF!,"AAAAAHz+f3U=",0)</f>
        <v>#REF!</v>
      </c>
      <c r="DO67" t="e">
        <f>IF(#REF!,"AAAAAHz+f3Y=",0)</f>
        <v>#REF!</v>
      </c>
      <c r="DP67" t="e">
        <f>IF(#REF!,"AAAAAHz+f3c=",0)</f>
        <v>#REF!</v>
      </c>
      <c r="DQ67" t="e">
        <f>IF(#REF!,"AAAAAHz+f3g=",0)</f>
        <v>#REF!</v>
      </c>
      <c r="DR67" t="e">
        <f>IF(#REF!,"AAAAAHz+f3k=",0)</f>
        <v>#REF!</v>
      </c>
      <c r="DS67" t="e">
        <f>IF(#REF!,"AAAAAHz+f3o=",0)</f>
        <v>#REF!</v>
      </c>
      <c r="DT67" t="e">
        <f>IF(#REF!,"AAAAAHz+f3s=",0)</f>
        <v>#REF!</v>
      </c>
      <c r="DU67" t="e">
        <f>IF(#REF!,"AAAAAHz+f3w=",0)</f>
        <v>#REF!</v>
      </c>
      <c r="DV67" t="e">
        <f>IF(#REF!,"AAAAAHz+f30=",0)</f>
        <v>#REF!</v>
      </c>
      <c r="DW67" t="e">
        <f>IF(#REF!,"AAAAAHz+f34=",0)</f>
        <v>#REF!</v>
      </c>
      <c r="DX67" t="e">
        <f>IF(#REF!,"AAAAAHz+f38=",0)</f>
        <v>#REF!</v>
      </c>
      <c r="DY67" t="e">
        <f>IF(#REF!,"AAAAAHz+f4A=",0)</f>
        <v>#REF!</v>
      </c>
      <c r="DZ67" t="e">
        <f>IF(#REF!,"AAAAAHz+f4E=",0)</f>
        <v>#REF!</v>
      </c>
      <c r="EA67" t="e">
        <f>IF(#REF!,"AAAAAHz+f4I=",0)</f>
        <v>#REF!</v>
      </c>
      <c r="EB67" t="e">
        <f>IF(#REF!,"AAAAAHz+f4M=",0)</f>
        <v>#REF!</v>
      </c>
      <c r="EC67" t="e">
        <f>IF(#REF!,"AAAAAHz+f4Q=",0)</f>
        <v>#REF!</v>
      </c>
      <c r="ED67" t="e">
        <f>IF(#REF!,"AAAAAHz+f4U=",0)</f>
        <v>#REF!</v>
      </c>
      <c r="EE67" t="e">
        <f>IF(#REF!,"AAAAAHz+f4Y=",0)</f>
        <v>#REF!</v>
      </c>
      <c r="EF67" t="e">
        <f>IF(#REF!,"AAAAAHz+f4c=",0)</f>
        <v>#REF!</v>
      </c>
      <c r="EG67" t="s">
        <v>7</v>
      </c>
      <c r="EH67" s="1" t="s">
        <v>8</v>
      </c>
      <c r="EI67" t="e">
        <f>IF("N",Nombre,"AAAAAHz+f4o=")</f>
        <v>#VALUE!</v>
      </c>
      <c r="EJ67" t="e">
        <f>IF("N",Origen,"AAAAAHz+f4s=")</f>
        <v>#VALUE!</v>
      </c>
      <c r="EK67" t="e">
        <f>IF("N",Tipo,"AAAAAHz+f4w=")</f>
        <v>#VALUE!</v>
      </c>
    </row>
  </sheetData>
  <pageMargins left="0.7" right="0.7" top="0.75" bottom="0.75" header="0.3" footer="0.3"/>
  <customProperties>
    <customPr name="DVSECTIONID" r:id="rId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31"/>
  <sheetViews>
    <sheetView view="pageBreakPreview" topLeftCell="C6" zoomScale="80" zoomScaleNormal="100" zoomScaleSheetLayoutView="80" workbookViewId="0">
      <selection activeCell="AE9" sqref="AE9"/>
    </sheetView>
  </sheetViews>
  <sheetFormatPr baseColWidth="10" defaultRowHeight="12.75"/>
  <cols>
    <col min="1" max="1" width="8" style="2" customWidth="1"/>
    <col min="2" max="2" width="13.42578125" style="2" customWidth="1"/>
    <col min="3" max="3" width="4.28515625" style="2" customWidth="1"/>
    <col min="4" max="4" width="10.28515625" style="2" customWidth="1"/>
    <col min="5" max="5" width="18.5703125" style="2" customWidth="1"/>
    <col min="6" max="6" width="4.140625" style="2" customWidth="1"/>
    <col min="7" max="7" width="11.28515625" style="2" customWidth="1"/>
    <col min="8" max="8" width="11" style="2" customWidth="1"/>
    <col min="9" max="10" width="2.140625" style="2" customWidth="1"/>
    <col min="11" max="11" width="3.28515625" style="2" customWidth="1"/>
    <col min="12" max="12" width="0.28515625" style="2" hidden="1" customWidth="1"/>
    <col min="13" max="13" width="0.42578125" style="2" hidden="1" customWidth="1"/>
    <col min="14" max="14" width="2.85546875" style="2" customWidth="1"/>
    <col min="15" max="15" width="3.28515625" style="2" customWidth="1"/>
    <col min="16" max="16" width="1.5703125" style="2" customWidth="1"/>
    <col min="17" max="17" width="1.85546875" style="2" hidden="1" customWidth="1"/>
    <col min="18" max="18" width="6.85546875" style="2" customWidth="1"/>
    <col min="19" max="19" width="3" style="2" hidden="1" customWidth="1"/>
    <col min="20" max="21" width="6.28515625" style="2" customWidth="1"/>
    <col min="22" max="22" width="13.85546875" style="2" customWidth="1"/>
    <col min="23" max="23" width="13.7109375" style="2" customWidth="1"/>
    <col min="24" max="24" width="14.7109375" style="2" customWidth="1"/>
    <col min="25" max="25" width="0.42578125" style="2" hidden="1" customWidth="1"/>
    <col min="26" max="26" width="13" style="2" customWidth="1"/>
    <col min="27" max="27" width="12.7109375" style="2" customWidth="1"/>
    <col min="28" max="28" width="11.7109375" style="2" customWidth="1"/>
    <col min="29" max="29" width="12.28515625" style="2" customWidth="1"/>
    <col min="30" max="30" width="8.140625" style="2" customWidth="1"/>
    <col min="31" max="31" width="11.5703125" style="2" customWidth="1"/>
    <col min="32" max="32" width="24.7109375" style="2" customWidth="1"/>
    <col min="33" max="33" width="12" style="2" customWidth="1"/>
    <col min="34" max="35" width="0.28515625" style="2" customWidth="1"/>
    <col min="36" max="36" width="1.42578125" style="2" customWidth="1"/>
    <col min="37" max="37" width="1.28515625" style="2" hidden="1" customWidth="1"/>
    <col min="38" max="256" width="11.42578125" style="2"/>
    <col min="257" max="257" width="8" style="2" customWidth="1"/>
    <col min="258" max="258" width="13.42578125" style="2" customWidth="1"/>
    <col min="259" max="259" width="4.28515625" style="2" customWidth="1"/>
    <col min="260" max="260" width="4" style="2" customWidth="1"/>
    <col min="261" max="261" width="17" style="2" customWidth="1"/>
    <col min="262" max="262" width="4.140625" style="2" customWidth="1"/>
    <col min="263" max="263" width="11.28515625" style="2" customWidth="1"/>
    <col min="264" max="264" width="11" style="2" customWidth="1"/>
    <col min="265" max="266" width="2.140625" style="2" customWidth="1"/>
    <col min="267" max="267" width="3.28515625" style="2" customWidth="1"/>
    <col min="268" max="269" width="0" style="2" hidden="1" customWidth="1"/>
    <col min="270" max="270" width="2.85546875" style="2" customWidth="1"/>
    <col min="271" max="271" width="3.28515625" style="2" customWidth="1"/>
    <col min="272" max="272" width="1.5703125" style="2" customWidth="1"/>
    <col min="273" max="273" width="0" style="2" hidden="1" customWidth="1"/>
    <col min="274" max="274" width="6.85546875" style="2" customWidth="1"/>
    <col min="275" max="275" width="0" style="2" hidden="1" customWidth="1"/>
    <col min="276" max="277" width="6.28515625" style="2" customWidth="1"/>
    <col min="278" max="278" width="13.85546875" style="2" customWidth="1"/>
    <col min="279" max="279" width="10.85546875" style="2" customWidth="1"/>
    <col min="280" max="280" width="14.7109375" style="2" customWidth="1"/>
    <col min="281" max="281" width="0" style="2" hidden="1" customWidth="1"/>
    <col min="282" max="282" width="13" style="2" customWidth="1"/>
    <col min="283" max="283" width="12.7109375" style="2" customWidth="1"/>
    <col min="284" max="284" width="13.140625" style="2" customWidth="1"/>
    <col min="285" max="285" width="14" style="2" customWidth="1"/>
    <col min="286" max="286" width="8.140625" style="2" customWidth="1"/>
    <col min="287" max="287" width="11.5703125" style="2" customWidth="1"/>
    <col min="288" max="288" width="24.7109375" style="2" customWidth="1"/>
    <col min="289" max="289" width="12" style="2" customWidth="1"/>
    <col min="290" max="291" width="0.28515625" style="2" customWidth="1"/>
    <col min="292" max="292" width="1.42578125" style="2" customWidth="1"/>
    <col min="293" max="293" width="0" style="2" hidden="1" customWidth="1"/>
    <col min="294" max="512" width="11.42578125" style="2"/>
    <col min="513" max="513" width="8" style="2" customWidth="1"/>
    <col min="514" max="514" width="13.42578125" style="2" customWidth="1"/>
    <col min="515" max="515" width="4.28515625" style="2" customWidth="1"/>
    <col min="516" max="516" width="4" style="2" customWidth="1"/>
    <col min="517" max="517" width="17" style="2" customWidth="1"/>
    <col min="518" max="518" width="4.140625" style="2" customWidth="1"/>
    <col min="519" max="519" width="11.28515625" style="2" customWidth="1"/>
    <col min="520" max="520" width="11" style="2" customWidth="1"/>
    <col min="521" max="522" width="2.140625" style="2" customWidth="1"/>
    <col min="523" max="523" width="3.28515625" style="2" customWidth="1"/>
    <col min="524" max="525" width="0" style="2" hidden="1" customWidth="1"/>
    <col min="526" max="526" width="2.85546875" style="2" customWidth="1"/>
    <col min="527" max="527" width="3.28515625" style="2" customWidth="1"/>
    <col min="528" max="528" width="1.5703125" style="2" customWidth="1"/>
    <col min="529" max="529" width="0" style="2" hidden="1" customWidth="1"/>
    <col min="530" max="530" width="6.85546875" style="2" customWidth="1"/>
    <col min="531" max="531" width="0" style="2" hidden="1" customWidth="1"/>
    <col min="532" max="533" width="6.28515625" style="2" customWidth="1"/>
    <col min="534" max="534" width="13.85546875" style="2" customWidth="1"/>
    <col min="535" max="535" width="10.85546875" style="2" customWidth="1"/>
    <col min="536" max="536" width="14.7109375" style="2" customWidth="1"/>
    <col min="537" max="537" width="0" style="2" hidden="1" customWidth="1"/>
    <col min="538" max="538" width="13" style="2" customWidth="1"/>
    <col min="539" max="539" width="12.7109375" style="2" customWidth="1"/>
    <col min="540" max="540" width="13.140625" style="2" customWidth="1"/>
    <col min="541" max="541" width="14" style="2" customWidth="1"/>
    <col min="542" max="542" width="8.140625" style="2" customWidth="1"/>
    <col min="543" max="543" width="11.5703125" style="2" customWidth="1"/>
    <col min="544" max="544" width="24.7109375" style="2" customWidth="1"/>
    <col min="545" max="545" width="12" style="2" customWidth="1"/>
    <col min="546" max="547" width="0.28515625" style="2" customWidth="1"/>
    <col min="548" max="548" width="1.42578125" style="2" customWidth="1"/>
    <col min="549" max="549" width="0" style="2" hidden="1" customWidth="1"/>
    <col min="550" max="768" width="11.42578125" style="2"/>
    <col min="769" max="769" width="8" style="2" customWidth="1"/>
    <col min="770" max="770" width="13.42578125" style="2" customWidth="1"/>
    <col min="771" max="771" width="4.28515625" style="2" customWidth="1"/>
    <col min="772" max="772" width="4" style="2" customWidth="1"/>
    <col min="773" max="773" width="17" style="2" customWidth="1"/>
    <col min="774" max="774" width="4.140625" style="2" customWidth="1"/>
    <col min="775" max="775" width="11.28515625" style="2" customWidth="1"/>
    <col min="776" max="776" width="11" style="2" customWidth="1"/>
    <col min="777" max="778" width="2.140625" style="2" customWidth="1"/>
    <col min="779" max="779" width="3.28515625" style="2" customWidth="1"/>
    <col min="780" max="781" width="0" style="2" hidden="1" customWidth="1"/>
    <col min="782" max="782" width="2.85546875" style="2" customWidth="1"/>
    <col min="783" max="783" width="3.28515625" style="2" customWidth="1"/>
    <col min="784" max="784" width="1.5703125" style="2" customWidth="1"/>
    <col min="785" max="785" width="0" style="2" hidden="1" customWidth="1"/>
    <col min="786" max="786" width="6.85546875" style="2" customWidth="1"/>
    <col min="787" max="787" width="0" style="2" hidden="1" customWidth="1"/>
    <col min="788" max="789" width="6.28515625" style="2" customWidth="1"/>
    <col min="790" max="790" width="13.85546875" style="2" customWidth="1"/>
    <col min="791" max="791" width="10.85546875" style="2" customWidth="1"/>
    <col min="792" max="792" width="14.7109375" style="2" customWidth="1"/>
    <col min="793" max="793" width="0" style="2" hidden="1" customWidth="1"/>
    <col min="794" max="794" width="13" style="2" customWidth="1"/>
    <col min="795" max="795" width="12.7109375" style="2" customWidth="1"/>
    <col min="796" max="796" width="13.140625" style="2" customWidth="1"/>
    <col min="797" max="797" width="14" style="2" customWidth="1"/>
    <col min="798" max="798" width="8.140625" style="2" customWidth="1"/>
    <col min="799" max="799" width="11.5703125" style="2" customWidth="1"/>
    <col min="800" max="800" width="24.7109375" style="2" customWidth="1"/>
    <col min="801" max="801" width="12" style="2" customWidth="1"/>
    <col min="802" max="803" width="0.28515625" style="2" customWidth="1"/>
    <col min="804" max="804" width="1.42578125" style="2" customWidth="1"/>
    <col min="805" max="805" width="0" style="2" hidden="1" customWidth="1"/>
    <col min="806" max="1024" width="11.42578125" style="2"/>
    <col min="1025" max="1025" width="8" style="2" customWidth="1"/>
    <col min="1026" max="1026" width="13.42578125" style="2" customWidth="1"/>
    <col min="1027" max="1027" width="4.28515625" style="2" customWidth="1"/>
    <col min="1028" max="1028" width="4" style="2" customWidth="1"/>
    <col min="1029" max="1029" width="17" style="2" customWidth="1"/>
    <col min="1030" max="1030" width="4.140625" style="2" customWidth="1"/>
    <col min="1031" max="1031" width="11.28515625" style="2" customWidth="1"/>
    <col min="1032" max="1032" width="11" style="2" customWidth="1"/>
    <col min="1033" max="1034" width="2.140625" style="2" customWidth="1"/>
    <col min="1035" max="1035" width="3.28515625" style="2" customWidth="1"/>
    <col min="1036" max="1037" width="0" style="2" hidden="1" customWidth="1"/>
    <col min="1038" max="1038" width="2.85546875" style="2" customWidth="1"/>
    <col min="1039" max="1039" width="3.28515625" style="2" customWidth="1"/>
    <col min="1040" max="1040" width="1.5703125" style="2" customWidth="1"/>
    <col min="1041" max="1041" width="0" style="2" hidden="1" customWidth="1"/>
    <col min="1042" max="1042" width="6.85546875" style="2" customWidth="1"/>
    <col min="1043" max="1043" width="0" style="2" hidden="1" customWidth="1"/>
    <col min="1044" max="1045" width="6.28515625" style="2" customWidth="1"/>
    <col min="1046" max="1046" width="13.85546875" style="2" customWidth="1"/>
    <col min="1047" max="1047" width="10.85546875" style="2" customWidth="1"/>
    <col min="1048" max="1048" width="14.7109375" style="2" customWidth="1"/>
    <col min="1049" max="1049" width="0" style="2" hidden="1" customWidth="1"/>
    <col min="1050" max="1050" width="13" style="2" customWidth="1"/>
    <col min="1051" max="1051" width="12.7109375" style="2" customWidth="1"/>
    <col min="1052" max="1052" width="13.140625" style="2" customWidth="1"/>
    <col min="1053" max="1053" width="14" style="2" customWidth="1"/>
    <col min="1054" max="1054" width="8.140625" style="2" customWidth="1"/>
    <col min="1055" max="1055" width="11.5703125" style="2" customWidth="1"/>
    <col min="1056" max="1056" width="24.7109375" style="2" customWidth="1"/>
    <col min="1057" max="1057" width="12" style="2" customWidth="1"/>
    <col min="1058" max="1059" width="0.28515625" style="2" customWidth="1"/>
    <col min="1060" max="1060" width="1.42578125" style="2" customWidth="1"/>
    <col min="1061" max="1061" width="0" style="2" hidden="1" customWidth="1"/>
    <col min="1062" max="1280" width="11.42578125" style="2"/>
    <col min="1281" max="1281" width="8" style="2" customWidth="1"/>
    <col min="1282" max="1282" width="13.42578125" style="2" customWidth="1"/>
    <col min="1283" max="1283" width="4.28515625" style="2" customWidth="1"/>
    <col min="1284" max="1284" width="4" style="2" customWidth="1"/>
    <col min="1285" max="1285" width="17" style="2" customWidth="1"/>
    <col min="1286" max="1286" width="4.140625" style="2" customWidth="1"/>
    <col min="1287" max="1287" width="11.28515625" style="2" customWidth="1"/>
    <col min="1288" max="1288" width="11" style="2" customWidth="1"/>
    <col min="1289" max="1290" width="2.140625" style="2" customWidth="1"/>
    <col min="1291" max="1291" width="3.28515625" style="2" customWidth="1"/>
    <col min="1292" max="1293" width="0" style="2" hidden="1" customWidth="1"/>
    <col min="1294" max="1294" width="2.85546875" style="2" customWidth="1"/>
    <col min="1295" max="1295" width="3.28515625" style="2" customWidth="1"/>
    <col min="1296" max="1296" width="1.5703125" style="2" customWidth="1"/>
    <col min="1297" max="1297" width="0" style="2" hidden="1" customWidth="1"/>
    <col min="1298" max="1298" width="6.85546875" style="2" customWidth="1"/>
    <col min="1299" max="1299" width="0" style="2" hidden="1" customWidth="1"/>
    <col min="1300" max="1301" width="6.28515625" style="2" customWidth="1"/>
    <col min="1302" max="1302" width="13.85546875" style="2" customWidth="1"/>
    <col min="1303" max="1303" width="10.85546875" style="2" customWidth="1"/>
    <col min="1304" max="1304" width="14.7109375" style="2" customWidth="1"/>
    <col min="1305" max="1305" width="0" style="2" hidden="1" customWidth="1"/>
    <col min="1306" max="1306" width="13" style="2" customWidth="1"/>
    <col min="1307" max="1307" width="12.7109375" style="2" customWidth="1"/>
    <col min="1308" max="1308" width="13.140625" style="2" customWidth="1"/>
    <col min="1309" max="1309" width="14" style="2" customWidth="1"/>
    <col min="1310" max="1310" width="8.140625" style="2" customWidth="1"/>
    <col min="1311" max="1311" width="11.5703125" style="2" customWidth="1"/>
    <col min="1312" max="1312" width="24.7109375" style="2" customWidth="1"/>
    <col min="1313" max="1313" width="12" style="2" customWidth="1"/>
    <col min="1314" max="1315" width="0.28515625" style="2" customWidth="1"/>
    <col min="1316" max="1316" width="1.42578125" style="2" customWidth="1"/>
    <col min="1317" max="1317" width="0" style="2" hidden="1" customWidth="1"/>
    <col min="1318" max="1536" width="11.42578125" style="2"/>
    <col min="1537" max="1537" width="8" style="2" customWidth="1"/>
    <col min="1538" max="1538" width="13.42578125" style="2" customWidth="1"/>
    <col min="1539" max="1539" width="4.28515625" style="2" customWidth="1"/>
    <col min="1540" max="1540" width="4" style="2" customWidth="1"/>
    <col min="1541" max="1541" width="17" style="2" customWidth="1"/>
    <col min="1542" max="1542" width="4.140625" style="2" customWidth="1"/>
    <col min="1543" max="1543" width="11.28515625" style="2" customWidth="1"/>
    <col min="1544" max="1544" width="11" style="2" customWidth="1"/>
    <col min="1545" max="1546" width="2.140625" style="2" customWidth="1"/>
    <col min="1547" max="1547" width="3.28515625" style="2" customWidth="1"/>
    <col min="1548" max="1549" width="0" style="2" hidden="1" customWidth="1"/>
    <col min="1550" max="1550" width="2.85546875" style="2" customWidth="1"/>
    <col min="1551" max="1551" width="3.28515625" style="2" customWidth="1"/>
    <col min="1552" max="1552" width="1.5703125" style="2" customWidth="1"/>
    <col min="1553" max="1553" width="0" style="2" hidden="1" customWidth="1"/>
    <col min="1554" max="1554" width="6.85546875" style="2" customWidth="1"/>
    <col min="1555" max="1555" width="0" style="2" hidden="1" customWidth="1"/>
    <col min="1556" max="1557" width="6.28515625" style="2" customWidth="1"/>
    <col min="1558" max="1558" width="13.85546875" style="2" customWidth="1"/>
    <col min="1559" max="1559" width="10.85546875" style="2" customWidth="1"/>
    <col min="1560" max="1560" width="14.7109375" style="2" customWidth="1"/>
    <col min="1561" max="1561" width="0" style="2" hidden="1" customWidth="1"/>
    <col min="1562" max="1562" width="13" style="2" customWidth="1"/>
    <col min="1563" max="1563" width="12.7109375" style="2" customWidth="1"/>
    <col min="1564" max="1564" width="13.140625" style="2" customWidth="1"/>
    <col min="1565" max="1565" width="14" style="2" customWidth="1"/>
    <col min="1566" max="1566" width="8.140625" style="2" customWidth="1"/>
    <col min="1567" max="1567" width="11.5703125" style="2" customWidth="1"/>
    <col min="1568" max="1568" width="24.7109375" style="2" customWidth="1"/>
    <col min="1569" max="1569" width="12" style="2" customWidth="1"/>
    <col min="1570" max="1571" width="0.28515625" style="2" customWidth="1"/>
    <col min="1572" max="1572" width="1.42578125" style="2" customWidth="1"/>
    <col min="1573" max="1573" width="0" style="2" hidden="1" customWidth="1"/>
    <col min="1574" max="1792" width="11.42578125" style="2"/>
    <col min="1793" max="1793" width="8" style="2" customWidth="1"/>
    <col min="1794" max="1794" width="13.42578125" style="2" customWidth="1"/>
    <col min="1795" max="1795" width="4.28515625" style="2" customWidth="1"/>
    <col min="1796" max="1796" width="4" style="2" customWidth="1"/>
    <col min="1797" max="1797" width="17" style="2" customWidth="1"/>
    <col min="1798" max="1798" width="4.140625" style="2" customWidth="1"/>
    <col min="1799" max="1799" width="11.28515625" style="2" customWidth="1"/>
    <col min="1800" max="1800" width="11" style="2" customWidth="1"/>
    <col min="1801" max="1802" width="2.140625" style="2" customWidth="1"/>
    <col min="1803" max="1803" width="3.28515625" style="2" customWidth="1"/>
    <col min="1804" max="1805" width="0" style="2" hidden="1" customWidth="1"/>
    <col min="1806" max="1806" width="2.85546875" style="2" customWidth="1"/>
    <col min="1807" max="1807" width="3.28515625" style="2" customWidth="1"/>
    <col min="1808" max="1808" width="1.5703125" style="2" customWidth="1"/>
    <col min="1809" max="1809" width="0" style="2" hidden="1" customWidth="1"/>
    <col min="1810" max="1810" width="6.85546875" style="2" customWidth="1"/>
    <col min="1811" max="1811" width="0" style="2" hidden="1" customWidth="1"/>
    <col min="1812" max="1813" width="6.28515625" style="2" customWidth="1"/>
    <col min="1814" max="1814" width="13.85546875" style="2" customWidth="1"/>
    <col min="1815" max="1815" width="10.85546875" style="2" customWidth="1"/>
    <col min="1816" max="1816" width="14.7109375" style="2" customWidth="1"/>
    <col min="1817" max="1817" width="0" style="2" hidden="1" customWidth="1"/>
    <col min="1818" max="1818" width="13" style="2" customWidth="1"/>
    <col min="1819" max="1819" width="12.7109375" style="2" customWidth="1"/>
    <col min="1820" max="1820" width="13.140625" style="2" customWidth="1"/>
    <col min="1821" max="1821" width="14" style="2" customWidth="1"/>
    <col min="1822" max="1822" width="8.140625" style="2" customWidth="1"/>
    <col min="1823" max="1823" width="11.5703125" style="2" customWidth="1"/>
    <col min="1824" max="1824" width="24.7109375" style="2" customWidth="1"/>
    <col min="1825" max="1825" width="12" style="2" customWidth="1"/>
    <col min="1826" max="1827" width="0.28515625" style="2" customWidth="1"/>
    <col min="1828" max="1828" width="1.42578125" style="2" customWidth="1"/>
    <col min="1829" max="1829" width="0" style="2" hidden="1" customWidth="1"/>
    <col min="1830" max="2048" width="11.42578125" style="2"/>
    <col min="2049" max="2049" width="8" style="2" customWidth="1"/>
    <col min="2050" max="2050" width="13.42578125" style="2" customWidth="1"/>
    <col min="2051" max="2051" width="4.28515625" style="2" customWidth="1"/>
    <col min="2052" max="2052" width="4" style="2" customWidth="1"/>
    <col min="2053" max="2053" width="17" style="2" customWidth="1"/>
    <col min="2054" max="2054" width="4.140625" style="2" customWidth="1"/>
    <col min="2055" max="2055" width="11.28515625" style="2" customWidth="1"/>
    <col min="2056" max="2056" width="11" style="2" customWidth="1"/>
    <col min="2057" max="2058" width="2.140625" style="2" customWidth="1"/>
    <col min="2059" max="2059" width="3.28515625" style="2" customWidth="1"/>
    <col min="2060" max="2061" width="0" style="2" hidden="1" customWidth="1"/>
    <col min="2062" max="2062" width="2.85546875" style="2" customWidth="1"/>
    <col min="2063" max="2063" width="3.28515625" style="2" customWidth="1"/>
    <col min="2064" max="2064" width="1.5703125" style="2" customWidth="1"/>
    <col min="2065" max="2065" width="0" style="2" hidden="1" customWidth="1"/>
    <col min="2066" max="2066" width="6.85546875" style="2" customWidth="1"/>
    <col min="2067" max="2067" width="0" style="2" hidden="1" customWidth="1"/>
    <col min="2068" max="2069" width="6.28515625" style="2" customWidth="1"/>
    <col min="2070" max="2070" width="13.85546875" style="2" customWidth="1"/>
    <col min="2071" max="2071" width="10.85546875" style="2" customWidth="1"/>
    <col min="2072" max="2072" width="14.7109375" style="2" customWidth="1"/>
    <col min="2073" max="2073" width="0" style="2" hidden="1" customWidth="1"/>
    <col min="2074" max="2074" width="13" style="2" customWidth="1"/>
    <col min="2075" max="2075" width="12.7109375" style="2" customWidth="1"/>
    <col min="2076" max="2076" width="13.140625" style="2" customWidth="1"/>
    <col min="2077" max="2077" width="14" style="2" customWidth="1"/>
    <col min="2078" max="2078" width="8.140625" style="2" customWidth="1"/>
    <col min="2079" max="2079" width="11.5703125" style="2" customWidth="1"/>
    <col min="2080" max="2080" width="24.7109375" style="2" customWidth="1"/>
    <col min="2081" max="2081" width="12" style="2" customWidth="1"/>
    <col min="2082" max="2083" width="0.28515625" style="2" customWidth="1"/>
    <col min="2084" max="2084" width="1.42578125" style="2" customWidth="1"/>
    <col min="2085" max="2085" width="0" style="2" hidden="1" customWidth="1"/>
    <col min="2086" max="2304" width="11.42578125" style="2"/>
    <col min="2305" max="2305" width="8" style="2" customWidth="1"/>
    <col min="2306" max="2306" width="13.42578125" style="2" customWidth="1"/>
    <col min="2307" max="2307" width="4.28515625" style="2" customWidth="1"/>
    <col min="2308" max="2308" width="4" style="2" customWidth="1"/>
    <col min="2309" max="2309" width="17" style="2" customWidth="1"/>
    <col min="2310" max="2310" width="4.140625" style="2" customWidth="1"/>
    <col min="2311" max="2311" width="11.28515625" style="2" customWidth="1"/>
    <col min="2312" max="2312" width="11" style="2" customWidth="1"/>
    <col min="2313" max="2314" width="2.140625" style="2" customWidth="1"/>
    <col min="2315" max="2315" width="3.28515625" style="2" customWidth="1"/>
    <col min="2316" max="2317" width="0" style="2" hidden="1" customWidth="1"/>
    <col min="2318" max="2318" width="2.85546875" style="2" customWidth="1"/>
    <col min="2319" max="2319" width="3.28515625" style="2" customWidth="1"/>
    <col min="2320" max="2320" width="1.5703125" style="2" customWidth="1"/>
    <col min="2321" max="2321" width="0" style="2" hidden="1" customWidth="1"/>
    <col min="2322" max="2322" width="6.85546875" style="2" customWidth="1"/>
    <col min="2323" max="2323" width="0" style="2" hidden="1" customWidth="1"/>
    <col min="2324" max="2325" width="6.28515625" style="2" customWidth="1"/>
    <col min="2326" max="2326" width="13.85546875" style="2" customWidth="1"/>
    <col min="2327" max="2327" width="10.85546875" style="2" customWidth="1"/>
    <col min="2328" max="2328" width="14.7109375" style="2" customWidth="1"/>
    <col min="2329" max="2329" width="0" style="2" hidden="1" customWidth="1"/>
    <col min="2330" max="2330" width="13" style="2" customWidth="1"/>
    <col min="2331" max="2331" width="12.7109375" style="2" customWidth="1"/>
    <col min="2332" max="2332" width="13.140625" style="2" customWidth="1"/>
    <col min="2333" max="2333" width="14" style="2" customWidth="1"/>
    <col min="2334" max="2334" width="8.140625" style="2" customWidth="1"/>
    <col min="2335" max="2335" width="11.5703125" style="2" customWidth="1"/>
    <col min="2336" max="2336" width="24.7109375" style="2" customWidth="1"/>
    <col min="2337" max="2337" width="12" style="2" customWidth="1"/>
    <col min="2338" max="2339" width="0.28515625" style="2" customWidth="1"/>
    <col min="2340" max="2340" width="1.42578125" style="2" customWidth="1"/>
    <col min="2341" max="2341" width="0" style="2" hidden="1" customWidth="1"/>
    <col min="2342" max="2560" width="11.42578125" style="2"/>
    <col min="2561" max="2561" width="8" style="2" customWidth="1"/>
    <col min="2562" max="2562" width="13.42578125" style="2" customWidth="1"/>
    <col min="2563" max="2563" width="4.28515625" style="2" customWidth="1"/>
    <col min="2564" max="2564" width="4" style="2" customWidth="1"/>
    <col min="2565" max="2565" width="17" style="2" customWidth="1"/>
    <col min="2566" max="2566" width="4.140625" style="2" customWidth="1"/>
    <col min="2567" max="2567" width="11.28515625" style="2" customWidth="1"/>
    <col min="2568" max="2568" width="11" style="2" customWidth="1"/>
    <col min="2569" max="2570" width="2.140625" style="2" customWidth="1"/>
    <col min="2571" max="2571" width="3.28515625" style="2" customWidth="1"/>
    <col min="2572" max="2573" width="0" style="2" hidden="1" customWidth="1"/>
    <col min="2574" max="2574" width="2.85546875" style="2" customWidth="1"/>
    <col min="2575" max="2575" width="3.28515625" style="2" customWidth="1"/>
    <col min="2576" max="2576" width="1.5703125" style="2" customWidth="1"/>
    <col min="2577" max="2577" width="0" style="2" hidden="1" customWidth="1"/>
    <col min="2578" max="2578" width="6.85546875" style="2" customWidth="1"/>
    <col min="2579" max="2579" width="0" style="2" hidden="1" customWidth="1"/>
    <col min="2580" max="2581" width="6.28515625" style="2" customWidth="1"/>
    <col min="2582" max="2582" width="13.85546875" style="2" customWidth="1"/>
    <col min="2583" max="2583" width="10.85546875" style="2" customWidth="1"/>
    <col min="2584" max="2584" width="14.7109375" style="2" customWidth="1"/>
    <col min="2585" max="2585" width="0" style="2" hidden="1" customWidth="1"/>
    <col min="2586" max="2586" width="13" style="2" customWidth="1"/>
    <col min="2587" max="2587" width="12.7109375" style="2" customWidth="1"/>
    <col min="2588" max="2588" width="13.140625" style="2" customWidth="1"/>
    <col min="2589" max="2589" width="14" style="2" customWidth="1"/>
    <col min="2590" max="2590" width="8.140625" style="2" customWidth="1"/>
    <col min="2591" max="2591" width="11.5703125" style="2" customWidth="1"/>
    <col min="2592" max="2592" width="24.7109375" style="2" customWidth="1"/>
    <col min="2593" max="2593" width="12" style="2" customWidth="1"/>
    <col min="2594" max="2595" width="0.28515625" style="2" customWidth="1"/>
    <col min="2596" max="2596" width="1.42578125" style="2" customWidth="1"/>
    <col min="2597" max="2597" width="0" style="2" hidden="1" customWidth="1"/>
    <col min="2598" max="2816" width="11.42578125" style="2"/>
    <col min="2817" max="2817" width="8" style="2" customWidth="1"/>
    <col min="2818" max="2818" width="13.42578125" style="2" customWidth="1"/>
    <col min="2819" max="2819" width="4.28515625" style="2" customWidth="1"/>
    <col min="2820" max="2820" width="4" style="2" customWidth="1"/>
    <col min="2821" max="2821" width="17" style="2" customWidth="1"/>
    <col min="2822" max="2822" width="4.140625" style="2" customWidth="1"/>
    <col min="2823" max="2823" width="11.28515625" style="2" customWidth="1"/>
    <col min="2824" max="2824" width="11" style="2" customWidth="1"/>
    <col min="2825" max="2826" width="2.140625" style="2" customWidth="1"/>
    <col min="2827" max="2827" width="3.28515625" style="2" customWidth="1"/>
    <col min="2828" max="2829" width="0" style="2" hidden="1" customWidth="1"/>
    <col min="2830" max="2830" width="2.85546875" style="2" customWidth="1"/>
    <col min="2831" max="2831" width="3.28515625" style="2" customWidth="1"/>
    <col min="2832" max="2832" width="1.5703125" style="2" customWidth="1"/>
    <col min="2833" max="2833" width="0" style="2" hidden="1" customWidth="1"/>
    <col min="2834" max="2834" width="6.85546875" style="2" customWidth="1"/>
    <col min="2835" max="2835" width="0" style="2" hidden="1" customWidth="1"/>
    <col min="2836" max="2837" width="6.28515625" style="2" customWidth="1"/>
    <col min="2838" max="2838" width="13.85546875" style="2" customWidth="1"/>
    <col min="2839" max="2839" width="10.85546875" style="2" customWidth="1"/>
    <col min="2840" max="2840" width="14.7109375" style="2" customWidth="1"/>
    <col min="2841" max="2841" width="0" style="2" hidden="1" customWidth="1"/>
    <col min="2842" max="2842" width="13" style="2" customWidth="1"/>
    <col min="2843" max="2843" width="12.7109375" style="2" customWidth="1"/>
    <col min="2844" max="2844" width="13.140625" style="2" customWidth="1"/>
    <col min="2845" max="2845" width="14" style="2" customWidth="1"/>
    <col min="2846" max="2846" width="8.140625" style="2" customWidth="1"/>
    <col min="2847" max="2847" width="11.5703125" style="2" customWidth="1"/>
    <col min="2848" max="2848" width="24.7109375" style="2" customWidth="1"/>
    <col min="2849" max="2849" width="12" style="2" customWidth="1"/>
    <col min="2850" max="2851" width="0.28515625" style="2" customWidth="1"/>
    <col min="2852" max="2852" width="1.42578125" style="2" customWidth="1"/>
    <col min="2853" max="2853" width="0" style="2" hidden="1" customWidth="1"/>
    <col min="2854" max="3072" width="11.42578125" style="2"/>
    <col min="3073" max="3073" width="8" style="2" customWidth="1"/>
    <col min="3074" max="3074" width="13.42578125" style="2" customWidth="1"/>
    <col min="3075" max="3075" width="4.28515625" style="2" customWidth="1"/>
    <col min="3076" max="3076" width="4" style="2" customWidth="1"/>
    <col min="3077" max="3077" width="17" style="2" customWidth="1"/>
    <col min="3078" max="3078" width="4.140625" style="2" customWidth="1"/>
    <col min="3079" max="3079" width="11.28515625" style="2" customWidth="1"/>
    <col min="3080" max="3080" width="11" style="2" customWidth="1"/>
    <col min="3081" max="3082" width="2.140625" style="2" customWidth="1"/>
    <col min="3083" max="3083" width="3.28515625" style="2" customWidth="1"/>
    <col min="3084" max="3085" width="0" style="2" hidden="1" customWidth="1"/>
    <col min="3086" max="3086" width="2.85546875" style="2" customWidth="1"/>
    <col min="3087" max="3087" width="3.28515625" style="2" customWidth="1"/>
    <col min="3088" max="3088" width="1.5703125" style="2" customWidth="1"/>
    <col min="3089" max="3089" width="0" style="2" hidden="1" customWidth="1"/>
    <col min="3090" max="3090" width="6.85546875" style="2" customWidth="1"/>
    <col min="3091" max="3091" width="0" style="2" hidden="1" customWidth="1"/>
    <col min="3092" max="3093" width="6.28515625" style="2" customWidth="1"/>
    <col min="3094" max="3094" width="13.85546875" style="2" customWidth="1"/>
    <col min="3095" max="3095" width="10.85546875" style="2" customWidth="1"/>
    <col min="3096" max="3096" width="14.7109375" style="2" customWidth="1"/>
    <col min="3097" max="3097" width="0" style="2" hidden="1" customWidth="1"/>
    <col min="3098" max="3098" width="13" style="2" customWidth="1"/>
    <col min="3099" max="3099" width="12.7109375" style="2" customWidth="1"/>
    <col min="3100" max="3100" width="13.140625" style="2" customWidth="1"/>
    <col min="3101" max="3101" width="14" style="2" customWidth="1"/>
    <col min="3102" max="3102" width="8.140625" style="2" customWidth="1"/>
    <col min="3103" max="3103" width="11.5703125" style="2" customWidth="1"/>
    <col min="3104" max="3104" width="24.7109375" style="2" customWidth="1"/>
    <col min="3105" max="3105" width="12" style="2" customWidth="1"/>
    <col min="3106" max="3107" width="0.28515625" style="2" customWidth="1"/>
    <col min="3108" max="3108" width="1.42578125" style="2" customWidth="1"/>
    <col min="3109" max="3109" width="0" style="2" hidden="1" customWidth="1"/>
    <col min="3110" max="3328" width="11.42578125" style="2"/>
    <col min="3329" max="3329" width="8" style="2" customWidth="1"/>
    <col min="3330" max="3330" width="13.42578125" style="2" customWidth="1"/>
    <col min="3331" max="3331" width="4.28515625" style="2" customWidth="1"/>
    <col min="3332" max="3332" width="4" style="2" customWidth="1"/>
    <col min="3333" max="3333" width="17" style="2" customWidth="1"/>
    <col min="3334" max="3334" width="4.140625" style="2" customWidth="1"/>
    <col min="3335" max="3335" width="11.28515625" style="2" customWidth="1"/>
    <col min="3336" max="3336" width="11" style="2" customWidth="1"/>
    <col min="3337" max="3338" width="2.140625" style="2" customWidth="1"/>
    <col min="3339" max="3339" width="3.28515625" style="2" customWidth="1"/>
    <col min="3340" max="3341" width="0" style="2" hidden="1" customWidth="1"/>
    <col min="3342" max="3342" width="2.85546875" style="2" customWidth="1"/>
    <col min="3343" max="3343" width="3.28515625" style="2" customWidth="1"/>
    <col min="3344" max="3344" width="1.5703125" style="2" customWidth="1"/>
    <col min="3345" max="3345" width="0" style="2" hidden="1" customWidth="1"/>
    <col min="3346" max="3346" width="6.85546875" style="2" customWidth="1"/>
    <col min="3347" max="3347" width="0" style="2" hidden="1" customWidth="1"/>
    <col min="3348" max="3349" width="6.28515625" style="2" customWidth="1"/>
    <col min="3350" max="3350" width="13.85546875" style="2" customWidth="1"/>
    <col min="3351" max="3351" width="10.85546875" style="2" customWidth="1"/>
    <col min="3352" max="3352" width="14.7109375" style="2" customWidth="1"/>
    <col min="3353" max="3353" width="0" style="2" hidden="1" customWidth="1"/>
    <col min="3354" max="3354" width="13" style="2" customWidth="1"/>
    <col min="3355" max="3355" width="12.7109375" style="2" customWidth="1"/>
    <col min="3356" max="3356" width="13.140625" style="2" customWidth="1"/>
    <col min="3357" max="3357" width="14" style="2" customWidth="1"/>
    <col min="3358" max="3358" width="8.140625" style="2" customWidth="1"/>
    <col min="3359" max="3359" width="11.5703125" style="2" customWidth="1"/>
    <col min="3360" max="3360" width="24.7109375" style="2" customWidth="1"/>
    <col min="3361" max="3361" width="12" style="2" customWidth="1"/>
    <col min="3362" max="3363" width="0.28515625" style="2" customWidth="1"/>
    <col min="3364" max="3364" width="1.42578125" style="2" customWidth="1"/>
    <col min="3365" max="3365" width="0" style="2" hidden="1" customWidth="1"/>
    <col min="3366" max="3584" width="11.42578125" style="2"/>
    <col min="3585" max="3585" width="8" style="2" customWidth="1"/>
    <col min="3586" max="3586" width="13.42578125" style="2" customWidth="1"/>
    <col min="3587" max="3587" width="4.28515625" style="2" customWidth="1"/>
    <col min="3588" max="3588" width="4" style="2" customWidth="1"/>
    <col min="3589" max="3589" width="17" style="2" customWidth="1"/>
    <col min="3590" max="3590" width="4.140625" style="2" customWidth="1"/>
    <col min="3591" max="3591" width="11.28515625" style="2" customWidth="1"/>
    <col min="3592" max="3592" width="11" style="2" customWidth="1"/>
    <col min="3593" max="3594" width="2.140625" style="2" customWidth="1"/>
    <col min="3595" max="3595" width="3.28515625" style="2" customWidth="1"/>
    <col min="3596" max="3597" width="0" style="2" hidden="1" customWidth="1"/>
    <col min="3598" max="3598" width="2.85546875" style="2" customWidth="1"/>
    <col min="3599" max="3599" width="3.28515625" style="2" customWidth="1"/>
    <col min="3600" max="3600" width="1.5703125" style="2" customWidth="1"/>
    <col min="3601" max="3601" width="0" style="2" hidden="1" customWidth="1"/>
    <col min="3602" max="3602" width="6.85546875" style="2" customWidth="1"/>
    <col min="3603" max="3603" width="0" style="2" hidden="1" customWidth="1"/>
    <col min="3604" max="3605" width="6.28515625" style="2" customWidth="1"/>
    <col min="3606" max="3606" width="13.85546875" style="2" customWidth="1"/>
    <col min="3607" max="3607" width="10.85546875" style="2" customWidth="1"/>
    <col min="3608" max="3608" width="14.7109375" style="2" customWidth="1"/>
    <col min="3609" max="3609" width="0" style="2" hidden="1" customWidth="1"/>
    <col min="3610" max="3610" width="13" style="2" customWidth="1"/>
    <col min="3611" max="3611" width="12.7109375" style="2" customWidth="1"/>
    <col min="3612" max="3612" width="13.140625" style="2" customWidth="1"/>
    <col min="3613" max="3613" width="14" style="2" customWidth="1"/>
    <col min="3614" max="3614" width="8.140625" style="2" customWidth="1"/>
    <col min="3615" max="3615" width="11.5703125" style="2" customWidth="1"/>
    <col min="3616" max="3616" width="24.7109375" style="2" customWidth="1"/>
    <col min="3617" max="3617" width="12" style="2" customWidth="1"/>
    <col min="3618" max="3619" width="0.28515625" style="2" customWidth="1"/>
    <col min="3620" max="3620" width="1.42578125" style="2" customWidth="1"/>
    <col min="3621" max="3621" width="0" style="2" hidden="1" customWidth="1"/>
    <col min="3622" max="3840" width="11.42578125" style="2"/>
    <col min="3841" max="3841" width="8" style="2" customWidth="1"/>
    <col min="3842" max="3842" width="13.42578125" style="2" customWidth="1"/>
    <col min="3843" max="3843" width="4.28515625" style="2" customWidth="1"/>
    <col min="3844" max="3844" width="4" style="2" customWidth="1"/>
    <col min="3845" max="3845" width="17" style="2" customWidth="1"/>
    <col min="3846" max="3846" width="4.140625" style="2" customWidth="1"/>
    <col min="3847" max="3847" width="11.28515625" style="2" customWidth="1"/>
    <col min="3848" max="3848" width="11" style="2" customWidth="1"/>
    <col min="3849" max="3850" width="2.140625" style="2" customWidth="1"/>
    <col min="3851" max="3851" width="3.28515625" style="2" customWidth="1"/>
    <col min="3852" max="3853" width="0" style="2" hidden="1" customWidth="1"/>
    <col min="3854" max="3854" width="2.85546875" style="2" customWidth="1"/>
    <col min="3855" max="3855" width="3.28515625" style="2" customWidth="1"/>
    <col min="3856" max="3856" width="1.5703125" style="2" customWidth="1"/>
    <col min="3857" max="3857" width="0" style="2" hidden="1" customWidth="1"/>
    <col min="3858" max="3858" width="6.85546875" style="2" customWidth="1"/>
    <col min="3859" max="3859" width="0" style="2" hidden="1" customWidth="1"/>
    <col min="3860" max="3861" width="6.28515625" style="2" customWidth="1"/>
    <col min="3862" max="3862" width="13.85546875" style="2" customWidth="1"/>
    <col min="3863" max="3863" width="10.85546875" style="2" customWidth="1"/>
    <col min="3864" max="3864" width="14.7109375" style="2" customWidth="1"/>
    <col min="3865" max="3865" width="0" style="2" hidden="1" customWidth="1"/>
    <col min="3866" max="3866" width="13" style="2" customWidth="1"/>
    <col min="3867" max="3867" width="12.7109375" style="2" customWidth="1"/>
    <col min="3868" max="3868" width="13.140625" style="2" customWidth="1"/>
    <col min="3869" max="3869" width="14" style="2" customWidth="1"/>
    <col min="3870" max="3870" width="8.140625" style="2" customWidth="1"/>
    <col min="3871" max="3871" width="11.5703125" style="2" customWidth="1"/>
    <col min="3872" max="3872" width="24.7109375" style="2" customWidth="1"/>
    <col min="3873" max="3873" width="12" style="2" customWidth="1"/>
    <col min="3874" max="3875" width="0.28515625" style="2" customWidth="1"/>
    <col min="3876" max="3876" width="1.42578125" style="2" customWidth="1"/>
    <col min="3877" max="3877" width="0" style="2" hidden="1" customWidth="1"/>
    <col min="3878" max="4096" width="11.42578125" style="2"/>
    <col min="4097" max="4097" width="8" style="2" customWidth="1"/>
    <col min="4098" max="4098" width="13.42578125" style="2" customWidth="1"/>
    <col min="4099" max="4099" width="4.28515625" style="2" customWidth="1"/>
    <col min="4100" max="4100" width="4" style="2" customWidth="1"/>
    <col min="4101" max="4101" width="17" style="2" customWidth="1"/>
    <col min="4102" max="4102" width="4.140625" style="2" customWidth="1"/>
    <col min="4103" max="4103" width="11.28515625" style="2" customWidth="1"/>
    <col min="4104" max="4104" width="11" style="2" customWidth="1"/>
    <col min="4105" max="4106" width="2.140625" style="2" customWidth="1"/>
    <col min="4107" max="4107" width="3.28515625" style="2" customWidth="1"/>
    <col min="4108" max="4109" width="0" style="2" hidden="1" customWidth="1"/>
    <col min="4110" max="4110" width="2.85546875" style="2" customWidth="1"/>
    <col min="4111" max="4111" width="3.28515625" style="2" customWidth="1"/>
    <col min="4112" max="4112" width="1.5703125" style="2" customWidth="1"/>
    <col min="4113" max="4113" width="0" style="2" hidden="1" customWidth="1"/>
    <col min="4114" max="4114" width="6.85546875" style="2" customWidth="1"/>
    <col min="4115" max="4115" width="0" style="2" hidden="1" customWidth="1"/>
    <col min="4116" max="4117" width="6.28515625" style="2" customWidth="1"/>
    <col min="4118" max="4118" width="13.85546875" style="2" customWidth="1"/>
    <col min="4119" max="4119" width="10.85546875" style="2" customWidth="1"/>
    <col min="4120" max="4120" width="14.7109375" style="2" customWidth="1"/>
    <col min="4121" max="4121" width="0" style="2" hidden="1" customWidth="1"/>
    <col min="4122" max="4122" width="13" style="2" customWidth="1"/>
    <col min="4123" max="4123" width="12.7109375" style="2" customWidth="1"/>
    <col min="4124" max="4124" width="13.140625" style="2" customWidth="1"/>
    <col min="4125" max="4125" width="14" style="2" customWidth="1"/>
    <col min="4126" max="4126" width="8.140625" style="2" customWidth="1"/>
    <col min="4127" max="4127" width="11.5703125" style="2" customWidth="1"/>
    <col min="4128" max="4128" width="24.7109375" style="2" customWidth="1"/>
    <col min="4129" max="4129" width="12" style="2" customWidth="1"/>
    <col min="4130" max="4131" width="0.28515625" style="2" customWidth="1"/>
    <col min="4132" max="4132" width="1.42578125" style="2" customWidth="1"/>
    <col min="4133" max="4133" width="0" style="2" hidden="1" customWidth="1"/>
    <col min="4134" max="4352" width="11.42578125" style="2"/>
    <col min="4353" max="4353" width="8" style="2" customWidth="1"/>
    <col min="4354" max="4354" width="13.42578125" style="2" customWidth="1"/>
    <col min="4355" max="4355" width="4.28515625" style="2" customWidth="1"/>
    <col min="4356" max="4356" width="4" style="2" customWidth="1"/>
    <col min="4357" max="4357" width="17" style="2" customWidth="1"/>
    <col min="4358" max="4358" width="4.140625" style="2" customWidth="1"/>
    <col min="4359" max="4359" width="11.28515625" style="2" customWidth="1"/>
    <col min="4360" max="4360" width="11" style="2" customWidth="1"/>
    <col min="4361" max="4362" width="2.140625" style="2" customWidth="1"/>
    <col min="4363" max="4363" width="3.28515625" style="2" customWidth="1"/>
    <col min="4364" max="4365" width="0" style="2" hidden="1" customWidth="1"/>
    <col min="4366" max="4366" width="2.85546875" style="2" customWidth="1"/>
    <col min="4367" max="4367" width="3.28515625" style="2" customWidth="1"/>
    <col min="4368" max="4368" width="1.5703125" style="2" customWidth="1"/>
    <col min="4369" max="4369" width="0" style="2" hidden="1" customWidth="1"/>
    <col min="4370" max="4370" width="6.85546875" style="2" customWidth="1"/>
    <col min="4371" max="4371" width="0" style="2" hidden="1" customWidth="1"/>
    <col min="4372" max="4373" width="6.28515625" style="2" customWidth="1"/>
    <col min="4374" max="4374" width="13.85546875" style="2" customWidth="1"/>
    <col min="4375" max="4375" width="10.85546875" style="2" customWidth="1"/>
    <col min="4376" max="4376" width="14.7109375" style="2" customWidth="1"/>
    <col min="4377" max="4377" width="0" style="2" hidden="1" customWidth="1"/>
    <col min="4378" max="4378" width="13" style="2" customWidth="1"/>
    <col min="4379" max="4379" width="12.7109375" style="2" customWidth="1"/>
    <col min="4380" max="4380" width="13.140625" style="2" customWidth="1"/>
    <col min="4381" max="4381" width="14" style="2" customWidth="1"/>
    <col min="4382" max="4382" width="8.140625" style="2" customWidth="1"/>
    <col min="4383" max="4383" width="11.5703125" style="2" customWidth="1"/>
    <col min="4384" max="4384" width="24.7109375" style="2" customWidth="1"/>
    <col min="4385" max="4385" width="12" style="2" customWidth="1"/>
    <col min="4386" max="4387" width="0.28515625" style="2" customWidth="1"/>
    <col min="4388" max="4388" width="1.42578125" style="2" customWidth="1"/>
    <col min="4389" max="4389" width="0" style="2" hidden="1" customWidth="1"/>
    <col min="4390" max="4608" width="11.42578125" style="2"/>
    <col min="4609" max="4609" width="8" style="2" customWidth="1"/>
    <col min="4610" max="4610" width="13.42578125" style="2" customWidth="1"/>
    <col min="4611" max="4611" width="4.28515625" style="2" customWidth="1"/>
    <col min="4612" max="4612" width="4" style="2" customWidth="1"/>
    <col min="4613" max="4613" width="17" style="2" customWidth="1"/>
    <col min="4614" max="4614" width="4.140625" style="2" customWidth="1"/>
    <col min="4615" max="4615" width="11.28515625" style="2" customWidth="1"/>
    <col min="4616" max="4616" width="11" style="2" customWidth="1"/>
    <col min="4617" max="4618" width="2.140625" style="2" customWidth="1"/>
    <col min="4619" max="4619" width="3.28515625" style="2" customWidth="1"/>
    <col min="4620" max="4621" width="0" style="2" hidden="1" customWidth="1"/>
    <col min="4622" max="4622" width="2.85546875" style="2" customWidth="1"/>
    <col min="4623" max="4623" width="3.28515625" style="2" customWidth="1"/>
    <col min="4624" max="4624" width="1.5703125" style="2" customWidth="1"/>
    <col min="4625" max="4625" width="0" style="2" hidden="1" customWidth="1"/>
    <col min="4626" max="4626" width="6.85546875" style="2" customWidth="1"/>
    <col min="4627" max="4627" width="0" style="2" hidden="1" customWidth="1"/>
    <col min="4628" max="4629" width="6.28515625" style="2" customWidth="1"/>
    <col min="4630" max="4630" width="13.85546875" style="2" customWidth="1"/>
    <col min="4631" max="4631" width="10.85546875" style="2" customWidth="1"/>
    <col min="4632" max="4632" width="14.7109375" style="2" customWidth="1"/>
    <col min="4633" max="4633" width="0" style="2" hidden="1" customWidth="1"/>
    <col min="4634" max="4634" width="13" style="2" customWidth="1"/>
    <col min="4635" max="4635" width="12.7109375" style="2" customWidth="1"/>
    <col min="4636" max="4636" width="13.140625" style="2" customWidth="1"/>
    <col min="4637" max="4637" width="14" style="2" customWidth="1"/>
    <col min="4638" max="4638" width="8.140625" style="2" customWidth="1"/>
    <col min="4639" max="4639" width="11.5703125" style="2" customWidth="1"/>
    <col min="4640" max="4640" width="24.7109375" style="2" customWidth="1"/>
    <col min="4641" max="4641" width="12" style="2" customWidth="1"/>
    <col min="4642" max="4643" width="0.28515625" style="2" customWidth="1"/>
    <col min="4644" max="4644" width="1.42578125" style="2" customWidth="1"/>
    <col min="4645" max="4645" width="0" style="2" hidden="1" customWidth="1"/>
    <col min="4646" max="4864" width="11.42578125" style="2"/>
    <col min="4865" max="4865" width="8" style="2" customWidth="1"/>
    <col min="4866" max="4866" width="13.42578125" style="2" customWidth="1"/>
    <col min="4867" max="4867" width="4.28515625" style="2" customWidth="1"/>
    <col min="4868" max="4868" width="4" style="2" customWidth="1"/>
    <col min="4869" max="4869" width="17" style="2" customWidth="1"/>
    <col min="4870" max="4870" width="4.140625" style="2" customWidth="1"/>
    <col min="4871" max="4871" width="11.28515625" style="2" customWidth="1"/>
    <col min="4872" max="4872" width="11" style="2" customWidth="1"/>
    <col min="4873" max="4874" width="2.140625" style="2" customWidth="1"/>
    <col min="4875" max="4875" width="3.28515625" style="2" customWidth="1"/>
    <col min="4876" max="4877" width="0" style="2" hidden="1" customWidth="1"/>
    <col min="4878" max="4878" width="2.85546875" style="2" customWidth="1"/>
    <col min="4879" max="4879" width="3.28515625" style="2" customWidth="1"/>
    <col min="4880" max="4880" width="1.5703125" style="2" customWidth="1"/>
    <col min="4881" max="4881" width="0" style="2" hidden="1" customWidth="1"/>
    <col min="4882" max="4882" width="6.85546875" style="2" customWidth="1"/>
    <col min="4883" max="4883" width="0" style="2" hidden="1" customWidth="1"/>
    <col min="4884" max="4885" width="6.28515625" style="2" customWidth="1"/>
    <col min="4886" max="4886" width="13.85546875" style="2" customWidth="1"/>
    <col min="4887" max="4887" width="10.85546875" style="2" customWidth="1"/>
    <col min="4888" max="4888" width="14.7109375" style="2" customWidth="1"/>
    <col min="4889" max="4889" width="0" style="2" hidden="1" customWidth="1"/>
    <col min="4890" max="4890" width="13" style="2" customWidth="1"/>
    <col min="4891" max="4891" width="12.7109375" style="2" customWidth="1"/>
    <col min="4892" max="4892" width="13.140625" style="2" customWidth="1"/>
    <col min="4893" max="4893" width="14" style="2" customWidth="1"/>
    <col min="4894" max="4894" width="8.140625" style="2" customWidth="1"/>
    <col min="4895" max="4895" width="11.5703125" style="2" customWidth="1"/>
    <col min="4896" max="4896" width="24.7109375" style="2" customWidth="1"/>
    <col min="4897" max="4897" width="12" style="2" customWidth="1"/>
    <col min="4898" max="4899" width="0.28515625" style="2" customWidth="1"/>
    <col min="4900" max="4900" width="1.42578125" style="2" customWidth="1"/>
    <col min="4901" max="4901" width="0" style="2" hidden="1" customWidth="1"/>
    <col min="4902" max="5120" width="11.42578125" style="2"/>
    <col min="5121" max="5121" width="8" style="2" customWidth="1"/>
    <col min="5122" max="5122" width="13.42578125" style="2" customWidth="1"/>
    <col min="5123" max="5123" width="4.28515625" style="2" customWidth="1"/>
    <col min="5124" max="5124" width="4" style="2" customWidth="1"/>
    <col min="5125" max="5125" width="17" style="2" customWidth="1"/>
    <col min="5126" max="5126" width="4.140625" style="2" customWidth="1"/>
    <col min="5127" max="5127" width="11.28515625" style="2" customWidth="1"/>
    <col min="5128" max="5128" width="11" style="2" customWidth="1"/>
    <col min="5129" max="5130" width="2.140625" style="2" customWidth="1"/>
    <col min="5131" max="5131" width="3.28515625" style="2" customWidth="1"/>
    <col min="5132" max="5133" width="0" style="2" hidden="1" customWidth="1"/>
    <col min="5134" max="5134" width="2.85546875" style="2" customWidth="1"/>
    <col min="5135" max="5135" width="3.28515625" style="2" customWidth="1"/>
    <col min="5136" max="5136" width="1.5703125" style="2" customWidth="1"/>
    <col min="5137" max="5137" width="0" style="2" hidden="1" customWidth="1"/>
    <col min="5138" max="5138" width="6.85546875" style="2" customWidth="1"/>
    <col min="5139" max="5139" width="0" style="2" hidden="1" customWidth="1"/>
    <col min="5140" max="5141" width="6.28515625" style="2" customWidth="1"/>
    <col min="5142" max="5142" width="13.85546875" style="2" customWidth="1"/>
    <col min="5143" max="5143" width="10.85546875" style="2" customWidth="1"/>
    <col min="5144" max="5144" width="14.7109375" style="2" customWidth="1"/>
    <col min="5145" max="5145" width="0" style="2" hidden="1" customWidth="1"/>
    <col min="5146" max="5146" width="13" style="2" customWidth="1"/>
    <col min="5147" max="5147" width="12.7109375" style="2" customWidth="1"/>
    <col min="5148" max="5148" width="13.140625" style="2" customWidth="1"/>
    <col min="5149" max="5149" width="14" style="2" customWidth="1"/>
    <col min="5150" max="5150" width="8.140625" style="2" customWidth="1"/>
    <col min="5151" max="5151" width="11.5703125" style="2" customWidth="1"/>
    <col min="5152" max="5152" width="24.7109375" style="2" customWidth="1"/>
    <col min="5153" max="5153" width="12" style="2" customWidth="1"/>
    <col min="5154" max="5155" width="0.28515625" style="2" customWidth="1"/>
    <col min="5156" max="5156" width="1.42578125" style="2" customWidth="1"/>
    <col min="5157" max="5157" width="0" style="2" hidden="1" customWidth="1"/>
    <col min="5158" max="5376" width="11.42578125" style="2"/>
    <col min="5377" max="5377" width="8" style="2" customWidth="1"/>
    <col min="5378" max="5378" width="13.42578125" style="2" customWidth="1"/>
    <col min="5379" max="5379" width="4.28515625" style="2" customWidth="1"/>
    <col min="5380" max="5380" width="4" style="2" customWidth="1"/>
    <col min="5381" max="5381" width="17" style="2" customWidth="1"/>
    <col min="5382" max="5382" width="4.140625" style="2" customWidth="1"/>
    <col min="5383" max="5383" width="11.28515625" style="2" customWidth="1"/>
    <col min="5384" max="5384" width="11" style="2" customWidth="1"/>
    <col min="5385" max="5386" width="2.140625" style="2" customWidth="1"/>
    <col min="5387" max="5387" width="3.28515625" style="2" customWidth="1"/>
    <col min="5388" max="5389" width="0" style="2" hidden="1" customWidth="1"/>
    <col min="5390" max="5390" width="2.85546875" style="2" customWidth="1"/>
    <col min="5391" max="5391" width="3.28515625" style="2" customWidth="1"/>
    <col min="5392" max="5392" width="1.5703125" style="2" customWidth="1"/>
    <col min="5393" max="5393" width="0" style="2" hidden="1" customWidth="1"/>
    <col min="5394" max="5394" width="6.85546875" style="2" customWidth="1"/>
    <col min="5395" max="5395" width="0" style="2" hidden="1" customWidth="1"/>
    <col min="5396" max="5397" width="6.28515625" style="2" customWidth="1"/>
    <col min="5398" max="5398" width="13.85546875" style="2" customWidth="1"/>
    <col min="5399" max="5399" width="10.85546875" style="2" customWidth="1"/>
    <col min="5400" max="5400" width="14.7109375" style="2" customWidth="1"/>
    <col min="5401" max="5401" width="0" style="2" hidden="1" customWidth="1"/>
    <col min="5402" max="5402" width="13" style="2" customWidth="1"/>
    <col min="5403" max="5403" width="12.7109375" style="2" customWidth="1"/>
    <col min="5404" max="5404" width="13.140625" style="2" customWidth="1"/>
    <col min="5405" max="5405" width="14" style="2" customWidth="1"/>
    <col min="5406" max="5406" width="8.140625" style="2" customWidth="1"/>
    <col min="5407" max="5407" width="11.5703125" style="2" customWidth="1"/>
    <col min="5408" max="5408" width="24.7109375" style="2" customWidth="1"/>
    <col min="5409" max="5409" width="12" style="2" customWidth="1"/>
    <col min="5410" max="5411" width="0.28515625" style="2" customWidth="1"/>
    <col min="5412" max="5412" width="1.42578125" style="2" customWidth="1"/>
    <col min="5413" max="5413" width="0" style="2" hidden="1" customWidth="1"/>
    <col min="5414" max="5632" width="11.42578125" style="2"/>
    <col min="5633" max="5633" width="8" style="2" customWidth="1"/>
    <col min="5634" max="5634" width="13.42578125" style="2" customWidth="1"/>
    <col min="5635" max="5635" width="4.28515625" style="2" customWidth="1"/>
    <col min="5636" max="5636" width="4" style="2" customWidth="1"/>
    <col min="5637" max="5637" width="17" style="2" customWidth="1"/>
    <col min="5638" max="5638" width="4.140625" style="2" customWidth="1"/>
    <col min="5639" max="5639" width="11.28515625" style="2" customWidth="1"/>
    <col min="5640" max="5640" width="11" style="2" customWidth="1"/>
    <col min="5641" max="5642" width="2.140625" style="2" customWidth="1"/>
    <col min="5643" max="5643" width="3.28515625" style="2" customWidth="1"/>
    <col min="5644" max="5645" width="0" style="2" hidden="1" customWidth="1"/>
    <col min="5646" max="5646" width="2.85546875" style="2" customWidth="1"/>
    <col min="5647" max="5647" width="3.28515625" style="2" customWidth="1"/>
    <col min="5648" max="5648" width="1.5703125" style="2" customWidth="1"/>
    <col min="5649" max="5649" width="0" style="2" hidden="1" customWidth="1"/>
    <col min="5650" max="5650" width="6.85546875" style="2" customWidth="1"/>
    <col min="5651" max="5651" width="0" style="2" hidden="1" customWidth="1"/>
    <col min="5652" max="5653" width="6.28515625" style="2" customWidth="1"/>
    <col min="5654" max="5654" width="13.85546875" style="2" customWidth="1"/>
    <col min="5655" max="5655" width="10.85546875" style="2" customWidth="1"/>
    <col min="5656" max="5656" width="14.7109375" style="2" customWidth="1"/>
    <col min="5657" max="5657" width="0" style="2" hidden="1" customWidth="1"/>
    <col min="5658" max="5658" width="13" style="2" customWidth="1"/>
    <col min="5659" max="5659" width="12.7109375" style="2" customWidth="1"/>
    <col min="5660" max="5660" width="13.140625" style="2" customWidth="1"/>
    <col min="5661" max="5661" width="14" style="2" customWidth="1"/>
    <col min="5662" max="5662" width="8.140625" style="2" customWidth="1"/>
    <col min="5663" max="5663" width="11.5703125" style="2" customWidth="1"/>
    <col min="5664" max="5664" width="24.7109375" style="2" customWidth="1"/>
    <col min="5665" max="5665" width="12" style="2" customWidth="1"/>
    <col min="5666" max="5667" width="0.28515625" style="2" customWidth="1"/>
    <col min="5668" max="5668" width="1.42578125" style="2" customWidth="1"/>
    <col min="5669" max="5669" width="0" style="2" hidden="1" customWidth="1"/>
    <col min="5670" max="5888" width="11.42578125" style="2"/>
    <col min="5889" max="5889" width="8" style="2" customWidth="1"/>
    <col min="5890" max="5890" width="13.42578125" style="2" customWidth="1"/>
    <col min="5891" max="5891" width="4.28515625" style="2" customWidth="1"/>
    <col min="5892" max="5892" width="4" style="2" customWidth="1"/>
    <col min="5893" max="5893" width="17" style="2" customWidth="1"/>
    <col min="5894" max="5894" width="4.140625" style="2" customWidth="1"/>
    <col min="5895" max="5895" width="11.28515625" style="2" customWidth="1"/>
    <col min="5896" max="5896" width="11" style="2" customWidth="1"/>
    <col min="5897" max="5898" width="2.140625" style="2" customWidth="1"/>
    <col min="5899" max="5899" width="3.28515625" style="2" customWidth="1"/>
    <col min="5900" max="5901" width="0" style="2" hidden="1" customWidth="1"/>
    <col min="5902" max="5902" width="2.85546875" style="2" customWidth="1"/>
    <col min="5903" max="5903" width="3.28515625" style="2" customWidth="1"/>
    <col min="5904" max="5904" width="1.5703125" style="2" customWidth="1"/>
    <col min="5905" max="5905" width="0" style="2" hidden="1" customWidth="1"/>
    <col min="5906" max="5906" width="6.85546875" style="2" customWidth="1"/>
    <col min="5907" max="5907" width="0" style="2" hidden="1" customWidth="1"/>
    <col min="5908" max="5909" width="6.28515625" style="2" customWidth="1"/>
    <col min="5910" max="5910" width="13.85546875" style="2" customWidth="1"/>
    <col min="5911" max="5911" width="10.85546875" style="2" customWidth="1"/>
    <col min="5912" max="5912" width="14.7109375" style="2" customWidth="1"/>
    <col min="5913" max="5913" width="0" style="2" hidden="1" customWidth="1"/>
    <col min="5914" max="5914" width="13" style="2" customWidth="1"/>
    <col min="5915" max="5915" width="12.7109375" style="2" customWidth="1"/>
    <col min="5916" max="5916" width="13.140625" style="2" customWidth="1"/>
    <col min="5917" max="5917" width="14" style="2" customWidth="1"/>
    <col min="5918" max="5918" width="8.140625" style="2" customWidth="1"/>
    <col min="5919" max="5919" width="11.5703125" style="2" customWidth="1"/>
    <col min="5920" max="5920" width="24.7109375" style="2" customWidth="1"/>
    <col min="5921" max="5921" width="12" style="2" customWidth="1"/>
    <col min="5922" max="5923" width="0.28515625" style="2" customWidth="1"/>
    <col min="5924" max="5924" width="1.42578125" style="2" customWidth="1"/>
    <col min="5925" max="5925" width="0" style="2" hidden="1" customWidth="1"/>
    <col min="5926" max="6144" width="11.42578125" style="2"/>
    <col min="6145" max="6145" width="8" style="2" customWidth="1"/>
    <col min="6146" max="6146" width="13.42578125" style="2" customWidth="1"/>
    <col min="6147" max="6147" width="4.28515625" style="2" customWidth="1"/>
    <col min="6148" max="6148" width="4" style="2" customWidth="1"/>
    <col min="6149" max="6149" width="17" style="2" customWidth="1"/>
    <col min="6150" max="6150" width="4.140625" style="2" customWidth="1"/>
    <col min="6151" max="6151" width="11.28515625" style="2" customWidth="1"/>
    <col min="6152" max="6152" width="11" style="2" customWidth="1"/>
    <col min="6153" max="6154" width="2.140625" style="2" customWidth="1"/>
    <col min="6155" max="6155" width="3.28515625" style="2" customWidth="1"/>
    <col min="6156" max="6157" width="0" style="2" hidden="1" customWidth="1"/>
    <col min="6158" max="6158" width="2.85546875" style="2" customWidth="1"/>
    <col min="6159" max="6159" width="3.28515625" style="2" customWidth="1"/>
    <col min="6160" max="6160" width="1.5703125" style="2" customWidth="1"/>
    <col min="6161" max="6161" width="0" style="2" hidden="1" customWidth="1"/>
    <col min="6162" max="6162" width="6.85546875" style="2" customWidth="1"/>
    <col min="6163" max="6163" width="0" style="2" hidden="1" customWidth="1"/>
    <col min="6164" max="6165" width="6.28515625" style="2" customWidth="1"/>
    <col min="6166" max="6166" width="13.85546875" style="2" customWidth="1"/>
    <col min="6167" max="6167" width="10.85546875" style="2" customWidth="1"/>
    <col min="6168" max="6168" width="14.7109375" style="2" customWidth="1"/>
    <col min="6169" max="6169" width="0" style="2" hidden="1" customWidth="1"/>
    <col min="6170" max="6170" width="13" style="2" customWidth="1"/>
    <col min="6171" max="6171" width="12.7109375" style="2" customWidth="1"/>
    <col min="6172" max="6172" width="13.140625" style="2" customWidth="1"/>
    <col min="6173" max="6173" width="14" style="2" customWidth="1"/>
    <col min="6174" max="6174" width="8.140625" style="2" customWidth="1"/>
    <col min="6175" max="6175" width="11.5703125" style="2" customWidth="1"/>
    <col min="6176" max="6176" width="24.7109375" style="2" customWidth="1"/>
    <col min="6177" max="6177" width="12" style="2" customWidth="1"/>
    <col min="6178" max="6179" width="0.28515625" style="2" customWidth="1"/>
    <col min="6180" max="6180" width="1.42578125" style="2" customWidth="1"/>
    <col min="6181" max="6181" width="0" style="2" hidden="1" customWidth="1"/>
    <col min="6182" max="6400" width="11.42578125" style="2"/>
    <col min="6401" max="6401" width="8" style="2" customWidth="1"/>
    <col min="6402" max="6402" width="13.42578125" style="2" customWidth="1"/>
    <col min="6403" max="6403" width="4.28515625" style="2" customWidth="1"/>
    <col min="6404" max="6404" width="4" style="2" customWidth="1"/>
    <col min="6405" max="6405" width="17" style="2" customWidth="1"/>
    <col min="6406" max="6406" width="4.140625" style="2" customWidth="1"/>
    <col min="6407" max="6407" width="11.28515625" style="2" customWidth="1"/>
    <col min="6408" max="6408" width="11" style="2" customWidth="1"/>
    <col min="6409" max="6410" width="2.140625" style="2" customWidth="1"/>
    <col min="6411" max="6411" width="3.28515625" style="2" customWidth="1"/>
    <col min="6412" max="6413" width="0" style="2" hidden="1" customWidth="1"/>
    <col min="6414" max="6414" width="2.85546875" style="2" customWidth="1"/>
    <col min="6415" max="6415" width="3.28515625" style="2" customWidth="1"/>
    <col min="6416" max="6416" width="1.5703125" style="2" customWidth="1"/>
    <col min="6417" max="6417" width="0" style="2" hidden="1" customWidth="1"/>
    <col min="6418" max="6418" width="6.85546875" style="2" customWidth="1"/>
    <col min="6419" max="6419" width="0" style="2" hidden="1" customWidth="1"/>
    <col min="6420" max="6421" width="6.28515625" style="2" customWidth="1"/>
    <col min="6422" max="6422" width="13.85546875" style="2" customWidth="1"/>
    <col min="6423" max="6423" width="10.85546875" style="2" customWidth="1"/>
    <col min="6424" max="6424" width="14.7109375" style="2" customWidth="1"/>
    <col min="6425" max="6425" width="0" style="2" hidden="1" customWidth="1"/>
    <col min="6426" max="6426" width="13" style="2" customWidth="1"/>
    <col min="6427" max="6427" width="12.7109375" style="2" customWidth="1"/>
    <col min="6428" max="6428" width="13.140625" style="2" customWidth="1"/>
    <col min="6429" max="6429" width="14" style="2" customWidth="1"/>
    <col min="6430" max="6430" width="8.140625" style="2" customWidth="1"/>
    <col min="6431" max="6431" width="11.5703125" style="2" customWidth="1"/>
    <col min="6432" max="6432" width="24.7109375" style="2" customWidth="1"/>
    <col min="6433" max="6433" width="12" style="2" customWidth="1"/>
    <col min="6434" max="6435" width="0.28515625" style="2" customWidth="1"/>
    <col min="6436" max="6436" width="1.42578125" style="2" customWidth="1"/>
    <col min="6437" max="6437" width="0" style="2" hidden="1" customWidth="1"/>
    <col min="6438" max="6656" width="11.42578125" style="2"/>
    <col min="6657" max="6657" width="8" style="2" customWidth="1"/>
    <col min="6658" max="6658" width="13.42578125" style="2" customWidth="1"/>
    <col min="6659" max="6659" width="4.28515625" style="2" customWidth="1"/>
    <col min="6660" max="6660" width="4" style="2" customWidth="1"/>
    <col min="6661" max="6661" width="17" style="2" customWidth="1"/>
    <col min="6662" max="6662" width="4.140625" style="2" customWidth="1"/>
    <col min="6663" max="6663" width="11.28515625" style="2" customWidth="1"/>
    <col min="6664" max="6664" width="11" style="2" customWidth="1"/>
    <col min="6665" max="6666" width="2.140625" style="2" customWidth="1"/>
    <col min="6667" max="6667" width="3.28515625" style="2" customWidth="1"/>
    <col min="6668" max="6669" width="0" style="2" hidden="1" customWidth="1"/>
    <col min="6670" max="6670" width="2.85546875" style="2" customWidth="1"/>
    <col min="6671" max="6671" width="3.28515625" style="2" customWidth="1"/>
    <col min="6672" max="6672" width="1.5703125" style="2" customWidth="1"/>
    <col min="6673" max="6673" width="0" style="2" hidden="1" customWidth="1"/>
    <col min="6674" max="6674" width="6.85546875" style="2" customWidth="1"/>
    <col min="6675" max="6675" width="0" style="2" hidden="1" customWidth="1"/>
    <col min="6676" max="6677" width="6.28515625" style="2" customWidth="1"/>
    <col min="6678" max="6678" width="13.85546875" style="2" customWidth="1"/>
    <col min="6679" max="6679" width="10.85546875" style="2" customWidth="1"/>
    <col min="6680" max="6680" width="14.7109375" style="2" customWidth="1"/>
    <col min="6681" max="6681" width="0" style="2" hidden="1" customWidth="1"/>
    <col min="6682" max="6682" width="13" style="2" customWidth="1"/>
    <col min="6683" max="6683" width="12.7109375" style="2" customWidth="1"/>
    <col min="6684" max="6684" width="13.140625" style="2" customWidth="1"/>
    <col min="6685" max="6685" width="14" style="2" customWidth="1"/>
    <col min="6686" max="6686" width="8.140625" style="2" customWidth="1"/>
    <col min="6687" max="6687" width="11.5703125" style="2" customWidth="1"/>
    <col min="6688" max="6688" width="24.7109375" style="2" customWidth="1"/>
    <col min="6689" max="6689" width="12" style="2" customWidth="1"/>
    <col min="6690" max="6691" width="0.28515625" style="2" customWidth="1"/>
    <col min="6692" max="6692" width="1.42578125" style="2" customWidth="1"/>
    <col min="6693" max="6693" width="0" style="2" hidden="1" customWidth="1"/>
    <col min="6694" max="6912" width="11.42578125" style="2"/>
    <col min="6913" max="6913" width="8" style="2" customWidth="1"/>
    <col min="6914" max="6914" width="13.42578125" style="2" customWidth="1"/>
    <col min="6915" max="6915" width="4.28515625" style="2" customWidth="1"/>
    <col min="6916" max="6916" width="4" style="2" customWidth="1"/>
    <col min="6917" max="6917" width="17" style="2" customWidth="1"/>
    <col min="6918" max="6918" width="4.140625" style="2" customWidth="1"/>
    <col min="6919" max="6919" width="11.28515625" style="2" customWidth="1"/>
    <col min="6920" max="6920" width="11" style="2" customWidth="1"/>
    <col min="6921" max="6922" width="2.140625" style="2" customWidth="1"/>
    <col min="6923" max="6923" width="3.28515625" style="2" customWidth="1"/>
    <col min="6924" max="6925" width="0" style="2" hidden="1" customWidth="1"/>
    <col min="6926" max="6926" width="2.85546875" style="2" customWidth="1"/>
    <col min="6927" max="6927" width="3.28515625" style="2" customWidth="1"/>
    <col min="6928" max="6928" width="1.5703125" style="2" customWidth="1"/>
    <col min="6929" max="6929" width="0" style="2" hidden="1" customWidth="1"/>
    <col min="6930" max="6930" width="6.85546875" style="2" customWidth="1"/>
    <col min="6931" max="6931" width="0" style="2" hidden="1" customWidth="1"/>
    <col min="6932" max="6933" width="6.28515625" style="2" customWidth="1"/>
    <col min="6934" max="6934" width="13.85546875" style="2" customWidth="1"/>
    <col min="6935" max="6935" width="10.85546875" style="2" customWidth="1"/>
    <col min="6936" max="6936" width="14.7109375" style="2" customWidth="1"/>
    <col min="6937" max="6937" width="0" style="2" hidden="1" customWidth="1"/>
    <col min="6938" max="6938" width="13" style="2" customWidth="1"/>
    <col min="6939" max="6939" width="12.7109375" style="2" customWidth="1"/>
    <col min="6940" max="6940" width="13.140625" style="2" customWidth="1"/>
    <col min="6941" max="6941" width="14" style="2" customWidth="1"/>
    <col min="6942" max="6942" width="8.140625" style="2" customWidth="1"/>
    <col min="6943" max="6943" width="11.5703125" style="2" customWidth="1"/>
    <col min="6944" max="6944" width="24.7109375" style="2" customWidth="1"/>
    <col min="6945" max="6945" width="12" style="2" customWidth="1"/>
    <col min="6946" max="6947" width="0.28515625" style="2" customWidth="1"/>
    <col min="6948" max="6948" width="1.42578125" style="2" customWidth="1"/>
    <col min="6949" max="6949" width="0" style="2" hidden="1" customWidth="1"/>
    <col min="6950" max="7168" width="11.42578125" style="2"/>
    <col min="7169" max="7169" width="8" style="2" customWidth="1"/>
    <col min="7170" max="7170" width="13.42578125" style="2" customWidth="1"/>
    <col min="7171" max="7171" width="4.28515625" style="2" customWidth="1"/>
    <col min="7172" max="7172" width="4" style="2" customWidth="1"/>
    <col min="7173" max="7173" width="17" style="2" customWidth="1"/>
    <col min="7174" max="7174" width="4.140625" style="2" customWidth="1"/>
    <col min="7175" max="7175" width="11.28515625" style="2" customWidth="1"/>
    <col min="7176" max="7176" width="11" style="2" customWidth="1"/>
    <col min="7177" max="7178" width="2.140625" style="2" customWidth="1"/>
    <col min="7179" max="7179" width="3.28515625" style="2" customWidth="1"/>
    <col min="7180" max="7181" width="0" style="2" hidden="1" customWidth="1"/>
    <col min="7182" max="7182" width="2.85546875" style="2" customWidth="1"/>
    <col min="7183" max="7183" width="3.28515625" style="2" customWidth="1"/>
    <col min="7184" max="7184" width="1.5703125" style="2" customWidth="1"/>
    <col min="7185" max="7185" width="0" style="2" hidden="1" customWidth="1"/>
    <col min="7186" max="7186" width="6.85546875" style="2" customWidth="1"/>
    <col min="7187" max="7187" width="0" style="2" hidden="1" customWidth="1"/>
    <col min="7188" max="7189" width="6.28515625" style="2" customWidth="1"/>
    <col min="7190" max="7190" width="13.85546875" style="2" customWidth="1"/>
    <col min="7191" max="7191" width="10.85546875" style="2" customWidth="1"/>
    <col min="7192" max="7192" width="14.7109375" style="2" customWidth="1"/>
    <col min="7193" max="7193" width="0" style="2" hidden="1" customWidth="1"/>
    <col min="7194" max="7194" width="13" style="2" customWidth="1"/>
    <col min="7195" max="7195" width="12.7109375" style="2" customWidth="1"/>
    <col min="7196" max="7196" width="13.140625" style="2" customWidth="1"/>
    <col min="7197" max="7197" width="14" style="2" customWidth="1"/>
    <col min="7198" max="7198" width="8.140625" style="2" customWidth="1"/>
    <col min="7199" max="7199" width="11.5703125" style="2" customWidth="1"/>
    <col min="7200" max="7200" width="24.7109375" style="2" customWidth="1"/>
    <col min="7201" max="7201" width="12" style="2" customWidth="1"/>
    <col min="7202" max="7203" width="0.28515625" style="2" customWidth="1"/>
    <col min="7204" max="7204" width="1.42578125" style="2" customWidth="1"/>
    <col min="7205" max="7205" width="0" style="2" hidden="1" customWidth="1"/>
    <col min="7206" max="7424" width="11.42578125" style="2"/>
    <col min="7425" max="7425" width="8" style="2" customWidth="1"/>
    <col min="7426" max="7426" width="13.42578125" style="2" customWidth="1"/>
    <col min="7427" max="7427" width="4.28515625" style="2" customWidth="1"/>
    <col min="7428" max="7428" width="4" style="2" customWidth="1"/>
    <col min="7429" max="7429" width="17" style="2" customWidth="1"/>
    <col min="7430" max="7430" width="4.140625" style="2" customWidth="1"/>
    <col min="7431" max="7431" width="11.28515625" style="2" customWidth="1"/>
    <col min="7432" max="7432" width="11" style="2" customWidth="1"/>
    <col min="7433" max="7434" width="2.140625" style="2" customWidth="1"/>
    <col min="7435" max="7435" width="3.28515625" style="2" customWidth="1"/>
    <col min="7436" max="7437" width="0" style="2" hidden="1" customWidth="1"/>
    <col min="7438" max="7438" width="2.85546875" style="2" customWidth="1"/>
    <col min="7439" max="7439" width="3.28515625" style="2" customWidth="1"/>
    <col min="7440" max="7440" width="1.5703125" style="2" customWidth="1"/>
    <col min="7441" max="7441" width="0" style="2" hidden="1" customWidth="1"/>
    <col min="7442" max="7442" width="6.85546875" style="2" customWidth="1"/>
    <col min="7443" max="7443" width="0" style="2" hidden="1" customWidth="1"/>
    <col min="7444" max="7445" width="6.28515625" style="2" customWidth="1"/>
    <col min="7446" max="7446" width="13.85546875" style="2" customWidth="1"/>
    <col min="7447" max="7447" width="10.85546875" style="2" customWidth="1"/>
    <col min="7448" max="7448" width="14.7109375" style="2" customWidth="1"/>
    <col min="7449" max="7449" width="0" style="2" hidden="1" customWidth="1"/>
    <col min="7450" max="7450" width="13" style="2" customWidth="1"/>
    <col min="7451" max="7451" width="12.7109375" style="2" customWidth="1"/>
    <col min="7452" max="7452" width="13.140625" style="2" customWidth="1"/>
    <col min="7453" max="7453" width="14" style="2" customWidth="1"/>
    <col min="7454" max="7454" width="8.140625" style="2" customWidth="1"/>
    <col min="7455" max="7455" width="11.5703125" style="2" customWidth="1"/>
    <col min="7456" max="7456" width="24.7109375" style="2" customWidth="1"/>
    <col min="7457" max="7457" width="12" style="2" customWidth="1"/>
    <col min="7458" max="7459" width="0.28515625" style="2" customWidth="1"/>
    <col min="7460" max="7460" width="1.42578125" style="2" customWidth="1"/>
    <col min="7461" max="7461" width="0" style="2" hidden="1" customWidth="1"/>
    <col min="7462" max="7680" width="11.42578125" style="2"/>
    <col min="7681" max="7681" width="8" style="2" customWidth="1"/>
    <col min="7682" max="7682" width="13.42578125" style="2" customWidth="1"/>
    <col min="7683" max="7683" width="4.28515625" style="2" customWidth="1"/>
    <col min="7684" max="7684" width="4" style="2" customWidth="1"/>
    <col min="7685" max="7685" width="17" style="2" customWidth="1"/>
    <col min="7686" max="7686" width="4.140625" style="2" customWidth="1"/>
    <col min="7687" max="7687" width="11.28515625" style="2" customWidth="1"/>
    <col min="7688" max="7688" width="11" style="2" customWidth="1"/>
    <col min="7689" max="7690" width="2.140625" style="2" customWidth="1"/>
    <col min="7691" max="7691" width="3.28515625" style="2" customWidth="1"/>
    <col min="7692" max="7693" width="0" style="2" hidden="1" customWidth="1"/>
    <col min="7694" max="7694" width="2.85546875" style="2" customWidth="1"/>
    <col min="7695" max="7695" width="3.28515625" style="2" customWidth="1"/>
    <col min="7696" max="7696" width="1.5703125" style="2" customWidth="1"/>
    <col min="7697" max="7697" width="0" style="2" hidden="1" customWidth="1"/>
    <col min="7698" max="7698" width="6.85546875" style="2" customWidth="1"/>
    <col min="7699" max="7699" width="0" style="2" hidden="1" customWidth="1"/>
    <col min="7700" max="7701" width="6.28515625" style="2" customWidth="1"/>
    <col min="7702" max="7702" width="13.85546875" style="2" customWidth="1"/>
    <col min="7703" max="7703" width="10.85546875" style="2" customWidth="1"/>
    <col min="7704" max="7704" width="14.7109375" style="2" customWidth="1"/>
    <col min="7705" max="7705" width="0" style="2" hidden="1" customWidth="1"/>
    <col min="7706" max="7706" width="13" style="2" customWidth="1"/>
    <col min="7707" max="7707" width="12.7109375" style="2" customWidth="1"/>
    <col min="7708" max="7708" width="13.140625" style="2" customWidth="1"/>
    <col min="7709" max="7709" width="14" style="2" customWidth="1"/>
    <col min="7710" max="7710" width="8.140625" style="2" customWidth="1"/>
    <col min="7711" max="7711" width="11.5703125" style="2" customWidth="1"/>
    <col min="7712" max="7712" width="24.7109375" style="2" customWidth="1"/>
    <col min="7713" max="7713" width="12" style="2" customWidth="1"/>
    <col min="7714" max="7715" width="0.28515625" style="2" customWidth="1"/>
    <col min="7716" max="7716" width="1.42578125" style="2" customWidth="1"/>
    <col min="7717" max="7717" width="0" style="2" hidden="1" customWidth="1"/>
    <col min="7718" max="7936" width="11.42578125" style="2"/>
    <col min="7937" max="7937" width="8" style="2" customWidth="1"/>
    <col min="7938" max="7938" width="13.42578125" style="2" customWidth="1"/>
    <col min="7939" max="7939" width="4.28515625" style="2" customWidth="1"/>
    <col min="7940" max="7940" width="4" style="2" customWidth="1"/>
    <col min="7941" max="7941" width="17" style="2" customWidth="1"/>
    <col min="7942" max="7942" width="4.140625" style="2" customWidth="1"/>
    <col min="7943" max="7943" width="11.28515625" style="2" customWidth="1"/>
    <col min="7944" max="7944" width="11" style="2" customWidth="1"/>
    <col min="7945" max="7946" width="2.140625" style="2" customWidth="1"/>
    <col min="7947" max="7947" width="3.28515625" style="2" customWidth="1"/>
    <col min="7948" max="7949" width="0" style="2" hidden="1" customWidth="1"/>
    <col min="7950" max="7950" width="2.85546875" style="2" customWidth="1"/>
    <col min="7951" max="7951" width="3.28515625" style="2" customWidth="1"/>
    <col min="7952" max="7952" width="1.5703125" style="2" customWidth="1"/>
    <col min="7953" max="7953" width="0" style="2" hidden="1" customWidth="1"/>
    <col min="7954" max="7954" width="6.85546875" style="2" customWidth="1"/>
    <col min="7955" max="7955" width="0" style="2" hidden="1" customWidth="1"/>
    <col min="7956" max="7957" width="6.28515625" style="2" customWidth="1"/>
    <col min="7958" max="7958" width="13.85546875" style="2" customWidth="1"/>
    <col min="7959" max="7959" width="10.85546875" style="2" customWidth="1"/>
    <col min="7960" max="7960" width="14.7109375" style="2" customWidth="1"/>
    <col min="7961" max="7961" width="0" style="2" hidden="1" customWidth="1"/>
    <col min="7962" max="7962" width="13" style="2" customWidth="1"/>
    <col min="7963" max="7963" width="12.7109375" style="2" customWidth="1"/>
    <col min="7964" max="7964" width="13.140625" style="2" customWidth="1"/>
    <col min="7965" max="7965" width="14" style="2" customWidth="1"/>
    <col min="7966" max="7966" width="8.140625" style="2" customWidth="1"/>
    <col min="7967" max="7967" width="11.5703125" style="2" customWidth="1"/>
    <col min="7968" max="7968" width="24.7109375" style="2" customWidth="1"/>
    <col min="7969" max="7969" width="12" style="2" customWidth="1"/>
    <col min="7970" max="7971" width="0.28515625" style="2" customWidth="1"/>
    <col min="7972" max="7972" width="1.42578125" style="2" customWidth="1"/>
    <col min="7973" max="7973" width="0" style="2" hidden="1" customWidth="1"/>
    <col min="7974" max="8192" width="11.42578125" style="2"/>
    <col min="8193" max="8193" width="8" style="2" customWidth="1"/>
    <col min="8194" max="8194" width="13.42578125" style="2" customWidth="1"/>
    <col min="8195" max="8195" width="4.28515625" style="2" customWidth="1"/>
    <col min="8196" max="8196" width="4" style="2" customWidth="1"/>
    <col min="8197" max="8197" width="17" style="2" customWidth="1"/>
    <col min="8198" max="8198" width="4.140625" style="2" customWidth="1"/>
    <col min="8199" max="8199" width="11.28515625" style="2" customWidth="1"/>
    <col min="8200" max="8200" width="11" style="2" customWidth="1"/>
    <col min="8201" max="8202" width="2.140625" style="2" customWidth="1"/>
    <col min="8203" max="8203" width="3.28515625" style="2" customWidth="1"/>
    <col min="8204" max="8205" width="0" style="2" hidden="1" customWidth="1"/>
    <col min="8206" max="8206" width="2.85546875" style="2" customWidth="1"/>
    <col min="8207" max="8207" width="3.28515625" style="2" customWidth="1"/>
    <col min="8208" max="8208" width="1.5703125" style="2" customWidth="1"/>
    <col min="8209" max="8209" width="0" style="2" hidden="1" customWidth="1"/>
    <col min="8210" max="8210" width="6.85546875" style="2" customWidth="1"/>
    <col min="8211" max="8211" width="0" style="2" hidden="1" customWidth="1"/>
    <col min="8212" max="8213" width="6.28515625" style="2" customWidth="1"/>
    <col min="8214" max="8214" width="13.85546875" style="2" customWidth="1"/>
    <col min="8215" max="8215" width="10.85546875" style="2" customWidth="1"/>
    <col min="8216" max="8216" width="14.7109375" style="2" customWidth="1"/>
    <col min="8217" max="8217" width="0" style="2" hidden="1" customWidth="1"/>
    <col min="8218" max="8218" width="13" style="2" customWidth="1"/>
    <col min="8219" max="8219" width="12.7109375" style="2" customWidth="1"/>
    <col min="8220" max="8220" width="13.140625" style="2" customWidth="1"/>
    <col min="8221" max="8221" width="14" style="2" customWidth="1"/>
    <col min="8222" max="8222" width="8.140625" style="2" customWidth="1"/>
    <col min="8223" max="8223" width="11.5703125" style="2" customWidth="1"/>
    <col min="8224" max="8224" width="24.7109375" style="2" customWidth="1"/>
    <col min="8225" max="8225" width="12" style="2" customWidth="1"/>
    <col min="8226" max="8227" width="0.28515625" style="2" customWidth="1"/>
    <col min="8228" max="8228" width="1.42578125" style="2" customWidth="1"/>
    <col min="8229" max="8229" width="0" style="2" hidden="1" customWidth="1"/>
    <col min="8230" max="8448" width="11.42578125" style="2"/>
    <col min="8449" max="8449" width="8" style="2" customWidth="1"/>
    <col min="8450" max="8450" width="13.42578125" style="2" customWidth="1"/>
    <col min="8451" max="8451" width="4.28515625" style="2" customWidth="1"/>
    <col min="8452" max="8452" width="4" style="2" customWidth="1"/>
    <col min="8453" max="8453" width="17" style="2" customWidth="1"/>
    <col min="8454" max="8454" width="4.140625" style="2" customWidth="1"/>
    <col min="8455" max="8455" width="11.28515625" style="2" customWidth="1"/>
    <col min="8456" max="8456" width="11" style="2" customWidth="1"/>
    <col min="8457" max="8458" width="2.140625" style="2" customWidth="1"/>
    <col min="8459" max="8459" width="3.28515625" style="2" customWidth="1"/>
    <col min="8460" max="8461" width="0" style="2" hidden="1" customWidth="1"/>
    <col min="8462" max="8462" width="2.85546875" style="2" customWidth="1"/>
    <col min="8463" max="8463" width="3.28515625" style="2" customWidth="1"/>
    <col min="8464" max="8464" width="1.5703125" style="2" customWidth="1"/>
    <col min="8465" max="8465" width="0" style="2" hidden="1" customWidth="1"/>
    <col min="8466" max="8466" width="6.85546875" style="2" customWidth="1"/>
    <col min="8467" max="8467" width="0" style="2" hidden="1" customWidth="1"/>
    <col min="8468" max="8469" width="6.28515625" style="2" customWidth="1"/>
    <col min="8470" max="8470" width="13.85546875" style="2" customWidth="1"/>
    <col min="8471" max="8471" width="10.85546875" style="2" customWidth="1"/>
    <col min="8472" max="8472" width="14.7109375" style="2" customWidth="1"/>
    <col min="8473" max="8473" width="0" style="2" hidden="1" customWidth="1"/>
    <col min="8474" max="8474" width="13" style="2" customWidth="1"/>
    <col min="8475" max="8475" width="12.7109375" style="2" customWidth="1"/>
    <col min="8476" max="8476" width="13.140625" style="2" customWidth="1"/>
    <col min="8477" max="8477" width="14" style="2" customWidth="1"/>
    <col min="8478" max="8478" width="8.140625" style="2" customWidth="1"/>
    <col min="8479" max="8479" width="11.5703125" style="2" customWidth="1"/>
    <col min="8480" max="8480" width="24.7109375" style="2" customWidth="1"/>
    <col min="8481" max="8481" width="12" style="2" customWidth="1"/>
    <col min="8482" max="8483" width="0.28515625" style="2" customWidth="1"/>
    <col min="8484" max="8484" width="1.42578125" style="2" customWidth="1"/>
    <col min="8485" max="8485" width="0" style="2" hidden="1" customWidth="1"/>
    <col min="8486" max="8704" width="11.42578125" style="2"/>
    <col min="8705" max="8705" width="8" style="2" customWidth="1"/>
    <col min="8706" max="8706" width="13.42578125" style="2" customWidth="1"/>
    <col min="8707" max="8707" width="4.28515625" style="2" customWidth="1"/>
    <col min="8708" max="8708" width="4" style="2" customWidth="1"/>
    <col min="8709" max="8709" width="17" style="2" customWidth="1"/>
    <col min="8710" max="8710" width="4.140625" style="2" customWidth="1"/>
    <col min="8711" max="8711" width="11.28515625" style="2" customWidth="1"/>
    <col min="8712" max="8712" width="11" style="2" customWidth="1"/>
    <col min="8713" max="8714" width="2.140625" style="2" customWidth="1"/>
    <col min="8715" max="8715" width="3.28515625" style="2" customWidth="1"/>
    <col min="8716" max="8717" width="0" style="2" hidden="1" customWidth="1"/>
    <col min="8718" max="8718" width="2.85546875" style="2" customWidth="1"/>
    <col min="8719" max="8719" width="3.28515625" style="2" customWidth="1"/>
    <col min="8720" max="8720" width="1.5703125" style="2" customWidth="1"/>
    <col min="8721" max="8721" width="0" style="2" hidden="1" customWidth="1"/>
    <col min="8722" max="8722" width="6.85546875" style="2" customWidth="1"/>
    <col min="8723" max="8723" width="0" style="2" hidden="1" customWidth="1"/>
    <col min="8724" max="8725" width="6.28515625" style="2" customWidth="1"/>
    <col min="8726" max="8726" width="13.85546875" style="2" customWidth="1"/>
    <col min="8727" max="8727" width="10.85546875" style="2" customWidth="1"/>
    <col min="8728" max="8728" width="14.7109375" style="2" customWidth="1"/>
    <col min="8729" max="8729" width="0" style="2" hidden="1" customWidth="1"/>
    <col min="8730" max="8730" width="13" style="2" customWidth="1"/>
    <col min="8731" max="8731" width="12.7109375" style="2" customWidth="1"/>
    <col min="8732" max="8732" width="13.140625" style="2" customWidth="1"/>
    <col min="8733" max="8733" width="14" style="2" customWidth="1"/>
    <col min="8734" max="8734" width="8.140625" style="2" customWidth="1"/>
    <col min="8735" max="8735" width="11.5703125" style="2" customWidth="1"/>
    <col min="8736" max="8736" width="24.7109375" style="2" customWidth="1"/>
    <col min="8737" max="8737" width="12" style="2" customWidth="1"/>
    <col min="8738" max="8739" width="0.28515625" style="2" customWidth="1"/>
    <col min="8740" max="8740" width="1.42578125" style="2" customWidth="1"/>
    <col min="8741" max="8741" width="0" style="2" hidden="1" customWidth="1"/>
    <col min="8742" max="8960" width="11.42578125" style="2"/>
    <col min="8961" max="8961" width="8" style="2" customWidth="1"/>
    <col min="8962" max="8962" width="13.42578125" style="2" customWidth="1"/>
    <col min="8963" max="8963" width="4.28515625" style="2" customWidth="1"/>
    <col min="8964" max="8964" width="4" style="2" customWidth="1"/>
    <col min="8965" max="8965" width="17" style="2" customWidth="1"/>
    <col min="8966" max="8966" width="4.140625" style="2" customWidth="1"/>
    <col min="8967" max="8967" width="11.28515625" style="2" customWidth="1"/>
    <col min="8968" max="8968" width="11" style="2" customWidth="1"/>
    <col min="8969" max="8970" width="2.140625" style="2" customWidth="1"/>
    <col min="8971" max="8971" width="3.28515625" style="2" customWidth="1"/>
    <col min="8972" max="8973" width="0" style="2" hidden="1" customWidth="1"/>
    <col min="8974" max="8974" width="2.85546875" style="2" customWidth="1"/>
    <col min="8975" max="8975" width="3.28515625" style="2" customWidth="1"/>
    <col min="8976" max="8976" width="1.5703125" style="2" customWidth="1"/>
    <col min="8977" max="8977" width="0" style="2" hidden="1" customWidth="1"/>
    <col min="8978" max="8978" width="6.85546875" style="2" customWidth="1"/>
    <col min="8979" max="8979" width="0" style="2" hidden="1" customWidth="1"/>
    <col min="8980" max="8981" width="6.28515625" style="2" customWidth="1"/>
    <col min="8982" max="8982" width="13.85546875" style="2" customWidth="1"/>
    <col min="8983" max="8983" width="10.85546875" style="2" customWidth="1"/>
    <col min="8984" max="8984" width="14.7109375" style="2" customWidth="1"/>
    <col min="8985" max="8985" width="0" style="2" hidden="1" customWidth="1"/>
    <col min="8986" max="8986" width="13" style="2" customWidth="1"/>
    <col min="8987" max="8987" width="12.7109375" style="2" customWidth="1"/>
    <col min="8988" max="8988" width="13.140625" style="2" customWidth="1"/>
    <col min="8989" max="8989" width="14" style="2" customWidth="1"/>
    <col min="8990" max="8990" width="8.140625" style="2" customWidth="1"/>
    <col min="8991" max="8991" width="11.5703125" style="2" customWidth="1"/>
    <col min="8992" max="8992" width="24.7109375" style="2" customWidth="1"/>
    <col min="8993" max="8993" width="12" style="2" customWidth="1"/>
    <col min="8994" max="8995" width="0.28515625" style="2" customWidth="1"/>
    <col min="8996" max="8996" width="1.42578125" style="2" customWidth="1"/>
    <col min="8997" max="8997" width="0" style="2" hidden="1" customWidth="1"/>
    <col min="8998" max="9216" width="11.42578125" style="2"/>
    <col min="9217" max="9217" width="8" style="2" customWidth="1"/>
    <col min="9218" max="9218" width="13.42578125" style="2" customWidth="1"/>
    <col min="9219" max="9219" width="4.28515625" style="2" customWidth="1"/>
    <col min="9220" max="9220" width="4" style="2" customWidth="1"/>
    <col min="9221" max="9221" width="17" style="2" customWidth="1"/>
    <col min="9222" max="9222" width="4.140625" style="2" customWidth="1"/>
    <col min="9223" max="9223" width="11.28515625" style="2" customWidth="1"/>
    <col min="9224" max="9224" width="11" style="2" customWidth="1"/>
    <col min="9225" max="9226" width="2.140625" style="2" customWidth="1"/>
    <col min="9227" max="9227" width="3.28515625" style="2" customWidth="1"/>
    <col min="9228" max="9229" width="0" style="2" hidden="1" customWidth="1"/>
    <col min="9230" max="9230" width="2.85546875" style="2" customWidth="1"/>
    <col min="9231" max="9231" width="3.28515625" style="2" customWidth="1"/>
    <col min="9232" max="9232" width="1.5703125" style="2" customWidth="1"/>
    <col min="9233" max="9233" width="0" style="2" hidden="1" customWidth="1"/>
    <col min="9234" max="9234" width="6.85546875" style="2" customWidth="1"/>
    <col min="9235" max="9235" width="0" style="2" hidden="1" customWidth="1"/>
    <col min="9236" max="9237" width="6.28515625" style="2" customWidth="1"/>
    <col min="9238" max="9238" width="13.85546875" style="2" customWidth="1"/>
    <col min="9239" max="9239" width="10.85546875" style="2" customWidth="1"/>
    <col min="9240" max="9240" width="14.7109375" style="2" customWidth="1"/>
    <col min="9241" max="9241" width="0" style="2" hidden="1" customWidth="1"/>
    <col min="9242" max="9242" width="13" style="2" customWidth="1"/>
    <col min="9243" max="9243" width="12.7109375" style="2" customWidth="1"/>
    <col min="9244" max="9244" width="13.140625" style="2" customWidth="1"/>
    <col min="9245" max="9245" width="14" style="2" customWidth="1"/>
    <col min="9246" max="9246" width="8.140625" style="2" customWidth="1"/>
    <col min="9247" max="9247" width="11.5703125" style="2" customWidth="1"/>
    <col min="9248" max="9248" width="24.7109375" style="2" customWidth="1"/>
    <col min="9249" max="9249" width="12" style="2" customWidth="1"/>
    <col min="9250" max="9251" width="0.28515625" style="2" customWidth="1"/>
    <col min="9252" max="9252" width="1.42578125" style="2" customWidth="1"/>
    <col min="9253" max="9253" width="0" style="2" hidden="1" customWidth="1"/>
    <col min="9254" max="9472" width="11.42578125" style="2"/>
    <col min="9473" max="9473" width="8" style="2" customWidth="1"/>
    <col min="9474" max="9474" width="13.42578125" style="2" customWidth="1"/>
    <col min="9475" max="9475" width="4.28515625" style="2" customWidth="1"/>
    <col min="9476" max="9476" width="4" style="2" customWidth="1"/>
    <col min="9477" max="9477" width="17" style="2" customWidth="1"/>
    <col min="9478" max="9478" width="4.140625" style="2" customWidth="1"/>
    <col min="9479" max="9479" width="11.28515625" style="2" customWidth="1"/>
    <col min="9480" max="9480" width="11" style="2" customWidth="1"/>
    <col min="9481" max="9482" width="2.140625" style="2" customWidth="1"/>
    <col min="9483" max="9483" width="3.28515625" style="2" customWidth="1"/>
    <col min="9484" max="9485" width="0" style="2" hidden="1" customWidth="1"/>
    <col min="9486" max="9486" width="2.85546875" style="2" customWidth="1"/>
    <col min="9487" max="9487" width="3.28515625" style="2" customWidth="1"/>
    <col min="9488" max="9488" width="1.5703125" style="2" customWidth="1"/>
    <col min="9489" max="9489" width="0" style="2" hidden="1" customWidth="1"/>
    <col min="9490" max="9490" width="6.85546875" style="2" customWidth="1"/>
    <col min="9491" max="9491" width="0" style="2" hidden="1" customWidth="1"/>
    <col min="9492" max="9493" width="6.28515625" style="2" customWidth="1"/>
    <col min="9494" max="9494" width="13.85546875" style="2" customWidth="1"/>
    <col min="9495" max="9495" width="10.85546875" style="2" customWidth="1"/>
    <col min="9496" max="9496" width="14.7109375" style="2" customWidth="1"/>
    <col min="9497" max="9497" width="0" style="2" hidden="1" customWidth="1"/>
    <col min="9498" max="9498" width="13" style="2" customWidth="1"/>
    <col min="9499" max="9499" width="12.7109375" style="2" customWidth="1"/>
    <col min="9500" max="9500" width="13.140625" style="2" customWidth="1"/>
    <col min="9501" max="9501" width="14" style="2" customWidth="1"/>
    <col min="9502" max="9502" width="8.140625" style="2" customWidth="1"/>
    <col min="9503" max="9503" width="11.5703125" style="2" customWidth="1"/>
    <col min="9504" max="9504" width="24.7109375" style="2" customWidth="1"/>
    <col min="9505" max="9505" width="12" style="2" customWidth="1"/>
    <col min="9506" max="9507" width="0.28515625" style="2" customWidth="1"/>
    <col min="9508" max="9508" width="1.42578125" style="2" customWidth="1"/>
    <col min="9509" max="9509" width="0" style="2" hidden="1" customWidth="1"/>
    <col min="9510" max="9728" width="11.42578125" style="2"/>
    <col min="9729" max="9729" width="8" style="2" customWidth="1"/>
    <col min="9730" max="9730" width="13.42578125" style="2" customWidth="1"/>
    <col min="9731" max="9731" width="4.28515625" style="2" customWidth="1"/>
    <col min="9732" max="9732" width="4" style="2" customWidth="1"/>
    <col min="9733" max="9733" width="17" style="2" customWidth="1"/>
    <col min="9734" max="9734" width="4.140625" style="2" customWidth="1"/>
    <col min="9735" max="9735" width="11.28515625" style="2" customWidth="1"/>
    <col min="9736" max="9736" width="11" style="2" customWidth="1"/>
    <col min="9737" max="9738" width="2.140625" style="2" customWidth="1"/>
    <col min="9739" max="9739" width="3.28515625" style="2" customWidth="1"/>
    <col min="9740" max="9741" width="0" style="2" hidden="1" customWidth="1"/>
    <col min="9742" max="9742" width="2.85546875" style="2" customWidth="1"/>
    <col min="9743" max="9743" width="3.28515625" style="2" customWidth="1"/>
    <col min="9744" max="9744" width="1.5703125" style="2" customWidth="1"/>
    <col min="9745" max="9745" width="0" style="2" hidden="1" customWidth="1"/>
    <col min="9746" max="9746" width="6.85546875" style="2" customWidth="1"/>
    <col min="9747" max="9747" width="0" style="2" hidden="1" customWidth="1"/>
    <col min="9748" max="9749" width="6.28515625" style="2" customWidth="1"/>
    <col min="9750" max="9750" width="13.85546875" style="2" customWidth="1"/>
    <col min="9751" max="9751" width="10.85546875" style="2" customWidth="1"/>
    <col min="9752" max="9752" width="14.7109375" style="2" customWidth="1"/>
    <col min="9753" max="9753" width="0" style="2" hidden="1" customWidth="1"/>
    <col min="9754" max="9754" width="13" style="2" customWidth="1"/>
    <col min="9755" max="9755" width="12.7109375" style="2" customWidth="1"/>
    <col min="9756" max="9756" width="13.140625" style="2" customWidth="1"/>
    <col min="9757" max="9757" width="14" style="2" customWidth="1"/>
    <col min="9758" max="9758" width="8.140625" style="2" customWidth="1"/>
    <col min="9759" max="9759" width="11.5703125" style="2" customWidth="1"/>
    <col min="9760" max="9760" width="24.7109375" style="2" customWidth="1"/>
    <col min="9761" max="9761" width="12" style="2" customWidth="1"/>
    <col min="9762" max="9763" width="0.28515625" style="2" customWidth="1"/>
    <col min="9764" max="9764" width="1.42578125" style="2" customWidth="1"/>
    <col min="9765" max="9765" width="0" style="2" hidden="1" customWidth="1"/>
    <col min="9766" max="9984" width="11.42578125" style="2"/>
    <col min="9985" max="9985" width="8" style="2" customWidth="1"/>
    <col min="9986" max="9986" width="13.42578125" style="2" customWidth="1"/>
    <col min="9987" max="9987" width="4.28515625" style="2" customWidth="1"/>
    <col min="9988" max="9988" width="4" style="2" customWidth="1"/>
    <col min="9989" max="9989" width="17" style="2" customWidth="1"/>
    <col min="9990" max="9990" width="4.140625" style="2" customWidth="1"/>
    <col min="9991" max="9991" width="11.28515625" style="2" customWidth="1"/>
    <col min="9992" max="9992" width="11" style="2" customWidth="1"/>
    <col min="9993" max="9994" width="2.140625" style="2" customWidth="1"/>
    <col min="9995" max="9995" width="3.28515625" style="2" customWidth="1"/>
    <col min="9996" max="9997" width="0" style="2" hidden="1" customWidth="1"/>
    <col min="9998" max="9998" width="2.85546875" style="2" customWidth="1"/>
    <col min="9999" max="9999" width="3.28515625" style="2" customWidth="1"/>
    <col min="10000" max="10000" width="1.5703125" style="2" customWidth="1"/>
    <col min="10001" max="10001" width="0" style="2" hidden="1" customWidth="1"/>
    <col min="10002" max="10002" width="6.85546875" style="2" customWidth="1"/>
    <col min="10003" max="10003" width="0" style="2" hidden="1" customWidth="1"/>
    <col min="10004" max="10005" width="6.28515625" style="2" customWidth="1"/>
    <col min="10006" max="10006" width="13.85546875" style="2" customWidth="1"/>
    <col min="10007" max="10007" width="10.85546875" style="2" customWidth="1"/>
    <col min="10008" max="10008" width="14.7109375" style="2" customWidth="1"/>
    <col min="10009" max="10009" width="0" style="2" hidden="1" customWidth="1"/>
    <col min="10010" max="10010" width="13" style="2" customWidth="1"/>
    <col min="10011" max="10011" width="12.7109375" style="2" customWidth="1"/>
    <col min="10012" max="10012" width="13.140625" style="2" customWidth="1"/>
    <col min="10013" max="10013" width="14" style="2" customWidth="1"/>
    <col min="10014" max="10014" width="8.140625" style="2" customWidth="1"/>
    <col min="10015" max="10015" width="11.5703125" style="2" customWidth="1"/>
    <col min="10016" max="10016" width="24.7109375" style="2" customWidth="1"/>
    <col min="10017" max="10017" width="12" style="2" customWidth="1"/>
    <col min="10018" max="10019" width="0.28515625" style="2" customWidth="1"/>
    <col min="10020" max="10020" width="1.42578125" style="2" customWidth="1"/>
    <col min="10021" max="10021" width="0" style="2" hidden="1" customWidth="1"/>
    <col min="10022" max="10240" width="11.42578125" style="2"/>
    <col min="10241" max="10241" width="8" style="2" customWidth="1"/>
    <col min="10242" max="10242" width="13.42578125" style="2" customWidth="1"/>
    <col min="10243" max="10243" width="4.28515625" style="2" customWidth="1"/>
    <col min="10244" max="10244" width="4" style="2" customWidth="1"/>
    <col min="10245" max="10245" width="17" style="2" customWidth="1"/>
    <col min="10246" max="10246" width="4.140625" style="2" customWidth="1"/>
    <col min="10247" max="10247" width="11.28515625" style="2" customWidth="1"/>
    <col min="10248" max="10248" width="11" style="2" customWidth="1"/>
    <col min="10249" max="10250" width="2.140625" style="2" customWidth="1"/>
    <col min="10251" max="10251" width="3.28515625" style="2" customWidth="1"/>
    <col min="10252" max="10253" width="0" style="2" hidden="1" customWidth="1"/>
    <col min="10254" max="10254" width="2.85546875" style="2" customWidth="1"/>
    <col min="10255" max="10255" width="3.28515625" style="2" customWidth="1"/>
    <col min="10256" max="10256" width="1.5703125" style="2" customWidth="1"/>
    <col min="10257" max="10257" width="0" style="2" hidden="1" customWidth="1"/>
    <col min="10258" max="10258" width="6.85546875" style="2" customWidth="1"/>
    <col min="10259" max="10259" width="0" style="2" hidden="1" customWidth="1"/>
    <col min="10260" max="10261" width="6.28515625" style="2" customWidth="1"/>
    <col min="10262" max="10262" width="13.85546875" style="2" customWidth="1"/>
    <col min="10263" max="10263" width="10.85546875" style="2" customWidth="1"/>
    <col min="10264" max="10264" width="14.7109375" style="2" customWidth="1"/>
    <col min="10265" max="10265" width="0" style="2" hidden="1" customWidth="1"/>
    <col min="10266" max="10266" width="13" style="2" customWidth="1"/>
    <col min="10267" max="10267" width="12.7109375" style="2" customWidth="1"/>
    <col min="10268" max="10268" width="13.140625" style="2" customWidth="1"/>
    <col min="10269" max="10269" width="14" style="2" customWidth="1"/>
    <col min="10270" max="10270" width="8.140625" style="2" customWidth="1"/>
    <col min="10271" max="10271" width="11.5703125" style="2" customWidth="1"/>
    <col min="10272" max="10272" width="24.7109375" style="2" customWidth="1"/>
    <col min="10273" max="10273" width="12" style="2" customWidth="1"/>
    <col min="10274" max="10275" width="0.28515625" style="2" customWidth="1"/>
    <col min="10276" max="10276" width="1.42578125" style="2" customWidth="1"/>
    <col min="10277" max="10277" width="0" style="2" hidden="1" customWidth="1"/>
    <col min="10278" max="10496" width="11.42578125" style="2"/>
    <col min="10497" max="10497" width="8" style="2" customWidth="1"/>
    <col min="10498" max="10498" width="13.42578125" style="2" customWidth="1"/>
    <col min="10499" max="10499" width="4.28515625" style="2" customWidth="1"/>
    <col min="10500" max="10500" width="4" style="2" customWidth="1"/>
    <col min="10501" max="10501" width="17" style="2" customWidth="1"/>
    <col min="10502" max="10502" width="4.140625" style="2" customWidth="1"/>
    <col min="10503" max="10503" width="11.28515625" style="2" customWidth="1"/>
    <col min="10504" max="10504" width="11" style="2" customWidth="1"/>
    <col min="10505" max="10506" width="2.140625" style="2" customWidth="1"/>
    <col min="10507" max="10507" width="3.28515625" style="2" customWidth="1"/>
    <col min="10508" max="10509" width="0" style="2" hidden="1" customWidth="1"/>
    <col min="10510" max="10510" width="2.85546875" style="2" customWidth="1"/>
    <col min="10511" max="10511" width="3.28515625" style="2" customWidth="1"/>
    <col min="10512" max="10512" width="1.5703125" style="2" customWidth="1"/>
    <col min="10513" max="10513" width="0" style="2" hidden="1" customWidth="1"/>
    <col min="10514" max="10514" width="6.85546875" style="2" customWidth="1"/>
    <col min="10515" max="10515" width="0" style="2" hidden="1" customWidth="1"/>
    <col min="10516" max="10517" width="6.28515625" style="2" customWidth="1"/>
    <col min="10518" max="10518" width="13.85546875" style="2" customWidth="1"/>
    <col min="10519" max="10519" width="10.85546875" style="2" customWidth="1"/>
    <col min="10520" max="10520" width="14.7109375" style="2" customWidth="1"/>
    <col min="10521" max="10521" width="0" style="2" hidden="1" customWidth="1"/>
    <col min="10522" max="10522" width="13" style="2" customWidth="1"/>
    <col min="10523" max="10523" width="12.7109375" style="2" customWidth="1"/>
    <col min="10524" max="10524" width="13.140625" style="2" customWidth="1"/>
    <col min="10525" max="10525" width="14" style="2" customWidth="1"/>
    <col min="10526" max="10526" width="8.140625" style="2" customWidth="1"/>
    <col min="10527" max="10527" width="11.5703125" style="2" customWidth="1"/>
    <col min="10528" max="10528" width="24.7109375" style="2" customWidth="1"/>
    <col min="10529" max="10529" width="12" style="2" customWidth="1"/>
    <col min="10530" max="10531" width="0.28515625" style="2" customWidth="1"/>
    <col min="10532" max="10532" width="1.42578125" style="2" customWidth="1"/>
    <col min="10533" max="10533" width="0" style="2" hidden="1" customWidth="1"/>
    <col min="10534" max="10752" width="11.42578125" style="2"/>
    <col min="10753" max="10753" width="8" style="2" customWidth="1"/>
    <col min="10754" max="10754" width="13.42578125" style="2" customWidth="1"/>
    <col min="10755" max="10755" width="4.28515625" style="2" customWidth="1"/>
    <col min="10756" max="10756" width="4" style="2" customWidth="1"/>
    <col min="10757" max="10757" width="17" style="2" customWidth="1"/>
    <col min="10758" max="10758" width="4.140625" style="2" customWidth="1"/>
    <col min="10759" max="10759" width="11.28515625" style="2" customWidth="1"/>
    <col min="10760" max="10760" width="11" style="2" customWidth="1"/>
    <col min="10761" max="10762" width="2.140625" style="2" customWidth="1"/>
    <col min="10763" max="10763" width="3.28515625" style="2" customWidth="1"/>
    <col min="10764" max="10765" width="0" style="2" hidden="1" customWidth="1"/>
    <col min="10766" max="10766" width="2.85546875" style="2" customWidth="1"/>
    <col min="10767" max="10767" width="3.28515625" style="2" customWidth="1"/>
    <col min="10768" max="10768" width="1.5703125" style="2" customWidth="1"/>
    <col min="10769" max="10769" width="0" style="2" hidden="1" customWidth="1"/>
    <col min="10770" max="10770" width="6.85546875" style="2" customWidth="1"/>
    <col min="10771" max="10771" width="0" style="2" hidden="1" customWidth="1"/>
    <col min="10772" max="10773" width="6.28515625" style="2" customWidth="1"/>
    <col min="10774" max="10774" width="13.85546875" style="2" customWidth="1"/>
    <col min="10775" max="10775" width="10.85546875" style="2" customWidth="1"/>
    <col min="10776" max="10776" width="14.7109375" style="2" customWidth="1"/>
    <col min="10777" max="10777" width="0" style="2" hidden="1" customWidth="1"/>
    <col min="10778" max="10778" width="13" style="2" customWidth="1"/>
    <col min="10779" max="10779" width="12.7109375" style="2" customWidth="1"/>
    <col min="10780" max="10780" width="13.140625" style="2" customWidth="1"/>
    <col min="10781" max="10781" width="14" style="2" customWidth="1"/>
    <col min="10782" max="10782" width="8.140625" style="2" customWidth="1"/>
    <col min="10783" max="10783" width="11.5703125" style="2" customWidth="1"/>
    <col min="10784" max="10784" width="24.7109375" style="2" customWidth="1"/>
    <col min="10785" max="10785" width="12" style="2" customWidth="1"/>
    <col min="10786" max="10787" width="0.28515625" style="2" customWidth="1"/>
    <col min="10788" max="10788" width="1.42578125" style="2" customWidth="1"/>
    <col min="10789" max="10789" width="0" style="2" hidden="1" customWidth="1"/>
    <col min="10790" max="11008" width="11.42578125" style="2"/>
    <col min="11009" max="11009" width="8" style="2" customWidth="1"/>
    <col min="11010" max="11010" width="13.42578125" style="2" customWidth="1"/>
    <col min="11011" max="11011" width="4.28515625" style="2" customWidth="1"/>
    <col min="11012" max="11012" width="4" style="2" customWidth="1"/>
    <col min="11013" max="11013" width="17" style="2" customWidth="1"/>
    <col min="11014" max="11014" width="4.140625" style="2" customWidth="1"/>
    <col min="11015" max="11015" width="11.28515625" style="2" customWidth="1"/>
    <col min="11016" max="11016" width="11" style="2" customWidth="1"/>
    <col min="11017" max="11018" width="2.140625" style="2" customWidth="1"/>
    <col min="11019" max="11019" width="3.28515625" style="2" customWidth="1"/>
    <col min="11020" max="11021" width="0" style="2" hidden="1" customWidth="1"/>
    <col min="11022" max="11022" width="2.85546875" style="2" customWidth="1"/>
    <col min="11023" max="11023" width="3.28515625" style="2" customWidth="1"/>
    <col min="11024" max="11024" width="1.5703125" style="2" customWidth="1"/>
    <col min="11025" max="11025" width="0" style="2" hidden="1" customWidth="1"/>
    <col min="11026" max="11026" width="6.85546875" style="2" customWidth="1"/>
    <col min="11027" max="11027" width="0" style="2" hidden="1" customWidth="1"/>
    <col min="11028" max="11029" width="6.28515625" style="2" customWidth="1"/>
    <col min="11030" max="11030" width="13.85546875" style="2" customWidth="1"/>
    <col min="11031" max="11031" width="10.85546875" style="2" customWidth="1"/>
    <col min="11032" max="11032" width="14.7109375" style="2" customWidth="1"/>
    <col min="11033" max="11033" width="0" style="2" hidden="1" customWidth="1"/>
    <col min="11034" max="11034" width="13" style="2" customWidth="1"/>
    <col min="11035" max="11035" width="12.7109375" style="2" customWidth="1"/>
    <col min="11036" max="11036" width="13.140625" style="2" customWidth="1"/>
    <col min="11037" max="11037" width="14" style="2" customWidth="1"/>
    <col min="11038" max="11038" width="8.140625" style="2" customWidth="1"/>
    <col min="11039" max="11039" width="11.5703125" style="2" customWidth="1"/>
    <col min="11040" max="11040" width="24.7109375" style="2" customWidth="1"/>
    <col min="11041" max="11041" width="12" style="2" customWidth="1"/>
    <col min="11042" max="11043" width="0.28515625" style="2" customWidth="1"/>
    <col min="11044" max="11044" width="1.42578125" style="2" customWidth="1"/>
    <col min="11045" max="11045" width="0" style="2" hidden="1" customWidth="1"/>
    <col min="11046" max="11264" width="11.42578125" style="2"/>
    <col min="11265" max="11265" width="8" style="2" customWidth="1"/>
    <col min="11266" max="11266" width="13.42578125" style="2" customWidth="1"/>
    <col min="11267" max="11267" width="4.28515625" style="2" customWidth="1"/>
    <col min="11268" max="11268" width="4" style="2" customWidth="1"/>
    <col min="11269" max="11269" width="17" style="2" customWidth="1"/>
    <col min="11270" max="11270" width="4.140625" style="2" customWidth="1"/>
    <col min="11271" max="11271" width="11.28515625" style="2" customWidth="1"/>
    <col min="11272" max="11272" width="11" style="2" customWidth="1"/>
    <col min="11273" max="11274" width="2.140625" style="2" customWidth="1"/>
    <col min="11275" max="11275" width="3.28515625" style="2" customWidth="1"/>
    <col min="11276" max="11277" width="0" style="2" hidden="1" customWidth="1"/>
    <col min="11278" max="11278" width="2.85546875" style="2" customWidth="1"/>
    <col min="11279" max="11279" width="3.28515625" style="2" customWidth="1"/>
    <col min="11280" max="11280" width="1.5703125" style="2" customWidth="1"/>
    <col min="11281" max="11281" width="0" style="2" hidden="1" customWidth="1"/>
    <col min="11282" max="11282" width="6.85546875" style="2" customWidth="1"/>
    <col min="11283" max="11283" width="0" style="2" hidden="1" customWidth="1"/>
    <col min="11284" max="11285" width="6.28515625" style="2" customWidth="1"/>
    <col min="11286" max="11286" width="13.85546875" style="2" customWidth="1"/>
    <col min="11287" max="11287" width="10.85546875" style="2" customWidth="1"/>
    <col min="11288" max="11288" width="14.7109375" style="2" customWidth="1"/>
    <col min="11289" max="11289" width="0" style="2" hidden="1" customWidth="1"/>
    <col min="11290" max="11290" width="13" style="2" customWidth="1"/>
    <col min="11291" max="11291" width="12.7109375" style="2" customWidth="1"/>
    <col min="11292" max="11292" width="13.140625" style="2" customWidth="1"/>
    <col min="11293" max="11293" width="14" style="2" customWidth="1"/>
    <col min="11294" max="11294" width="8.140625" style="2" customWidth="1"/>
    <col min="11295" max="11295" width="11.5703125" style="2" customWidth="1"/>
    <col min="11296" max="11296" width="24.7109375" style="2" customWidth="1"/>
    <col min="11297" max="11297" width="12" style="2" customWidth="1"/>
    <col min="11298" max="11299" width="0.28515625" style="2" customWidth="1"/>
    <col min="11300" max="11300" width="1.42578125" style="2" customWidth="1"/>
    <col min="11301" max="11301" width="0" style="2" hidden="1" customWidth="1"/>
    <col min="11302" max="11520" width="11.42578125" style="2"/>
    <col min="11521" max="11521" width="8" style="2" customWidth="1"/>
    <col min="11522" max="11522" width="13.42578125" style="2" customWidth="1"/>
    <col min="11523" max="11523" width="4.28515625" style="2" customWidth="1"/>
    <col min="11524" max="11524" width="4" style="2" customWidth="1"/>
    <col min="11525" max="11525" width="17" style="2" customWidth="1"/>
    <col min="11526" max="11526" width="4.140625" style="2" customWidth="1"/>
    <col min="11527" max="11527" width="11.28515625" style="2" customWidth="1"/>
    <col min="11528" max="11528" width="11" style="2" customWidth="1"/>
    <col min="11529" max="11530" width="2.140625" style="2" customWidth="1"/>
    <col min="11531" max="11531" width="3.28515625" style="2" customWidth="1"/>
    <col min="11532" max="11533" width="0" style="2" hidden="1" customWidth="1"/>
    <col min="11534" max="11534" width="2.85546875" style="2" customWidth="1"/>
    <col min="11535" max="11535" width="3.28515625" style="2" customWidth="1"/>
    <col min="11536" max="11536" width="1.5703125" style="2" customWidth="1"/>
    <col min="11537" max="11537" width="0" style="2" hidden="1" customWidth="1"/>
    <col min="11538" max="11538" width="6.85546875" style="2" customWidth="1"/>
    <col min="11539" max="11539" width="0" style="2" hidden="1" customWidth="1"/>
    <col min="11540" max="11541" width="6.28515625" style="2" customWidth="1"/>
    <col min="11542" max="11542" width="13.85546875" style="2" customWidth="1"/>
    <col min="11543" max="11543" width="10.85546875" style="2" customWidth="1"/>
    <col min="11544" max="11544" width="14.7109375" style="2" customWidth="1"/>
    <col min="11545" max="11545" width="0" style="2" hidden="1" customWidth="1"/>
    <col min="11546" max="11546" width="13" style="2" customWidth="1"/>
    <col min="11547" max="11547" width="12.7109375" style="2" customWidth="1"/>
    <col min="11548" max="11548" width="13.140625" style="2" customWidth="1"/>
    <col min="11549" max="11549" width="14" style="2" customWidth="1"/>
    <col min="11550" max="11550" width="8.140625" style="2" customWidth="1"/>
    <col min="11551" max="11551" width="11.5703125" style="2" customWidth="1"/>
    <col min="11552" max="11552" width="24.7109375" style="2" customWidth="1"/>
    <col min="11553" max="11553" width="12" style="2" customWidth="1"/>
    <col min="11554" max="11555" width="0.28515625" style="2" customWidth="1"/>
    <col min="11556" max="11556" width="1.42578125" style="2" customWidth="1"/>
    <col min="11557" max="11557" width="0" style="2" hidden="1" customWidth="1"/>
    <col min="11558" max="11776" width="11.42578125" style="2"/>
    <col min="11777" max="11777" width="8" style="2" customWidth="1"/>
    <col min="11778" max="11778" width="13.42578125" style="2" customWidth="1"/>
    <col min="11779" max="11779" width="4.28515625" style="2" customWidth="1"/>
    <col min="11780" max="11780" width="4" style="2" customWidth="1"/>
    <col min="11781" max="11781" width="17" style="2" customWidth="1"/>
    <col min="11782" max="11782" width="4.140625" style="2" customWidth="1"/>
    <col min="11783" max="11783" width="11.28515625" style="2" customWidth="1"/>
    <col min="11784" max="11784" width="11" style="2" customWidth="1"/>
    <col min="11785" max="11786" width="2.140625" style="2" customWidth="1"/>
    <col min="11787" max="11787" width="3.28515625" style="2" customWidth="1"/>
    <col min="11788" max="11789" width="0" style="2" hidden="1" customWidth="1"/>
    <col min="11790" max="11790" width="2.85546875" style="2" customWidth="1"/>
    <col min="11791" max="11791" width="3.28515625" style="2" customWidth="1"/>
    <col min="11792" max="11792" width="1.5703125" style="2" customWidth="1"/>
    <col min="11793" max="11793" width="0" style="2" hidden="1" customWidth="1"/>
    <col min="11794" max="11794" width="6.85546875" style="2" customWidth="1"/>
    <col min="11795" max="11795" width="0" style="2" hidden="1" customWidth="1"/>
    <col min="11796" max="11797" width="6.28515625" style="2" customWidth="1"/>
    <col min="11798" max="11798" width="13.85546875" style="2" customWidth="1"/>
    <col min="11799" max="11799" width="10.85546875" style="2" customWidth="1"/>
    <col min="11800" max="11800" width="14.7109375" style="2" customWidth="1"/>
    <col min="11801" max="11801" width="0" style="2" hidden="1" customWidth="1"/>
    <col min="11802" max="11802" width="13" style="2" customWidth="1"/>
    <col min="11803" max="11803" width="12.7109375" style="2" customWidth="1"/>
    <col min="11804" max="11804" width="13.140625" style="2" customWidth="1"/>
    <col min="11805" max="11805" width="14" style="2" customWidth="1"/>
    <col min="11806" max="11806" width="8.140625" style="2" customWidth="1"/>
    <col min="11807" max="11807" width="11.5703125" style="2" customWidth="1"/>
    <col min="11808" max="11808" width="24.7109375" style="2" customWidth="1"/>
    <col min="11809" max="11809" width="12" style="2" customWidth="1"/>
    <col min="11810" max="11811" width="0.28515625" style="2" customWidth="1"/>
    <col min="11812" max="11812" width="1.42578125" style="2" customWidth="1"/>
    <col min="11813" max="11813" width="0" style="2" hidden="1" customWidth="1"/>
    <col min="11814" max="12032" width="11.42578125" style="2"/>
    <col min="12033" max="12033" width="8" style="2" customWidth="1"/>
    <col min="12034" max="12034" width="13.42578125" style="2" customWidth="1"/>
    <col min="12035" max="12035" width="4.28515625" style="2" customWidth="1"/>
    <col min="12036" max="12036" width="4" style="2" customWidth="1"/>
    <col min="12037" max="12037" width="17" style="2" customWidth="1"/>
    <col min="12038" max="12038" width="4.140625" style="2" customWidth="1"/>
    <col min="12039" max="12039" width="11.28515625" style="2" customWidth="1"/>
    <col min="12040" max="12040" width="11" style="2" customWidth="1"/>
    <col min="12041" max="12042" width="2.140625" style="2" customWidth="1"/>
    <col min="12043" max="12043" width="3.28515625" style="2" customWidth="1"/>
    <col min="12044" max="12045" width="0" style="2" hidden="1" customWidth="1"/>
    <col min="12046" max="12046" width="2.85546875" style="2" customWidth="1"/>
    <col min="12047" max="12047" width="3.28515625" style="2" customWidth="1"/>
    <col min="12048" max="12048" width="1.5703125" style="2" customWidth="1"/>
    <col min="12049" max="12049" width="0" style="2" hidden="1" customWidth="1"/>
    <col min="12050" max="12050" width="6.85546875" style="2" customWidth="1"/>
    <col min="12051" max="12051" width="0" style="2" hidden="1" customWidth="1"/>
    <col min="12052" max="12053" width="6.28515625" style="2" customWidth="1"/>
    <col min="12054" max="12054" width="13.85546875" style="2" customWidth="1"/>
    <col min="12055" max="12055" width="10.85546875" style="2" customWidth="1"/>
    <col min="12056" max="12056" width="14.7109375" style="2" customWidth="1"/>
    <col min="12057" max="12057" width="0" style="2" hidden="1" customWidth="1"/>
    <col min="12058" max="12058" width="13" style="2" customWidth="1"/>
    <col min="12059" max="12059" width="12.7109375" style="2" customWidth="1"/>
    <col min="12060" max="12060" width="13.140625" style="2" customWidth="1"/>
    <col min="12061" max="12061" width="14" style="2" customWidth="1"/>
    <col min="12062" max="12062" width="8.140625" style="2" customWidth="1"/>
    <col min="12063" max="12063" width="11.5703125" style="2" customWidth="1"/>
    <col min="12064" max="12064" width="24.7109375" style="2" customWidth="1"/>
    <col min="12065" max="12065" width="12" style="2" customWidth="1"/>
    <col min="12066" max="12067" width="0.28515625" style="2" customWidth="1"/>
    <col min="12068" max="12068" width="1.42578125" style="2" customWidth="1"/>
    <col min="12069" max="12069" width="0" style="2" hidden="1" customWidth="1"/>
    <col min="12070" max="12288" width="11.42578125" style="2"/>
    <col min="12289" max="12289" width="8" style="2" customWidth="1"/>
    <col min="12290" max="12290" width="13.42578125" style="2" customWidth="1"/>
    <col min="12291" max="12291" width="4.28515625" style="2" customWidth="1"/>
    <col min="12292" max="12292" width="4" style="2" customWidth="1"/>
    <col min="12293" max="12293" width="17" style="2" customWidth="1"/>
    <col min="12294" max="12294" width="4.140625" style="2" customWidth="1"/>
    <col min="12295" max="12295" width="11.28515625" style="2" customWidth="1"/>
    <col min="12296" max="12296" width="11" style="2" customWidth="1"/>
    <col min="12297" max="12298" width="2.140625" style="2" customWidth="1"/>
    <col min="12299" max="12299" width="3.28515625" style="2" customWidth="1"/>
    <col min="12300" max="12301" width="0" style="2" hidden="1" customWidth="1"/>
    <col min="12302" max="12302" width="2.85546875" style="2" customWidth="1"/>
    <col min="12303" max="12303" width="3.28515625" style="2" customWidth="1"/>
    <col min="12304" max="12304" width="1.5703125" style="2" customWidth="1"/>
    <col min="12305" max="12305" width="0" style="2" hidden="1" customWidth="1"/>
    <col min="12306" max="12306" width="6.85546875" style="2" customWidth="1"/>
    <col min="12307" max="12307" width="0" style="2" hidden="1" customWidth="1"/>
    <col min="12308" max="12309" width="6.28515625" style="2" customWidth="1"/>
    <col min="12310" max="12310" width="13.85546875" style="2" customWidth="1"/>
    <col min="12311" max="12311" width="10.85546875" style="2" customWidth="1"/>
    <col min="12312" max="12312" width="14.7109375" style="2" customWidth="1"/>
    <col min="12313" max="12313" width="0" style="2" hidden="1" customWidth="1"/>
    <col min="12314" max="12314" width="13" style="2" customWidth="1"/>
    <col min="12315" max="12315" width="12.7109375" style="2" customWidth="1"/>
    <col min="12316" max="12316" width="13.140625" style="2" customWidth="1"/>
    <col min="12317" max="12317" width="14" style="2" customWidth="1"/>
    <col min="12318" max="12318" width="8.140625" style="2" customWidth="1"/>
    <col min="12319" max="12319" width="11.5703125" style="2" customWidth="1"/>
    <col min="12320" max="12320" width="24.7109375" style="2" customWidth="1"/>
    <col min="12321" max="12321" width="12" style="2" customWidth="1"/>
    <col min="12322" max="12323" width="0.28515625" style="2" customWidth="1"/>
    <col min="12324" max="12324" width="1.42578125" style="2" customWidth="1"/>
    <col min="12325" max="12325" width="0" style="2" hidden="1" customWidth="1"/>
    <col min="12326" max="12544" width="11.42578125" style="2"/>
    <col min="12545" max="12545" width="8" style="2" customWidth="1"/>
    <col min="12546" max="12546" width="13.42578125" style="2" customWidth="1"/>
    <col min="12547" max="12547" width="4.28515625" style="2" customWidth="1"/>
    <col min="12548" max="12548" width="4" style="2" customWidth="1"/>
    <col min="12549" max="12549" width="17" style="2" customWidth="1"/>
    <col min="12550" max="12550" width="4.140625" style="2" customWidth="1"/>
    <col min="12551" max="12551" width="11.28515625" style="2" customWidth="1"/>
    <col min="12552" max="12552" width="11" style="2" customWidth="1"/>
    <col min="12553" max="12554" width="2.140625" style="2" customWidth="1"/>
    <col min="12555" max="12555" width="3.28515625" style="2" customWidth="1"/>
    <col min="12556" max="12557" width="0" style="2" hidden="1" customWidth="1"/>
    <col min="12558" max="12558" width="2.85546875" style="2" customWidth="1"/>
    <col min="12559" max="12559" width="3.28515625" style="2" customWidth="1"/>
    <col min="12560" max="12560" width="1.5703125" style="2" customWidth="1"/>
    <col min="12561" max="12561" width="0" style="2" hidden="1" customWidth="1"/>
    <col min="12562" max="12562" width="6.85546875" style="2" customWidth="1"/>
    <col min="12563" max="12563" width="0" style="2" hidden="1" customWidth="1"/>
    <col min="12564" max="12565" width="6.28515625" style="2" customWidth="1"/>
    <col min="12566" max="12566" width="13.85546875" style="2" customWidth="1"/>
    <col min="12567" max="12567" width="10.85546875" style="2" customWidth="1"/>
    <col min="12568" max="12568" width="14.7109375" style="2" customWidth="1"/>
    <col min="12569" max="12569" width="0" style="2" hidden="1" customWidth="1"/>
    <col min="12570" max="12570" width="13" style="2" customWidth="1"/>
    <col min="12571" max="12571" width="12.7109375" style="2" customWidth="1"/>
    <col min="12572" max="12572" width="13.140625" style="2" customWidth="1"/>
    <col min="12573" max="12573" width="14" style="2" customWidth="1"/>
    <col min="12574" max="12574" width="8.140625" style="2" customWidth="1"/>
    <col min="12575" max="12575" width="11.5703125" style="2" customWidth="1"/>
    <col min="12576" max="12576" width="24.7109375" style="2" customWidth="1"/>
    <col min="12577" max="12577" width="12" style="2" customWidth="1"/>
    <col min="12578" max="12579" width="0.28515625" style="2" customWidth="1"/>
    <col min="12580" max="12580" width="1.42578125" style="2" customWidth="1"/>
    <col min="12581" max="12581" width="0" style="2" hidden="1" customWidth="1"/>
    <col min="12582" max="12800" width="11.42578125" style="2"/>
    <col min="12801" max="12801" width="8" style="2" customWidth="1"/>
    <col min="12802" max="12802" width="13.42578125" style="2" customWidth="1"/>
    <col min="12803" max="12803" width="4.28515625" style="2" customWidth="1"/>
    <col min="12804" max="12804" width="4" style="2" customWidth="1"/>
    <col min="12805" max="12805" width="17" style="2" customWidth="1"/>
    <col min="12806" max="12806" width="4.140625" style="2" customWidth="1"/>
    <col min="12807" max="12807" width="11.28515625" style="2" customWidth="1"/>
    <col min="12808" max="12808" width="11" style="2" customWidth="1"/>
    <col min="12809" max="12810" width="2.140625" style="2" customWidth="1"/>
    <col min="12811" max="12811" width="3.28515625" style="2" customWidth="1"/>
    <col min="12812" max="12813" width="0" style="2" hidden="1" customWidth="1"/>
    <col min="12814" max="12814" width="2.85546875" style="2" customWidth="1"/>
    <col min="12815" max="12815" width="3.28515625" style="2" customWidth="1"/>
    <col min="12816" max="12816" width="1.5703125" style="2" customWidth="1"/>
    <col min="12817" max="12817" width="0" style="2" hidden="1" customWidth="1"/>
    <col min="12818" max="12818" width="6.85546875" style="2" customWidth="1"/>
    <col min="12819" max="12819" width="0" style="2" hidden="1" customWidth="1"/>
    <col min="12820" max="12821" width="6.28515625" style="2" customWidth="1"/>
    <col min="12822" max="12822" width="13.85546875" style="2" customWidth="1"/>
    <col min="12823" max="12823" width="10.85546875" style="2" customWidth="1"/>
    <col min="12824" max="12824" width="14.7109375" style="2" customWidth="1"/>
    <col min="12825" max="12825" width="0" style="2" hidden="1" customWidth="1"/>
    <col min="12826" max="12826" width="13" style="2" customWidth="1"/>
    <col min="12827" max="12827" width="12.7109375" style="2" customWidth="1"/>
    <col min="12828" max="12828" width="13.140625" style="2" customWidth="1"/>
    <col min="12829" max="12829" width="14" style="2" customWidth="1"/>
    <col min="12830" max="12830" width="8.140625" style="2" customWidth="1"/>
    <col min="12831" max="12831" width="11.5703125" style="2" customWidth="1"/>
    <col min="12832" max="12832" width="24.7109375" style="2" customWidth="1"/>
    <col min="12833" max="12833" width="12" style="2" customWidth="1"/>
    <col min="12834" max="12835" width="0.28515625" style="2" customWidth="1"/>
    <col min="12836" max="12836" width="1.42578125" style="2" customWidth="1"/>
    <col min="12837" max="12837" width="0" style="2" hidden="1" customWidth="1"/>
    <col min="12838" max="13056" width="11.42578125" style="2"/>
    <col min="13057" max="13057" width="8" style="2" customWidth="1"/>
    <col min="13058" max="13058" width="13.42578125" style="2" customWidth="1"/>
    <col min="13059" max="13059" width="4.28515625" style="2" customWidth="1"/>
    <col min="13060" max="13060" width="4" style="2" customWidth="1"/>
    <col min="13061" max="13061" width="17" style="2" customWidth="1"/>
    <col min="13062" max="13062" width="4.140625" style="2" customWidth="1"/>
    <col min="13063" max="13063" width="11.28515625" style="2" customWidth="1"/>
    <col min="13064" max="13064" width="11" style="2" customWidth="1"/>
    <col min="13065" max="13066" width="2.140625" style="2" customWidth="1"/>
    <col min="13067" max="13067" width="3.28515625" style="2" customWidth="1"/>
    <col min="13068" max="13069" width="0" style="2" hidden="1" customWidth="1"/>
    <col min="13070" max="13070" width="2.85546875" style="2" customWidth="1"/>
    <col min="13071" max="13071" width="3.28515625" style="2" customWidth="1"/>
    <col min="13072" max="13072" width="1.5703125" style="2" customWidth="1"/>
    <col min="13073" max="13073" width="0" style="2" hidden="1" customWidth="1"/>
    <col min="13074" max="13074" width="6.85546875" style="2" customWidth="1"/>
    <col min="13075" max="13075" width="0" style="2" hidden="1" customWidth="1"/>
    <col min="13076" max="13077" width="6.28515625" style="2" customWidth="1"/>
    <col min="13078" max="13078" width="13.85546875" style="2" customWidth="1"/>
    <col min="13079" max="13079" width="10.85546875" style="2" customWidth="1"/>
    <col min="13080" max="13080" width="14.7109375" style="2" customWidth="1"/>
    <col min="13081" max="13081" width="0" style="2" hidden="1" customWidth="1"/>
    <col min="13082" max="13082" width="13" style="2" customWidth="1"/>
    <col min="13083" max="13083" width="12.7109375" style="2" customWidth="1"/>
    <col min="13084" max="13084" width="13.140625" style="2" customWidth="1"/>
    <col min="13085" max="13085" width="14" style="2" customWidth="1"/>
    <col min="13086" max="13086" width="8.140625" style="2" customWidth="1"/>
    <col min="13087" max="13087" width="11.5703125" style="2" customWidth="1"/>
    <col min="13088" max="13088" width="24.7109375" style="2" customWidth="1"/>
    <col min="13089" max="13089" width="12" style="2" customWidth="1"/>
    <col min="13090" max="13091" width="0.28515625" style="2" customWidth="1"/>
    <col min="13092" max="13092" width="1.42578125" style="2" customWidth="1"/>
    <col min="13093" max="13093" width="0" style="2" hidden="1" customWidth="1"/>
    <col min="13094" max="13312" width="11.42578125" style="2"/>
    <col min="13313" max="13313" width="8" style="2" customWidth="1"/>
    <col min="13314" max="13314" width="13.42578125" style="2" customWidth="1"/>
    <col min="13315" max="13315" width="4.28515625" style="2" customWidth="1"/>
    <col min="13316" max="13316" width="4" style="2" customWidth="1"/>
    <col min="13317" max="13317" width="17" style="2" customWidth="1"/>
    <col min="13318" max="13318" width="4.140625" style="2" customWidth="1"/>
    <col min="13319" max="13319" width="11.28515625" style="2" customWidth="1"/>
    <col min="13320" max="13320" width="11" style="2" customWidth="1"/>
    <col min="13321" max="13322" width="2.140625" style="2" customWidth="1"/>
    <col min="13323" max="13323" width="3.28515625" style="2" customWidth="1"/>
    <col min="13324" max="13325" width="0" style="2" hidden="1" customWidth="1"/>
    <col min="13326" max="13326" width="2.85546875" style="2" customWidth="1"/>
    <col min="13327" max="13327" width="3.28515625" style="2" customWidth="1"/>
    <col min="13328" max="13328" width="1.5703125" style="2" customWidth="1"/>
    <col min="13329" max="13329" width="0" style="2" hidden="1" customWidth="1"/>
    <col min="13330" max="13330" width="6.85546875" style="2" customWidth="1"/>
    <col min="13331" max="13331" width="0" style="2" hidden="1" customWidth="1"/>
    <col min="13332" max="13333" width="6.28515625" style="2" customWidth="1"/>
    <col min="13334" max="13334" width="13.85546875" style="2" customWidth="1"/>
    <col min="13335" max="13335" width="10.85546875" style="2" customWidth="1"/>
    <col min="13336" max="13336" width="14.7109375" style="2" customWidth="1"/>
    <col min="13337" max="13337" width="0" style="2" hidden="1" customWidth="1"/>
    <col min="13338" max="13338" width="13" style="2" customWidth="1"/>
    <col min="13339" max="13339" width="12.7109375" style="2" customWidth="1"/>
    <col min="13340" max="13340" width="13.140625" style="2" customWidth="1"/>
    <col min="13341" max="13341" width="14" style="2" customWidth="1"/>
    <col min="13342" max="13342" width="8.140625" style="2" customWidth="1"/>
    <col min="13343" max="13343" width="11.5703125" style="2" customWidth="1"/>
    <col min="13344" max="13344" width="24.7109375" style="2" customWidth="1"/>
    <col min="13345" max="13345" width="12" style="2" customWidth="1"/>
    <col min="13346" max="13347" width="0.28515625" style="2" customWidth="1"/>
    <col min="13348" max="13348" width="1.42578125" style="2" customWidth="1"/>
    <col min="13349" max="13349" width="0" style="2" hidden="1" customWidth="1"/>
    <col min="13350" max="13568" width="11.42578125" style="2"/>
    <col min="13569" max="13569" width="8" style="2" customWidth="1"/>
    <col min="13570" max="13570" width="13.42578125" style="2" customWidth="1"/>
    <col min="13571" max="13571" width="4.28515625" style="2" customWidth="1"/>
    <col min="13572" max="13572" width="4" style="2" customWidth="1"/>
    <col min="13573" max="13573" width="17" style="2" customWidth="1"/>
    <col min="13574" max="13574" width="4.140625" style="2" customWidth="1"/>
    <col min="13575" max="13575" width="11.28515625" style="2" customWidth="1"/>
    <col min="13576" max="13576" width="11" style="2" customWidth="1"/>
    <col min="13577" max="13578" width="2.140625" style="2" customWidth="1"/>
    <col min="13579" max="13579" width="3.28515625" style="2" customWidth="1"/>
    <col min="13580" max="13581" width="0" style="2" hidden="1" customWidth="1"/>
    <col min="13582" max="13582" width="2.85546875" style="2" customWidth="1"/>
    <col min="13583" max="13583" width="3.28515625" style="2" customWidth="1"/>
    <col min="13584" max="13584" width="1.5703125" style="2" customWidth="1"/>
    <col min="13585" max="13585" width="0" style="2" hidden="1" customWidth="1"/>
    <col min="13586" max="13586" width="6.85546875" style="2" customWidth="1"/>
    <col min="13587" max="13587" width="0" style="2" hidden="1" customWidth="1"/>
    <col min="13588" max="13589" width="6.28515625" style="2" customWidth="1"/>
    <col min="13590" max="13590" width="13.85546875" style="2" customWidth="1"/>
    <col min="13591" max="13591" width="10.85546875" style="2" customWidth="1"/>
    <col min="13592" max="13592" width="14.7109375" style="2" customWidth="1"/>
    <col min="13593" max="13593" width="0" style="2" hidden="1" customWidth="1"/>
    <col min="13594" max="13594" width="13" style="2" customWidth="1"/>
    <col min="13595" max="13595" width="12.7109375" style="2" customWidth="1"/>
    <col min="13596" max="13596" width="13.140625" style="2" customWidth="1"/>
    <col min="13597" max="13597" width="14" style="2" customWidth="1"/>
    <col min="13598" max="13598" width="8.140625" style="2" customWidth="1"/>
    <col min="13599" max="13599" width="11.5703125" style="2" customWidth="1"/>
    <col min="13600" max="13600" width="24.7109375" style="2" customWidth="1"/>
    <col min="13601" max="13601" width="12" style="2" customWidth="1"/>
    <col min="13602" max="13603" width="0.28515625" style="2" customWidth="1"/>
    <col min="13604" max="13604" width="1.42578125" style="2" customWidth="1"/>
    <col min="13605" max="13605" width="0" style="2" hidden="1" customWidth="1"/>
    <col min="13606" max="13824" width="11.42578125" style="2"/>
    <col min="13825" max="13825" width="8" style="2" customWidth="1"/>
    <col min="13826" max="13826" width="13.42578125" style="2" customWidth="1"/>
    <col min="13827" max="13827" width="4.28515625" style="2" customWidth="1"/>
    <col min="13828" max="13828" width="4" style="2" customWidth="1"/>
    <col min="13829" max="13829" width="17" style="2" customWidth="1"/>
    <col min="13830" max="13830" width="4.140625" style="2" customWidth="1"/>
    <col min="13831" max="13831" width="11.28515625" style="2" customWidth="1"/>
    <col min="13832" max="13832" width="11" style="2" customWidth="1"/>
    <col min="13833" max="13834" width="2.140625" style="2" customWidth="1"/>
    <col min="13835" max="13835" width="3.28515625" style="2" customWidth="1"/>
    <col min="13836" max="13837" width="0" style="2" hidden="1" customWidth="1"/>
    <col min="13838" max="13838" width="2.85546875" style="2" customWidth="1"/>
    <col min="13839" max="13839" width="3.28515625" style="2" customWidth="1"/>
    <col min="13840" max="13840" width="1.5703125" style="2" customWidth="1"/>
    <col min="13841" max="13841" width="0" style="2" hidden="1" customWidth="1"/>
    <col min="13842" max="13842" width="6.85546875" style="2" customWidth="1"/>
    <col min="13843" max="13843" width="0" style="2" hidden="1" customWidth="1"/>
    <col min="13844" max="13845" width="6.28515625" style="2" customWidth="1"/>
    <col min="13846" max="13846" width="13.85546875" style="2" customWidth="1"/>
    <col min="13847" max="13847" width="10.85546875" style="2" customWidth="1"/>
    <col min="13848" max="13848" width="14.7109375" style="2" customWidth="1"/>
    <col min="13849" max="13849" width="0" style="2" hidden="1" customWidth="1"/>
    <col min="13850" max="13850" width="13" style="2" customWidth="1"/>
    <col min="13851" max="13851" width="12.7109375" style="2" customWidth="1"/>
    <col min="13852" max="13852" width="13.140625" style="2" customWidth="1"/>
    <col min="13853" max="13853" width="14" style="2" customWidth="1"/>
    <col min="13854" max="13854" width="8.140625" style="2" customWidth="1"/>
    <col min="13855" max="13855" width="11.5703125" style="2" customWidth="1"/>
    <col min="13856" max="13856" width="24.7109375" style="2" customWidth="1"/>
    <col min="13857" max="13857" width="12" style="2" customWidth="1"/>
    <col min="13858" max="13859" width="0.28515625" style="2" customWidth="1"/>
    <col min="13860" max="13860" width="1.42578125" style="2" customWidth="1"/>
    <col min="13861" max="13861" width="0" style="2" hidden="1" customWidth="1"/>
    <col min="13862" max="14080" width="11.42578125" style="2"/>
    <col min="14081" max="14081" width="8" style="2" customWidth="1"/>
    <col min="14082" max="14082" width="13.42578125" style="2" customWidth="1"/>
    <col min="14083" max="14083" width="4.28515625" style="2" customWidth="1"/>
    <col min="14084" max="14084" width="4" style="2" customWidth="1"/>
    <col min="14085" max="14085" width="17" style="2" customWidth="1"/>
    <col min="14086" max="14086" width="4.140625" style="2" customWidth="1"/>
    <col min="14087" max="14087" width="11.28515625" style="2" customWidth="1"/>
    <col min="14088" max="14088" width="11" style="2" customWidth="1"/>
    <col min="14089" max="14090" width="2.140625" style="2" customWidth="1"/>
    <col min="14091" max="14091" width="3.28515625" style="2" customWidth="1"/>
    <col min="14092" max="14093" width="0" style="2" hidden="1" customWidth="1"/>
    <col min="14094" max="14094" width="2.85546875" style="2" customWidth="1"/>
    <col min="14095" max="14095" width="3.28515625" style="2" customWidth="1"/>
    <col min="14096" max="14096" width="1.5703125" style="2" customWidth="1"/>
    <col min="14097" max="14097" width="0" style="2" hidden="1" customWidth="1"/>
    <col min="14098" max="14098" width="6.85546875" style="2" customWidth="1"/>
    <col min="14099" max="14099" width="0" style="2" hidden="1" customWidth="1"/>
    <col min="14100" max="14101" width="6.28515625" style="2" customWidth="1"/>
    <col min="14102" max="14102" width="13.85546875" style="2" customWidth="1"/>
    <col min="14103" max="14103" width="10.85546875" style="2" customWidth="1"/>
    <col min="14104" max="14104" width="14.7109375" style="2" customWidth="1"/>
    <col min="14105" max="14105" width="0" style="2" hidden="1" customWidth="1"/>
    <col min="14106" max="14106" width="13" style="2" customWidth="1"/>
    <col min="14107" max="14107" width="12.7109375" style="2" customWidth="1"/>
    <col min="14108" max="14108" width="13.140625" style="2" customWidth="1"/>
    <col min="14109" max="14109" width="14" style="2" customWidth="1"/>
    <col min="14110" max="14110" width="8.140625" style="2" customWidth="1"/>
    <col min="14111" max="14111" width="11.5703125" style="2" customWidth="1"/>
    <col min="14112" max="14112" width="24.7109375" style="2" customWidth="1"/>
    <col min="14113" max="14113" width="12" style="2" customWidth="1"/>
    <col min="14114" max="14115" width="0.28515625" style="2" customWidth="1"/>
    <col min="14116" max="14116" width="1.42578125" style="2" customWidth="1"/>
    <col min="14117" max="14117" width="0" style="2" hidden="1" customWidth="1"/>
    <col min="14118" max="14336" width="11.42578125" style="2"/>
    <col min="14337" max="14337" width="8" style="2" customWidth="1"/>
    <col min="14338" max="14338" width="13.42578125" style="2" customWidth="1"/>
    <col min="14339" max="14339" width="4.28515625" style="2" customWidth="1"/>
    <col min="14340" max="14340" width="4" style="2" customWidth="1"/>
    <col min="14341" max="14341" width="17" style="2" customWidth="1"/>
    <col min="14342" max="14342" width="4.140625" style="2" customWidth="1"/>
    <col min="14343" max="14343" width="11.28515625" style="2" customWidth="1"/>
    <col min="14344" max="14344" width="11" style="2" customWidth="1"/>
    <col min="14345" max="14346" width="2.140625" style="2" customWidth="1"/>
    <col min="14347" max="14347" width="3.28515625" style="2" customWidth="1"/>
    <col min="14348" max="14349" width="0" style="2" hidden="1" customWidth="1"/>
    <col min="14350" max="14350" width="2.85546875" style="2" customWidth="1"/>
    <col min="14351" max="14351" width="3.28515625" style="2" customWidth="1"/>
    <col min="14352" max="14352" width="1.5703125" style="2" customWidth="1"/>
    <col min="14353" max="14353" width="0" style="2" hidden="1" customWidth="1"/>
    <col min="14354" max="14354" width="6.85546875" style="2" customWidth="1"/>
    <col min="14355" max="14355" width="0" style="2" hidden="1" customWidth="1"/>
    <col min="14356" max="14357" width="6.28515625" style="2" customWidth="1"/>
    <col min="14358" max="14358" width="13.85546875" style="2" customWidth="1"/>
    <col min="14359" max="14359" width="10.85546875" style="2" customWidth="1"/>
    <col min="14360" max="14360" width="14.7109375" style="2" customWidth="1"/>
    <col min="14361" max="14361" width="0" style="2" hidden="1" customWidth="1"/>
    <col min="14362" max="14362" width="13" style="2" customWidth="1"/>
    <col min="14363" max="14363" width="12.7109375" style="2" customWidth="1"/>
    <col min="14364" max="14364" width="13.140625" style="2" customWidth="1"/>
    <col min="14365" max="14365" width="14" style="2" customWidth="1"/>
    <col min="14366" max="14366" width="8.140625" style="2" customWidth="1"/>
    <col min="14367" max="14367" width="11.5703125" style="2" customWidth="1"/>
    <col min="14368" max="14368" width="24.7109375" style="2" customWidth="1"/>
    <col min="14369" max="14369" width="12" style="2" customWidth="1"/>
    <col min="14370" max="14371" width="0.28515625" style="2" customWidth="1"/>
    <col min="14372" max="14372" width="1.42578125" style="2" customWidth="1"/>
    <col min="14373" max="14373" width="0" style="2" hidden="1" customWidth="1"/>
    <col min="14374" max="14592" width="11.42578125" style="2"/>
    <col min="14593" max="14593" width="8" style="2" customWidth="1"/>
    <col min="14594" max="14594" width="13.42578125" style="2" customWidth="1"/>
    <col min="14595" max="14595" width="4.28515625" style="2" customWidth="1"/>
    <col min="14596" max="14596" width="4" style="2" customWidth="1"/>
    <col min="14597" max="14597" width="17" style="2" customWidth="1"/>
    <col min="14598" max="14598" width="4.140625" style="2" customWidth="1"/>
    <col min="14599" max="14599" width="11.28515625" style="2" customWidth="1"/>
    <col min="14600" max="14600" width="11" style="2" customWidth="1"/>
    <col min="14601" max="14602" width="2.140625" style="2" customWidth="1"/>
    <col min="14603" max="14603" width="3.28515625" style="2" customWidth="1"/>
    <col min="14604" max="14605" width="0" style="2" hidden="1" customWidth="1"/>
    <col min="14606" max="14606" width="2.85546875" style="2" customWidth="1"/>
    <col min="14607" max="14607" width="3.28515625" style="2" customWidth="1"/>
    <col min="14608" max="14608" width="1.5703125" style="2" customWidth="1"/>
    <col min="14609" max="14609" width="0" style="2" hidden="1" customWidth="1"/>
    <col min="14610" max="14610" width="6.85546875" style="2" customWidth="1"/>
    <col min="14611" max="14611" width="0" style="2" hidden="1" customWidth="1"/>
    <col min="14612" max="14613" width="6.28515625" style="2" customWidth="1"/>
    <col min="14614" max="14614" width="13.85546875" style="2" customWidth="1"/>
    <col min="14615" max="14615" width="10.85546875" style="2" customWidth="1"/>
    <col min="14616" max="14616" width="14.7109375" style="2" customWidth="1"/>
    <col min="14617" max="14617" width="0" style="2" hidden="1" customWidth="1"/>
    <col min="14618" max="14618" width="13" style="2" customWidth="1"/>
    <col min="14619" max="14619" width="12.7109375" style="2" customWidth="1"/>
    <col min="14620" max="14620" width="13.140625" style="2" customWidth="1"/>
    <col min="14621" max="14621" width="14" style="2" customWidth="1"/>
    <col min="14622" max="14622" width="8.140625" style="2" customWidth="1"/>
    <col min="14623" max="14623" width="11.5703125" style="2" customWidth="1"/>
    <col min="14624" max="14624" width="24.7109375" style="2" customWidth="1"/>
    <col min="14625" max="14625" width="12" style="2" customWidth="1"/>
    <col min="14626" max="14627" width="0.28515625" style="2" customWidth="1"/>
    <col min="14628" max="14628" width="1.42578125" style="2" customWidth="1"/>
    <col min="14629" max="14629" width="0" style="2" hidden="1" customWidth="1"/>
    <col min="14630" max="14848" width="11.42578125" style="2"/>
    <col min="14849" max="14849" width="8" style="2" customWidth="1"/>
    <col min="14850" max="14850" width="13.42578125" style="2" customWidth="1"/>
    <col min="14851" max="14851" width="4.28515625" style="2" customWidth="1"/>
    <col min="14852" max="14852" width="4" style="2" customWidth="1"/>
    <col min="14853" max="14853" width="17" style="2" customWidth="1"/>
    <col min="14854" max="14854" width="4.140625" style="2" customWidth="1"/>
    <col min="14855" max="14855" width="11.28515625" style="2" customWidth="1"/>
    <col min="14856" max="14856" width="11" style="2" customWidth="1"/>
    <col min="14857" max="14858" width="2.140625" style="2" customWidth="1"/>
    <col min="14859" max="14859" width="3.28515625" style="2" customWidth="1"/>
    <col min="14860" max="14861" width="0" style="2" hidden="1" customWidth="1"/>
    <col min="14862" max="14862" width="2.85546875" style="2" customWidth="1"/>
    <col min="14863" max="14863" width="3.28515625" style="2" customWidth="1"/>
    <col min="14864" max="14864" width="1.5703125" style="2" customWidth="1"/>
    <col min="14865" max="14865" width="0" style="2" hidden="1" customWidth="1"/>
    <col min="14866" max="14866" width="6.85546875" style="2" customWidth="1"/>
    <col min="14867" max="14867" width="0" style="2" hidden="1" customWidth="1"/>
    <col min="14868" max="14869" width="6.28515625" style="2" customWidth="1"/>
    <col min="14870" max="14870" width="13.85546875" style="2" customWidth="1"/>
    <col min="14871" max="14871" width="10.85546875" style="2" customWidth="1"/>
    <col min="14872" max="14872" width="14.7109375" style="2" customWidth="1"/>
    <col min="14873" max="14873" width="0" style="2" hidden="1" customWidth="1"/>
    <col min="14874" max="14874" width="13" style="2" customWidth="1"/>
    <col min="14875" max="14875" width="12.7109375" style="2" customWidth="1"/>
    <col min="14876" max="14876" width="13.140625" style="2" customWidth="1"/>
    <col min="14877" max="14877" width="14" style="2" customWidth="1"/>
    <col min="14878" max="14878" width="8.140625" style="2" customWidth="1"/>
    <col min="14879" max="14879" width="11.5703125" style="2" customWidth="1"/>
    <col min="14880" max="14880" width="24.7109375" style="2" customWidth="1"/>
    <col min="14881" max="14881" width="12" style="2" customWidth="1"/>
    <col min="14882" max="14883" width="0.28515625" style="2" customWidth="1"/>
    <col min="14884" max="14884" width="1.42578125" style="2" customWidth="1"/>
    <col min="14885" max="14885" width="0" style="2" hidden="1" customWidth="1"/>
    <col min="14886" max="15104" width="11.42578125" style="2"/>
    <col min="15105" max="15105" width="8" style="2" customWidth="1"/>
    <col min="15106" max="15106" width="13.42578125" style="2" customWidth="1"/>
    <col min="15107" max="15107" width="4.28515625" style="2" customWidth="1"/>
    <col min="15108" max="15108" width="4" style="2" customWidth="1"/>
    <col min="15109" max="15109" width="17" style="2" customWidth="1"/>
    <col min="15110" max="15110" width="4.140625" style="2" customWidth="1"/>
    <col min="15111" max="15111" width="11.28515625" style="2" customWidth="1"/>
    <col min="15112" max="15112" width="11" style="2" customWidth="1"/>
    <col min="15113" max="15114" width="2.140625" style="2" customWidth="1"/>
    <col min="15115" max="15115" width="3.28515625" style="2" customWidth="1"/>
    <col min="15116" max="15117" width="0" style="2" hidden="1" customWidth="1"/>
    <col min="15118" max="15118" width="2.85546875" style="2" customWidth="1"/>
    <col min="15119" max="15119" width="3.28515625" style="2" customWidth="1"/>
    <col min="15120" max="15120" width="1.5703125" style="2" customWidth="1"/>
    <col min="15121" max="15121" width="0" style="2" hidden="1" customWidth="1"/>
    <col min="15122" max="15122" width="6.85546875" style="2" customWidth="1"/>
    <col min="15123" max="15123" width="0" style="2" hidden="1" customWidth="1"/>
    <col min="15124" max="15125" width="6.28515625" style="2" customWidth="1"/>
    <col min="15126" max="15126" width="13.85546875" style="2" customWidth="1"/>
    <col min="15127" max="15127" width="10.85546875" style="2" customWidth="1"/>
    <col min="15128" max="15128" width="14.7109375" style="2" customWidth="1"/>
    <col min="15129" max="15129" width="0" style="2" hidden="1" customWidth="1"/>
    <col min="15130" max="15130" width="13" style="2" customWidth="1"/>
    <col min="15131" max="15131" width="12.7109375" style="2" customWidth="1"/>
    <col min="15132" max="15132" width="13.140625" style="2" customWidth="1"/>
    <col min="15133" max="15133" width="14" style="2" customWidth="1"/>
    <col min="15134" max="15134" width="8.140625" style="2" customWidth="1"/>
    <col min="15135" max="15135" width="11.5703125" style="2" customWidth="1"/>
    <col min="15136" max="15136" width="24.7109375" style="2" customWidth="1"/>
    <col min="15137" max="15137" width="12" style="2" customWidth="1"/>
    <col min="15138" max="15139" width="0.28515625" style="2" customWidth="1"/>
    <col min="15140" max="15140" width="1.42578125" style="2" customWidth="1"/>
    <col min="15141" max="15141" width="0" style="2" hidden="1" customWidth="1"/>
    <col min="15142" max="15360" width="11.42578125" style="2"/>
    <col min="15361" max="15361" width="8" style="2" customWidth="1"/>
    <col min="15362" max="15362" width="13.42578125" style="2" customWidth="1"/>
    <col min="15363" max="15363" width="4.28515625" style="2" customWidth="1"/>
    <col min="15364" max="15364" width="4" style="2" customWidth="1"/>
    <col min="15365" max="15365" width="17" style="2" customWidth="1"/>
    <col min="15366" max="15366" width="4.140625" style="2" customWidth="1"/>
    <col min="15367" max="15367" width="11.28515625" style="2" customWidth="1"/>
    <col min="15368" max="15368" width="11" style="2" customWidth="1"/>
    <col min="15369" max="15370" width="2.140625" style="2" customWidth="1"/>
    <col min="15371" max="15371" width="3.28515625" style="2" customWidth="1"/>
    <col min="15372" max="15373" width="0" style="2" hidden="1" customWidth="1"/>
    <col min="15374" max="15374" width="2.85546875" style="2" customWidth="1"/>
    <col min="15375" max="15375" width="3.28515625" style="2" customWidth="1"/>
    <col min="15376" max="15376" width="1.5703125" style="2" customWidth="1"/>
    <col min="15377" max="15377" width="0" style="2" hidden="1" customWidth="1"/>
    <col min="15378" max="15378" width="6.85546875" style="2" customWidth="1"/>
    <col min="15379" max="15379" width="0" style="2" hidden="1" customWidth="1"/>
    <col min="15380" max="15381" width="6.28515625" style="2" customWidth="1"/>
    <col min="15382" max="15382" width="13.85546875" style="2" customWidth="1"/>
    <col min="15383" max="15383" width="10.85546875" style="2" customWidth="1"/>
    <col min="15384" max="15384" width="14.7109375" style="2" customWidth="1"/>
    <col min="15385" max="15385" width="0" style="2" hidden="1" customWidth="1"/>
    <col min="15386" max="15386" width="13" style="2" customWidth="1"/>
    <col min="15387" max="15387" width="12.7109375" style="2" customWidth="1"/>
    <col min="15388" max="15388" width="13.140625" style="2" customWidth="1"/>
    <col min="15389" max="15389" width="14" style="2" customWidth="1"/>
    <col min="15390" max="15390" width="8.140625" style="2" customWidth="1"/>
    <col min="15391" max="15391" width="11.5703125" style="2" customWidth="1"/>
    <col min="15392" max="15392" width="24.7109375" style="2" customWidth="1"/>
    <col min="15393" max="15393" width="12" style="2" customWidth="1"/>
    <col min="15394" max="15395" width="0.28515625" style="2" customWidth="1"/>
    <col min="15396" max="15396" width="1.42578125" style="2" customWidth="1"/>
    <col min="15397" max="15397" width="0" style="2" hidden="1" customWidth="1"/>
    <col min="15398" max="15616" width="11.42578125" style="2"/>
    <col min="15617" max="15617" width="8" style="2" customWidth="1"/>
    <col min="15618" max="15618" width="13.42578125" style="2" customWidth="1"/>
    <col min="15619" max="15619" width="4.28515625" style="2" customWidth="1"/>
    <col min="15620" max="15620" width="4" style="2" customWidth="1"/>
    <col min="15621" max="15621" width="17" style="2" customWidth="1"/>
    <col min="15622" max="15622" width="4.140625" style="2" customWidth="1"/>
    <col min="15623" max="15623" width="11.28515625" style="2" customWidth="1"/>
    <col min="15624" max="15624" width="11" style="2" customWidth="1"/>
    <col min="15625" max="15626" width="2.140625" style="2" customWidth="1"/>
    <col min="15627" max="15627" width="3.28515625" style="2" customWidth="1"/>
    <col min="15628" max="15629" width="0" style="2" hidden="1" customWidth="1"/>
    <col min="15630" max="15630" width="2.85546875" style="2" customWidth="1"/>
    <col min="15631" max="15631" width="3.28515625" style="2" customWidth="1"/>
    <col min="15632" max="15632" width="1.5703125" style="2" customWidth="1"/>
    <col min="15633" max="15633" width="0" style="2" hidden="1" customWidth="1"/>
    <col min="15634" max="15634" width="6.85546875" style="2" customWidth="1"/>
    <col min="15635" max="15635" width="0" style="2" hidden="1" customWidth="1"/>
    <col min="15636" max="15637" width="6.28515625" style="2" customWidth="1"/>
    <col min="15638" max="15638" width="13.85546875" style="2" customWidth="1"/>
    <col min="15639" max="15639" width="10.85546875" style="2" customWidth="1"/>
    <col min="15640" max="15640" width="14.7109375" style="2" customWidth="1"/>
    <col min="15641" max="15641" width="0" style="2" hidden="1" customWidth="1"/>
    <col min="15642" max="15642" width="13" style="2" customWidth="1"/>
    <col min="15643" max="15643" width="12.7109375" style="2" customWidth="1"/>
    <col min="15644" max="15644" width="13.140625" style="2" customWidth="1"/>
    <col min="15645" max="15645" width="14" style="2" customWidth="1"/>
    <col min="15646" max="15646" width="8.140625" style="2" customWidth="1"/>
    <col min="15647" max="15647" width="11.5703125" style="2" customWidth="1"/>
    <col min="15648" max="15648" width="24.7109375" style="2" customWidth="1"/>
    <col min="15649" max="15649" width="12" style="2" customWidth="1"/>
    <col min="15650" max="15651" width="0.28515625" style="2" customWidth="1"/>
    <col min="15652" max="15652" width="1.42578125" style="2" customWidth="1"/>
    <col min="15653" max="15653" width="0" style="2" hidden="1" customWidth="1"/>
    <col min="15654" max="15872" width="11.42578125" style="2"/>
    <col min="15873" max="15873" width="8" style="2" customWidth="1"/>
    <col min="15874" max="15874" width="13.42578125" style="2" customWidth="1"/>
    <col min="15875" max="15875" width="4.28515625" style="2" customWidth="1"/>
    <col min="15876" max="15876" width="4" style="2" customWidth="1"/>
    <col min="15877" max="15877" width="17" style="2" customWidth="1"/>
    <col min="15878" max="15878" width="4.140625" style="2" customWidth="1"/>
    <col min="15879" max="15879" width="11.28515625" style="2" customWidth="1"/>
    <col min="15880" max="15880" width="11" style="2" customWidth="1"/>
    <col min="15881" max="15882" width="2.140625" style="2" customWidth="1"/>
    <col min="15883" max="15883" width="3.28515625" style="2" customWidth="1"/>
    <col min="15884" max="15885" width="0" style="2" hidden="1" customWidth="1"/>
    <col min="15886" max="15886" width="2.85546875" style="2" customWidth="1"/>
    <col min="15887" max="15887" width="3.28515625" style="2" customWidth="1"/>
    <col min="15888" max="15888" width="1.5703125" style="2" customWidth="1"/>
    <col min="15889" max="15889" width="0" style="2" hidden="1" customWidth="1"/>
    <col min="15890" max="15890" width="6.85546875" style="2" customWidth="1"/>
    <col min="15891" max="15891" width="0" style="2" hidden="1" customWidth="1"/>
    <col min="15892" max="15893" width="6.28515625" style="2" customWidth="1"/>
    <col min="15894" max="15894" width="13.85546875" style="2" customWidth="1"/>
    <col min="15895" max="15895" width="10.85546875" style="2" customWidth="1"/>
    <col min="15896" max="15896" width="14.7109375" style="2" customWidth="1"/>
    <col min="15897" max="15897" width="0" style="2" hidden="1" customWidth="1"/>
    <col min="15898" max="15898" width="13" style="2" customWidth="1"/>
    <col min="15899" max="15899" width="12.7109375" style="2" customWidth="1"/>
    <col min="15900" max="15900" width="13.140625" style="2" customWidth="1"/>
    <col min="15901" max="15901" width="14" style="2" customWidth="1"/>
    <col min="15902" max="15902" width="8.140625" style="2" customWidth="1"/>
    <col min="15903" max="15903" width="11.5703125" style="2" customWidth="1"/>
    <col min="15904" max="15904" width="24.7109375" style="2" customWidth="1"/>
    <col min="15905" max="15905" width="12" style="2" customWidth="1"/>
    <col min="15906" max="15907" width="0.28515625" style="2" customWidth="1"/>
    <col min="15908" max="15908" width="1.42578125" style="2" customWidth="1"/>
    <col min="15909" max="15909" width="0" style="2" hidden="1" customWidth="1"/>
    <col min="15910" max="16128" width="11.42578125" style="2"/>
    <col min="16129" max="16129" width="8" style="2" customWidth="1"/>
    <col min="16130" max="16130" width="13.42578125" style="2" customWidth="1"/>
    <col min="16131" max="16131" width="4.28515625" style="2" customWidth="1"/>
    <col min="16132" max="16132" width="4" style="2" customWidth="1"/>
    <col min="16133" max="16133" width="17" style="2" customWidth="1"/>
    <col min="16134" max="16134" width="4.140625" style="2" customWidth="1"/>
    <col min="16135" max="16135" width="11.28515625" style="2" customWidth="1"/>
    <col min="16136" max="16136" width="11" style="2" customWidth="1"/>
    <col min="16137" max="16138" width="2.140625" style="2" customWidth="1"/>
    <col min="16139" max="16139" width="3.28515625" style="2" customWidth="1"/>
    <col min="16140" max="16141" width="0" style="2" hidden="1" customWidth="1"/>
    <col min="16142" max="16142" width="2.85546875" style="2" customWidth="1"/>
    <col min="16143" max="16143" width="3.28515625" style="2" customWidth="1"/>
    <col min="16144" max="16144" width="1.5703125" style="2" customWidth="1"/>
    <col min="16145" max="16145" width="0" style="2" hidden="1" customWidth="1"/>
    <col min="16146" max="16146" width="6.85546875" style="2" customWidth="1"/>
    <col min="16147" max="16147" width="0" style="2" hidden="1" customWidth="1"/>
    <col min="16148" max="16149" width="6.28515625" style="2" customWidth="1"/>
    <col min="16150" max="16150" width="13.85546875" style="2" customWidth="1"/>
    <col min="16151" max="16151" width="10.85546875" style="2" customWidth="1"/>
    <col min="16152" max="16152" width="14.7109375" style="2" customWidth="1"/>
    <col min="16153" max="16153" width="0" style="2" hidden="1" customWidth="1"/>
    <col min="16154" max="16154" width="13" style="2" customWidth="1"/>
    <col min="16155" max="16155" width="12.7109375" style="2" customWidth="1"/>
    <col min="16156" max="16156" width="13.140625" style="2" customWidth="1"/>
    <col min="16157" max="16157" width="14" style="2" customWidth="1"/>
    <col min="16158" max="16158" width="8.140625" style="2" customWidth="1"/>
    <col min="16159" max="16159" width="11.5703125" style="2" customWidth="1"/>
    <col min="16160" max="16160" width="24.7109375" style="2" customWidth="1"/>
    <col min="16161" max="16161" width="12" style="2" customWidth="1"/>
    <col min="16162" max="16163" width="0.28515625" style="2" customWidth="1"/>
    <col min="16164" max="16164" width="1.42578125" style="2" customWidth="1"/>
    <col min="16165" max="16165" width="0" style="2" hidden="1" customWidth="1"/>
    <col min="16166" max="16384" width="11.42578125" style="2"/>
  </cols>
  <sheetData>
    <row r="1" spans="1:38" ht="45" customHeight="1">
      <c r="A1" s="600"/>
      <c r="B1" s="600"/>
      <c r="C1" s="601" t="s">
        <v>0</v>
      </c>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2" t="s">
        <v>95</v>
      </c>
      <c r="AH1" s="3" t="s">
        <v>17</v>
      </c>
      <c r="AI1" s="6" t="s">
        <v>23</v>
      </c>
    </row>
    <row r="2" spans="1:38" ht="45" customHeight="1">
      <c r="A2" s="600"/>
      <c r="B2" s="600"/>
      <c r="C2" s="603" t="s">
        <v>37</v>
      </c>
      <c r="D2" s="603"/>
      <c r="E2" s="603"/>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2"/>
      <c r="AH2" s="2" t="s">
        <v>18</v>
      </c>
      <c r="AI2" s="7" t="s">
        <v>24</v>
      </c>
    </row>
    <row r="3" spans="1:38"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H3" s="3" t="s">
        <v>16</v>
      </c>
      <c r="AI3" s="6" t="s">
        <v>25</v>
      </c>
    </row>
    <row r="4" spans="1:38" ht="30.75" customHeight="1">
      <c r="A4" s="597" t="s">
        <v>5</v>
      </c>
      <c r="B4" s="597"/>
      <c r="C4" s="597"/>
      <c r="D4" s="597"/>
      <c r="E4" s="598" t="s">
        <v>221</v>
      </c>
      <c r="F4" s="598"/>
      <c r="G4" s="598"/>
      <c r="H4" s="598"/>
      <c r="I4" s="598"/>
      <c r="J4" s="598"/>
      <c r="K4" s="598"/>
      <c r="L4" s="598"/>
      <c r="M4" s="598"/>
      <c r="N4" s="598"/>
      <c r="O4" s="598"/>
      <c r="P4" s="598"/>
      <c r="Q4" s="598"/>
      <c r="R4" s="598"/>
      <c r="S4" s="598"/>
      <c r="T4" s="598"/>
      <c r="U4" s="598"/>
      <c r="V4" s="599" t="s">
        <v>20</v>
      </c>
      <c r="W4" s="599"/>
      <c r="X4" s="598" t="s">
        <v>288</v>
      </c>
      <c r="Y4" s="598"/>
      <c r="Z4" s="598"/>
      <c r="AA4" s="598"/>
      <c r="AB4" s="598"/>
      <c r="AC4" s="598"/>
      <c r="AD4" s="599" t="s">
        <v>98</v>
      </c>
      <c r="AE4" s="599"/>
      <c r="AF4" s="134" t="s">
        <v>99</v>
      </c>
      <c r="AH4" s="6" t="s">
        <v>19</v>
      </c>
    </row>
    <row r="5" spans="1:38" ht="4.5" customHeight="1" thickBo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row>
    <row r="6" spans="1:38" ht="57" customHeight="1">
      <c r="A6" s="605" t="s">
        <v>39</v>
      </c>
      <c r="B6" s="606"/>
      <c r="C6" s="599" t="s">
        <v>1</v>
      </c>
      <c r="D6" s="599" t="s">
        <v>100</v>
      </c>
      <c r="E6" s="599"/>
      <c r="F6" s="608" t="s">
        <v>6</v>
      </c>
      <c r="G6" s="599" t="s">
        <v>9</v>
      </c>
      <c r="H6" s="599" t="s">
        <v>2</v>
      </c>
      <c r="I6" s="599" t="s">
        <v>21</v>
      </c>
      <c r="J6" s="599"/>
      <c r="K6" s="599"/>
      <c r="L6" s="599"/>
      <c r="M6" s="599"/>
      <c r="N6" s="599"/>
      <c r="O6" s="599"/>
      <c r="P6" s="599"/>
      <c r="Q6" s="599"/>
      <c r="R6" s="599"/>
      <c r="S6" s="599"/>
      <c r="T6" s="599"/>
      <c r="U6" s="599"/>
      <c r="V6" s="599" t="s">
        <v>101</v>
      </c>
      <c r="W6" s="599" t="s">
        <v>3</v>
      </c>
      <c r="X6" s="599"/>
      <c r="Y6" s="599"/>
      <c r="Z6" s="610" t="s">
        <v>102</v>
      </c>
      <c r="AA6" s="610" t="s">
        <v>103</v>
      </c>
      <c r="AB6" s="610" t="s">
        <v>4</v>
      </c>
      <c r="AC6" s="610"/>
      <c r="AD6" s="599" t="s">
        <v>104</v>
      </c>
      <c r="AE6" s="599" t="s">
        <v>105</v>
      </c>
      <c r="AF6" s="599" t="s">
        <v>106</v>
      </c>
    </row>
    <row r="7" spans="1:38" ht="37.5" customHeight="1" thickBot="1">
      <c r="A7" s="97" t="s">
        <v>40</v>
      </c>
      <c r="B7" s="98" t="s">
        <v>41</v>
      </c>
      <c r="C7" s="607"/>
      <c r="D7" s="607"/>
      <c r="E7" s="607"/>
      <c r="F7" s="609"/>
      <c r="G7" s="607"/>
      <c r="H7" s="607"/>
      <c r="I7" s="607" t="s">
        <v>11</v>
      </c>
      <c r="J7" s="607"/>
      <c r="K7" s="607"/>
      <c r="L7" s="607"/>
      <c r="M7" s="607"/>
      <c r="N7" s="607"/>
      <c r="O7" s="615" t="s">
        <v>12</v>
      </c>
      <c r="P7" s="615"/>
      <c r="Q7" s="615"/>
      <c r="R7" s="615"/>
      <c r="S7" s="615"/>
      <c r="T7" s="615" t="s">
        <v>13</v>
      </c>
      <c r="U7" s="615"/>
      <c r="V7" s="607"/>
      <c r="W7" s="607"/>
      <c r="X7" s="607"/>
      <c r="Y7" s="607"/>
      <c r="Z7" s="611"/>
      <c r="AA7" s="611"/>
      <c r="AB7" s="57" t="s">
        <v>14</v>
      </c>
      <c r="AC7" s="55" t="s">
        <v>15</v>
      </c>
      <c r="AD7" s="607"/>
      <c r="AE7" s="607"/>
      <c r="AF7" s="607"/>
    </row>
    <row r="8" spans="1:38" ht="158.25" customHeight="1" thickBot="1">
      <c r="A8" s="719"/>
      <c r="B8" s="632"/>
      <c r="C8" s="632">
        <v>1</v>
      </c>
      <c r="D8" s="722" t="s">
        <v>289</v>
      </c>
      <c r="E8" s="723"/>
      <c r="F8" s="790" t="s">
        <v>290</v>
      </c>
      <c r="G8" s="731" t="s">
        <v>38</v>
      </c>
      <c r="H8" s="632" t="s">
        <v>25</v>
      </c>
      <c r="I8" s="736" t="s">
        <v>162</v>
      </c>
      <c r="J8" s="737"/>
      <c r="K8" s="737"/>
      <c r="L8" s="737"/>
      <c r="M8" s="737"/>
      <c r="N8" s="738"/>
      <c r="O8" s="736" t="s">
        <v>162</v>
      </c>
      <c r="P8" s="737"/>
      <c r="Q8" s="737"/>
      <c r="R8" s="738"/>
      <c r="S8" s="99"/>
      <c r="T8" s="736" t="s">
        <v>162</v>
      </c>
      <c r="U8" s="738"/>
      <c r="V8" s="712" t="s">
        <v>162</v>
      </c>
      <c r="W8" s="793" t="s">
        <v>291</v>
      </c>
      <c r="X8" s="793"/>
      <c r="Y8" s="793"/>
      <c r="Z8" s="184" t="s">
        <v>292</v>
      </c>
      <c r="AA8" s="184" t="s">
        <v>293</v>
      </c>
      <c r="AB8" s="185" t="s">
        <v>294</v>
      </c>
      <c r="AC8" s="185" t="s">
        <v>262</v>
      </c>
      <c r="AD8" s="168">
        <v>1</v>
      </c>
      <c r="AE8" s="49" t="s">
        <v>17</v>
      </c>
      <c r="AF8" s="164" t="s">
        <v>295</v>
      </c>
      <c r="AG8" s="105"/>
      <c r="AH8" s="105"/>
      <c r="AI8" s="92"/>
      <c r="AJ8" s="92"/>
      <c r="AK8" s="92"/>
      <c r="AL8" s="92"/>
    </row>
    <row r="9" spans="1:38" ht="126.75" customHeight="1" thickBot="1">
      <c r="A9" s="721"/>
      <c r="B9" s="634"/>
      <c r="C9" s="634"/>
      <c r="D9" s="726"/>
      <c r="E9" s="727"/>
      <c r="F9" s="792"/>
      <c r="G9" s="733"/>
      <c r="H9" s="634"/>
      <c r="I9" s="742"/>
      <c r="J9" s="743"/>
      <c r="K9" s="743"/>
      <c r="L9" s="743"/>
      <c r="M9" s="743"/>
      <c r="N9" s="744"/>
      <c r="O9" s="742"/>
      <c r="P9" s="743"/>
      <c r="Q9" s="743"/>
      <c r="R9" s="744"/>
      <c r="S9" s="191"/>
      <c r="T9" s="742"/>
      <c r="U9" s="744"/>
      <c r="V9" s="714"/>
      <c r="W9" s="794" t="s">
        <v>296</v>
      </c>
      <c r="X9" s="794"/>
      <c r="Y9" s="794"/>
      <c r="Z9" s="193" t="s">
        <v>297</v>
      </c>
      <c r="AA9" s="193" t="s">
        <v>298</v>
      </c>
      <c r="AB9" s="194" t="s">
        <v>220</v>
      </c>
      <c r="AC9" s="194" t="s">
        <v>914</v>
      </c>
      <c r="AD9" s="114">
        <v>0.6</v>
      </c>
      <c r="AE9" s="115" t="s">
        <v>16</v>
      </c>
      <c r="AF9" s="196" t="s">
        <v>915</v>
      </c>
      <c r="AG9" s="105"/>
      <c r="AH9" s="105"/>
      <c r="AI9" s="92"/>
      <c r="AJ9" s="92"/>
      <c r="AK9" s="92"/>
      <c r="AL9" s="92"/>
    </row>
    <row r="10" spans="1:38" ht="6"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row>
    <row r="11" spans="1:38" ht="12.75" customHeight="1">
      <c r="A11" s="644" t="s">
        <v>22</v>
      </c>
      <c r="B11" s="644"/>
      <c r="C11" s="644"/>
      <c r="D11" s="644"/>
      <c r="E11" s="644"/>
      <c r="F11" s="644"/>
      <c r="G11" s="644"/>
      <c r="H11" s="644"/>
      <c r="I11" s="644"/>
      <c r="J11" s="644"/>
      <c r="K11" s="644"/>
      <c r="L11" s="4"/>
      <c r="M11" s="4"/>
      <c r="N11" s="645" t="s">
        <v>34</v>
      </c>
      <c r="O11" s="645"/>
      <c r="P11" s="645"/>
      <c r="Q11" s="645"/>
      <c r="R11" s="645"/>
      <c r="S11" s="645"/>
      <c r="T11" s="645"/>
      <c r="U11" s="645"/>
      <c r="V11" s="645"/>
      <c r="W11" s="645"/>
      <c r="X11" s="645"/>
      <c r="Y11" s="645"/>
      <c r="Z11" s="645"/>
      <c r="AA11" s="645"/>
      <c r="AB11" s="645"/>
      <c r="AC11" s="646" t="s">
        <v>35</v>
      </c>
      <c r="AD11" s="646"/>
      <c r="AE11" s="646"/>
      <c r="AF11" s="646"/>
    </row>
    <row r="12" spans="1:38">
      <c r="A12" s="644"/>
      <c r="B12" s="644"/>
      <c r="C12" s="644"/>
      <c r="D12" s="644"/>
      <c r="E12" s="644"/>
      <c r="F12" s="644"/>
      <c r="G12" s="644"/>
      <c r="H12" s="644"/>
      <c r="I12" s="644"/>
      <c r="J12" s="644"/>
      <c r="K12" s="644"/>
      <c r="L12" s="4"/>
      <c r="M12" s="4"/>
      <c r="N12" s="645"/>
      <c r="O12" s="645"/>
      <c r="P12" s="645"/>
      <c r="Q12" s="645"/>
      <c r="R12" s="645"/>
      <c r="S12" s="645"/>
      <c r="T12" s="645"/>
      <c r="U12" s="645"/>
      <c r="V12" s="645"/>
      <c r="W12" s="645"/>
      <c r="X12" s="645"/>
      <c r="Y12" s="645"/>
      <c r="Z12" s="645"/>
      <c r="AA12" s="645"/>
      <c r="AB12" s="645"/>
      <c r="AC12" s="646"/>
      <c r="AD12" s="646"/>
      <c r="AE12" s="646"/>
      <c r="AF12" s="646"/>
    </row>
    <row r="13" spans="1:38" ht="38.25" customHeight="1">
      <c r="A13" s="715" t="s">
        <v>287</v>
      </c>
      <c r="B13" s="648"/>
      <c r="C13" s="648"/>
      <c r="D13" s="648"/>
      <c r="E13" s="648"/>
      <c r="F13" s="648"/>
      <c r="G13" s="648"/>
      <c r="H13" s="648"/>
      <c r="I13" s="648"/>
      <c r="J13" s="648"/>
      <c r="K13" s="648"/>
      <c r="L13" s="4"/>
      <c r="M13" s="4"/>
      <c r="N13" s="650" t="s">
        <v>283</v>
      </c>
      <c r="O13" s="650"/>
      <c r="P13" s="650"/>
      <c r="Q13" s="650"/>
      <c r="R13" s="650"/>
      <c r="S13" s="650"/>
      <c r="T13" s="650"/>
      <c r="U13" s="650"/>
      <c r="V13" s="650"/>
      <c r="W13" s="650"/>
      <c r="X13" s="650"/>
      <c r="Y13" s="650"/>
      <c r="Z13" s="650"/>
      <c r="AA13" s="650"/>
      <c r="AB13" s="650"/>
      <c r="AC13" s="651" t="s">
        <v>94</v>
      </c>
      <c r="AD13" s="651"/>
      <c r="AE13" s="651"/>
      <c r="AF13" s="651"/>
    </row>
    <row r="14" spans="1:38" ht="15" customHeight="1">
      <c r="A14" s="641" t="s">
        <v>36</v>
      </c>
      <c r="B14" s="641"/>
      <c r="C14" s="641"/>
      <c r="D14" s="641"/>
      <c r="E14" s="641"/>
      <c r="F14" s="641"/>
      <c r="G14" s="641"/>
      <c r="H14" s="641"/>
      <c r="I14" s="641"/>
      <c r="J14" s="641"/>
      <c r="K14" s="641"/>
      <c r="L14" s="641"/>
      <c r="M14" s="641"/>
      <c r="N14" s="641"/>
      <c r="O14" s="641"/>
      <c r="P14" s="641"/>
      <c r="Q14" s="641"/>
      <c r="R14" s="641"/>
      <c r="S14" s="641"/>
      <c r="T14" s="641"/>
      <c r="U14" s="641"/>
      <c r="V14" s="641"/>
      <c r="W14" s="641"/>
      <c r="X14" s="641"/>
      <c r="Y14" s="641"/>
      <c r="Z14" s="641"/>
      <c r="AA14" s="641"/>
      <c r="AB14" s="641"/>
      <c r="AC14" s="641"/>
      <c r="AD14" s="641"/>
      <c r="AE14" s="641"/>
      <c r="AF14" s="641"/>
    </row>
    <row r="15" spans="1:38" ht="15.75" customHeight="1">
      <c r="A15" s="642"/>
      <c r="B15" s="642"/>
      <c r="C15" s="642"/>
      <c r="D15" s="642"/>
      <c r="E15" s="642"/>
      <c r="F15" s="642"/>
      <c r="G15" s="642"/>
      <c r="H15" s="642"/>
      <c r="I15" s="642"/>
      <c r="J15" s="642"/>
      <c r="K15" s="642"/>
      <c r="L15" s="642"/>
      <c r="M15" s="642"/>
      <c r="N15" s="642"/>
      <c r="O15" s="642"/>
      <c r="P15" s="642"/>
      <c r="Q15" s="642"/>
      <c r="R15" s="642"/>
      <c r="S15" s="642"/>
      <c r="T15" s="642"/>
      <c r="U15" s="642"/>
      <c r="V15" s="642"/>
      <c r="W15" s="642"/>
      <c r="X15" s="642"/>
      <c r="Y15" s="642"/>
      <c r="Z15" s="642"/>
      <c r="AA15" s="642"/>
      <c r="AB15" s="642"/>
      <c r="AC15" s="642"/>
      <c r="AD15" s="642"/>
      <c r="AE15" s="642"/>
      <c r="AF15" s="642"/>
      <c r="AG15" s="642"/>
    </row>
    <row r="16" spans="1:38" ht="22.5" customHeight="1">
      <c r="A16" s="642"/>
      <c r="B16" s="642"/>
      <c r="C16" s="642"/>
      <c r="D16" s="642"/>
      <c r="E16" s="642"/>
      <c r="F16" s="642"/>
      <c r="G16" s="642"/>
      <c r="H16" s="642"/>
      <c r="I16" s="642"/>
      <c r="J16" s="642"/>
      <c r="K16" s="642"/>
      <c r="L16" s="642"/>
      <c r="M16" s="642"/>
      <c r="N16" s="642"/>
      <c r="O16" s="642"/>
      <c r="P16" s="642"/>
      <c r="Q16" s="642"/>
      <c r="R16" s="642"/>
      <c r="S16" s="642"/>
      <c r="T16" s="642"/>
      <c r="U16" s="642"/>
      <c r="V16" s="642"/>
      <c r="W16" s="642"/>
      <c r="X16" s="642"/>
      <c r="Y16" s="642"/>
      <c r="Z16" s="642"/>
      <c r="AA16" s="642"/>
      <c r="AB16" s="642"/>
      <c r="AC16" s="642"/>
      <c r="AD16" s="642"/>
      <c r="AE16" s="642"/>
      <c r="AF16" s="642"/>
      <c r="AG16" s="8"/>
      <c r="AH16" s="8"/>
    </row>
    <row r="19" spans="35:35" ht="24.75" customHeight="1">
      <c r="AI19" s="6" t="s">
        <v>38</v>
      </c>
    </row>
    <row r="20" spans="35:35" ht="24.75" customHeight="1">
      <c r="AI20" s="6" t="s">
        <v>10</v>
      </c>
    </row>
    <row r="21" spans="35:35" ht="24.75" customHeight="1">
      <c r="AI21" s="6" t="s">
        <v>42</v>
      </c>
    </row>
    <row r="22" spans="35:35" ht="24.75" customHeight="1">
      <c r="AI22" s="6" t="s">
        <v>43</v>
      </c>
    </row>
    <row r="23" spans="35:35" ht="24.75" customHeight="1">
      <c r="AI23" s="6" t="s">
        <v>44</v>
      </c>
    </row>
    <row r="24" spans="35:35" ht="24.75" customHeight="1">
      <c r="AI24" s="6" t="s">
        <v>26</v>
      </c>
    </row>
    <row r="25" spans="35:35" ht="24.75" customHeight="1">
      <c r="AI25" s="6" t="s">
        <v>27</v>
      </c>
    </row>
    <row r="26" spans="35:35" ht="24.75" customHeight="1">
      <c r="AI26" s="6" t="s">
        <v>28</v>
      </c>
    </row>
    <row r="27" spans="35:35" ht="24.75" customHeight="1">
      <c r="AI27" s="6" t="s">
        <v>30</v>
      </c>
    </row>
    <row r="28" spans="35:35" ht="24.75" customHeight="1">
      <c r="AI28" s="6" t="s">
        <v>29</v>
      </c>
    </row>
    <row r="29" spans="35:35" ht="24.75" customHeight="1">
      <c r="AI29" s="6" t="s">
        <v>31</v>
      </c>
    </row>
    <row r="30" spans="35:35" ht="24.75" customHeight="1">
      <c r="AI30" s="6" t="s">
        <v>32</v>
      </c>
    </row>
    <row r="31" spans="35:35" ht="51">
      <c r="AI31" s="6" t="s">
        <v>33</v>
      </c>
    </row>
  </sheetData>
  <mergeCells count="52">
    <mergeCell ref="A4:D4"/>
    <mergeCell ref="E4:U4"/>
    <mergeCell ref="V4:W4"/>
    <mergeCell ref="X4:AC4"/>
    <mergeCell ref="AD4:AE4"/>
    <mergeCell ref="A1:B2"/>
    <mergeCell ref="C1:AE1"/>
    <mergeCell ref="AF1:AF2"/>
    <mergeCell ref="C2:AE2"/>
    <mergeCell ref="A3:AF3"/>
    <mergeCell ref="AF6:AF7"/>
    <mergeCell ref="A5:AF5"/>
    <mergeCell ref="A6:B6"/>
    <mergeCell ref="C6:C7"/>
    <mergeCell ref="D6:E7"/>
    <mergeCell ref="F6:F7"/>
    <mergeCell ref="G6:G7"/>
    <mergeCell ref="H6:H7"/>
    <mergeCell ref="I6:U6"/>
    <mergeCell ref="V6:V7"/>
    <mergeCell ref="W6:Y7"/>
    <mergeCell ref="Z6:Z7"/>
    <mergeCell ref="AA6:AA7"/>
    <mergeCell ref="AB6:AC6"/>
    <mergeCell ref="AD6:AD7"/>
    <mergeCell ref="AE6:AE7"/>
    <mergeCell ref="I7:N7"/>
    <mergeCell ref="O7:S7"/>
    <mergeCell ref="T7:U7"/>
    <mergeCell ref="A8:A9"/>
    <mergeCell ref="B8:B9"/>
    <mergeCell ref="C8:C9"/>
    <mergeCell ref="D8:E9"/>
    <mergeCell ref="F8:F9"/>
    <mergeCell ref="G8:G9"/>
    <mergeCell ref="H8:H9"/>
    <mergeCell ref="I8:N9"/>
    <mergeCell ref="O8:R9"/>
    <mergeCell ref="T8:U9"/>
    <mergeCell ref="V8:V9"/>
    <mergeCell ref="W8:Y8"/>
    <mergeCell ref="W9:Y9"/>
    <mergeCell ref="A14:AF14"/>
    <mergeCell ref="A15:AG15"/>
    <mergeCell ref="A16:AF16"/>
    <mergeCell ref="A10:AF10"/>
    <mergeCell ref="A11:K12"/>
    <mergeCell ref="N11:AB12"/>
    <mergeCell ref="AC11:AF12"/>
    <mergeCell ref="A13:K13"/>
    <mergeCell ref="N13:AB13"/>
    <mergeCell ref="AC13:AF13"/>
  </mergeCells>
  <conditionalFormatting sqref="AD8:AD9">
    <cfRule type="cellIs" dxfId="395" priority="3" operator="between">
      <formula>0.001</formula>
      <formula>0.99</formula>
    </cfRule>
    <cfRule type="cellIs" dxfId="394" priority="4" operator="equal">
      <formula>1</formula>
    </cfRule>
    <cfRule type="cellIs" dxfId="393" priority="5" operator="equal">
      <formula>0</formula>
    </cfRule>
  </conditionalFormatting>
  <conditionalFormatting sqref="AD8:AD9">
    <cfRule type="cellIs" dxfId="392" priority="6" operator="between">
      <formula>0.01</formula>
      <formula>0.99</formula>
    </cfRule>
    <cfRule type="cellIs" dxfId="391" priority="7" operator="equal">
      <formula>1</formula>
    </cfRule>
    <cfRule type="cellIs" dxfId="390" priority="8" operator="equal">
      <formula>0</formula>
    </cfRule>
  </conditionalFormatting>
  <conditionalFormatting sqref="AA8:AA9">
    <cfRule type="cellIs" dxfId="389" priority="1" stopIfTrue="1" operator="greaterThan">
      <formula>#REF!</formula>
    </cfRule>
    <cfRule type="cellIs" dxfId="388" priority="2" stopIfTrue="1" operator="lessThan">
      <formula>#REF!</formula>
    </cfRule>
  </conditionalFormatting>
  <dataValidations count="4">
    <dataValidation type="list" allowBlank="1" showInputMessage="1" showErrorMessage="1" sqref="G65539:G65545 WLS8:WLS9 JC65539:JC65545 SY65539:SY65545 ACU65539:ACU65545 AMQ65539:AMQ65545 AWM65539:AWM65545 BGI65539:BGI65545 BQE65539:BQE65545 CAA65539:CAA65545 CJW65539:CJW65545 CTS65539:CTS65545 DDO65539:DDO65545 DNK65539:DNK65545 DXG65539:DXG65545 EHC65539:EHC65545 EQY65539:EQY65545 FAU65539:FAU65545 FKQ65539:FKQ65545 FUM65539:FUM65545 GEI65539:GEI65545 GOE65539:GOE65545 GYA65539:GYA65545 HHW65539:HHW65545 HRS65539:HRS65545 IBO65539:IBO65545 ILK65539:ILK65545 IVG65539:IVG65545 JFC65539:JFC65545 JOY65539:JOY65545 JYU65539:JYU65545 KIQ65539:KIQ65545 KSM65539:KSM65545 LCI65539:LCI65545 LME65539:LME65545 LWA65539:LWA65545 MFW65539:MFW65545 MPS65539:MPS65545 MZO65539:MZO65545 NJK65539:NJK65545 NTG65539:NTG65545 ODC65539:ODC65545 OMY65539:OMY65545 OWU65539:OWU65545 PGQ65539:PGQ65545 PQM65539:PQM65545 QAI65539:QAI65545 QKE65539:QKE65545 QUA65539:QUA65545 RDW65539:RDW65545 RNS65539:RNS65545 RXO65539:RXO65545 SHK65539:SHK65545 SRG65539:SRG65545 TBC65539:TBC65545 TKY65539:TKY65545 TUU65539:TUU65545 UEQ65539:UEQ65545 UOM65539:UOM65545 UYI65539:UYI65545 VIE65539:VIE65545 VSA65539:VSA65545 WBW65539:WBW65545 WLS65539:WLS65545 WVO65539:WVO65545 G131075:G131081 JC131075:JC131081 SY131075:SY131081 ACU131075:ACU131081 AMQ131075:AMQ131081 AWM131075:AWM131081 BGI131075:BGI131081 BQE131075:BQE131081 CAA131075:CAA131081 CJW131075:CJW131081 CTS131075:CTS131081 DDO131075:DDO131081 DNK131075:DNK131081 DXG131075:DXG131081 EHC131075:EHC131081 EQY131075:EQY131081 FAU131075:FAU131081 FKQ131075:FKQ131081 FUM131075:FUM131081 GEI131075:GEI131081 GOE131075:GOE131081 GYA131075:GYA131081 HHW131075:HHW131081 HRS131075:HRS131081 IBO131075:IBO131081 ILK131075:ILK131081 IVG131075:IVG131081 JFC131075:JFC131081 JOY131075:JOY131081 JYU131075:JYU131081 KIQ131075:KIQ131081 KSM131075:KSM131081 LCI131075:LCI131081 LME131075:LME131081 LWA131075:LWA131081 MFW131075:MFW131081 MPS131075:MPS131081 MZO131075:MZO131081 NJK131075:NJK131081 NTG131075:NTG131081 ODC131075:ODC131081 OMY131075:OMY131081 OWU131075:OWU131081 PGQ131075:PGQ131081 PQM131075:PQM131081 QAI131075:QAI131081 QKE131075:QKE131081 QUA131075:QUA131081 RDW131075:RDW131081 RNS131075:RNS131081 RXO131075:RXO131081 SHK131075:SHK131081 SRG131075:SRG131081 TBC131075:TBC131081 TKY131075:TKY131081 TUU131075:TUU131081 UEQ131075:UEQ131081 UOM131075:UOM131081 UYI131075:UYI131081 VIE131075:VIE131081 VSA131075:VSA131081 WBW131075:WBW131081 WLS131075:WLS131081 WVO131075:WVO131081 G196611:G196617 JC196611:JC196617 SY196611:SY196617 ACU196611:ACU196617 AMQ196611:AMQ196617 AWM196611:AWM196617 BGI196611:BGI196617 BQE196611:BQE196617 CAA196611:CAA196617 CJW196611:CJW196617 CTS196611:CTS196617 DDO196611:DDO196617 DNK196611:DNK196617 DXG196611:DXG196617 EHC196611:EHC196617 EQY196611:EQY196617 FAU196611:FAU196617 FKQ196611:FKQ196617 FUM196611:FUM196617 GEI196611:GEI196617 GOE196611:GOE196617 GYA196611:GYA196617 HHW196611:HHW196617 HRS196611:HRS196617 IBO196611:IBO196617 ILK196611:ILK196617 IVG196611:IVG196617 JFC196611:JFC196617 JOY196611:JOY196617 JYU196611:JYU196617 KIQ196611:KIQ196617 KSM196611:KSM196617 LCI196611:LCI196617 LME196611:LME196617 LWA196611:LWA196617 MFW196611:MFW196617 MPS196611:MPS196617 MZO196611:MZO196617 NJK196611:NJK196617 NTG196611:NTG196617 ODC196611:ODC196617 OMY196611:OMY196617 OWU196611:OWU196617 PGQ196611:PGQ196617 PQM196611:PQM196617 QAI196611:QAI196617 QKE196611:QKE196617 QUA196611:QUA196617 RDW196611:RDW196617 RNS196611:RNS196617 RXO196611:RXO196617 SHK196611:SHK196617 SRG196611:SRG196617 TBC196611:TBC196617 TKY196611:TKY196617 TUU196611:TUU196617 UEQ196611:UEQ196617 UOM196611:UOM196617 UYI196611:UYI196617 VIE196611:VIE196617 VSA196611:VSA196617 WBW196611:WBW196617 WLS196611:WLS196617 WVO196611:WVO196617 G262147:G262153 JC262147:JC262153 SY262147:SY262153 ACU262147:ACU262153 AMQ262147:AMQ262153 AWM262147:AWM262153 BGI262147:BGI262153 BQE262147:BQE262153 CAA262147:CAA262153 CJW262147:CJW262153 CTS262147:CTS262153 DDO262147:DDO262153 DNK262147:DNK262153 DXG262147:DXG262153 EHC262147:EHC262153 EQY262147:EQY262153 FAU262147:FAU262153 FKQ262147:FKQ262153 FUM262147:FUM262153 GEI262147:GEI262153 GOE262147:GOE262153 GYA262147:GYA262153 HHW262147:HHW262153 HRS262147:HRS262153 IBO262147:IBO262153 ILK262147:ILK262153 IVG262147:IVG262153 JFC262147:JFC262153 JOY262147:JOY262153 JYU262147:JYU262153 KIQ262147:KIQ262153 KSM262147:KSM262153 LCI262147:LCI262153 LME262147:LME262153 LWA262147:LWA262153 MFW262147:MFW262153 MPS262147:MPS262153 MZO262147:MZO262153 NJK262147:NJK262153 NTG262147:NTG262153 ODC262147:ODC262153 OMY262147:OMY262153 OWU262147:OWU262153 PGQ262147:PGQ262153 PQM262147:PQM262153 QAI262147:QAI262153 QKE262147:QKE262153 QUA262147:QUA262153 RDW262147:RDW262153 RNS262147:RNS262153 RXO262147:RXO262153 SHK262147:SHK262153 SRG262147:SRG262153 TBC262147:TBC262153 TKY262147:TKY262153 TUU262147:TUU262153 UEQ262147:UEQ262153 UOM262147:UOM262153 UYI262147:UYI262153 VIE262147:VIE262153 VSA262147:VSA262153 WBW262147:WBW262153 WLS262147:WLS262153 WVO262147:WVO262153 G327683:G327689 JC327683:JC327689 SY327683:SY327689 ACU327683:ACU327689 AMQ327683:AMQ327689 AWM327683:AWM327689 BGI327683:BGI327689 BQE327683:BQE327689 CAA327683:CAA327689 CJW327683:CJW327689 CTS327683:CTS327689 DDO327683:DDO327689 DNK327683:DNK327689 DXG327683:DXG327689 EHC327683:EHC327689 EQY327683:EQY327689 FAU327683:FAU327689 FKQ327683:FKQ327689 FUM327683:FUM327689 GEI327683:GEI327689 GOE327683:GOE327689 GYA327683:GYA327689 HHW327683:HHW327689 HRS327683:HRS327689 IBO327683:IBO327689 ILK327683:ILK327689 IVG327683:IVG327689 JFC327683:JFC327689 JOY327683:JOY327689 JYU327683:JYU327689 KIQ327683:KIQ327689 KSM327683:KSM327689 LCI327683:LCI327689 LME327683:LME327689 LWA327683:LWA327689 MFW327683:MFW327689 MPS327683:MPS327689 MZO327683:MZO327689 NJK327683:NJK327689 NTG327683:NTG327689 ODC327683:ODC327689 OMY327683:OMY327689 OWU327683:OWU327689 PGQ327683:PGQ327689 PQM327683:PQM327689 QAI327683:QAI327689 QKE327683:QKE327689 QUA327683:QUA327689 RDW327683:RDW327689 RNS327683:RNS327689 RXO327683:RXO327689 SHK327683:SHK327689 SRG327683:SRG327689 TBC327683:TBC327689 TKY327683:TKY327689 TUU327683:TUU327689 UEQ327683:UEQ327689 UOM327683:UOM327689 UYI327683:UYI327689 VIE327683:VIE327689 VSA327683:VSA327689 WBW327683:WBW327689 WLS327683:WLS327689 WVO327683:WVO327689 G393219:G393225 JC393219:JC393225 SY393219:SY393225 ACU393219:ACU393225 AMQ393219:AMQ393225 AWM393219:AWM393225 BGI393219:BGI393225 BQE393219:BQE393225 CAA393219:CAA393225 CJW393219:CJW393225 CTS393219:CTS393225 DDO393219:DDO393225 DNK393219:DNK393225 DXG393219:DXG393225 EHC393219:EHC393225 EQY393219:EQY393225 FAU393219:FAU393225 FKQ393219:FKQ393225 FUM393219:FUM393225 GEI393219:GEI393225 GOE393219:GOE393225 GYA393219:GYA393225 HHW393219:HHW393225 HRS393219:HRS393225 IBO393219:IBO393225 ILK393219:ILK393225 IVG393219:IVG393225 JFC393219:JFC393225 JOY393219:JOY393225 JYU393219:JYU393225 KIQ393219:KIQ393225 KSM393219:KSM393225 LCI393219:LCI393225 LME393219:LME393225 LWA393219:LWA393225 MFW393219:MFW393225 MPS393219:MPS393225 MZO393219:MZO393225 NJK393219:NJK393225 NTG393219:NTG393225 ODC393219:ODC393225 OMY393219:OMY393225 OWU393219:OWU393225 PGQ393219:PGQ393225 PQM393219:PQM393225 QAI393219:QAI393225 QKE393219:QKE393225 QUA393219:QUA393225 RDW393219:RDW393225 RNS393219:RNS393225 RXO393219:RXO393225 SHK393219:SHK393225 SRG393219:SRG393225 TBC393219:TBC393225 TKY393219:TKY393225 TUU393219:TUU393225 UEQ393219:UEQ393225 UOM393219:UOM393225 UYI393219:UYI393225 VIE393219:VIE393225 VSA393219:VSA393225 WBW393219:WBW393225 WLS393219:WLS393225 WVO393219:WVO393225 G458755:G458761 JC458755:JC458761 SY458755:SY458761 ACU458755:ACU458761 AMQ458755:AMQ458761 AWM458755:AWM458761 BGI458755:BGI458761 BQE458755:BQE458761 CAA458755:CAA458761 CJW458755:CJW458761 CTS458755:CTS458761 DDO458755:DDO458761 DNK458755:DNK458761 DXG458755:DXG458761 EHC458755:EHC458761 EQY458755:EQY458761 FAU458755:FAU458761 FKQ458755:FKQ458761 FUM458755:FUM458761 GEI458755:GEI458761 GOE458755:GOE458761 GYA458755:GYA458761 HHW458755:HHW458761 HRS458755:HRS458761 IBO458755:IBO458761 ILK458755:ILK458761 IVG458755:IVG458761 JFC458755:JFC458761 JOY458755:JOY458761 JYU458755:JYU458761 KIQ458755:KIQ458761 KSM458755:KSM458761 LCI458755:LCI458761 LME458755:LME458761 LWA458755:LWA458761 MFW458755:MFW458761 MPS458755:MPS458761 MZO458755:MZO458761 NJK458755:NJK458761 NTG458755:NTG458761 ODC458755:ODC458761 OMY458755:OMY458761 OWU458755:OWU458761 PGQ458755:PGQ458761 PQM458755:PQM458761 QAI458755:QAI458761 QKE458755:QKE458761 QUA458755:QUA458761 RDW458755:RDW458761 RNS458755:RNS458761 RXO458755:RXO458761 SHK458755:SHK458761 SRG458755:SRG458761 TBC458755:TBC458761 TKY458755:TKY458761 TUU458755:TUU458761 UEQ458755:UEQ458761 UOM458755:UOM458761 UYI458755:UYI458761 VIE458755:VIE458761 VSA458755:VSA458761 WBW458755:WBW458761 WLS458755:WLS458761 WVO458755:WVO458761 G524291:G524297 JC524291:JC524297 SY524291:SY524297 ACU524291:ACU524297 AMQ524291:AMQ524297 AWM524291:AWM524297 BGI524291:BGI524297 BQE524291:BQE524297 CAA524291:CAA524297 CJW524291:CJW524297 CTS524291:CTS524297 DDO524291:DDO524297 DNK524291:DNK524297 DXG524291:DXG524297 EHC524291:EHC524297 EQY524291:EQY524297 FAU524291:FAU524297 FKQ524291:FKQ524297 FUM524291:FUM524297 GEI524291:GEI524297 GOE524291:GOE524297 GYA524291:GYA524297 HHW524291:HHW524297 HRS524291:HRS524297 IBO524291:IBO524297 ILK524291:ILK524297 IVG524291:IVG524297 JFC524291:JFC524297 JOY524291:JOY524297 JYU524291:JYU524297 KIQ524291:KIQ524297 KSM524291:KSM524297 LCI524291:LCI524297 LME524291:LME524297 LWA524291:LWA524297 MFW524291:MFW524297 MPS524291:MPS524297 MZO524291:MZO524297 NJK524291:NJK524297 NTG524291:NTG524297 ODC524291:ODC524297 OMY524291:OMY524297 OWU524291:OWU524297 PGQ524291:PGQ524297 PQM524291:PQM524297 QAI524291:QAI524297 QKE524291:QKE524297 QUA524291:QUA524297 RDW524291:RDW524297 RNS524291:RNS524297 RXO524291:RXO524297 SHK524291:SHK524297 SRG524291:SRG524297 TBC524291:TBC524297 TKY524291:TKY524297 TUU524291:TUU524297 UEQ524291:UEQ524297 UOM524291:UOM524297 UYI524291:UYI524297 VIE524291:VIE524297 VSA524291:VSA524297 WBW524291:WBW524297 WLS524291:WLS524297 WVO524291:WVO524297 G589827:G589833 JC589827:JC589833 SY589827:SY589833 ACU589827:ACU589833 AMQ589827:AMQ589833 AWM589827:AWM589833 BGI589827:BGI589833 BQE589827:BQE589833 CAA589827:CAA589833 CJW589827:CJW589833 CTS589827:CTS589833 DDO589827:DDO589833 DNK589827:DNK589833 DXG589827:DXG589833 EHC589827:EHC589833 EQY589827:EQY589833 FAU589827:FAU589833 FKQ589827:FKQ589833 FUM589827:FUM589833 GEI589827:GEI589833 GOE589827:GOE589833 GYA589827:GYA589833 HHW589827:HHW589833 HRS589827:HRS589833 IBO589827:IBO589833 ILK589827:ILK589833 IVG589827:IVG589833 JFC589827:JFC589833 JOY589827:JOY589833 JYU589827:JYU589833 KIQ589827:KIQ589833 KSM589827:KSM589833 LCI589827:LCI589833 LME589827:LME589833 LWA589827:LWA589833 MFW589827:MFW589833 MPS589827:MPS589833 MZO589827:MZO589833 NJK589827:NJK589833 NTG589827:NTG589833 ODC589827:ODC589833 OMY589827:OMY589833 OWU589827:OWU589833 PGQ589827:PGQ589833 PQM589827:PQM589833 QAI589827:QAI589833 QKE589827:QKE589833 QUA589827:QUA589833 RDW589827:RDW589833 RNS589827:RNS589833 RXO589827:RXO589833 SHK589827:SHK589833 SRG589827:SRG589833 TBC589827:TBC589833 TKY589827:TKY589833 TUU589827:TUU589833 UEQ589827:UEQ589833 UOM589827:UOM589833 UYI589827:UYI589833 VIE589827:VIE589833 VSA589827:VSA589833 WBW589827:WBW589833 WLS589827:WLS589833 WVO589827:WVO589833 G655363:G655369 JC655363:JC655369 SY655363:SY655369 ACU655363:ACU655369 AMQ655363:AMQ655369 AWM655363:AWM655369 BGI655363:BGI655369 BQE655363:BQE655369 CAA655363:CAA655369 CJW655363:CJW655369 CTS655363:CTS655369 DDO655363:DDO655369 DNK655363:DNK655369 DXG655363:DXG655369 EHC655363:EHC655369 EQY655363:EQY655369 FAU655363:FAU655369 FKQ655363:FKQ655369 FUM655363:FUM655369 GEI655363:GEI655369 GOE655363:GOE655369 GYA655363:GYA655369 HHW655363:HHW655369 HRS655363:HRS655369 IBO655363:IBO655369 ILK655363:ILK655369 IVG655363:IVG655369 JFC655363:JFC655369 JOY655363:JOY655369 JYU655363:JYU655369 KIQ655363:KIQ655369 KSM655363:KSM655369 LCI655363:LCI655369 LME655363:LME655369 LWA655363:LWA655369 MFW655363:MFW655369 MPS655363:MPS655369 MZO655363:MZO655369 NJK655363:NJK655369 NTG655363:NTG655369 ODC655363:ODC655369 OMY655363:OMY655369 OWU655363:OWU655369 PGQ655363:PGQ655369 PQM655363:PQM655369 QAI655363:QAI655369 QKE655363:QKE655369 QUA655363:QUA655369 RDW655363:RDW655369 RNS655363:RNS655369 RXO655363:RXO655369 SHK655363:SHK655369 SRG655363:SRG655369 TBC655363:TBC655369 TKY655363:TKY655369 TUU655363:TUU655369 UEQ655363:UEQ655369 UOM655363:UOM655369 UYI655363:UYI655369 VIE655363:VIE655369 VSA655363:VSA655369 WBW655363:WBW655369 WLS655363:WLS655369 WVO655363:WVO655369 G720899:G720905 JC720899:JC720905 SY720899:SY720905 ACU720899:ACU720905 AMQ720899:AMQ720905 AWM720899:AWM720905 BGI720899:BGI720905 BQE720899:BQE720905 CAA720899:CAA720905 CJW720899:CJW720905 CTS720899:CTS720905 DDO720899:DDO720905 DNK720899:DNK720905 DXG720899:DXG720905 EHC720899:EHC720905 EQY720899:EQY720905 FAU720899:FAU720905 FKQ720899:FKQ720905 FUM720899:FUM720905 GEI720899:GEI720905 GOE720899:GOE720905 GYA720899:GYA720905 HHW720899:HHW720905 HRS720899:HRS720905 IBO720899:IBO720905 ILK720899:ILK720905 IVG720899:IVG720905 JFC720899:JFC720905 JOY720899:JOY720905 JYU720899:JYU720905 KIQ720899:KIQ720905 KSM720899:KSM720905 LCI720899:LCI720905 LME720899:LME720905 LWA720899:LWA720905 MFW720899:MFW720905 MPS720899:MPS720905 MZO720899:MZO720905 NJK720899:NJK720905 NTG720899:NTG720905 ODC720899:ODC720905 OMY720899:OMY720905 OWU720899:OWU720905 PGQ720899:PGQ720905 PQM720899:PQM720905 QAI720899:QAI720905 QKE720899:QKE720905 QUA720899:QUA720905 RDW720899:RDW720905 RNS720899:RNS720905 RXO720899:RXO720905 SHK720899:SHK720905 SRG720899:SRG720905 TBC720899:TBC720905 TKY720899:TKY720905 TUU720899:TUU720905 UEQ720899:UEQ720905 UOM720899:UOM720905 UYI720899:UYI720905 VIE720899:VIE720905 VSA720899:VSA720905 WBW720899:WBW720905 WLS720899:WLS720905 WVO720899:WVO720905 G786435:G786441 JC786435:JC786441 SY786435:SY786441 ACU786435:ACU786441 AMQ786435:AMQ786441 AWM786435:AWM786441 BGI786435:BGI786441 BQE786435:BQE786441 CAA786435:CAA786441 CJW786435:CJW786441 CTS786435:CTS786441 DDO786435:DDO786441 DNK786435:DNK786441 DXG786435:DXG786441 EHC786435:EHC786441 EQY786435:EQY786441 FAU786435:FAU786441 FKQ786435:FKQ786441 FUM786435:FUM786441 GEI786435:GEI786441 GOE786435:GOE786441 GYA786435:GYA786441 HHW786435:HHW786441 HRS786435:HRS786441 IBO786435:IBO786441 ILK786435:ILK786441 IVG786435:IVG786441 JFC786435:JFC786441 JOY786435:JOY786441 JYU786435:JYU786441 KIQ786435:KIQ786441 KSM786435:KSM786441 LCI786435:LCI786441 LME786435:LME786441 LWA786435:LWA786441 MFW786435:MFW786441 MPS786435:MPS786441 MZO786435:MZO786441 NJK786435:NJK786441 NTG786435:NTG786441 ODC786435:ODC786441 OMY786435:OMY786441 OWU786435:OWU786441 PGQ786435:PGQ786441 PQM786435:PQM786441 QAI786435:QAI786441 QKE786435:QKE786441 QUA786435:QUA786441 RDW786435:RDW786441 RNS786435:RNS786441 RXO786435:RXO786441 SHK786435:SHK786441 SRG786435:SRG786441 TBC786435:TBC786441 TKY786435:TKY786441 TUU786435:TUU786441 UEQ786435:UEQ786441 UOM786435:UOM786441 UYI786435:UYI786441 VIE786435:VIE786441 VSA786435:VSA786441 WBW786435:WBW786441 WLS786435:WLS786441 WVO786435:WVO786441 G851971:G851977 JC851971:JC851977 SY851971:SY851977 ACU851971:ACU851977 AMQ851971:AMQ851977 AWM851971:AWM851977 BGI851971:BGI851977 BQE851971:BQE851977 CAA851971:CAA851977 CJW851971:CJW851977 CTS851971:CTS851977 DDO851971:DDO851977 DNK851971:DNK851977 DXG851971:DXG851977 EHC851971:EHC851977 EQY851971:EQY851977 FAU851971:FAU851977 FKQ851971:FKQ851977 FUM851971:FUM851977 GEI851971:GEI851977 GOE851971:GOE851977 GYA851971:GYA851977 HHW851971:HHW851977 HRS851971:HRS851977 IBO851971:IBO851977 ILK851971:ILK851977 IVG851971:IVG851977 JFC851971:JFC851977 JOY851971:JOY851977 JYU851971:JYU851977 KIQ851971:KIQ851977 KSM851971:KSM851977 LCI851971:LCI851977 LME851971:LME851977 LWA851971:LWA851977 MFW851971:MFW851977 MPS851971:MPS851977 MZO851971:MZO851977 NJK851971:NJK851977 NTG851971:NTG851977 ODC851971:ODC851977 OMY851971:OMY851977 OWU851971:OWU851977 PGQ851971:PGQ851977 PQM851971:PQM851977 QAI851971:QAI851977 QKE851971:QKE851977 QUA851971:QUA851977 RDW851971:RDW851977 RNS851971:RNS851977 RXO851971:RXO851977 SHK851971:SHK851977 SRG851971:SRG851977 TBC851971:TBC851977 TKY851971:TKY851977 TUU851971:TUU851977 UEQ851971:UEQ851977 UOM851971:UOM851977 UYI851971:UYI851977 VIE851971:VIE851977 VSA851971:VSA851977 WBW851971:WBW851977 WLS851971:WLS851977 WVO851971:WVO851977 G917507:G917513 JC917507:JC917513 SY917507:SY917513 ACU917507:ACU917513 AMQ917507:AMQ917513 AWM917507:AWM917513 BGI917507:BGI917513 BQE917507:BQE917513 CAA917507:CAA917513 CJW917507:CJW917513 CTS917507:CTS917513 DDO917507:DDO917513 DNK917507:DNK917513 DXG917507:DXG917513 EHC917507:EHC917513 EQY917507:EQY917513 FAU917507:FAU917513 FKQ917507:FKQ917513 FUM917507:FUM917513 GEI917507:GEI917513 GOE917507:GOE917513 GYA917507:GYA917513 HHW917507:HHW917513 HRS917507:HRS917513 IBO917507:IBO917513 ILK917507:ILK917513 IVG917507:IVG917513 JFC917507:JFC917513 JOY917507:JOY917513 JYU917507:JYU917513 KIQ917507:KIQ917513 KSM917507:KSM917513 LCI917507:LCI917513 LME917507:LME917513 LWA917507:LWA917513 MFW917507:MFW917513 MPS917507:MPS917513 MZO917507:MZO917513 NJK917507:NJK917513 NTG917507:NTG917513 ODC917507:ODC917513 OMY917507:OMY917513 OWU917507:OWU917513 PGQ917507:PGQ917513 PQM917507:PQM917513 QAI917507:QAI917513 QKE917507:QKE917513 QUA917507:QUA917513 RDW917507:RDW917513 RNS917507:RNS917513 RXO917507:RXO917513 SHK917507:SHK917513 SRG917507:SRG917513 TBC917507:TBC917513 TKY917507:TKY917513 TUU917507:TUU917513 UEQ917507:UEQ917513 UOM917507:UOM917513 UYI917507:UYI917513 VIE917507:VIE917513 VSA917507:VSA917513 WBW917507:WBW917513 WLS917507:WLS917513 WVO917507:WVO917513 G983043:G983049 JC983043:JC983049 SY983043:SY983049 ACU983043:ACU983049 AMQ983043:AMQ983049 AWM983043:AWM983049 BGI983043:BGI983049 BQE983043:BQE983049 CAA983043:CAA983049 CJW983043:CJW983049 CTS983043:CTS983049 DDO983043:DDO983049 DNK983043:DNK983049 DXG983043:DXG983049 EHC983043:EHC983049 EQY983043:EQY983049 FAU983043:FAU983049 FKQ983043:FKQ983049 FUM983043:FUM983049 GEI983043:GEI983049 GOE983043:GOE983049 GYA983043:GYA983049 HHW983043:HHW983049 HRS983043:HRS983049 IBO983043:IBO983049 ILK983043:ILK983049 IVG983043:IVG983049 JFC983043:JFC983049 JOY983043:JOY983049 JYU983043:JYU983049 KIQ983043:KIQ983049 KSM983043:KSM983049 LCI983043:LCI983049 LME983043:LME983049 LWA983043:LWA983049 MFW983043:MFW983049 MPS983043:MPS983049 MZO983043:MZO983049 NJK983043:NJK983049 NTG983043:NTG983049 ODC983043:ODC983049 OMY983043:OMY983049 OWU983043:OWU983049 PGQ983043:PGQ983049 PQM983043:PQM983049 QAI983043:QAI983049 QKE983043:QKE983049 QUA983043:QUA983049 RDW983043:RDW983049 RNS983043:RNS983049 RXO983043:RXO983049 SHK983043:SHK983049 SRG983043:SRG983049 TBC983043:TBC983049 TKY983043:TKY983049 TUU983043:TUU983049 UEQ983043:UEQ983049 UOM983043:UOM983049 UYI983043:UYI983049 VIE983043:VIE983049 VSA983043:VSA983049 WBW983043:WBW983049 WLS983043:WLS983049 WVO983043:WVO983049 WBW8:WBW9 VSA8:VSA9 VIE8:VIE9 UYI8:UYI9 UOM8:UOM9 UEQ8:UEQ9 TUU8:TUU9 TKY8:TKY9 TBC8:TBC9 SRG8:SRG9 SHK8:SHK9 RXO8:RXO9 RNS8:RNS9 RDW8:RDW9 QUA8:QUA9 QKE8:QKE9 QAI8:QAI9 PQM8:PQM9 PGQ8:PGQ9 OWU8:OWU9 OMY8:OMY9 ODC8:ODC9 NTG8:NTG9 NJK8:NJK9 MZO8:MZO9 MPS8:MPS9 MFW8:MFW9 LWA8:LWA9 LME8:LME9 LCI8:LCI9 KSM8:KSM9 KIQ8:KIQ9 JYU8:JYU9 JOY8:JOY9 JFC8:JFC9 IVG8:IVG9 ILK8:ILK9 IBO8:IBO9 HRS8:HRS9 HHW8:HHW9 GYA8:GYA9 GOE8:GOE9 GEI8:GEI9 FUM8:FUM9 FKQ8:FKQ9 FAU8:FAU9 EQY8:EQY9 EHC8:EHC9 DXG8:DXG9 DNK8:DNK9 DDO8:DDO9 CTS8:CTS9 CJW8:CJW9 CAA8:CAA9 BQE8:BQE9 BGI8:BGI9 AWM8:AWM9 AMQ8:AMQ9 ACU8:ACU9 SY8:SY9 JC8:JC9 WVO8:WVO9 G8:G9">
      <formula1>$AI$19:$AI$31</formula1>
    </dataValidation>
    <dataValidation type="list" allowBlank="1" showInputMessage="1" showErrorMessage="1" sqref="H65539:H65545 JD65539:JD65545 SZ65539:SZ65545 ACV65539:ACV65545 AMR65539:AMR65545 AWN65539:AWN65545 BGJ65539:BGJ65545 BQF65539:BQF65545 CAB65539:CAB65545 CJX65539:CJX65545 CTT65539:CTT65545 DDP65539:DDP65545 DNL65539:DNL65545 DXH65539:DXH65545 EHD65539:EHD65545 EQZ65539:EQZ65545 FAV65539:FAV65545 FKR65539:FKR65545 FUN65539:FUN65545 GEJ65539:GEJ65545 GOF65539:GOF65545 GYB65539:GYB65545 HHX65539:HHX65545 HRT65539:HRT65545 IBP65539:IBP65545 ILL65539:ILL65545 IVH65539:IVH65545 JFD65539:JFD65545 JOZ65539:JOZ65545 JYV65539:JYV65545 KIR65539:KIR65545 KSN65539:KSN65545 LCJ65539:LCJ65545 LMF65539:LMF65545 LWB65539:LWB65545 MFX65539:MFX65545 MPT65539:MPT65545 MZP65539:MZP65545 NJL65539:NJL65545 NTH65539:NTH65545 ODD65539:ODD65545 OMZ65539:OMZ65545 OWV65539:OWV65545 PGR65539:PGR65545 PQN65539:PQN65545 QAJ65539:QAJ65545 QKF65539:QKF65545 QUB65539:QUB65545 RDX65539:RDX65545 RNT65539:RNT65545 RXP65539:RXP65545 SHL65539:SHL65545 SRH65539:SRH65545 TBD65539:TBD65545 TKZ65539:TKZ65545 TUV65539:TUV65545 UER65539:UER65545 UON65539:UON65545 UYJ65539:UYJ65545 VIF65539:VIF65545 VSB65539:VSB65545 WBX65539:WBX65545 WLT65539:WLT65545 WVP65539:WVP65545 H131075:H131081 JD131075:JD131081 SZ131075:SZ131081 ACV131075:ACV131081 AMR131075:AMR131081 AWN131075:AWN131081 BGJ131075:BGJ131081 BQF131075:BQF131081 CAB131075:CAB131081 CJX131075:CJX131081 CTT131075:CTT131081 DDP131075:DDP131081 DNL131075:DNL131081 DXH131075:DXH131081 EHD131075:EHD131081 EQZ131075:EQZ131081 FAV131075:FAV131081 FKR131075:FKR131081 FUN131075:FUN131081 GEJ131075:GEJ131081 GOF131075:GOF131081 GYB131075:GYB131081 HHX131075:HHX131081 HRT131075:HRT131081 IBP131075:IBP131081 ILL131075:ILL131081 IVH131075:IVH131081 JFD131075:JFD131081 JOZ131075:JOZ131081 JYV131075:JYV131081 KIR131075:KIR131081 KSN131075:KSN131081 LCJ131075:LCJ131081 LMF131075:LMF131081 LWB131075:LWB131081 MFX131075:MFX131081 MPT131075:MPT131081 MZP131075:MZP131081 NJL131075:NJL131081 NTH131075:NTH131081 ODD131075:ODD131081 OMZ131075:OMZ131081 OWV131075:OWV131081 PGR131075:PGR131081 PQN131075:PQN131081 QAJ131075:QAJ131081 QKF131075:QKF131081 QUB131075:QUB131081 RDX131075:RDX131081 RNT131075:RNT131081 RXP131075:RXP131081 SHL131075:SHL131081 SRH131075:SRH131081 TBD131075:TBD131081 TKZ131075:TKZ131081 TUV131075:TUV131081 UER131075:UER131081 UON131075:UON131081 UYJ131075:UYJ131081 VIF131075:VIF131081 VSB131075:VSB131081 WBX131075:WBX131081 WLT131075:WLT131081 WVP131075:WVP131081 H196611:H196617 JD196611:JD196617 SZ196611:SZ196617 ACV196611:ACV196617 AMR196611:AMR196617 AWN196611:AWN196617 BGJ196611:BGJ196617 BQF196611:BQF196617 CAB196611:CAB196617 CJX196611:CJX196617 CTT196611:CTT196617 DDP196611:DDP196617 DNL196611:DNL196617 DXH196611:DXH196617 EHD196611:EHD196617 EQZ196611:EQZ196617 FAV196611:FAV196617 FKR196611:FKR196617 FUN196611:FUN196617 GEJ196611:GEJ196617 GOF196611:GOF196617 GYB196611:GYB196617 HHX196611:HHX196617 HRT196611:HRT196617 IBP196611:IBP196617 ILL196611:ILL196617 IVH196611:IVH196617 JFD196611:JFD196617 JOZ196611:JOZ196617 JYV196611:JYV196617 KIR196611:KIR196617 KSN196611:KSN196617 LCJ196611:LCJ196617 LMF196611:LMF196617 LWB196611:LWB196617 MFX196611:MFX196617 MPT196611:MPT196617 MZP196611:MZP196617 NJL196611:NJL196617 NTH196611:NTH196617 ODD196611:ODD196617 OMZ196611:OMZ196617 OWV196611:OWV196617 PGR196611:PGR196617 PQN196611:PQN196617 QAJ196611:QAJ196617 QKF196611:QKF196617 QUB196611:QUB196617 RDX196611:RDX196617 RNT196611:RNT196617 RXP196611:RXP196617 SHL196611:SHL196617 SRH196611:SRH196617 TBD196611:TBD196617 TKZ196611:TKZ196617 TUV196611:TUV196617 UER196611:UER196617 UON196611:UON196617 UYJ196611:UYJ196617 VIF196611:VIF196617 VSB196611:VSB196617 WBX196611:WBX196617 WLT196611:WLT196617 WVP196611:WVP196617 H262147:H262153 JD262147:JD262153 SZ262147:SZ262153 ACV262147:ACV262153 AMR262147:AMR262153 AWN262147:AWN262153 BGJ262147:BGJ262153 BQF262147:BQF262153 CAB262147:CAB262153 CJX262147:CJX262153 CTT262147:CTT262153 DDP262147:DDP262153 DNL262147:DNL262153 DXH262147:DXH262153 EHD262147:EHD262153 EQZ262147:EQZ262153 FAV262147:FAV262153 FKR262147:FKR262153 FUN262147:FUN262153 GEJ262147:GEJ262153 GOF262147:GOF262153 GYB262147:GYB262153 HHX262147:HHX262153 HRT262147:HRT262153 IBP262147:IBP262153 ILL262147:ILL262153 IVH262147:IVH262153 JFD262147:JFD262153 JOZ262147:JOZ262153 JYV262147:JYV262153 KIR262147:KIR262153 KSN262147:KSN262153 LCJ262147:LCJ262153 LMF262147:LMF262153 LWB262147:LWB262153 MFX262147:MFX262153 MPT262147:MPT262153 MZP262147:MZP262153 NJL262147:NJL262153 NTH262147:NTH262153 ODD262147:ODD262153 OMZ262147:OMZ262153 OWV262147:OWV262153 PGR262147:PGR262153 PQN262147:PQN262153 QAJ262147:QAJ262153 QKF262147:QKF262153 QUB262147:QUB262153 RDX262147:RDX262153 RNT262147:RNT262153 RXP262147:RXP262153 SHL262147:SHL262153 SRH262147:SRH262153 TBD262147:TBD262153 TKZ262147:TKZ262153 TUV262147:TUV262153 UER262147:UER262153 UON262147:UON262153 UYJ262147:UYJ262153 VIF262147:VIF262153 VSB262147:VSB262153 WBX262147:WBX262153 WLT262147:WLT262153 WVP262147:WVP262153 H327683:H327689 JD327683:JD327689 SZ327683:SZ327689 ACV327683:ACV327689 AMR327683:AMR327689 AWN327683:AWN327689 BGJ327683:BGJ327689 BQF327683:BQF327689 CAB327683:CAB327689 CJX327683:CJX327689 CTT327683:CTT327689 DDP327683:DDP327689 DNL327683:DNL327689 DXH327683:DXH327689 EHD327683:EHD327689 EQZ327683:EQZ327689 FAV327683:FAV327689 FKR327683:FKR327689 FUN327683:FUN327689 GEJ327683:GEJ327689 GOF327683:GOF327689 GYB327683:GYB327689 HHX327683:HHX327689 HRT327683:HRT327689 IBP327683:IBP327689 ILL327683:ILL327689 IVH327683:IVH327689 JFD327683:JFD327689 JOZ327683:JOZ327689 JYV327683:JYV327689 KIR327683:KIR327689 KSN327683:KSN327689 LCJ327683:LCJ327689 LMF327683:LMF327689 LWB327683:LWB327689 MFX327683:MFX327689 MPT327683:MPT327689 MZP327683:MZP327689 NJL327683:NJL327689 NTH327683:NTH327689 ODD327683:ODD327689 OMZ327683:OMZ327689 OWV327683:OWV327689 PGR327683:PGR327689 PQN327683:PQN327689 QAJ327683:QAJ327689 QKF327683:QKF327689 QUB327683:QUB327689 RDX327683:RDX327689 RNT327683:RNT327689 RXP327683:RXP327689 SHL327683:SHL327689 SRH327683:SRH327689 TBD327683:TBD327689 TKZ327683:TKZ327689 TUV327683:TUV327689 UER327683:UER327689 UON327683:UON327689 UYJ327683:UYJ327689 VIF327683:VIF327689 VSB327683:VSB327689 WBX327683:WBX327689 WLT327683:WLT327689 WVP327683:WVP327689 H393219:H393225 JD393219:JD393225 SZ393219:SZ393225 ACV393219:ACV393225 AMR393219:AMR393225 AWN393219:AWN393225 BGJ393219:BGJ393225 BQF393219:BQF393225 CAB393219:CAB393225 CJX393219:CJX393225 CTT393219:CTT393225 DDP393219:DDP393225 DNL393219:DNL393225 DXH393219:DXH393225 EHD393219:EHD393225 EQZ393219:EQZ393225 FAV393219:FAV393225 FKR393219:FKR393225 FUN393219:FUN393225 GEJ393219:GEJ393225 GOF393219:GOF393225 GYB393219:GYB393225 HHX393219:HHX393225 HRT393219:HRT393225 IBP393219:IBP393225 ILL393219:ILL393225 IVH393219:IVH393225 JFD393219:JFD393225 JOZ393219:JOZ393225 JYV393219:JYV393225 KIR393219:KIR393225 KSN393219:KSN393225 LCJ393219:LCJ393225 LMF393219:LMF393225 LWB393219:LWB393225 MFX393219:MFX393225 MPT393219:MPT393225 MZP393219:MZP393225 NJL393219:NJL393225 NTH393219:NTH393225 ODD393219:ODD393225 OMZ393219:OMZ393225 OWV393219:OWV393225 PGR393219:PGR393225 PQN393219:PQN393225 QAJ393219:QAJ393225 QKF393219:QKF393225 QUB393219:QUB393225 RDX393219:RDX393225 RNT393219:RNT393225 RXP393219:RXP393225 SHL393219:SHL393225 SRH393219:SRH393225 TBD393219:TBD393225 TKZ393219:TKZ393225 TUV393219:TUV393225 UER393219:UER393225 UON393219:UON393225 UYJ393219:UYJ393225 VIF393219:VIF393225 VSB393219:VSB393225 WBX393219:WBX393225 WLT393219:WLT393225 WVP393219:WVP393225 H458755:H458761 JD458755:JD458761 SZ458755:SZ458761 ACV458755:ACV458761 AMR458755:AMR458761 AWN458755:AWN458761 BGJ458755:BGJ458761 BQF458755:BQF458761 CAB458755:CAB458761 CJX458755:CJX458761 CTT458755:CTT458761 DDP458755:DDP458761 DNL458755:DNL458761 DXH458755:DXH458761 EHD458755:EHD458761 EQZ458755:EQZ458761 FAV458755:FAV458761 FKR458755:FKR458761 FUN458755:FUN458761 GEJ458755:GEJ458761 GOF458755:GOF458761 GYB458755:GYB458761 HHX458755:HHX458761 HRT458755:HRT458761 IBP458755:IBP458761 ILL458755:ILL458761 IVH458755:IVH458761 JFD458755:JFD458761 JOZ458755:JOZ458761 JYV458755:JYV458761 KIR458755:KIR458761 KSN458755:KSN458761 LCJ458755:LCJ458761 LMF458755:LMF458761 LWB458755:LWB458761 MFX458755:MFX458761 MPT458755:MPT458761 MZP458755:MZP458761 NJL458755:NJL458761 NTH458755:NTH458761 ODD458755:ODD458761 OMZ458755:OMZ458761 OWV458755:OWV458761 PGR458755:PGR458761 PQN458755:PQN458761 QAJ458755:QAJ458761 QKF458755:QKF458761 QUB458755:QUB458761 RDX458755:RDX458761 RNT458755:RNT458761 RXP458755:RXP458761 SHL458755:SHL458761 SRH458755:SRH458761 TBD458755:TBD458761 TKZ458755:TKZ458761 TUV458755:TUV458761 UER458755:UER458761 UON458755:UON458761 UYJ458755:UYJ458761 VIF458755:VIF458761 VSB458755:VSB458761 WBX458755:WBX458761 WLT458755:WLT458761 WVP458755:WVP458761 H524291:H524297 JD524291:JD524297 SZ524291:SZ524297 ACV524291:ACV524297 AMR524291:AMR524297 AWN524291:AWN524297 BGJ524291:BGJ524297 BQF524291:BQF524297 CAB524291:CAB524297 CJX524291:CJX524297 CTT524291:CTT524297 DDP524291:DDP524297 DNL524291:DNL524297 DXH524291:DXH524297 EHD524291:EHD524297 EQZ524291:EQZ524297 FAV524291:FAV524297 FKR524291:FKR524297 FUN524291:FUN524297 GEJ524291:GEJ524297 GOF524291:GOF524297 GYB524291:GYB524297 HHX524291:HHX524297 HRT524291:HRT524297 IBP524291:IBP524297 ILL524291:ILL524297 IVH524291:IVH524297 JFD524291:JFD524297 JOZ524291:JOZ524297 JYV524291:JYV524297 KIR524291:KIR524297 KSN524291:KSN524297 LCJ524291:LCJ524297 LMF524291:LMF524297 LWB524291:LWB524297 MFX524291:MFX524297 MPT524291:MPT524297 MZP524291:MZP524297 NJL524291:NJL524297 NTH524291:NTH524297 ODD524291:ODD524297 OMZ524291:OMZ524297 OWV524291:OWV524297 PGR524291:PGR524297 PQN524291:PQN524297 QAJ524291:QAJ524297 QKF524291:QKF524297 QUB524291:QUB524297 RDX524291:RDX524297 RNT524291:RNT524297 RXP524291:RXP524297 SHL524291:SHL524297 SRH524291:SRH524297 TBD524291:TBD524297 TKZ524291:TKZ524297 TUV524291:TUV524297 UER524291:UER524297 UON524291:UON524297 UYJ524291:UYJ524297 VIF524291:VIF524297 VSB524291:VSB524297 WBX524291:WBX524297 WLT524291:WLT524297 WVP524291:WVP524297 H589827:H589833 JD589827:JD589833 SZ589827:SZ589833 ACV589827:ACV589833 AMR589827:AMR589833 AWN589827:AWN589833 BGJ589827:BGJ589833 BQF589827:BQF589833 CAB589827:CAB589833 CJX589827:CJX589833 CTT589827:CTT589833 DDP589827:DDP589833 DNL589827:DNL589833 DXH589827:DXH589833 EHD589827:EHD589833 EQZ589827:EQZ589833 FAV589827:FAV589833 FKR589827:FKR589833 FUN589827:FUN589833 GEJ589827:GEJ589833 GOF589827:GOF589833 GYB589827:GYB589833 HHX589827:HHX589833 HRT589827:HRT589833 IBP589827:IBP589833 ILL589827:ILL589833 IVH589827:IVH589833 JFD589827:JFD589833 JOZ589827:JOZ589833 JYV589827:JYV589833 KIR589827:KIR589833 KSN589827:KSN589833 LCJ589827:LCJ589833 LMF589827:LMF589833 LWB589827:LWB589833 MFX589827:MFX589833 MPT589827:MPT589833 MZP589827:MZP589833 NJL589827:NJL589833 NTH589827:NTH589833 ODD589827:ODD589833 OMZ589827:OMZ589833 OWV589827:OWV589833 PGR589827:PGR589833 PQN589827:PQN589833 QAJ589827:QAJ589833 QKF589827:QKF589833 QUB589827:QUB589833 RDX589827:RDX589833 RNT589827:RNT589833 RXP589827:RXP589833 SHL589827:SHL589833 SRH589827:SRH589833 TBD589827:TBD589833 TKZ589827:TKZ589833 TUV589827:TUV589833 UER589827:UER589833 UON589827:UON589833 UYJ589827:UYJ589833 VIF589827:VIF589833 VSB589827:VSB589833 WBX589827:WBX589833 WLT589827:WLT589833 WVP589827:WVP589833 H655363:H655369 JD655363:JD655369 SZ655363:SZ655369 ACV655363:ACV655369 AMR655363:AMR655369 AWN655363:AWN655369 BGJ655363:BGJ655369 BQF655363:BQF655369 CAB655363:CAB655369 CJX655363:CJX655369 CTT655363:CTT655369 DDP655363:DDP655369 DNL655363:DNL655369 DXH655363:DXH655369 EHD655363:EHD655369 EQZ655363:EQZ655369 FAV655363:FAV655369 FKR655363:FKR655369 FUN655363:FUN655369 GEJ655363:GEJ655369 GOF655363:GOF655369 GYB655363:GYB655369 HHX655363:HHX655369 HRT655363:HRT655369 IBP655363:IBP655369 ILL655363:ILL655369 IVH655363:IVH655369 JFD655363:JFD655369 JOZ655363:JOZ655369 JYV655363:JYV655369 KIR655363:KIR655369 KSN655363:KSN655369 LCJ655363:LCJ655369 LMF655363:LMF655369 LWB655363:LWB655369 MFX655363:MFX655369 MPT655363:MPT655369 MZP655363:MZP655369 NJL655363:NJL655369 NTH655363:NTH655369 ODD655363:ODD655369 OMZ655363:OMZ655369 OWV655363:OWV655369 PGR655363:PGR655369 PQN655363:PQN655369 QAJ655363:QAJ655369 QKF655363:QKF655369 QUB655363:QUB655369 RDX655363:RDX655369 RNT655363:RNT655369 RXP655363:RXP655369 SHL655363:SHL655369 SRH655363:SRH655369 TBD655363:TBD655369 TKZ655363:TKZ655369 TUV655363:TUV655369 UER655363:UER655369 UON655363:UON655369 UYJ655363:UYJ655369 VIF655363:VIF655369 VSB655363:VSB655369 WBX655363:WBX655369 WLT655363:WLT655369 WVP655363:WVP655369 H720899:H720905 JD720899:JD720905 SZ720899:SZ720905 ACV720899:ACV720905 AMR720899:AMR720905 AWN720899:AWN720905 BGJ720899:BGJ720905 BQF720899:BQF720905 CAB720899:CAB720905 CJX720899:CJX720905 CTT720899:CTT720905 DDP720899:DDP720905 DNL720899:DNL720905 DXH720899:DXH720905 EHD720899:EHD720905 EQZ720899:EQZ720905 FAV720899:FAV720905 FKR720899:FKR720905 FUN720899:FUN720905 GEJ720899:GEJ720905 GOF720899:GOF720905 GYB720899:GYB720905 HHX720899:HHX720905 HRT720899:HRT720905 IBP720899:IBP720905 ILL720899:ILL720905 IVH720899:IVH720905 JFD720899:JFD720905 JOZ720899:JOZ720905 JYV720899:JYV720905 KIR720899:KIR720905 KSN720899:KSN720905 LCJ720899:LCJ720905 LMF720899:LMF720905 LWB720899:LWB720905 MFX720899:MFX720905 MPT720899:MPT720905 MZP720899:MZP720905 NJL720899:NJL720905 NTH720899:NTH720905 ODD720899:ODD720905 OMZ720899:OMZ720905 OWV720899:OWV720905 PGR720899:PGR720905 PQN720899:PQN720905 QAJ720899:QAJ720905 QKF720899:QKF720905 QUB720899:QUB720905 RDX720899:RDX720905 RNT720899:RNT720905 RXP720899:RXP720905 SHL720899:SHL720905 SRH720899:SRH720905 TBD720899:TBD720905 TKZ720899:TKZ720905 TUV720899:TUV720905 UER720899:UER720905 UON720899:UON720905 UYJ720899:UYJ720905 VIF720899:VIF720905 VSB720899:VSB720905 WBX720899:WBX720905 WLT720899:WLT720905 WVP720899:WVP720905 H786435:H786441 JD786435:JD786441 SZ786435:SZ786441 ACV786435:ACV786441 AMR786435:AMR786441 AWN786435:AWN786441 BGJ786435:BGJ786441 BQF786435:BQF786441 CAB786435:CAB786441 CJX786435:CJX786441 CTT786435:CTT786441 DDP786435:DDP786441 DNL786435:DNL786441 DXH786435:DXH786441 EHD786435:EHD786441 EQZ786435:EQZ786441 FAV786435:FAV786441 FKR786435:FKR786441 FUN786435:FUN786441 GEJ786435:GEJ786441 GOF786435:GOF786441 GYB786435:GYB786441 HHX786435:HHX786441 HRT786435:HRT786441 IBP786435:IBP786441 ILL786435:ILL786441 IVH786435:IVH786441 JFD786435:JFD786441 JOZ786435:JOZ786441 JYV786435:JYV786441 KIR786435:KIR786441 KSN786435:KSN786441 LCJ786435:LCJ786441 LMF786435:LMF786441 LWB786435:LWB786441 MFX786435:MFX786441 MPT786435:MPT786441 MZP786435:MZP786441 NJL786435:NJL786441 NTH786435:NTH786441 ODD786435:ODD786441 OMZ786435:OMZ786441 OWV786435:OWV786441 PGR786435:PGR786441 PQN786435:PQN786441 QAJ786435:QAJ786441 QKF786435:QKF786441 QUB786435:QUB786441 RDX786435:RDX786441 RNT786435:RNT786441 RXP786435:RXP786441 SHL786435:SHL786441 SRH786435:SRH786441 TBD786435:TBD786441 TKZ786435:TKZ786441 TUV786435:TUV786441 UER786435:UER786441 UON786435:UON786441 UYJ786435:UYJ786441 VIF786435:VIF786441 VSB786435:VSB786441 WBX786435:WBX786441 WLT786435:WLT786441 WVP786435:WVP786441 H851971:H851977 JD851971:JD851977 SZ851971:SZ851977 ACV851971:ACV851977 AMR851971:AMR851977 AWN851971:AWN851977 BGJ851971:BGJ851977 BQF851971:BQF851977 CAB851971:CAB851977 CJX851971:CJX851977 CTT851971:CTT851977 DDP851971:DDP851977 DNL851971:DNL851977 DXH851971:DXH851977 EHD851971:EHD851977 EQZ851971:EQZ851977 FAV851971:FAV851977 FKR851971:FKR851977 FUN851971:FUN851977 GEJ851971:GEJ851977 GOF851971:GOF851977 GYB851971:GYB851977 HHX851971:HHX851977 HRT851971:HRT851977 IBP851971:IBP851977 ILL851971:ILL851977 IVH851971:IVH851977 JFD851971:JFD851977 JOZ851971:JOZ851977 JYV851971:JYV851977 KIR851971:KIR851977 KSN851971:KSN851977 LCJ851971:LCJ851977 LMF851971:LMF851977 LWB851971:LWB851977 MFX851971:MFX851977 MPT851971:MPT851977 MZP851971:MZP851977 NJL851971:NJL851977 NTH851971:NTH851977 ODD851971:ODD851977 OMZ851971:OMZ851977 OWV851971:OWV851977 PGR851971:PGR851977 PQN851971:PQN851977 QAJ851971:QAJ851977 QKF851971:QKF851977 QUB851971:QUB851977 RDX851971:RDX851977 RNT851971:RNT851977 RXP851971:RXP851977 SHL851971:SHL851977 SRH851971:SRH851977 TBD851971:TBD851977 TKZ851971:TKZ851977 TUV851971:TUV851977 UER851971:UER851977 UON851971:UON851977 UYJ851971:UYJ851977 VIF851971:VIF851977 VSB851971:VSB851977 WBX851971:WBX851977 WLT851971:WLT851977 WVP851971:WVP851977 H917507:H917513 JD917507:JD917513 SZ917507:SZ917513 ACV917507:ACV917513 AMR917507:AMR917513 AWN917507:AWN917513 BGJ917507:BGJ917513 BQF917507:BQF917513 CAB917507:CAB917513 CJX917507:CJX917513 CTT917507:CTT917513 DDP917507:DDP917513 DNL917507:DNL917513 DXH917507:DXH917513 EHD917507:EHD917513 EQZ917507:EQZ917513 FAV917507:FAV917513 FKR917507:FKR917513 FUN917507:FUN917513 GEJ917507:GEJ917513 GOF917507:GOF917513 GYB917507:GYB917513 HHX917507:HHX917513 HRT917507:HRT917513 IBP917507:IBP917513 ILL917507:ILL917513 IVH917507:IVH917513 JFD917507:JFD917513 JOZ917507:JOZ917513 JYV917507:JYV917513 KIR917507:KIR917513 KSN917507:KSN917513 LCJ917507:LCJ917513 LMF917507:LMF917513 LWB917507:LWB917513 MFX917507:MFX917513 MPT917507:MPT917513 MZP917507:MZP917513 NJL917507:NJL917513 NTH917507:NTH917513 ODD917507:ODD917513 OMZ917507:OMZ917513 OWV917507:OWV917513 PGR917507:PGR917513 PQN917507:PQN917513 QAJ917507:QAJ917513 QKF917507:QKF917513 QUB917507:QUB917513 RDX917507:RDX917513 RNT917507:RNT917513 RXP917507:RXP917513 SHL917507:SHL917513 SRH917507:SRH917513 TBD917507:TBD917513 TKZ917507:TKZ917513 TUV917507:TUV917513 UER917507:UER917513 UON917507:UON917513 UYJ917507:UYJ917513 VIF917507:VIF917513 VSB917507:VSB917513 WBX917507:WBX917513 WLT917507:WLT917513 WVP917507:WVP917513 H983043:H983049 JD983043:JD983049 SZ983043:SZ983049 ACV983043:ACV983049 AMR983043:AMR983049 AWN983043:AWN983049 BGJ983043:BGJ983049 BQF983043:BQF983049 CAB983043:CAB983049 CJX983043:CJX983049 CTT983043:CTT983049 DDP983043:DDP983049 DNL983043:DNL983049 DXH983043:DXH983049 EHD983043:EHD983049 EQZ983043:EQZ983049 FAV983043:FAV983049 FKR983043:FKR983049 FUN983043:FUN983049 GEJ983043:GEJ983049 GOF983043:GOF983049 GYB983043:GYB983049 HHX983043:HHX983049 HRT983043:HRT983049 IBP983043:IBP983049 ILL983043:ILL983049 IVH983043:IVH983049 JFD983043:JFD983049 JOZ983043:JOZ983049 JYV983043:JYV983049 KIR983043:KIR983049 KSN983043:KSN983049 LCJ983043:LCJ983049 LMF983043:LMF983049 LWB983043:LWB983049 MFX983043:MFX983049 MPT983043:MPT983049 MZP983043:MZP983049 NJL983043:NJL983049 NTH983043:NTH983049 ODD983043:ODD983049 OMZ983043:OMZ983049 OWV983043:OWV983049 PGR983043:PGR983049 PQN983043:PQN983049 QAJ983043:QAJ983049 QKF983043:QKF983049 QUB983043:QUB983049 RDX983043:RDX983049 RNT983043:RNT983049 RXP983043:RXP983049 SHL983043:SHL983049 SRH983043:SRH983049 TBD983043:TBD983049 TKZ983043:TKZ983049 TUV983043:TUV983049 UER983043:UER983049 UON983043:UON983049 UYJ983043:UYJ983049 VIF983043:VIF983049 VSB983043:VSB983049 WBX983043:WBX983049 WLT983043:WLT983049 WVP983043:WVP983049 WBX8:WBX9 WVP8:WVP9 WLT8:WLT9 JD8:JD9 SZ8:SZ9 ACV8:ACV9 AMR8:AMR9 AWN8:AWN9 BGJ8:BGJ9 BQF8:BQF9 CAB8:CAB9 CJX8:CJX9 CTT8:CTT9 DDP8:DDP9 DNL8:DNL9 DXH8:DXH9 EHD8:EHD9 EQZ8:EQZ9 FAV8:FAV9 FKR8:FKR9 FUN8:FUN9 GEJ8:GEJ9 GOF8:GOF9 GYB8:GYB9 HHX8:HHX9 HRT8:HRT9 IBP8:IBP9 ILL8:ILL9 IVH8:IVH9 JFD8:JFD9 JOZ8:JOZ9 JYV8:JYV9 KIR8:KIR9 KSN8:KSN9 LCJ8:LCJ9 LMF8:LMF9 LWB8:LWB9 MFX8:MFX9 MPT8:MPT9 MZP8:MZP9 NJL8:NJL9 NTH8:NTH9 ODD8:ODD9 OMZ8:OMZ9 OWV8:OWV9 PGR8:PGR9 PQN8:PQN9 QAJ8:QAJ9 QKF8:QKF9 QUB8:QUB9 RDX8:RDX9 RNT8:RNT9 RXP8:RXP9 SHL8:SHL9 SRH8:SRH9 TBD8:TBD9 TKZ8:TKZ9 TUV8:TUV9 UER8:UER9 UON8:UON9 UYJ8:UYJ9 VIF8:VIF9 VSB8:VSB9 H8:H9">
      <formula1>$AI$1:$AI$3</formula1>
    </dataValidation>
    <dataValidation type="list" allowBlank="1" showInputMessage="1" showErrorMessage="1" sqref="AE65539:AE65545 KA65539:KA65545 TW65539:TW65545 ADS65539:ADS65545 ANO65539:ANO65545 AXK65539:AXK65545 BHG65539:BHG65545 BRC65539:BRC65545 CAY65539:CAY65545 CKU65539:CKU65545 CUQ65539:CUQ65545 DEM65539:DEM65545 DOI65539:DOI65545 DYE65539:DYE65545 EIA65539:EIA65545 ERW65539:ERW65545 FBS65539:FBS65545 FLO65539:FLO65545 FVK65539:FVK65545 GFG65539:GFG65545 GPC65539:GPC65545 GYY65539:GYY65545 HIU65539:HIU65545 HSQ65539:HSQ65545 ICM65539:ICM65545 IMI65539:IMI65545 IWE65539:IWE65545 JGA65539:JGA65545 JPW65539:JPW65545 JZS65539:JZS65545 KJO65539:KJO65545 KTK65539:KTK65545 LDG65539:LDG65545 LNC65539:LNC65545 LWY65539:LWY65545 MGU65539:MGU65545 MQQ65539:MQQ65545 NAM65539:NAM65545 NKI65539:NKI65545 NUE65539:NUE65545 OEA65539:OEA65545 ONW65539:ONW65545 OXS65539:OXS65545 PHO65539:PHO65545 PRK65539:PRK65545 QBG65539:QBG65545 QLC65539:QLC65545 QUY65539:QUY65545 REU65539:REU65545 ROQ65539:ROQ65545 RYM65539:RYM65545 SII65539:SII65545 SSE65539:SSE65545 TCA65539:TCA65545 TLW65539:TLW65545 TVS65539:TVS65545 UFO65539:UFO65545 UPK65539:UPK65545 UZG65539:UZG65545 VJC65539:VJC65545 VSY65539:VSY65545 WCU65539:WCU65545 WMQ65539:WMQ65545 WWM65539:WWM65545 AE131075:AE131081 KA131075:KA131081 TW131075:TW131081 ADS131075:ADS131081 ANO131075:ANO131081 AXK131075:AXK131081 BHG131075:BHG131081 BRC131075:BRC131081 CAY131075:CAY131081 CKU131075:CKU131081 CUQ131075:CUQ131081 DEM131075:DEM131081 DOI131075:DOI131081 DYE131075:DYE131081 EIA131075:EIA131081 ERW131075:ERW131081 FBS131075:FBS131081 FLO131075:FLO131081 FVK131075:FVK131081 GFG131075:GFG131081 GPC131075:GPC131081 GYY131075:GYY131081 HIU131075:HIU131081 HSQ131075:HSQ131081 ICM131075:ICM131081 IMI131075:IMI131081 IWE131075:IWE131081 JGA131075:JGA131081 JPW131075:JPW131081 JZS131075:JZS131081 KJO131075:KJO131081 KTK131075:KTK131081 LDG131075:LDG131081 LNC131075:LNC131081 LWY131075:LWY131081 MGU131075:MGU131081 MQQ131075:MQQ131081 NAM131075:NAM131081 NKI131075:NKI131081 NUE131075:NUE131081 OEA131075:OEA131081 ONW131075:ONW131081 OXS131075:OXS131081 PHO131075:PHO131081 PRK131075:PRK131081 QBG131075:QBG131081 QLC131075:QLC131081 QUY131075:QUY131081 REU131075:REU131081 ROQ131075:ROQ131081 RYM131075:RYM131081 SII131075:SII131081 SSE131075:SSE131081 TCA131075:TCA131081 TLW131075:TLW131081 TVS131075:TVS131081 UFO131075:UFO131081 UPK131075:UPK131081 UZG131075:UZG131081 VJC131075:VJC131081 VSY131075:VSY131081 WCU131075:WCU131081 WMQ131075:WMQ131081 WWM131075:WWM131081 AE196611:AE196617 KA196611:KA196617 TW196611:TW196617 ADS196611:ADS196617 ANO196611:ANO196617 AXK196611:AXK196617 BHG196611:BHG196617 BRC196611:BRC196617 CAY196611:CAY196617 CKU196611:CKU196617 CUQ196611:CUQ196617 DEM196611:DEM196617 DOI196611:DOI196617 DYE196611:DYE196617 EIA196611:EIA196617 ERW196611:ERW196617 FBS196611:FBS196617 FLO196611:FLO196617 FVK196611:FVK196617 GFG196611:GFG196617 GPC196611:GPC196617 GYY196611:GYY196617 HIU196611:HIU196617 HSQ196611:HSQ196617 ICM196611:ICM196617 IMI196611:IMI196617 IWE196611:IWE196617 JGA196611:JGA196617 JPW196611:JPW196617 JZS196611:JZS196617 KJO196611:KJO196617 KTK196611:KTK196617 LDG196611:LDG196617 LNC196611:LNC196617 LWY196611:LWY196617 MGU196611:MGU196617 MQQ196611:MQQ196617 NAM196611:NAM196617 NKI196611:NKI196617 NUE196611:NUE196617 OEA196611:OEA196617 ONW196611:ONW196617 OXS196611:OXS196617 PHO196611:PHO196617 PRK196611:PRK196617 QBG196611:QBG196617 QLC196611:QLC196617 QUY196611:QUY196617 REU196611:REU196617 ROQ196611:ROQ196617 RYM196611:RYM196617 SII196611:SII196617 SSE196611:SSE196617 TCA196611:TCA196617 TLW196611:TLW196617 TVS196611:TVS196617 UFO196611:UFO196617 UPK196611:UPK196617 UZG196611:UZG196617 VJC196611:VJC196617 VSY196611:VSY196617 WCU196611:WCU196617 WMQ196611:WMQ196617 WWM196611:WWM196617 AE262147:AE262153 KA262147:KA262153 TW262147:TW262153 ADS262147:ADS262153 ANO262147:ANO262153 AXK262147:AXK262153 BHG262147:BHG262153 BRC262147:BRC262153 CAY262147:CAY262153 CKU262147:CKU262153 CUQ262147:CUQ262153 DEM262147:DEM262153 DOI262147:DOI262153 DYE262147:DYE262153 EIA262147:EIA262153 ERW262147:ERW262153 FBS262147:FBS262153 FLO262147:FLO262153 FVK262147:FVK262153 GFG262147:GFG262153 GPC262147:GPC262153 GYY262147:GYY262153 HIU262147:HIU262153 HSQ262147:HSQ262153 ICM262147:ICM262153 IMI262147:IMI262153 IWE262147:IWE262153 JGA262147:JGA262153 JPW262147:JPW262153 JZS262147:JZS262153 KJO262147:KJO262153 KTK262147:KTK262153 LDG262147:LDG262153 LNC262147:LNC262153 LWY262147:LWY262153 MGU262147:MGU262153 MQQ262147:MQQ262153 NAM262147:NAM262153 NKI262147:NKI262153 NUE262147:NUE262153 OEA262147:OEA262153 ONW262147:ONW262153 OXS262147:OXS262153 PHO262147:PHO262153 PRK262147:PRK262153 QBG262147:QBG262153 QLC262147:QLC262153 QUY262147:QUY262153 REU262147:REU262153 ROQ262147:ROQ262153 RYM262147:RYM262153 SII262147:SII262153 SSE262147:SSE262153 TCA262147:TCA262153 TLW262147:TLW262153 TVS262147:TVS262153 UFO262147:UFO262153 UPK262147:UPK262153 UZG262147:UZG262153 VJC262147:VJC262153 VSY262147:VSY262153 WCU262147:WCU262153 WMQ262147:WMQ262153 WWM262147:WWM262153 AE327683:AE327689 KA327683:KA327689 TW327683:TW327689 ADS327683:ADS327689 ANO327683:ANO327689 AXK327683:AXK327689 BHG327683:BHG327689 BRC327683:BRC327689 CAY327683:CAY327689 CKU327683:CKU327689 CUQ327683:CUQ327689 DEM327683:DEM327689 DOI327683:DOI327689 DYE327683:DYE327689 EIA327683:EIA327689 ERW327683:ERW327689 FBS327683:FBS327689 FLO327683:FLO327689 FVK327683:FVK327689 GFG327683:GFG327689 GPC327683:GPC327689 GYY327683:GYY327689 HIU327683:HIU327689 HSQ327683:HSQ327689 ICM327683:ICM327689 IMI327683:IMI327689 IWE327683:IWE327689 JGA327683:JGA327689 JPW327683:JPW327689 JZS327683:JZS327689 KJO327683:KJO327689 KTK327683:KTK327689 LDG327683:LDG327689 LNC327683:LNC327689 LWY327683:LWY327689 MGU327683:MGU327689 MQQ327683:MQQ327689 NAM327683:NAM327689 NKI327683:NKI327689 NUE327683:NUE327689 OEA327683:OEA327689 ONW327683:ONW327689 OXS327683:OXS327689 PHO327683:PHO327689 PRK327683:PRK327689 QBG327683:QBG327689 QLC327683:QLC327689 QUY327683:QUY327689 REU327683:REU327689 ROQ327683:ROQ327689 RYM327683:RYM327689 SII327683:SII327689 SSE327683:SSE327689 TCA327683:TCA327689 TLW327683:TLW327689 TVS327683:TVS327689 UFO327683:UFO327689 UPK327683:UPK327689 UZG327683:UZG327689 VJC327683:VJC327689 VSY327683:VSY327689 WCU327683:WCU327689 WMQ327683:WMQ327689 WWM327683:WWM327689 AE393219:AE393225 KA393219:KA393225 TW393219:TW393225 ADS393219:ADS393225 ANO393219:ANO393225 AXK393219:AXK393225 BHG393219:BHG393225 BRC393219:BRC393225 CAY393219:CAY393225 CKU393219:CKU393225 CUQ393219:CUQ393225 DEM393219:DEM393225 DOI393219:DOI393225 DYE393219:DYE393225 EIA393219:EIA393225 ERW393219:ERW393225 FBS393219:FBS393225 FLO393219:FLO393225 FVK393219:FVK393225 GFG393219:GFG393225 GPC393219:GPC393225 GYY393219:GYY393225 HIU393219:HIU393225 HSQ393219:HSQ393225 ICM393219:ICM393225 IMI393219:IMI393225 IWE393219:IWE393225 JGA393219:JGA393225 JPW393219:JPW393225 JZS393219:JZS393225 KJO393219:KJO393225 KTK393219:KTK393225 LDG393219:LDG393225 LNC393219:LNC393225 LWY393219:LWY393225 MGU393219:MGU393225 MQQ393219:MQQ393225 NAM393219:NAM393225 NKI393219:NKI393225 NUE393219:NUE393225 OEA393219:OEA393225 ONW393219:ONW393225 OXS393219:OXS393225 PHO393219:PHO393225 PRK393219:PRK393225 QBG393219:QBG393225 QLC393219:QLC393225 QUY393219:QUY393225 REU393219:REU393225 ROQ393219:ROQ393225 RYM393219:RYM393225 SII393219:SII393225 SSE393219:SSE393225 TCA393219:TCA393225 TLW393219:TLW393225 TVS393219:TVS393225 UFO393219:UFO393225 UPK393219:UPK393225 UZG393219:UZG393225 VJC393219:VJC393225 VSY393219:VSY393225 WCU393219:WCU393225 WMQ393219:WMQ393225 WWM393219:WWM393225 AE458755:AE458761 KA458755:KA458761 TW458755:TW458761 ADS458755:ADS458761 ANO458755:ANO458761 AXK458755:AXK458761 BHG458755:BHG458761 BRC458755:BRC458761 CAY458755:CAY458761 CKU458755:CKU458761 CUQ458755:CUQ458761 DEM458755:DEM458761 DOI458755:DOI458761 DYE458755:DYE458761 EIA458755:EIA458761 ERW458755:ERW458761 FBS458755:FBS458761 FLO458755:FLO458761 FVK458755:FVK458761 GFG458755:GFG458761 GPC458755:GPC458761 GYY458755:GYY458761 HIU458755:HIU458761 HSQ458755:HSQ458761 ICM458755:ICM458761 IMI458755:IMI458761 IWE458755:IWE458761 JGA458755:JGA458761 JPW458755:JPW458761 JZS458755:JZS458761 KJO458755:KJO458761 KTK458755:KTK458761 LDG458755:LDG458761 LNC458755:LNC458761 LWY458755:LWY458761 MGU458755:MGU458761 MQQ458755:MQQ458761 NAM458755:NAM458761 NKI458755:NKI458761 NUE458755:NUE458761 OEA458755:OEA458761 ONW458755:ONW458761 OXS458755:OXS458761 PHO458755:PHO458761 PRK458755:PRK458761 QBG458755:QBG458761 QLC458755:QLC458761 QUY458755:QUY458761 REU458755:REU458761 ROQ458755:ROQ458761 RYM458755:RYM458761 SII458755:SII458761 SSE458755:SSE458761 TCA458755:TCA458761 TLW458755:TLW458761 TVS458755:TVS458761 UFO458755:UFO458761 UPK458755:UPK458761 UZG458755:UZG458761 VJC458755:VJC458761 VSY458755:VSY458761 WCU458755:WCU458761 WMQ458755:WMQ458761 WWM458755:WWM458761 AE524291:AE524297 KA524291:KA524297 TW524291:TW524297 ADS524291:ADS524297 ANO524291:ANO524297 AXK524291:AXK524297 BHG524291:BHG524297 BRC524291:BRC524297 CAY524291:CAY524297 CKU524291:CKU524297 CUQ524291:CUQ524297 DEM524291:DEM524297 DOI524291:DOI524297 DYE524291:DYE524297 EIA524291:EIA524297 ERW524291:ERW524297 FBS524291:FBS524297 FLO524291:FLO524297 FVK524291:FVK524297 GFG524291:GFG524297 GPC524291:GPC524297 GYY524291:GYY524297 HIU524291:HIU524297 HSQ524291:HSQ524297 ICM524291:ICM524297 IMI524291:IMI524297 IWE524291:IWE524297 JGA524291:JGA524297 JPW524291:JPW524297 JZS524291:JZS524297 KJO524291:KJO524297 KTK524291:KTK524297 LDG524291:LDG524297 LNC524291:LNC524297 LWY524291:LWY524297 MGU524291:MGU524297 MQQ524291:MQQ524297 NAM524291:NAM524297 NKI524291:NKI524297 NUE524291:NUE524297 OEA524291:OEA524297 ONW524291:ONW524297 OXS524291:OXS524297 PHO524291:PHO524297 PRK524291:PRK524297 QBG524291:QBG524297 QLC524291:QLC524297 QUY524291:QUY524297 REU524291:REU524297 ROQ524291:ROQ524297 RYM524291:RYM524297 SII524291:SII524297 SSE524291:SSE524297 TCA524291:TCA524297 TLW524291:TLW524297 TVS524291:TVS524297 UFO524291:UFO524297 UPK524291:UPK524297 UZG524291:UZG524297 VJC524291:VJC524297 VSY524291:VSY524297 WCU524291:WCU524297 WMQ524291:WMQ524297 WWM524291:WWM524297 AE589827:AE589833 KA589827:KA589833 TW589827:TW589833 ADS589827:ADS589833 ANO589827:ANO589833 AXK589827:AXK589833 BHG589827:BHG589833 BRC589827:BRC589833 CAY589827:CAY589833 CKU589827:CKU589833 CUQ589827:CUQ589833 DEM589827:DEM589833 DOI589827:DOI589833 DYE589827:DYE589833 EIA589827:EIA589833 ERW589827:ERW589833 FBS589827:FBS589833 FLO589827:FLO589833 FVK589827:FVK589833 GFG589827:GFG589833 GPC589827:GPC589833 GYY589827:GYY589833 HIU589827:HIU589833 HSQ589827:HSQ589833 ICM589827:ICM589833 IMI589827:IMI589833 IWE589827:IWE589833 JGA589827:JGA589833 JPW589827:JPW589833 JZS589827:JZS589833 KJO589827:KJO589833 KTK589827:KTK589833 LDG589827:LDG589833 LNC589827:LNC589833 LWY589827:LWY589833 MGU589827:MGU589833 MQQ589827:MQQ589833 NAM589827:NAM589833 NKI589827:NKI589833 NUE589827:NUE589833 OEA589827:OEA589833 ONW589827:ONW589833 OXS589827:OXS589833 PHO589827:PHO589833 PRK589827:PRK589833 QBG589827:QBG589833 QLC589827:QLC589833 QUY589827:QUY589833 REU589827:REU589833 ROQ589827:ROQ589833 RYM589827:RYM589833 SII589827:SII589833 SSE589827:SSE589833 TCA589827:TCA589833 TLW589827:TLW589833 TVS589827:TVS589833 UFO589827:UFO589833 UPK589827:UPK589833 UZG589827:UZG589833 VJC589827:VJC589833 VSY589827:VSY589833 WCU589827:WCU589833 WMQ589827:WMQ589833 WWM589827:WWM589833 AE655363:AE655369 KA655363:KA655369 TW655363:TW655369 ADS655363:ADS655369 ANO655363:ANO655369 AXK655363:AXK655369 BHG655363:BHG655369 BRC655363:BRC655369 CAY655363:CAY655369 CKU655363:CKU655369 CUQ655363:CUQ655369 DEM655363:DEM655369 DOI655363:DOI655369 DYE655363:DYE655369 EIA655363:EIA655369 ERW655363:ERW655369 FBS655363:FBS655369 FLO655363:FLO655369 FVK655363:FVK655369 GFG655363:GFG655369 GPC655363:GPC655369 GYY655363:GYY655369 HIU655363:HIU655369 HSQ655363:HSQ655369 ICM655363:ICM655369 IMI655363:IMI655369 IWE655363:IWE655369 JGA655363:JGA655369 JPW655363:JPW655369 JZS655363:JZS655369 KJO655363:KJO655369 KTK655363:KTK655369 LDG655363:LDG655369 LNC655363:LNC655369 LWY655363:LWY655369 MGU655363:MGU655369 MQQ655363:MQQ655369 NAM655363:NAM655369 NKI655363:NKI655369 NUE655363:NUE655369 OEA655363:OEA655369 ONW655363:ONW655369 OXS655363:OXS655369 PHO655363:PHO655369 PRK655363:PRK655369 QBG655363:QBG655369 QLC655363:QLC655369 QUY655363:QUY655369 REU655363:REU655369 ROQ655363:ROQ655369 RYM655363:RYM655369 SII655363:SII655369 SSE655363:SSE655369 TCA655363:TCA655369 TLW655363:TLW655369 TVS655363:TVS655369 UFO655363:UFO655369 UPK655363:UPK655369 UZG655363:UZG655369 VJC655363:VJC655369 VSY655363:VSY655369 WCU655363:WCU655369 WMQ655363:WMQ655369 WWM655363:WWM655369 AE720899:AE720905 KA720899:KA720905 TW720899:TW720905 ADS720899:ADS720905 ANO720899:ANO720905 AXK720899:AXK720905 BHG720899:BHG720905 BRC720899:BRC720905 CAY720899:CAY720905 CKU720899:CKU720905 CUQ720899:CUQ720905 DEM720899:DEM720905 DOI720899:DOI720905 DYE720899:DYE720905 EIA720899:EIA720905 ERW720899:ERW720905 FBS720899:FBS720905 FLO720899:FLO720905 FVK720899:FVK720905 GFG720899:GFG720905 GPC720899:GPC720905 GYY720899:GYY720905 HIU720899:HIU720905 HSQ720899:HSQ720905 ICM720899:ICM720905 IMI720899:IMI720905 IWE720899:IWE720905 JGA720899:JGA720905 JPW720899:JPW720905 JZS720899:JZS720905 KJO720899:KJO720905 KTK720899:KTK720905 LDG720899:LDG720905 LNC720899:LNC720905 LWY720899:LWY720905 MGU720899:MGU720905 MQQ720899:MQQ720905 NAM720899:NAM720905 NKI720899:NKI720905 NUE720899:NUE720905 OEA720899:OEA720905 ONW720899:ONW720905 OXS720899:OXS720905 PHO720899:PHO720905 PRK720899:PRK720905 QBG720899:QBG720905 QLC720899:QLC720905 QUY720899:QUY720905 REU720899:REU720905 ROQ720899:ROQ720905 RYM720899:RYM720905 SII720899:SII720905 SSE720899:SSE720905 TCA720899:TCA720905 TLW720899:TLW720905 TVS720899:TVS720905 UFO720899:UFO720905 UPK720899:UPK720905 UZG720899:UZG720905 VJC720899:VJC720905 VSY720899:VSY720905 WCU720899:WCU720905 WMQ720899:WMQ720905 WWM720899:WWM720905 AE786435:AE786441 KA786435:KA786441 TW786435:TW786441 ADS786435:ADS786441 ANO786435:ANO786441 AXK786435:AXK786441 BHG786435:BHG786441 BRC786435:BRC786441 CAY786435:CAY786441 CKU786435:CKU786441 CUQ786435:CUQ786441 DEM786435:DEM786441 DOI786435:DOI786441 DYE786435:DYE786441 EIA786435:EIA786441 ERW786435:ERW786441 FBS786435:FBS786441 FLO786435:FLO786441 FVK786435:FVK786441 GFG786435:GFG786441 GPC786435:GPC786441 GYY786435:GYY786441 HIU786435:HIU786441 HSQ786435:HSQ786441 ICM786435:ICM786441 IMI786435:IMI786441 IWE786435:IWE786441 JGA786435:JGA786441 JPW786435:JPW786441 JZS786435:JZS786441 KJO786435:KJO786441 KTK786435:KTK786441 LDG786435:LDG786441 LNC786435:LNC786441 LWY786435:LWY786441 MGU786435:MGU786441 MQQ786435:MQQ786441 NAM786435:NAM786441 NKI786435:NKI786441 NUE786435:NUE786441 OEA786435:OEA786441 ONW786435:ONW786441 OXS786435:OXS786441 PHO786435:PHO786441 PRK786435:PRK786441 QBG786435:QBG786441 QLC786435:QLC786441 QUY786435:QUY786441 REU786435:REU786441 ROQ786435:ROQ786441 RYM786435:RYM786441 SII786435:SII786441 SSE786435:SSE786441 TCA786435:TCA786441 TLW786435:TLW786441 TVS786435:TVS786441 UFO786435:UFO786441 UPK786435:UPK786441 UZG786435:UZG786441 VJC786435:VJC786441 VSY786435:VSY786441 WCU786435:WCU786441 WMQ786435:WMQ786441 WWM786435:WWM786441 AE851971:AE851977 KA851971:KA851977 TW851971:TW851977 ADS851971:ADS851977 ANO851971:ANO851977 AXK851971:AXK851977 BHG851971:BHG851977 BRC851971:BRC851977 CAY851971:CAY851977 CKU851971:CKU851977 CUQ851971:CUQ851977 DEM851971:DEM851977 DOI851971:DOI851977 DYE851971:DYE851977 EIA851971:EIA851977 ERW851971:ERW851977 FBS851971:FBS851977 FLO851971:FLO851977 FVK851971:FVK851977 GFG851971:GFG851977 GPC851971:GPC851977 GYY851971:GYY851977 HIU851971:HIU851977 HSQ851971:HSQ851977 ICM851971:ICM851977 IMI851971:IMI851977 IWE851971:IWE851977 JGA851971:JGA851977 JPW851971:JPW851977 JZS851971:JZS851977 KJO851971:KJO851977 KTK851971:KTK851977 LDG851971:LDG851977 LNC851971:LNC851977 LWY851971:LWY851977 MGU851971:MGU851977 MQQ851971:MQQ851977 NAM851971:NAM851977 NKI851971:NKI851977 NUE851971:NUE851977 OEA851971:OEA851977 ONW851971:ONW851977 OXS851971:OXS851977 PHO851971:PHO851977 PRK851971:PRK851977 QBG851971:QBG851977 QLC851971:QLC851977 QUY851971:QUY851977 REU851971:REU851977 ROQ851971:ROQ851977 RYM851971:RYM851977 SII851971:SII851977 SSE851971:SSE851977 TCA851971:TCA851977 TLW851971:TLW851977 TVS851971:TVS851977 UFO851971:UFO851977 UPK851971:UPK851977 UZG851971:UZG851977 VJC851971:VJC851977 VSY851971:VSY851977 WCU851971:WCU851977 WMQ851971:WMQ851977 WWM851971:WWM851977 AE917507:AE917513 KA917507:KA917513 TW917507:TW917513 ADS917507:ADS917513 ANO917507:ANO917513 AXK917507:AXK917513 BHG917507:BHG917513 BRC917507:BRC917513 CAY917507:CAY917513 CKU917507:CKU917513 CUQ917507:CUQ917513 DEM917507:DEM917513 DOI917507:DOI917513 DYE917507:DYE917513 EIA917507:EIA917513 ERW917507:ERW917513 FBS917507:FBS917513 FLO917507:FLO917513 FVK917507:FVK917513 GFG917507:GFG917513 GPC917507:GPC917513 GYY917507:GYY917513 HIU917507:HIU917513 HSQ917507:HSQ917513 ICM917507:ICM917513 IMI917507:IMI917513 IWE917507:IWE917513 JGA917507:JGA917513 JPW917507:JPW917513 JZS917507:JZS917513 KJO917507:KJO917513 KTK917507:KTK917513 LDG917507:LDG917513 LNC917507:LNC917513 LWY917507:LWY917513 MGU917507:MGU917513 MQQ917507:MQQ917513 NAM917507:NAM917513 NKI917507:NKI917513 NUE917507:NUE917513 OEA917507:OEA917513 ONW917507:ONW917513 OXS917507:OXS917513 PHO917507:PHO917513 PRK917507:PRK917513 QBG917507:QBG917513 QLC917507:QLC917513 QUY917507:QUY917513 REU917507:REU917513 ROQ917507:ROQ917513 RYM917507:RYM917513 SII917507:SII917513 SSE917507:SSE917513 TCA917507:TCA917513 TLW917507:TLW917513 TVS917507:TVS917513 UFO917507:UFO917513 UPK917507:UPK917513 UZG917507:UZG917513 VJC917507:VJC917513 VSY917507:VSY917513 WCU917507:WCU917513 WMQ917507:WMQ917513 WWM917507:WWM917513 AE983043:AE983049 KA983043:KA983049 TW983043:TW983049 ADS983043:ADS983049 ANO983043:ANO983049 AXK983043:AXK983049 BHG983043:BHG983049 BRC983043:BRC983049 CAY983043:CAY983049 CKU983043:CKU983049 CUQ983043:CUQ983049 DEM983043:DEM983049 DOI983043:DOI983049 DYE983043:DYE983049 EIA983043:EIA983049 ERW983043:ERW983049 FBS983043:FBS983049 FLO983043:FLO983049 FVK983043:FVK983049 GFG983043:GFG983049 GPC983043:GPC983049 GYY983043:GYY983049 HIU983043:HIU983049 HSQ983043:HSQ983049 ICM983043:ICM983049 IMI983043:IMI983049 IWE983043:IWE983049 JGA983043:JGA983049 JPW983043:JPW983049 JZS983043:JZS983049 KJO983043:KJO983049 KTK983043:KTK983049 LDG983043:LDG983049 LNC983043:LNC983049 LWY983043:LWY983049 MGU983043:MGU983049 MQQ983043:MQQ983049 NAM983043:NAM983049 NKI983043:NKI983049 NUE983043:NUE983049 OEA983043:OEA983049 ONW983043:ONW983049 OXS983043:OXS983049 PHO983043:PHO983049 PRK983043:PRK983049 QBG983043:QBG983049 QLC983043:QLC983049 QUY983043:QUY983049 REU983043:REU983049 ROQ983043:ROQ983049 RYM983043:RYM983049 SII983043:SII983049 SSE983043:SSE983049 TCA983043:TCA983049 TLW983043:TLW983049 TVS983043:TVS983049 UFO983043:UFO983049 UPK983043:UPK983049 UZG983043:UZG983049 VJC983043:VJC983049 VSY983043:VSY983049 WCU983043:WCU983049 WMQ983043:WMQ983049 WWM983043:WWM983049 WCU8:WCU9 WMQ8:WMQ9 WWM8:WWM9 AE8:AE9 KA8:KA9 TW8:TW9 ADS8:ADS9 ANO8:ANO9 AXK8:AXK9 BHG8:BHG9 BRC8:BRC9 CAY8:CAY9 CKU8:CKU9 CUQ8:CUQ9 DEM8:DEM9 DOI8:DOI9 DYE8:DYE9 EIA8:EIA9 ERW8:ERW9 FBS8:FBS9 FLO8:FLO9 FVK8:FVK9 GFG8:GFG9 GPC8:GPC9 GYY8:GYY9 HIU8:HIU9 HSQ8:HSQ9 ICM8:ICM9 IMI8:IMI9 IWE8:IWE9 JGA8:JGA9 JPW8:JPW9 JZS8:JZS9 KJO8:KJO9 KTK8:KTK9 LDG8:LDG9 LNC8:LNC9 LWY8:LWY9 MGU8:MGU9 MQQ8:MQQ9 NAM8:NAM9 NKI8:NKI9 NUE8:NUE9 OEA8:OEA9 ONW8:ONW9 OXS8:OXS9 PHO8:PHO9 PRK8:PRK9 QBG8:QBG9 QLC8:QLC9 QUY8:QUY9 REU8:REU9 ROQ8:ROQ9 RYM8:RYM9 SII8:SII9 SSE8:SSE9 TCA8:TCA9 TLW8:TLW9 TVS8:TVS9 UFO8:UFO9 UPK8:UPK9 UZG8:UZG9 VJC8:VJC9 VSY8:VSY9">
      <formula1>$AH$1:$AH$4</formula1>
    </dataValidation>
    <dataValidation type="date" showInputMessage="1" showErrorMessage="1" error="Debe Digitar una Fecha Valida o Verificar la Fecha Inicial" sqref="AC65539 JY65539 TU65539 ADQ65539 ANM65539 AXI65539 BHE65539 BRA65539 CAW65539 CKS65539 CUO65539 DEK65539 DOG65539 DYC65539 EHY65539 ERU65539 FBQ65539 FLM65539 FVI65539 GFE65539 GPA65539 GYW65539 HIS65539 HSO65539 ICK65539 IMG65539 IWC65539 JFY65539 JPU65539 JZQ65539 KJM65539 KTI65539 LDE65539 LNA65539 LWW65539 MGS65539 MQO65539 NAK65539 NKG65539 NUC65539 ODY65539 ONU65539 OXQ65539 PHM65539 PRI65539 QBE65539 QLA65539 QUW65539 RES65539 ROO65539 RYK65539 SIG65539 SSC65539 TBY65539 TLU65539 TVQ65539 UFM65539 UPI65539 UZE65539 VJA65539 VSW65539 WCS65539 WMO65539 WWK65539 AC131075 JY131075 TU131075 ADQ131075 ANM131075 AXI131075 BHE131075 BRA131075 CAW131075 CKS131075 CUO131075 DEK131075 DOG131075 DYC131075 EHY131075 ERU131075 FBQ131075 FLM131075 FVI131075 GFE131075 GPA131075 GYW131075 HIS131075 HSO131075 ICK131075 IMG131075 IWC131075 JFY131075 JPU131075 JZQ131075 KJM131075 KTI131075 LDE131075 LNA131075 LWW131075 MGS131075 MQO131075 NAK131075 NKG131075 NUC131075 ODY131075 ONU131075 OXQ131075 PHM131075 PRI131075 QBE131075 QLA131075 QUW131075 RES131075 ROO131075 RYK131075 SIG131075 SSC131075 TBY131075 TLU131075 TVQ131075 UFM131075 UPI131075 UZE131075 VJA131075 VSW131075 WCS131075 WMO131075 WWK131075 AC196611 JY196611 TU196611 ADQ196611 ANM196611 AXI196611 BHE196611 BRA196611 CAW196611 CKS196611 CUO196611 DEK196611 DOG196611 DYC196611 EHY196611 ERU196611 FBQ196611 FLM196611 FVI196611 GFE196611 GPA196611 GYW196611 HIS196611 HSO196611 ICK196611 IMG196611 IWC196611 JFY196611 JPU196611 JZQ196611 KJM196611 KTI196611 LDE196611 LNA196611 LWW196611 MGS196611 MQO196611 NAK196611 NKG196611 NUC196611 ODY196611 ONU196611 OXQ196611 PHM196611 PRI196611 QBE196611 QLA196611 QUW196611 RES196611 ROO196611 RYK196611 SIG196611 SSC196611 TBY196611 TLU196611 TVQ196611 UFM196611 UPI196611 UZE196611 VJA196611 VSW196611 WCS196611 WMO196611 WWK196611 AC262147 JY262147 TU262147 ADQ262147 ANM262147 AXI262147 BHE262147 BRA262147 CAW262147 CKS262147 CUO262147 DEK262147 DOG262147 DYC262147 EHY262147 ERU262147 FBQ262147 FLM262147 FVI262147 GFE262147 GPA262147 GYW262147 HIS262147 HSO262147 ICK262147 IMG262147 IWC262147 JFY262147 JPU262147 JZQ262147 KJM262147 KTI262147 LDE262147 LNA262147 LWW262147 MGS262147 MQO262147 NAK262147 NKG262147 NUC262147 ODY262147 ONU262147 OXQ262147 PHM262147 PRI262147 QBE262147 QLA262147 QUW262147 RES262147 ROO262147 RYK262147 SIG262147 SSC262147 TBY262147 TLU262147 TVQ262147 UFM262147 UPI262147 UZE262147 VJA262147 VSW262147 WCS262147 WMO262147 WWK262147 AC327683 JY327683 TU327683 ADQ327683 ANM327683 AXI327683 BHE327683 BRA327683 CAW327683 CKS327683 CUO327683 DEK327683 DOG327683 DYC327683 EHY327683 ERU327683 FBQ327683 FLM327683 FVI327683 GFE327683 GPA327683 GYW327683 HIS327683 HSO327683 ICK327683 IMG327683 IWC327683 JFY327683 JPU327683 JZQ327683 KJM327683 KTI327683 LDE327683 LNA327683 LWW327683 MGS327683 MQO327683 NAK327683 NKG327683 NUC327683 ODY327683 ONU327683 OXQ327683 PHM327683 PRI327683 QBE327683 QLA327683 QUW327683 RES327683 ROO327683 RYK327683 SIG327683 SSC327683 TBY327683 TLU327683 TVQ327683 UFM327683 UPI327683 UZE327683 VJA327683 VSW327683 WCS327683 WMO327683 WWK327683 AC393219 JY393219 TU393219 ADQ393219 ANM393219 AXI393219 BHE393219 BRA393219 CAW393219 CKS393219 CUO393219 DEK393219 DOG393219 DYC393219 EHY393219 ERU393219 FBQ393219 FLM393219 FVI393219 GFE393219 GPA393219 GYW393219 HIS393219 HSO393219 ICK393219 IMG393219 IWC393219 JFY393219 JPU393219 JZQ393219 KJM393219 KTI393219 LDE393219 LNA393219 LWW393219 MGS393219 MQO393219 NAK393219 NKG393219 NUC393219 ODY393219 ONU393219 OXQ393219 PHM393219 PRI393219 QBE393219 QLA393219 QUW393219 RES393219 ROO393219 RYK393219 SIG393219 SSC393219 TBY393219 TLU393219 TVQ393219 UFM393219 UPI393219 UZE393219 VJA393219 VSW393219 WCS393219 WMO393219 WWK393219 AC458755 JY458755 TU458755 ADQ458755 ANM458755 AXI458755 BHE458755 BRA458755 CAW458755 CKS458755 CUO458755 DEK458755 DOG458755 DYC458755 EHY458755 ERU458755 FBQ458755 FLM458755 FVI458755 GFE458755 GPA458755 GYW458755 HIS458755 HSO458755 ICK458755 IMG458755 IWC458755 JFY458755 JPU458755 JZQ458755 KJM458755 KTI458755 LDE458755 LNA458755 LWW458755 MGS458755 MQO458755 NAK458755 NKG458755 NUC458755 ODY458755 ONU458755 OXQ458755 PHM458755 PRI458755 QBE458755 QLA458755 QUW458755 RES458755 ROO458755 RYK458755 SIG458755 SSC458755 TBY458755 TLU458755 TVQ458755 UFM458755 UPI458755 UZE458755 VJA458755 VSW458755 WCS458755 WMO458755 WWK458755 AC524291 JY524291 TU524291 ADQ524291 ANM524291 AXI524291 BHE524291 BRA524291 CAW524291 CKS524291 CUO524291 DEK524291 DOG524291 DYC524291 EHY524291 ERU524291 FBQ524291 FLM524291 FVI524291 GFE524291 GPA524291 GYW524291 HIS524291 HSO524291 ICK524291 IMG524291 IWC524291 JFY524291 JPU524291 JZQ524291 KJM524291 KTI524291 LDE524291 LNA524291 LWW524291 MGS524291 MQO524291 NAK524291 NKG524291 NUC524291 ODY524291 ONU524291 OXQ524291 PHM524291 PRI524291 QBE524291 QLA524291 QUW524291 RES524291 ROO524291 RYK524291 SIG524291 SSC524291 TBY524291 TLU524291 TVQ524291 UFM524291 UPI524291 UZE524291 VJA524291 VSW524291 WCS524291 WMO524291 WWK524291 AC589827 JY589827 TU589827 ADQ589827 ANM589827 AXI589827 BHE589827 BRA589827 CAW589827 CKS589827 CUO589827 DEK589827 DOG589827 DYC589827 EHY589827 ERU589827 FBQ589827 FLM589827 FVI589827 GFE589827 GPA589827 GYW589827 HIS589827 HSO589827 ICK589827 IMG589827 IWC589827 JFY589827 JPU589827 JZQ589827 KJM589827 KTI589827 LDE589827 LNA589827 LWW589827 MGS589827 MQO589827 NAK589827 NKG589827 NUC589827 ODY589827 ONU589827 OXQ589827 PHM589827 PRI589827 QBE589827 QLA589827 QUW589827 RES589827 ROO589827 RYK589827 SIG589827 SSC589827 TBY589827 TLU589827 TVQ589827 UFM589827 UPI589827 UZE589827 VJA589827 VSW589827 WCS589827 WMO589827 WWK589827 AC655363 JY655363 TU655363 ADQ655363 ANM655363 AXI655363 BHE655363 BRA655363 CAW655363 CKS655363 CUO655363 DEK655363 DOG655363 DYC655363 EHY655363 ERU655363 FBQ655363 FLM655363 FVI655363 GFE655363 GPA655363 GYW655363 HIS655363 HSO655363 ICK655363 IMG655363 IWC655363 JFY655363 JPU655363 JZQ655363 KJM655363 KTI655363 LDE655363 LNA655363 LWW655363 MGS655363 MQO655363 NAK655363 NKG655363 NUC655363 ODY655363 ONU655363 OXQ655363 PHM655363 PRI655363 QBE655363 QLA655363 QUW655363 RES655363 ROO655363 RYK655363 SIG655363 SSC655363 TBY655363 TLU655363 TVQ655363 UFM655363 UPI655363 UZE655363 VJA655363 VSW655363 WCS655363 WMO655363 WWK655363 AC720899 JY720899 TU720899 ADQ720899 ANM720899 AXI720899 BHE720899 BRA720899 CAW720899 CKS720899 CUO720899 DEK720899 DOG720899 DYC720899 EHY720899 ERU720899 FBQ720899 FLM720899 FVI720899 GFE720899 GPA720899 GYW720899 HIS720899 HSO720899 ICK720899 IMG720899 IWC720899 JFY720899 JPU720899 JZQ720899 KJM720899 KTI720899 LDE720899 LNA720899 LWW720899 MGS720899 MQO720899 NAK720899 NKG720899 NUC720899 ODY720899 ONU720899 OXQ720899 PHM720899 PRI720899 QBE720899 QLA720899 QUW720899 RES720899 ROO720899 RYK720899 SIG720899 SSC720899 TBY720899 TLU720899 TVQ720899 UFM720899 UPI720899 UZE720899 VJA720899 VSW720899 WCS720899 WMO720899 WWK720899 AC786435 JY786435 TU786435 ADQ786435 ANM786435 AXI786435 BHE786435 BRA786435 CAW786435 CKS786435 CUO786435 DEK786435 DOG786435 DYC786435 EHY786435 ERU786435 FBQ786435 FLM786435 FVI786435 GFE786435 GPA786435 GYW786435 HIS786435 HSO786435 ICK786435 IMG786435 IWC786435 JFY786435 JPU786435 JZQ786435 KJM786435 KTI786435 LDE786435 LNA786435 LWW786435 MGS786435 MQO786435 NAK786435 NKG786435 NUC786435 ODY786435 ONU786435 OXQ786435 PHM786435 PRI786435 QBE786435 QLA786435 QUW786435 RES786435 ROO786435 RYK786435 SIG786435 SSC786435 TBY786435 TLU786435 TVQ786435 UFM786435 UPI786435 UZE786435 VJA786435 VSW786435 WCS786435 WMO786435 WWK786435 AC851971 JY851971 TU851971 ADQ851971 ANM851971 AXI851971 BHE851971 BRA851971 CAW851971 CKS851971 CUO851971 DEK851971 DOG851971 DYC851971 EHY851971 ERU851971 FBQ851971 FLM851971 FVI851971 GFE851971 GPA851971 GYW851971 HIS851971 HSO851971 ICK851971 IMG851971 IWC851971 JFY851971 JPU851971 JZQ851971 KJM851971 KTI851971 LDE851971 LNA851971 LWW851971 MGS851971 MQO851971 NAK851971 NKG851971 NUC851971 ODY851971 ONU851971 OXQ851971 PHM851971 PRI851971 QBE851971 QLA851971 QUW851971 RES851971 ROO851971 RYK851971 SIG851971 SSC851971 TBY851971 TLU851971 TVQ851971 UFM851971 UPI851971 UZE851971 VJA851971 VSW851971 WCS851971 WMO851971 WWK851971 AC917507 JY917507 TU917507 ADQ917507 ANM917507 AXI917507 BHE917507 BRA917507 CAW917507 CKS917507 CUO917507 DEK917507 DOG917507 DYC917507 EHY917507 ERU917507 FBQ917507 FLM917507 FVI917507 GFE917507 GPA917507 GYW917507 HIS917507 HSO917507 ICK917507 IMG917507 IWC917507 JFY917507 JPU917507 JZQ917507 KJM917507 KTI917507 LDE917507 LNA917507 LWW917507 MGS917507 MQO917507 NAK917507 NKG917507 NUC917507 ODY917507 ONU917507 OXQ917507 PHM917507 PRI917507 QBE917507 QLA917507 QUW917507 RES917507 ROO917507 RYK917507 SIG917507 SSC917507 TBY917507 TLU917507 TVQ917507 UFM917507 UPI917507 UZE917507 VJA917507 VSW917507 WCS917507 WMO917507 WWK917507 AC983043 JY983043 TU983043 ADQ983043 ANM983043 AXI983043 BHE983043 BRA983043 CAW983043 CKS983043 CUO983043 DEK983043 DOG983043 DYC983043 EHY983043 ERU983043 FBQ983043 FLM983043 FVI983043 GFE983043 GPA983043 GYW983043 HIS983043 HSO983043 ICK983043 IMG983043 IWC983043 JFY983043 JPU983043 JZQ983043 KJM983043 KTI983043 LDE983043 LNA983043 LWW983043 MGS983043 MQO983043 NAK983043 NKG983043 NUC983043 ODY983043 ONU983043 OXQ983043 PHM983043 PRI983043 QBE983043 QLA983043 QUW983043 RES983043 ROO983043 RYK983043 SIG983043 SSC983043 TBY983043 TLU983043 TVQ983043 UFM983043 UPI983043 UZE983043 VJA983043 VSW983043 WCS983043 WMO983043 WWK983043 AC65541:AC65545 JY65541:JY65545 TU65541:TU65545 ADQ65541:ADQ65545 ANM65541:ANM65545 AXI65541:AXI65545 BHE65541:BHE65545 BRA65541:BRA65545 CAW65541:CAW65545 CKS65541:CKS65545 CUO65541:CUO65545 DEK65541:DEK65545 DOG65541:DOG65545 DYC65541:DYC65545 EHY65541:EHY65545 ERU65541:ERU65545 FBQ65541:FBQ65545 FLM65541:FLM65545 FVI65541:FVI65545 GFE65541:GFE65545 GPA65541:GPA65545 GYW65541:GYW65545 HIS65541:HIS65545 HSO65541:HSO65545 ICK65541:ICK65545 IMG65541:IMG65545 IWC65541:IWC65545 JFY65541:JFY65545 JPU65541:JPU65545 JZQ65541:JZQ65545 KJM65541:KJM65545 KTI65541:KTI65545 LDE65541:LDE65545 LNA65541:LNA65545 LWW65541:LWW65545 MGS65541:MGS65545 MQO65541:MQO65545 NAK65541:NAK65545 NKG65541:NKG65545 NUC65541:NUC65545 ODY65541:ODY65545 ONU65541:ONU65545 OXQ65541:OXQ65545 PHM65541:PHM65545 PRI65541:PRI65545 QBE65541:QBE65545 QLA65541:QLA65545 QUW65541:QUW65545 RES65541:RES65545 ROO65541:ROO65545 RYK65541:RYK65545 SIG65541:SIG65545 SSC65541:SSC65545 TBY65541:TBY65545 TLU65541:TLU65545 TVQ65541:TVQ65545 UFM65541:UFM65545 UPI65541:UPI65545 UZE65541:UZE65545 VJA65541:VJA65545 VSW65541:VSW65545 WCS65541:WCS65545 WMO65541:WMO65545 WWK65541:WWK65545 AC131077:AC131081 JY131077:JY131081 TU131077:TU131081 ADQ131077:ADQ131081 ANM131077:ANM131081 AXI131077:AXI131081 BHE131077:BHE131081 BRA131077:BRA131081 CAW131077:CAW131081 CKS131077:CKS131081 CUO131077:CUO131081 DEK131077:DEK131081 DOG131077:DOG131081 DYC131077:DYC131081 EHY131077:EHY131081 ERU131077:ERU131081 FBQ131077:FBQ131081 FLM131077:FLM131081 FVI131077:FVI131081 GFE131077:GFE131081 GPA131077:GPA131081 GYW131077:GYW131081 HIS131077:HIS131081 HSO131077:HSO131081 ICK131077:ICK131081 IMG131077:IMG131081 IWC131077:IWC131081 JFY131077:JFY131081 JPU131077:JPU131081 JZQ131077:JZQ131081 KJM131077:KJM131081 KTI131077:KTI131081 LDE131077:LDE131081 LNA131077:LNA131081 LWW131077:LWW131081 MGS131077:MGS131081 MQO131077:MQO131081 NAK131077:NAK131081 NKG131077:NKG131081 NUC131077:NUC131081 ODY131077:ODY131081 ONU131077:ONU131081 OXQ131077:OXQ131081 PHM131077:PHM131081 PRI131077:PRI131081 QBE131077:QBE131081 QLA131077:QLA131081 QUW131077:QUW131081 RES131077:RES131081 ROO131077:ROO131081 RYK131077:RYK131081 SIG131077:SIG131081 SSC131077:SSC131081 TBY131077:TBY131081 TLU131077:TLU131081 TVQ131077:TVQ131081 UFM131077:UFM131081 UPI131077:UPI131081 UZE131077:UZE131081 VJA131077:VJA131081 VSW131077:VSW131081 WCS131077:WCS131081 WMO131077:WMO131081 WWK131077:WWK131081 AC196613:AC196617 JY196613:JY196617 TU196613:TU196617 ADQ196613:ADQ196617 ANM196613:ANM196617 AXI196613:AXI196617 BHE196613:BHE196617 BRA196613:BRA196617 CAW196613:CAW196617 CKS196613:CKS196617 CUO196613:CUO196617 DEK196613:DEK196617 DOG196613:DOG196617 DYC196613:DYC196617 EHY196613:EHY196617 ERU196613:ERU196617 FBQ196613:FBQ196617 FLM196613:FLM196617 FVI196613:FVI196617 GFE196613:GFE196617 GPA196613:GPA196617 GYW196613:GYW196617 HIS196613:HIS196617 HSO196613:HSO196617 ICK196613:ICK196617 IMG196613:IMG196617 IWC196613:IWC196617 JFY196613:JFY196617 JPU196613:JPU196617 JZQ196613:JZQ196617 KJM196613:KJM196617 KTI196613:KTI196617 LDE196613:LDE196617 LNA196613:LNA196617 LWW196613:LWW196617 MGS196613:MGS196617 MQO196613:MQO196617 NAK196613:NAK196617 NKG196613:NKG196617 NUC196613:NUC196617 ODY196613:ODY196617 ONU196613:ONU196617 OXQ196613:OXQ196617 PHM196613:PHM196617 PRI196613:PRI196617 QBE196613:QBE196617 QLA196613:QLA196617 QUW196613:QUW196617 RES196613:RES196617 ROO196613:ROO196617 RYK196613:RYK196617 SIG196613:SIG196617 SSC196613:SSC196617 TBY196613:TBY196617 TLU196613:TLU196617 TVQ196613:TVQ196617 UFM196613:UFM196617 UPI196613:UPI196617 UZE196613:UZE196617 VJA196613:VJA196617 VSW196613:VSW196617 WCS196613:WCS196617 WMO196613:WMO196617 WWK196613:WWK196617 AC262149:AC262153 JY262149:JY262153 TU262149:TU262153 ADQ262149:ADQ262153 ANM262149:ANM262153 AXI262149:AXI262153 BHE262149:BHE262153 BRA262149:BRA262153 CAW262149:CAW262153 CKS262149:CKS262153 CUO262149:CUO262153 DEK262149:DEK262153 DOG262149:DOG262153 DYC262149:DYC262153 EHY262149:EHY262153 ERU262149:ERU262153 FBQ262149:FBQ262153 FLM262149:FLM262153 FVI262149:FVI262153 GFE262149:GFE262153 GPA262149:GPA262153 GYW262149:GYW262153 HIS262149:HIS262153 HSO262149:HSO262153 ICK262149:ICK262153 IMG262149:IMG262153 IWC262149:IWC262153 JFY262149:JFY262153 JPU262149:JPU262153 JZQ262149:JZQ262153 KJM262149:KJM262153 KTI262149:KTI262153 LDE262149:LDE262153 LNA262149:LNA262153 LWW262149:LWW262153 MGS262149:MGS262153 MQO262149:MQO262153 NAK262149:NAK262153 NKG262149:NKG262153 NUC262149:NUC262153 ODY262149:ODY262153 ONU262149:ONU262153 OXQ262149:OXQ262153 PHM262149:PHM262153 PRI262149:PRI262153 QBE262149:QBE262153 QLA262149:QLA262153 QUW262149:QUW262153 RES262149:RES262153 ROO262149:ROO262153 RYK262149:RYK262153 SIG262149:SIG262153 SSC262149:SSC262153 TBY262149:TBY262153 TLU262149:TLU262153 TVQ262149:TVQ262153 UFM262149:UFM262153 UPI262149:UPI262153 UZE262149:UZE262153 VJA262149:VJA262153 VSW262149:VSW262153 WCS262149:WCS262153 WMO262149:WMO262153 WWK262149:WWK262153 AC327685:AC327689 JY327685:JY327689 TU327685:TU327689 ADQ327685:ADQ327689 ANM327685:ANM327689 AXI327685:AXI327689 BHE327685:BHE327689 BRA327685:BRA327689 CAW327685:CAW327689 CKS327685:CKS327689 CUO327685:CUO327689 DEK327685:DEK327689 DOG327685:DOG327689 DYC327685:DYC327689 EHY327685:EHY327689 ERU327685:ERU327689 FBQ327685:FBQ327689 FLM327685:FLM327689 FVI327685:FVI327689 GFE327685:GFE327689 GPA327685:GPA327689 GYW327685:GYW327689 HIS327685:HIS327689 HSO327685:HSO327689 ICK327685:ICK327689 IMG327685:IMG327689 IWC327685:IWC327689 JFY327685:JFY327689 JPU327685:JPU327689 JZQ327685:JZQ327689 KJM327685:KJM327689 KTI327685:KTI327689 LDE327685:LDE327689 LNA327685:LNA327689 LWW327685:LWW327689 MGS327685:MGS327689 MQO327685:MQO327689 NAK327685:NAK327689 NKG327685:NKG327689 NUC327685:NUC327689 ODY327685:ODY327689 ONU327685:ONU327689 OXQ327685:OXQ327689 PHM327685:PHM327689 PRI327685:PRI327689 QBE327685:QBE327689 QLA327685:QLA327689 QUW327685:QUW327689 RES327685:RES327689 ROO327685:ROO327689 RYK327685:RYK327689 SIG327685:SIG327689 SSC327685:SSC327689 TBY327685:TBY327689 TLU327685:TLU327689 TVQ327685:TVQ327689 UFM327685:UFM327689 UPI327685:UPI327689 UZE327685:UZE327689 VJA327685:VJA327689 VSW327685:VSW327689 WCS327685:WCS327689 WMO327685:WMO327689 WWK327685:WWK327689 AC393221:AC393225 JY393221:JY393225 TU393221:TU393225 ADQ393221:ADQ393225 ANM393221:ANM393225 AXI393221:AXI393225 BHE393221:BHE393225 BRA393221:BRA393225 CAW393221:CAW393225 CKS393221:CKS393225 CUO393221:CUO393225 DEK393221:DEK393225 DOG393221:DOG393225 DYC393221:DYC393225 EHY393221:EHY393225 ERU393221:ERU393225 FBQ393221:FBQ393225 FLM393221:FLM393225 FVI393221:FVI393225 GFE393221:GFE393225 GPA393221:GPA393225 GYW393221:GYW393225 HIS393221:HIS393225 HSO393221:HSO393225 ICK393221:ICK393225 IMG393221:IMG393225 IWC393221:IWC393225 JFY393221:JFY393225 JPU393221:JPU393225 JZQ393221:JZQ393225 KJM393221:KJM393225 KTI393221:KTI393225 LDE393221:LDE393225 LNA393221:LNA393225 LWW393221:LWW393225 MGS393221:MGS393225 MQO393221:MQO393225 NAK393221:NAK393225 NKG393221:NKG393225 NUC393221:NUC393225 ODY393221:ODY393225 ONU393221:ONU393225 OXQ393221:OXQ393225 PHM393221:PHM393225 PRI393221:PRI393225 QBE393221:QBE393225 QLA393221:QLA393225 QUW393221:QUW393225 RES393221:RES393225 ROO393221:ROO393225 RYK393221:RYK393225 SIG393221:SIG393225 SSC393221:SSC393225 TBY393221:TBY393225 TLU393221:TLU393225 TVQ393221:TVQ393225 UFM393221:UFM393225 UPI393221:UPI393225 UZE393221:UZE393225 VJA393221:VJA393225 VSW393221:VSW393225 WCS393221:WCS393225 WMO393221:WMO393225 WWK393221:WWK393225 AC458757:AC458761 JY458757:JY458761 TU458757:TU458761 ADQ458757:ADQ458761 ANM458757:ANM458761 AXI458757:AXI458761 BHE458757:BHE458761 BRA458757:BRA458761 CAW458757:CAW458761 CKS458757:CKS458761 CUO458757:CUO458761 DEK458757:DEK458761 DOG458757:DOG458761 DYC458757:DYC458761 EHY458757:EHY458761 ERU458757:ERU458761 FBQ458757:FBQ458761 FLM458757:FLM458761 FVI458757:FVI458761 GFE458757:GFE458761 GPA458757:GPA458761 GYW458757:GYW458761 HIS458757:HIS458761 HSO458757:HSO458761 ICK458757:ICK458761 IMG458757:IMG458761 IWC458757:IWC458761 JFY458757:JFY458761 JPU458757:JPU458761 JZQ458757:JZQ458761 KJM458757:KJM458761 KTI458757:KTI458761 LDE458757:LDE458761 LNA458757:LNA458761 LWW458757:LWW458761 MGS458757:MGS458761 MQO458757:MQO458761 NAK458757:NAK458761 NKG458757:NKG458761 NUC458757:NUC458761 ODY458757:ODY458761 ONU458757:ONU458761 OXQ458757:OXQ458761 PHM458757:PHM458761 PRI458757:PRI458761 QBE458757:QBE458761 QLA458757:QLA458761 QUW458757:QUW458761 RES458757:RES458761 ROO458757:ROO458761 RYK458757:RYK458761 SIG458757:SIG458761 SSC458757:SSC458761 TBY458757:TBY458761 TLU458757:TLU458761 TVQ458757:TVQ458761 UFM458757:UFM458761 UPI458757:UPI458761 UZE458757:UZE458761 VJA458757:VJA458761 VSW458757:VSW458761 WCS458757:WCS458761 WMO458757:WMO458761 WWK458757:WWK458761 AC524293:AC524297 JY524293:JY524297 TU524293:TU524297 ADQ524293:ADQ524297 ANM524293:ANM524297 AXI524293:AXI524297 BHE524293:BHE524297 BRA524293:BRA524297 CAW524293:CAW524297 CKS524293:CKS524297 CUO524293:CUO524297 DEK524293:DEK524297 DOG524293:DOG524297 DYC524293:DYC524297 EHY524293:EHY524297 ERU524293:ERU524297 FBQ524293:FBQ524297 FLM524293:FLM524297 FVI524293:FVI524297 GFE524293:GFE524297 GPA524293:GPA524297 GYW524293:GYW524297 HIS524293:HIS524297 HSO524293:HSO524297 ICK524293:ICK524297 IMG524293:IMG524297 IWC524293:IWC524297 JFY524293:JFY524297 JPU524293:JPU524297 JZQ524293:JZQ524297 KJM524293:KJM524297 KTI524293:KTI524297 LDE524293:LDE524297 LNA524293:LNA524297 LWW524293:LWW524297 MGS524293:MGS524297 MQO524293:MQO524297 NAK524293:NAK524297 NKG524293:NKG524297 NUC524293:NUC524297 ODY524293:ODY524297 ONU524293:ONU524297 OXQ524293:OXQ524297 PHM524293:PHM524297 PRI524293:PRI524297 QBE524293:QBE524297 QLA524293:QLA524297 QUW524293:QUW524297 RES524293:RES524297 ROO524293:ROO524297 RYK524293:RYK524297 SIG524293:SIG524297 SSC524293:SSC524297 TBY524293:TBY524297 TLU524293:TLU524297 TVQ524293:TVQ524297 UFM524293:UFM524297 UPI524293:UPI524297 UZE524293:UZE524297 VJA524293:VJA524297 VSW524293:VSW524297 WCS524293:WCS524297 WMO524293:WMO524297 WWK524293:WWK524297 AC589829:AC589833 JY589829:JY589833 TU589829:TU589833 ADQ589829:ADQ589833 ANM589829:ANM589833 AXI589829:AXI589833 BHE589829:BHE589833 BRA589829:BRA589833 CAW589829:CAW589833 CKS589829:CKS589833 CUO589829:CUO589833 DEK589829:DEK589833 DOG589829:DOG589833 DYC589829:DYC589833 EHY589829:EHY589833 ERU589829:ERU589833 FBQ589829:FBQ589833 FLM589829:FLM589833 FVI589829:FVI589833 GFE589829:GFE589833 GPA589829:GPA589833 GYW589829:GYW589833 HIS589829:HIS589833 HSO589829:HSO589833 ICK589829:ICK589833 IMG589829:IMG589833 IWC589829:IWC589833 JFY589829:JFY589833 JPU589829:JPU589833 JZQ589829:JZQ589833 KJM589829:KJM589833 KTI589829:KTI589833 LDE589829:LDE589833 LNA589829:LNA589833 LWW589829:LWW589833 MGS589829:MGS589833 MQO589829:MQO589833 NAK589829:NAK589833 NKG589829:NKG589833 NUC589829:NUC589833 ODY589829:ODY589833 ONU589829:ONU589833 OXQ589829:OXQ589833 PHM589829:PHM589833 PRI589829:PRI589833 QBE589829:QBE589833 QLA589829:QLA589833 QUW589829:QUW589833 RES589829:RES589833 ROO589829:ROO589833 RYK589829:RYK589833 SIG589829:SIG589833 SSC589829:SSC589833 TBY589829:TBY589833 TLU589829:TLU589833 TVQ589829:TVQ589833 UFM589829:UFM589833 UPI589829:UPI589833 UZE589829:UZE589833 VJA589829:VJA589833 VSW589829:VSW589833 WCS589829:WCS589833 WMO589829:WMO589833 WWK589829:WWK589833 AC655365:AC655369 JY655365:JY655369 TU655365:TU655369 ADQ655365:ADQ655369 ANM655365:ANM655369 AXI655365:AXI655369 BHE655365:BHE655369 BRA655365:BRA655369 CAW655365:CAW655369 CKS655365:CKS655369 CUO655365:CUO655369 DEK655365:DEK655369 DOG655365:DOG655369 DYC655365:DYC655369 EHY655365:EHY655369 ERU655365:ERU655369 FBQ655365:FBQ655369 FLM655365:FLM655369 FVI655365:FVI655369 GFE655365:GFE655369 GPA655365:GPA655369 GYW655365:GYW655369 HIS655365:HIS655369 HSO655365:HSO655369 ICK655365:ICK655369 IMG655365:IMG655369 IWC655365:IWC655369 JFY655365:JFY655369 JPU655365:JPU655369 JZQ655365:JZQ655369 KJM655365:KJM655369 KTI655365:KTI655369 LDE655365:LDE655369 LNA655365:LNA655369 LWW655365:LWW655369 MGS655365:MGS655369 MQO655365:MQO655369 NAK655365:NAK655369 NKG655365:NKG655369 NUC655365:NUC655369 ODY655365:ODY655369 ONU655365:ONU655369 OXQ655365:OXQ655369 PHM655365:PHM655369 PRI655365:PRI655369 QBE655365:QBE655369 QLA655365:QLA655369 QUW655365:QUW655369 RES655365:RES655369 ROO655365:ROO655369 RYK655365:RYK655369 SIG655365:SIG655369 SSC655365:SSC655369 TBY655365:TBY655369 TLU655365:TLU655369 TVQ655365:TVQ655369 UFM655365:UFM655369 UPI655365:UPI655369 UZE655365:UZE655369 VJA655365:VJA655369 VSW655365:VSW655369 WCS655365:WCS655369 WMO655365:WMO655369 WWK655365:WWK655369 AC720901:AC720905 JY720901:JY720905 TU720901:TU720905 ADQ720901:ADQ720905 ANM720901:ANM720905 AXI720901:AXI720905 BHE720901:BHE720905 BRA720901:BRA720905 CAW720901:CAW720905 CKS720901:CKS720905 CUO720901:CUO720905 DEK720901:DEK720905 DOG720901:DOG720905 DYC720901:DYC720905 EHY720901:EHY720905 ERU720901:ERU720905 FBQ720901:FBQ720905 FLM720901:FLM720905 FVI720901:FVI720905 GFE720901:GFE720905 GPA720901:GPA720905 GYW720901:GYW720905 HIS720901:HIS720905 HSO720901:HSO720905 ICK720901:ICK720905 IMG720901:IMG720905 IWC720901:IWC720905 JFY720901:JFY720905 JPU720901:JPU720905 JZQ720901:JZQ720905 KJM720901:KJM720905 KTI720901:KTI720905 LDE720901:LDE720905 LNA720901:LNA720905 LWW720901:LWW720905 MGS720901:MGS720905 MQO720901:MQO720905 NAK720901:NAK720905 NKG720901:NKG720905 NUC720901:NUC720905 ODY720901:ODY720905 ONU720901:ONU720905 OXQ720901:OXQ720905 PHM720901:PHM720905 PRI720901:PRI720905 QBE720901:QBE720905 QLA720901:QLA720905 QUW720901:QUW720905 RES720901:RES720905 ROO720901:ROO720905 RYK720901:RYK720905 SIG720901:SIG720905 SSC720901:SSC720905 TBY720901:TBY720905 TLU720901:TLU720905 TVQ720901:TVQ720905 UFM720901:UFM720905 UPI720901:UPI720905 UZE720901:UZE720905 VJA720901:VJA720905 VSW720901:VSW720905 WCS720901:WCS720905 WMO720901:WMO720905 WWK720901:WWK720905 AC786437:AC786441 JY786437:JY786441 TU786437:TU786441 ADQ786437:ADQ786441 ANM786437:ANM786441 AXI786437:AXI786441 BHE786437:BHE786441 BRA786437:BRA786441 CAW786437:CAW786441 CKS786437:CKS786441 CUO786437:CUO786441 DEK786437:DEK786441 DOG786437:DOG786441 DYC786437:DYC786441 EHY786437:EHY786441 ERU786437:ERU786441 FBQ786437:FBQ786441 FLM786437:FLM786441 FVI786437:FVI786441 GFE786437:GFE786441 GPA786437:GPA786441 GYW786437:GYW786441 HIS786437:HIS786441 HSO786437:HSO786441 ICK786437:ICK786441 IMG786437:IMG786441 IWC786437:IWC786441 JFY786437:JFY786441 JPU786437:JPU786441 JZQ786437:JZQ786441 KJM786437:KJM786441 KTI786437:KTI786441 LDE786437:LDE786441 LNA786437:LNA786441 LWW786437:LWW786441 MGS786437:MGS786441 MQO786437:MQO786441 NAK786437:NAK786441 NKG786437:NKG786441 NUC786437:NUC786441 ODY786437:ODY786441 ONU786437:ONU786441 OXQ786437:OXQ786441 PHM786437:PHM786441 PRI786437:PRI786441 QBE786437:QBE786441 QLA786437:QLA786441 QUW786437:QUW786441 RES786437:RES786441 ROO786437:ROO786441 RYK786437:RYK786441 SIG786437:SIG786441 SSC786437:SSC786441 TBY786437:TBY786441 TLU786437:TLU786441 TVQ786437:TVQ786441 UFM786437:UFM786441 UPI786437:UPI786441 UZE786437:UZE786441 VJA786437:VJA786441 VSW786437:VSW786441 WCS786437:WCS786441 WMO786437:WMO786441 WWK786437:WWK786441 AC851973:AC851977 JY851973:JY851977 TU851973:TU851977 ADQ851973:ADQ851977 ANM851973:ANM851977 AXI851973:AXI851977 BHE851973:BHE851977 BRA851973:BRA851977 CAW851973:CAW851977 CKS851973:CKS851977 CUO851973:CUO851977 DEK851973:DEK851977 DOG851973:DOG851977 DYC851973:DYC851977 EHY851973:EHY851977 ERU851973:ERU851977 FBQ851973:FBQ851977 FLM851973:FLM851977 FVI851973:FVI851977 GFE851973:GFE851977 GPA851973:GPA851977 GYW851973:GYW851977 HIS851973:HIS851977 HSO851973:HSO851977 ICK851973:ICK851977 IMG851973:IMG851977 IWC851973:IWC851977 JFY851973:JFY851977 JPU851973:JPU851977 JZQ851973:JZQ851977 KJM851973:KJM851977 KTI851973:KTI851977 LDE851973:LDE851977 LNA851973:LNA851977 LWW851973:LWW851977 MGS851973:MGS851977 MQO851973:MQO851977 NAK851973:NAK851977 NKG851973:NKG851977 NUC851973:NUC851977 ODY851973:ODY851977 ONU851973:ONU851977 OXQ851973:OXQ851977 PHM851973:PHM851977 PRI851973:PRI851977 QBE851973:QBE851977 QLA851973:QLA851977 QUW851973:QUW851977 RES851973:RES851977 ROO851973:ROO851977 RYK851973:RYK851977 SIG851973:SIG851977 SSC851973:SSC851977 TBY851973:TBY851977 TLU851973:TLU851977 TVQ851973:TVQ851977 UFM851973:UFM851977 UPI851973:UPI851977 UZE851973:UZE851977 VJA851973:VJA851977 VSW851973:VSW851977 WCS851973:WCS851977 WMO851973:WMO851977 WWK851973:WWK851977 AC917509:AC917513 JY917509:JY917513 TU917509:TU917513 ADQ917509:ADQ917513 ANM917509:ANM917513 AXI917509:AXI917513 BHE917509:BHE917513 BRA917509:BRA917513 CAW917509:CAW917513 CKS917509:CKS917513 CUO917509:CUO917513 DEK917509:DEK917513 DOG917509:DOG917513 DYC917509:DYC917513 EHY917509:EHY917513 ERU917509:ERU917513 FBQ917509:FBQ917513 FLM917509:FLM917513 FVI917509:FVI917513 GFE917509:GFE917513 GPA917509:GPA917513 GYW917509:GYW917513 HIS917509:HIS917513 HSO917509:HSO917513 ICK917509:ICK917513 IMG917509:IMG917513 IWC917509:IWC917513 JFY917509:JFY917513 JPU917509:JPU917513 JZQ917509:JZQ917513 KJM917509:KJM917513 KTI917509:KTI917513 LDE917509:LDE917513 LNA917509:LNA917513 LWW917509:LWW917513 MGS917509:MGS917513 MQO917509:MQO917513 NAK917509:NAK917513 NKG917509:NKG917513 NUC917509:NUC917513 ODY917509:ODY917513 ONU917509:ONU917513 OXQ917509:OXQ917513 PHM917509:PHM917513 PRI917509:PRI917513 QBE917509:QBE917513 QLA917509:QLA917513 QUW917509:QUW917513 RES917509:RES917513 ROO917509:ROO917513 RYK917509:RYK917513 SIG917509:SIG917513 SSC917509:SSC917513 TBY917509:TBY917513 TLU917509:TLU917513 TVQ917509:TVQ917513 UFM917509:UFM917513 UPI917509:UPI917513 UZE917509:UZE917513 VJA917509:VJA917513 VSW917509:VSW917513 WCS917509:WCS917513 WMO917509:WMO917513 WWK917509:WWK917513 AC983045:AC983049 JY983045:JY983049 TU983045:TU983049 ADQ983045:ADQ983049 ANM983045:ANM983049 AXI983045:AXI983049 BHE983045:BHE983049 BRA983045:BRA983049 CAW983045:CAW983049 CKS983045:CKS983049 CUO983045:CUO983049 DEK983045:DEK983049 DOG983045:DOG983049 DYC983045:DYC983049 EHY983045:EHY983049 ERU983045:ERU983049 FBQ983045:FBQ983049 FLM983045:FLM983049 FVI983045:FVI983049 GFE983045:GFE983049 GPA983045:GPA983049 GYW983045:GYW983049 HIS983045:HIS983049 HSO983045:HSO983049 ICK983045:ICK983049 IMG983045:IMG983049 IWC983045:IWC983049 JFY983045:JFY983049 JPU983045:JPU983049 JZQ983045:JZQ983049 KJM983045:KJM983049 KTI983045:KTI983049 LDE983045:LDE983049 LNA983045:LNA983049 LWW983045:LWW983049 MGS983045:MGS983049 MQO983045:MQO983049 NAK983045:NAK983049 NKG983045:NKG983049 NUC983045:NUC983049 ODY983045:ODY983049 ONU983045:ONU983049 OXQ983045:OXQ983049 PHM983045:PHM983049 PRI983045:PRI983049 QBE983045:QBE983049 QLA983045:QLA983049 QUW983045:QUW983049 RES983045:RES983049 ROO983045:ROO983049 RYK983045:RYK983049 SIG983045:SIG983049 SSC983045:SSC983049 TBY983045:TBY983049 TLU983045:TLU983049 TVQ983045:TVQ983049 UFM983045:UFM983049 UPI983045:UPI983049 UZE983045:UZE983049 VJA983045:VJA983049 VSW983045:VSW983049 WCS983045:WCS983049 WMO983045:WMO983049 WWK983045:WWK983049 WWK8:WWK9 WMO8:WMO9 WCS8:WCS9 VSW8:VSW9 VJA8:VJA9 UZE8:UZE9 UPI8:UPI9 UFM8:UFM9 TVQ8:TVQ9 TLU8:TLU9 TBY8:TBY9 SSC8:SSC9 SIG8:SIG9 RYK8:RYK9 ROO8:ROO9 RES8:RES9 QUW8:QUW9 QLA8:QLA9 QBE8:QBE9 PRI8:PRI9 PHM8:PHM9 OXQ8:OXQ9 ONU8:ONU9 ODY8:ODY9 NUC8:NUC9 NKG8:NKG9 NAK8:NAK9 MQO8:MQO9 MGS8:MGS9 LWW8:LWW9 LNA8:LNA9 LDE8:LDE9 KTI8:KTI9 KJM8:KJM9 JZQ8:JZQ9 JPU8:JPU9 JFY8:JFY9 IWC8:IWC9 IMG8:IMG9 ICK8:ICK9 HSO8:HSO9 HIS8:HIS9 GYW8:GYW9 GPA8:GPA9 GFE8:GFE9 FVI8:FVI9 FLM8:FLM9 FBQ8:FBQ9 ERU8:ERU9 EHY8:EHY9 DYC8:DYC9 DOG8:DOG9 DEK8:DEK9 CUO8:CUO9 CKS8:CKS9 CAW8:CAW9 BRA8:BRA9 BHE8:BHE9 AXI8:AXI9 ANM8:ANM9 ADQ8:ADQ9 TU8:TU9 JY8:JY9">
      <formula1>AB8</formula1>
      <formula2>IF(AB8&lt;&gt;0,IF(AC8-AB8&gt;=0,AC8,),)</formula2>
    </dataValidation>
  </dataValidations>
  <printOptions horizontalCentered="1"/>
  <pageMargins left="0.39370078740157483" right="0.19" top="0.59055118110236227" bottom="0.59055118110236227" header="0.31496062992125984" footer="0.31496062992125984"/>
  <pageSetup paperSize="345" scale="53" orientation="landscape" r:id="rId1"/>
  <headerFooter>
    <oddFooter>&amp;C&amp;"Tahoma,Cursiva"&amp;K365F91Si usted ha accedido a este formato a través de un medio diferente al sitio http://www.unicordoba.edu.co/index.php/documentossigec/documentos-calidad asegúrese que ésta es la versión vigente</oddFooter>
  </headerFooter>
  <rowBreaks count="1" manualBreakCount="1">
    <brk id="15" max="31"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32"/>
  <sheetViews>
    <sheetView view="pageBreakPreview" topLeftCell="C7" zoomScale="80" zoomScaleNormal="100" zoomScaleSheetLayoutView="80" workbookViewId="0">
      <selection activeCell="N14" sqref="N14:AB14"/>
    </sheetView>
  </sheetViews>
  <sheetFormatPr baseColWidth="10" defaultRowHeight="12.75"/>
  <cols>
    <col min="1" max="1" width="8" style="2" customWidth="1"/>
    <col min="2" max="2" width="13.42578125" style="2" customWidth="1"/>
    <col min="3" max="3" width="4.28515625" style="2" customWidth="1"/>
    <col min="4" max="4" width="4" style="2" customWidth="1"/>
    <col min="5" max="5" width="18.5703125" style="2" customWidth="1"/>
    <col min="6" max="6" width="4.140625" style="2" customWidth="1"/>
    <col min="7" max="7" width="11.28515625" style="2" customWidth="1"/>
    <col min="8" max="8" width="11" style="2" customWidth="1"/>
    <col min="9" max="10" width="2.140625" style="2" customWidth="1"/>
    <col min="11" max="11" width="3.28515625" style="2" customWidth="1"/>
    <col min="12" max="12" width="0.28515625" style="2" hidden="1" customWidth="1"/>
    <col min="13" max="13" width="0.42578125" style="2" hidden="1" customWidth="1"/>
    <col min="14" max="14" width="2.85546875" style="2" customWidth="1"/>
    <col min="15" max="15" width="3.28515625" style="2" customWidth="1"/>
    <col min="16" max="16" width="1.5703125" style="2" customWidth="1"/>
    <col min="17" max="17" width="1.85546875" style="2" hidden="1" customWidth="1"/>
    <col min="18" max="18" width="6.85546875" style="2" customWidth="1"/>
    <col min="19" max="19" width="3" style="2" hidden="1" customWidth="1"/>
    <col min="20" max="21" width="6.28515625" style="2" customWidth="1"/>
    <col min="22" max="22" width="13.85546875" style="2" customWidth="1"/>
    <col min="23" max="23" width="13" style="2" customWidth="1"/>
    <col min="24" max="24" width="14.7109375" style="2" customWidth="1"/>
    <col min="25" max="25" width="0.42578125" style="2" hidden="1" customWidth="1"/>
    <col min="26" max="26" width="13" style="2" customWidth="1"/>
    <col min="27" max="27" width="15.5703125" style="2" customWidth="1"/>
    <col min="28" max="28" width="11.7109375" style="2" customWidth="1"/>
    <col min="29" max="29" width="12.28515625" style="2" customWidth="1"/>
    <col min="30" max="30" width="8.140625" style="2" customWidth="1"/>
    <col min="31" max="31" width="12" style="2" customWidth="1"/>
    <col min="32" max="32" width="26.140625" style="2" customWidth="1"/>
    <col min="33" max="33" width="12" style="2" customWidth="1"/>
    <col min="34" max="35" width="0.28515625" style="2" customWidth="1"/>
    <col min="36" max="36" width="1.42578125" style="2" customWidth="1"/>
    <col min="37" max="37" width="1.28515625" style="2" hidden="1" customWidth="1"/>
    <col min="38" max="256" width="11.42578125" style="2"/>
    <col min="257" max="257" width="8" style="2" customWidth="1"/>
    <col min="258" max="258" width="13.42578125" style="2" customWidth="1"/>
    <col min="259" max="259" width="4.28515625" style="2" customWidth="1"/>
    <col min="260" max="260" width="4" style="2" customWidth="1"/>
    <col min="261" max="261" width="17" style="2" customWidth="1"/>
    <col min="262" max="262" width="4.140625" style="2" customWidth="1"/>
    <col min="263" max="263" width="11.28515625" style="2" customWidth="1"/>
    <col min="264" max="264" width="11" style="2" customWidth="1"/>
    <col min="265" max="266" width="2.140625" style="2" customWidth="1"/>
    <col min="267" max="267" width="3.28515625" style="2" customWidth="1"/>
    <col min="268" max="269" width="0" style="2" hidden="1" customWidth="1"/>
    <col min="270" max="270" width="2.85546875" style="2" customWidth="1"/>
    <col min="271" max="271" width="3.28515625" style="2" customWidth="1"/>
    <col min="272" max="272" width="1.5703125" style="2" customWidth="1"/>
    <col min="273" max="273" width="0" style="2" hidden="1" customWidth="1"/>
    <col min="274" max="274" width="6.85546875" style="2" customWidth="1"/>
    <col min="275" max="275" width="0" style="2" hidden="1" customWidth="1"/>
    <col min="276" max="277" width="6.28515625" style="2" customWidth="1"/>
    <col min="278" max="278" width="13.85546875" style="2" customWidth="1"/>
    <col min="279" max="279" width="10.85546875" style="2" customWidth="1"/>
    <col min="280" max="280" width="14.7109375" style="2" customWidth="1"/>
    <col min="281" max="281" width="0" style="2" hidden="1" customWidth="1"/>
    <col min="282" max="282" width="13" style="2" customWidth="1"/>
    <col min="283" max="283" width="12.7109375" style="2" customWidth="1"/>
    <col min="284" max="284" width="13.140625" style="2" customWidth="1"/>
    <col min="285" max="285" width="14" style="2" customWidth="1"/>
    <col min="286" max="286" width="8.140625" style="2" customWidth="1"/>
    <col min="287" max="287" width="11.5703125" style="2" customWidth="1"/>
    <col min="288" max="288" width="24.7109375" style="2" customWidth="1"/>
    <col min="289" max="289" width="12" style="2" customWidth="1"/>
    <col min="290" max="291" width="0.28515625" style="2" customWidth="1"/>
    <col min="292" max="292" width="1.42578125" style="2" customWidth="1"/>
    <col min="293" max="293" width="0" style="2" hidden="1" customWidth="1"/>
    <col min="294" max="512" width="11.42578125" style="2"/>
    <col min="513" max="513" width="8" style="2" customWidth="1"/>
    <col min="514" max="514" width="13.42578125" style="2" customWidth="1"/>
    <col min="515" max="515" width="4.28515625" style="2" customWidth="1"/>
    <col min="516" max="516" width="4" style="2" customWidth="1"/>
    <col min="517" max="517" width="17" style="2" customWidth="1"/>
    <col min="518" max="518" width="4.140625" style="2" customWidth="1"/>
    <col min="519" max="519" width="11.28515625" style="2" customWidth="1"/>
    <col min="520" max="520" width="11" style="2" customWidth="1"/>
    <col min="521" max="522" width="2.140625" style="2" customWidth="1"/>
    <col min="523" max="523" width="3.28515625" style="2" customWidth="1"/>
    <col min="524" max="525" width="0" style="2" hidden="1" customWidth="1"/>
    <col min="526" max="526" width="2.85546875" style="2" customWidth="1"/>
    <col min="527" max="527" width="3.28515625" style="2" customWidth="1"/>
    <col min="528" max="528" width="1.5703125" style="2" customWidth="1"/>
    <col min="529" max="529" width="0" style="2" hidden="1" customWidth="1"/>
    <col min="530" max="530" width="6.85546875" style="2" customWidth="1"/>
    <col min="531" max="531" width="0" style="2" hidden="1" customWidth="1"/>
    <col min="532" max="533" width="6.28515625" style="2" customWidth="1"/>
    <col min="534" max="534" width="13.85546875" style="2" customWidth="1"/>
    <col min="535" max="535" width="10.85546875" style="2" customWidth="1"/>
    <col min="536" max="536" width="14.7109375" style="2" customWidth="1"/>
    <col min="537" max="537" width="0" style="2" hidden="1" customWidth="1"/>
    <col min="538" max="538" width="13" style="2" customWidth="1"/>
    <col min="539" max="539" width="12.7109375" style="2" customWidth="1"/>
    <col min="540" max="540" width="13.140625" style="2" customWidth="1"/>
    <col min="541" max="541" width="14" style="2" customWidth="1"/>
    <col min="542" max="542" width="8.140625" style="2" customWidth="1"/>
    <col min="543" max="543" width="11.5703125" style="2" customWidth="1"/>
    <col min="544" max="544" width="24.7109375" style="2" customWidth="1"/>
    <col min="545" max="545" width="12" style="2" customWidth="1"/>
    <col min="546" max="547" width="0.28515625" style="2" customWidth="1"/>
    <col min="548" max="548" width="1.42578125" style="2" customWidth="1"/>
    <col min="549" max="549" width="0" style="2" hidden="1" customWidth="1"/>
    <col min="550" max="768" width="11.42578125" style="2"/>
    <col min="769" max="769" width="8" style="2" customWidth="1"/>
    <col min="770" max="770" width="13.42578125" style="2" customWidth="1"/>
    <col min="771" max="771" width="4.28515625" style="2" customWidth="1"/>
    <col min="772" max="772" width="4" style="2" customWidth="1"/>
    <col min="773" max="773" width="17" style="2" customWidth="1"/>
    <col min="774" max="774" width="4.140625" style="2" customWidth="1"/>
    <col min="775" max="775" width="11.28515625" style="2" customWidth="1"/>
    <col min="776" max="776" width="11" style="2" customWidth="1"/>
    <col min="777" max="778" width="2.140625" style="2" customWidth="1"/>
    <col min="779" max="779" width="3.28515625" style="2" customWidth="1"/>
    <col min="780" max="781" width="0" style="2" hidden="1" customWidth="1"/>
    <col min="782" max="782" width="2.85546875" style="2" customWidth="1"/>
    <col min="783" max="783" width="3.28515625" style="2" customWidth="1"/>
    <col min="784" max="784" width="1.5703125" style="2" customWidth="1"/>
    <col min="785" max="785" width="0" style="2" hidden="1" customWidth="1"/>
    <col min="786" max="786" width="6.85546875" style="2" customWidth="1"/>
    <col min="787" max="787" width="0" style="2" hidden="1" customWidth="1"/>
    <col min="788" max="789" width="6.28515625" style="2" customWidth="1"/>
    <col min="790" max="790" width="13.85546875" style="2" customWidth="1"/>
    <col min="791" max="791" width="10.85546875" style="2" customWidth="1"/>
    <col min="792" max="792" width="14.7109375" style="2" customWidth="1"/>
    <col min="793" max="793" width="0" style="2" hidden="1" customWidth="1"/>
    <col min="794" max="794" width="13" style="2" customWidth="1"/>
    <col min="795" max="795" width="12.7109375" style="2" customWidth="1"/>
    <col min="796" max="796" width="13.140625" style="2" customWidth="1"/>
    <col min="797" max="797" width="14" style="2" customWidth="1"/>
    <col min="798" max="798" width="8.140625" style="2" customWidth="1"/>
    <col min="799" max="799" width="11.5703125" style="2" customWidth="1"/>
    <col min="800" max="800" width="24.7109375" style="2" customWidth="1"/>
    <col min="801" max="801" width="12" style="2" customWidth="1"/>
    <col min="802" max="803" width="0.28515625" style="2" customWidth="1"/>
    <col min="804" max="804" width="1.42578125" style="2" customWidth="1"/>
    <col min="805" max="805" width="0" style="2" hidden="1" customWidth="1"/>
    <col min="806" max="1024" width="11.42578125" style="2"/>
    <col min="1025" max="1025" width="8" style="2" customWidth="1"/>
    <col min="1026" max="1026" width="13.42578125" style="2" customWidth="1"/>
    <col min="1027" max="1027" width="4.28515625" style="2" customWidth="1"/>
    <col min="1028" max="1028" width="4" style="2" customWidth="1"/>
    <col min="1029" max="1029" width="17" style="2" customWidth="1"/>
    <col min="1030" max="1030" width="4.140625" style="2" customWidth="1"/>
    <col min="1031" max="1031" width="11.28515625" style="2" customWidth="1"/>
    <col min="1032" max="1032" width="11" style="2" customWidth="1"/>
    <col min="1033" max="1034" width="2.140625" style="2" customWidth="1"/>
    <col min="1035" max="1035" width="3.28515625" style="2" customWidth="1"/>
    <col min="1036" max="1037" width="0" style="2" hidden="1" customWidth="1"/>
    <col min="1038" max="1038" width="2.85546875" style="2" customWidth="1"/>
    <col min="1039" max="1039" width="3.28515625" style="2" customWidth="1"/>
    <col min="1040" max="1040" width="1.5703125" style="2" customWidth="1"/>
    <col min="1041" max="1041" width="0" style="2" hidden="1" customWidth="1"/>
    <col min="1042" max="1042" width="6.85546875" style="2" customWidth="1"/>
    <col min="1043" max="1043" width="0" style="2" hidden="1" customWidth="1"/>
    <col min="1044" max="1045" width="6.28515625" style="2" customWidth="1"/>
    <col min="1046" max="1046" width="13.85546875" style="2" customWidth="1"/>
    <col min="1047" max="1047" width="10.85546875" style="2" customWidth="1"/>
    <col min="1048" max="1048" width="14.7109375" style="2" customWidth="1"/>
    <col min="1049" max="1049" width="0" style="2" hidden="1" customWidth="1"/>
    <col min="1050" max="1050" width="13" style="2" customWidth="1"/>
    <col min="1051" max="1051" width="12.7109375" style="2" customWidth="1"/>
    <col min="1052" max="1052" width="13.140625" style="2" customWidth="1"/>
    <col min="1053" max="1053" width="14" style="2" customWidth="1"/>
    <col min="1054" max="1054" width="8.140625" style="2" customWidth="1"/>
    <col min="1055" max="1055" width="11.5703125" style="2" customWidth="1"/>
    <col min="1056" max="1056" width="24.7109375" style="2" customWidth="1"/>
    <col min="1057" max="1057" width="12" style="2" customWidth="1"/>
    <col min="1058" max="1059" width="0.28515625" style="2" customWidth="1"/>
    <col min="1060" max="1060" width="1.42578125" style="2" customWidth="1"/>
    <col min="1061" max="1061" width="0" style="2" hidden="1" customWidth="1"/>
    <col min="1062" max="1280" width="11.42578125" style="2"/>
    <col min="1281" max="1281" width="8" style="2" customWidth="1"/>
    <col min="1282" max="1282" width="13.42578125" style="2" customWidth="1"/>
    <col min="1283" max="1283" width="4.28515625" style="2" customWidth="1"/>
    <col min="1284" max="1284" width="4" style="2" customWidth="1"/>
    <col min="1285" max="1285" width="17" style="2" customWidth="1"/>
    <col min="1286" max="1286" width="4.140625" style="2" customWidth="1"/>
    <col min="1287" max="1287" width="11.28515625" style="2" customWidth="1"/>
    <col min="1288" max="1288" width="11" style="2" customWidth="1"/>
    <col min="1289" max="1290" width="2.140625" style="2" customWidth="1"/>
    <col min="1291" max="1291" width="3.28515625" style="2" customWidth="1"/>
    <col min="1292" max="1293" width="0" style="2" hidden="1" customWidth="1"/>
    <col min="1294" max="1294" width="2.85546875" style="2" customWidth="1"/>
    <col min="1295" max="1295" width="3.28515625" style="2" customWidth="1"/>
    <col min="1296" max="1296" width="1.5703125" style="2" customWidth="1"/>
    <col min="1297" max="1297" width="0" style="2" hidden="1" customWidth="1"/>
    <col min="1298" max="1298" width="6.85546875" style="2" customWidth="1"/>
    <col min="1299" max="1299" width="0" style="2" hidden="1" customWidth="1"/>
    <col min="1300" max="1301" width="6.28515625" style="2" customWidth="1"/>
    <col min="1302" max="1302" width="13.85546875" style="2" customWidth="1"/>
    <col min="1303" max="1303" width="10.85546875" style="2" customWidth="1"/>
    <col min="1304" max="1304" width="14.7109375" style="2" customWidth="1"/>
    <col min="1305" max="1305" width="0" style="2" hidden="1" customWidth="1"/>
    <col min="1306" max="1306" width="13" style="2" customWidth="1"/>
    <col min="1307" max="1307" width="12.7109375" style="2" customWidth="1"/>
    <col min="1308" max="1308" width="13.140625" style="2" customWidth="1"/>
    <col min="1309" max="1309" width="14" style="2" customWidth="1"/>
    <col min="1310" max="1310" width="8.140625" style="2" customWidth="1"/>
    <col min="1311" max="1311" width="11.5703125" style="2" customWidth="1"/>
    <col min="1312" max="1312" width="24.7109375" style="2" customWidth="1"/>
    <col min="1313" max="1313" width="12" style="2" customWidth="1"/>
    <col min="1314" max="1315" width="0.28515625" style="2" customWidth="1"/>
    <col min="1316" max="1316" width="1.42578125" style="2" customWidth="1"/>
    <col min="1317" max="1317" width="0" style="2" hidden="1" customWidth="1"/>
    <col min="1318" max="1536" width="11.42578125" style="2"/>
    <col min="1537" max="1537" width="8" style="2" customWidth="1"/>
    <col min="1538" max="1538" width="13.42578125" style="2" customWidth="1"/>
    <col min="1539" max="1539" width="4.28515625" style="2" customWidth="1"/>
    <col min="1540" max="1540" width="4" style="2" customWidth="1"/>
    <col min="1541" max="1541" width="17" style="2" customWidth="1"/>
    <col min="1542" max="1542" width="4.140625" style="2" customWidth="1"/>
    <col min="1543" max="1543" width="11.28515625" style="2" customWidth="1"/>
    <col min="1544" max="1544" width="11" style="2" customWidth="1"/>
    <col min="1545" max="1546" width="2.140625" style="2" customWidth="1"/>
    <col min="1547" max="1547" width="3.28515625" style="2" customWidth="1"/>
    <col min="1548" max="1549" width="0" style="2" hidden="1" customWidth="1"/>
    <col min="1550" max="1550" width="2.85546875" style="2" customWidth="1"/>
    <col min="1551" max="1551" width="3.28515625" style="2" customWidth="1"/>
    <col min="1552" max="1552" width="1.5703125" style="2" customWidth="1"/>
    <col min="1553" max="1553" width="0" style="2" hidden="1" customWidth="1"/>
    <col min="1554" max="1554" width="6.85546875" style="2" customWidth="1"/>
    <col min="1555" max="1555" width="0" style="2" hidden="1" customWidth="1"/>
    <col min="1556" max="1557" width="6.28515625" style="2" customWidth="1"/>
    <col min="1558" max="1558" width="13.85546875" style="2" customWidth="1"/>
    <col min="1559" max="1559" width="10.85546875" style="2" customWidth="1"/>
    <col min="1560" max="1560" width="14.7109375" style="2" customWidth="1"/>
    <col min="1561" max="1561" width="0" style="2" hidden="1" customWidth="1"/>
    <col min="1562" max="1562" width="13" style="2" customWidth="1"/>
    <col min="1563" max="1563" width="12.7109375" style="2" customWidth="1"/>
    <col min="1564" max="1564" width="13.140625" style="2" customWidth="1"/>
    <col min="1565" max="1565" width="14" style="2" customWidth="1"/>
    <col min="1566" max="1566" width="8.140625" style="2" customWidth="1"/>
    <col min="1567" max="1567" width="11.5703125" style="2" customWidth="1"/>
    <col min="1568" max="1568" width="24.7109375" style="2" customWidth="1"/>
    <col min="1569" max="1569" width="12" style="2" customWidth="1"/>
    <col min="1570" max="1571" width="0.28515625" style="2" customWidth="1"/>
    <col min="1572" max="1572" width="1.42578125" style="2" customWidth="1"/>
    <col min="1573" max="1573" width="0" style="2" hidden="1" customWidth="1"/>
    <col min="1574" max="1792" width="11.42578125" style="2"/>
    <col min="1793" max="1793" width="8" style="2" customWidth="1"/>
    <col min="1794" max="1794" width="13.42578125" style="2" customWidth="1"/>
    <col min="1795" max="1795" width="4.28515625" style="2" customWidth="1"/>
    <col min="1796" max="1796" width="4" style="2" customWidth="1"/>
    <col min="1797" max="1797" width="17" style="2" customWidth="1"/>
    <col min="1798" max="1798" width="4.140625" style="2" customWidth="1"/>
    <col min="1799" max="1799" width="11.28515625" style="2" customWidth="1"/>
    <col min="1800" max="1800" width="11" style="2" customWidth="1"/>
    <col min="1801" max="1802" width="2.140625" style="2" customWidth="1"/>
    <col min="1803" max="1803" width="3.28515625" style="2" customWidth="1"/>
    <col min="1804" max="1805" width="0" style="2" hidden="1" customWidth="1"/>
    <col min="1806" max="1806" width="2.85546875" style="2" customWidth="1"/>
    <col min="1807" max="1807" width="3.28515625" style="2" customWidth="1"/>
    <col min="1808" max="1808" width="1.5703125" style="2" customWidth="1"/>
    <col min="1809" max="1809" width="0" style="2" hidden="1" customWidth="1"/>
    <col min="1810" max="1810" width="6.85546875" style="2" customWidth="1"/>
    <col min="1811" max="1811" width="0" style="2" hidden="1" customWidth="1"/>
    <col min="1812" max="1813" width="6.28515625" style="2" customWidth="1"/>
    <col min="1814" max="1814" width="13.85546875" style="2" customWidth="1"/>
    <col min="1815" max="1815" width="10.85546875" style="2" customWidth="1"/>
    <col min="1816" max="1816" width="14.7109375" style="2" customWidth="1"/>
    <col min="1817" max="1817" width="0" style="2" hidden="1" customWidth="1"/>
    <col min="1818" max="1818" width="13" style="2" customWidth="1"/>
    <col min="1819" max="1819" width="12.7109375" style="2" customWidth="1"/>
    <col min="1820" max="1820" width="13.140625" style="2" customWidth="1"/>
    <col min="1821" max="1821" width="14" style="2" customWidth="1"/>
    <col min="1822" max="1822" width="8.140625" style="2" customWidth="1"/>
    <col min="1823" max="1823" width="11.5703125" style="2" customWidth="1"/>
    <col min="1824" max="1824" width="24.7109375" style="2" customWidth="1"/>
    <col min="1825" max="1825" width="12" style="2" customWidth="1"/>
    <col min="1826" max="1827" width="0.28515625" style="2" customWidth="1"/>
    <col min="1828" max="1828" width="1.42578125" style="2" customWidth="1"/>
    <col min="1829" max="1829" width="0" style="2" hidden="1" customWidth="1"/>
    <col min="1830" max="2048" width="11.42578125" style="2"/>
    <col min="2049" max="2049" width="8" style="2" customWidth="1"/>
    <col min="2050" max="2050" width="13.42578125" style="2" customWidth="1"/>
    <col min="2051" max="2051" width="4.28515625" style="2" customWidth="1"/>
    <col min="2052" max="2052" width="4" style="2" customWidth="1"/>
    <col min="2053" max="2053" width="17" style="2" customWidth="1"/>
    <col min="2054" max="2054" width="4.140625" style="2" customWidth="1"/>
    <col min="2055" max="2055" width="11.28515625" style="2" customWidth="1"/>
    <col min="2056" max="2056" width="11" style="2" customWidth="1"/>
    <col min="2057" max="2058" width="2.140625" style="2" customWidth="1"/>
    <col min="2059" max="2059" width="3.28515625" style="2" customWidth="1"/>
    <col min="2060" max="2061" width="0" style="2" hidden="1" customWidth="1"/>
    <col min="2062" max="2062" width="2.85546875" style="2" customWidth="1"/>
    <col min="2063" max="2063" width="3.28515625" style="2" customWidth="1"/>
    <col min="2064" max="2064" width="1.5703125" style="2" customWidth="1"/>
    <col min="2065" max="2065" width="0" style="2" hidden="1" customWidth="1"/>
    <col min="2066" max="2066" width="6.85546875" style="2" customWidth="1"/>
    <col min="2067" max="2067" width="0" style="2" hidden="1" customWidth="1"/>
    <col min="2068" max="2069" width="6.28515625" style="2" customWidth="1"/>
    <col min="2070" max="2070" width="13.85546875" style="2" customWidth="1"/>
    <col min="2071" max="2071" width="10.85546875" style="2" customWidth="1"/>
    <col min="2072" max="2072" width="14.7109375" style="2" customWidth="1"/>
    <col min="2073" max="2073" width="0" style="2" hidden="1" customWidth="1"/>
    <col min="2074" max="2074" width="13" style="2" customWidth="1"/>
    <col min="2075" max="2075" width="12.7109375" style="2" customWidth="1"/>
    <col min="2076" max="2076" width="13.140625" style="2" customWidth="1"/>
    <col min="2077" max="2077" width="14" style="2" customWidth="1"/>
    <col min="2078" max="2078" width="8.140625" style="2" customWidth="1"/>
    <col min="2079" max="2079" width="11.5703125" style="2" customWidth="1"/>
    <col min="2080" max="2080" width="24.7109375" style="2" customWidth="1"/>
    <col min="2081" max="2081" width="12" style="2" customWidth="1"/>
    <col min="2082" max="2083" width="0.28515625" style="2" customWidth="1"/>
    <col min="2084" max="2084" width="1.42578125" style="2" customWidth="1"/>
    <col min="2085" max="2085" width="0" style="2" hidden="1" customWidth="1"/>
    <col min="2086" max="2304" width="11.42578125" style="2"/>
    <col min="2305" max="2305" width="8" style="2" customWidth="1"/>
    <col min="2306" max="2306" width="13.42578125" style="2" customWidth="1"/>
    <col min="2307" max="2307" width="4.28515625" style="2" customWidth="1"/>
    <col min="2308" max="2308" width="4" style="2" customWidth="1"/>
    <col min="2309" max="2309" width="17" style="2" customWidth="1"/>
    <col min="2310" max="2310" width="4.140625" style="2" customWidth="1"/>
    <col min="2311" max="2311" width="11.28515625" style="2" customWidth="1"/>
    <col min="2312" max="2312" width="11" style="2" customWidth="1"/>
    <col min="2313" max="2314" width="2.140625" style="2" customWidth="1"/>
    <col min="2315" max="2315" width="3.28515625" style="2" customWidth="1"/>
    <col min="2316" max="2317" width="0" style="2" hidden="1" customWidth="1"/>
    <col min="2318" max="2318" width="2.85546875" style="2" customWidth="1"/>
    <col min="2319" max="2319" width="3.28515625" style="2" customWidth="1"/>
    <col min="2320" max="2320" width="1.5703125" style="2" customWidth="1"/>
    <col min="2321" max="2321" width="0" style="2" hidden="1" customWidth="1"/>
    <col min="2322" max="2322" width="6.85546875" style="2" customWidth="1"/>
    <col min="2323" max="2323" width="0" style="2" hidden="1" customWidth="1"/>
    <col min="2324" max="2325" width="6.28515625" style="2" customWidth="1"/>
    <col min="2326" max="2326" width="13.85546875" style="2" customWidth="1"/>
    <col min="2327" max="2327" width="10.85546875" style="2" customWidth="1"/>
    <col min="2328" max="2328" width="14.7109375" style="2" customWidth="1"/>
    <col min="2329" max="2329" width="0" style="2" hidden="1" customWidth="1"/>
    <col min="2330" max="2330" width="13" style="2" customWidth="1"/>
    <col min="2331" max="2331" width="12.7109375" style="2" customWidth="1"/>
    <col min="2332" max="2332" width="13.140625" style="2" customWidth="1"/>
    <col min="2333" max="2333" width="14" style="2" customWidth="1"/>
    <col min="2334" max="2334" width="8.140625" style="2" customWidth="1"/>
    <col min="2335" max="2335" width="11.5703125" style="2" customWidth="1"/>
    <col min="2336" max="2336" width="24.7109375" style="2" customWidth="1"/>
    <col min="2337" max="2337" width="12" style="2" customWidth="1"/>
    <col min="2338" max="2339" width="0.28515625" style="2" customWidth="1"/>
    <col min="2340" max="2340" width="1.42578125" style="2" customWidth="1"/>
    <col min="2341" max="2341" width="0" style="2" hidden="1" customWidth="1"/>
    <col min="2342" max="2560" width="11.42578125" style="2"/>
    <col min="2561" max="2561" width="8" style="2" customWidth="1"/>
    <col min="2562" max="2562" width="13.42578125" style="2" customWidth="1"/>
    <col min="2563" max="2563" width="4.28515625" style="2" customWidth="1"/>
    <col min="2564" max="2564" width="4" style="2" customWidth="1"/>
    <col min="2565" max="2565" width="17" style="2" customWidth="1"/>
    <col min="2566" max="2566" width="4.140625" style="2" customWidth="1"/>
    <col min="2567" max="2567" width="11.28515625" style="2" customWidth="1"/>
    <col min="2568" max="2568" width="11" style="2" customWidth="1"/>
    <col min="2569" max="2570" width="2.140625" style="2" customWidth="1"/>
    <col min="2571" max="2571" width="3.28515625" style="2" customWidth="1"/>
    <col min="2572" max="2573" width="0" style="2" hidden="1" customWidth="1"/>
    <col min="2574" max="2574" width="2.85546875" style="2" customWidth="1"/>
    <col min="2575" max="2575" width="3.28515625" style="2" customWidth="1"/>
    <col min="2576" max="2576" width="1.5703125" style="2" customWidth="1"/>
    <col min="2577" max="2577" width="0" style="2" hidden="1" customWidth="1"/>
    <col min="2578" max="2578" width="6.85546875" style="2" customWidth="1"/>
    <col min="2579" max="2579" width="0" style="2" hidden="1" customWidth="1"/>
    <col min="2580" max="2581" width="6.28515625" style="2" customWidth="1"/>
    <col min="2582" max="2582" width="13.85546875" style="2" customWidth="1"/>
    <col min="2583" max="2583" width="10.85546875" style="2" customWidth="1"/>
    <col min="2584" max="2584" width="14.7109375" style="2" customWidth="1"/>
    <col min="2585" max="2585" width="0" style="2" hidden="1" customWidth="1"/>
    <col min="2586" max="2586" width="13" style="2" customWidth="1"/>
    <col min="2587" max="2587" width="12.7109375" style="2" customWidth="1"/>
    <col min="2588" max="2588" width="13.140625" style="2" customWidth="1"/>
    <col min="2589" max="2589" width="14" style="2" customWidth="1"/>
    <col min="2590" max="2590" width="8.140625" style="2" customWidth="1"/>
    <col min="2591" max="2591" width="11.5703125" style="2" customWidth="1"/>
    <col min="2592" max="2592" width="24.7109375" style="2" customWidth="1"/>
    <col min="2593" max="2593" width="12" style="2" customWidth="1"/>
    <col min="2594" max="2595" width="0.28515625" style="2" customWidth="1"/>
    <col min="2596" max="2596" width="1.42578125" style="2" customWidth="1"/>
    <col min="2597" max="2597" width="0" style="2" hidden="1" customWidth="1"/>
    <col min="2598" max="2816" width="11.42578125" style="2"/>
    <col min="2817" max="2817" width="8" style="2" customWidth="1"/>
    <col min="2818" max="2818" width="13.42578125" style="2" customWidth="1"/>
    <col min="2819" max="2819" width="4.28515625" style="2" customWidth="1"/>
    <col min="2820" max="2820" width="4" style="2" customWidth="1"/>
    <col min="2821" max="2821" width="17" style="2" customWidth="1"/>
    <col min="2822" max="2822" width="4.140625" style="2" customWidth="1"/>
    <col min="2823" max="2823" width="11.28515625" style="2" customWidth="1"/>
    <col min="2824" max="2824" width="11" style="2" customWidth="1"/>
    <col min="2825" max="2826" width="2.140625" style="2" customWidth="1"/>
    <col min="2827" max="2827" width="3.28515625" style="2" customWidth="1"/>
    <col min="2828" max="2829" width="0" style="2" hidden="1" customWidth="1"/>
    <col min="2830" max="2830" width="2.85546875" style="2" customWidth="1"/>
    <col min="2831" max="2831" width="3.28515625" style="2" customWidth="1"/>
    <col min="2832" max="2832" width="1.5703125" style="2" customWidth="1"/>
    <col min="2833" max="2833" width="0" style="2" hidden="1" customWidth="1"/>
    <col min="2834" max="2834" width="6.85546875" style="2" customWidth="1"/>
    <col min="2835" max="2835" width="0" style="2" hidden="1" customWidth="1"/>
    <col min="2836" max="2837" width="6.28515625" style="2" customWidth="1"/>
    <col min="2838" max="2838" width="13.85546875" style="2" customWidth="1"/>
    <col min="2839" max="2839" width="10.85546875" style="2" customWidth="1"/>
    <col min="2840" max="2840" width="14.7109375" style="2" customWidth="1"/>
    <col min="2841" max="2841" width="0" style="2" hidden="1" customWidth="1"/>
    <col min="2842" max="2842" width="13" style="2" customWidth="1"/>
    <col min="2843" max="2843" width="12.7109375" style="2" customWidth="1"/>
    <col min="2844" max="2844" width="13.140625" style="2" customWidth="1"/>
    <col min="2845" max="2845" width="14" style="2" customWidth="1"/>
    <col min="2846" max="2846" width="8.140625" style="2" customWidth="1"/>
    <col min="2847" max="2847" width="11.5703125" style="2" customWidth="1"/>
    <col min="2848" max="2848" width="24.7109375" style="2" customWidth="1"/>
    <col min="2849" max="2849" width="12" style="2" customWidth="1"/>
    <col min="2850" max="2851" width="0.28515625" style="2" customWidth="1"/>
    <col min="2852" max="2852" width="1.42578125" style="2" customWidth="1"/>
    <col min="2853" max="2853" width="0" style="2" hidden="1" customWidth="1"/>
    <col min="2854" max="3072" width="11.42578125" style="2"/>
    <col min="3073" max="3073" width="8" style="2" customWidth="1"/>
    <col min="3074" max="3074" width="13.42578125" style="2" customWidth="1"/>
    <col min="3075" max="3075" width="4.28515625" style="2" customWidth="1"/>
    <col min="3076" max="3076" width="4" style="2" customWidth="1"/>
    <col min="3077" max="3077" width="17" style="2" customWidth="1"/>
    <col min="3078" max="3078" width="4.140625" style="2" customWidth="1"/>
    <col min="3079" max="3079" width="11.28515625" style="2" customWidth="1"/>
    <col min="3080" max="3080" width="11" style="2" customWidth="1"/>
    <col min="3081" max="3082" width="2.140625" style="2" customWidth="1"/>
    <col min="3083" max="3083" width="3.28515625" style="2" customWidth="1"/>
    <col min="3084" max="3085" width="0" style="2" hidden="1" customWidth="1"/>
    <col min="3086" max="3086" width="2.85546875" style="2" customWidth="1"/>
    <col min="3087" max="3087" width="3.28515625" style="2" customWidth="1"/>
    <col min="3088" max="3088" width="1.5703125" style="2" customWidth="1"/>
    <col min="3089" max="3089" width="0" style="2" hidden="1" customWidth="1"/>
    <col min="3090" max="3090" width="6.85546875" style="2" customWidth="1"/>
    <col min="3091" max="3091" width="0" style="2" hidden="1" customWidth="1"/>
    <col min="3092" max="3093" width="6.28515625" style="2" customWidth="1"/>
    <col min="3094" max="3094" width="13.85546875" style="2" customWidth="1"/>
    <col min="3095" max="3095" width="10.85546875" style="2" customWidth="1"/>
    <col min="3096" max="3096" width="14.7109375" style="2" customWidth="1"/>
    <col min="3097" max="3097" width="0" style="2" hidden="1" customWidth="1"/>
    <col min="3098" max="3098" width="13" style="2" customWidth="1"/>
    <col min="3099" max="3099" width="12.7109375" style="2" customWidth="1"/>
    <col min="3100" max="3100" width="13.140625" style="2" customWidth="1"/>
    <col min="3101" max="3101" width="14" style="2" customWidth="1"/>
    <col min="3102" max="3102" width="8.140625" style="2" customWidth="1"/>
    <col min="3103" max="3103" width="11.5703125" style="2" customWidth="1"/>
    <col min="3104" max="3104" width="24.7109375" style="2" customWidth="1"/>
    <col min="3105" max="3105" width="12" style="2" customWidth="1"/>
    <col min="3106" max="3107" width="0.28515625" style="2" customWidth="1"/>
    <col min="3108" max="3108" width="1.42578125" style="2" customWidth="1"/>
    <col min="3109" max="3109" width="0" style="2" hidden="1" customWidth="1"/>
    <col min="3110" max="3328" width="11.42578125" style="2"/>
    <col min="3329" max="3329" width="8" style="2" customWidth="1"/>
    <col min="3330" max="3330" width="13.42578125" style="2" customWidth="1"/>
    <col min="3331" max="3331" width="4.28515625" style="2" customWidth="1"/>
    <col min="3332" max="3332" width="4" style="2" customWidth="1"/>
    <col min="3333" max="3333" width="17" style="2" customWidth="1"/>
    <col min="3334" max="3334" width="4.140625" style="2" customWidth="1"/>
    <col min="3335" max="3335" width="11.28515625" style="2" customWidth="1"/>
    <col min="3336" max="3336" width="11" style="2" customWidth="1"/>
    <col min="3337" max="3338" width="2.140625" style="2" customWidth="1"/>
    <col min="3339" max="3339" width="3.28515625" style="2" customWidth="1"/>
    <col min="3340" max="3341" width="0" style="2" hidden="1" customWidth="1"/>
    <col min="3342" max="3342" width="2.85546875" style="2" customWidth="1"/>
    <col min="3343" max="3343" width="3.28515625" style="2" customWidth="1"/>
    <col min="3344" max="3344" width="1.5703125" style="2" customWidth="1"/>
    <col min="3345" max="3345" width="0" style="2" hidden="1" customWidth="1"/>
    <col min="3346" max="3346" width="6.85546875" style="2" customWidth="1"/>
    <col min="3347" max="3347" width="0" style="2" hidden="1" customWidth="1"/>
    <col min="3348" max="3349" width="6.28515625" style="2" customWidth="1"/>
    <col min="3350" max="3350" width="13.85546875" style="2" customWidth="1"/>
    <col min="3351" max="3351" width="10.85546875" style="2" customWidth="1"/>
    <col min="3352" max="3352" width="14.7109375" style="2" customWidth="1"/>
    <col min="3353" max="3353" width="0" style="2" hidden="1" customWidth="1"/>
    <col min="3354" max="3354" width="13" style="2" customWidth="1"/>
    <col min="3355" max="3355" width="12.7109375" style="2" customWidth="1"/>
    <col min="3356" max="3356" width="13.140625" style="2" customWidth="1"/>
    <col min="3357" max="3357" width="14" style="2" customWidth="1"/>
    <col min="3358" max="3358" width="8.140625" style="2" customWidth="1"/>
    <col min="3359" max="3359" width="11.5703125" style="2" customWidth="1"/>
    <col min="3360" max="3360" width="24.7109375" style="2" customWidth="1"/>
    <col min="3361" max="3361" width="12" style="2" customWidth="1"/>
    <col min="3362" max="3363" width="0.28515625" style="2" customWidth="1"/>
    <col min="3364" max="3364" width="1.42578125" style="2" customWidth="1"/>
    <col min="3365" max="3365" width="0" style="2" hidden="1" customWidth="1"/>
    <col min="3366" max="3584" width="11.42578125" style="2"/>
    <col min="3585" max="3585" width="8" style="2" customWidth="1"/>
    <col min="3586" max="3586" width="13.42578125" style="2" customWidth="1"/>
    <col min="3587" max="3587" width="4.28515625" style="2" customWidth="1"/>
    <col min="3588" max="3588" width="4" style="2" customWidth="1"/>
    <col min="3589" max="3589" width="17" style="2" customWidth="1"/>
    <col min="3590" max="3590" width="4.140625" style="2" customWidth="1"/>
    <col min="3591" max="3591" width="11.28515625" style="2" customWidth="1"/>
    <col min="3592" max="3592" width="11" style="2" customWidth="1"/>
    <col min="3593" max="3594" width="2.140625" style="2" customWidth="1"/>
    <col min="3595" max="3595" width="3.28515625" style="2" customWidth="1"/>
    <col min="3596" max="3597" width="0" style="2" hidden="1" customWidth="1"/>
    <col min="3598" max="3598" width="2.85546875" style="2" customWidth="1"/>
    <col min="3599" max="3599" width="3.28515625" style="2" customWidth="1"/>
    <col min="3600" max="3600" width="1.5703125" style="2" customWidth="1"/>
    <col min="3601" max="3601" width="0" style="2" hidden="1" customWidth="1"/>
    <col min="3602" max="3602" width="6.85546875" style="2" customWidth="1"/>
    <col min="3603" max="3603" width="0" style="2" hidden="1" customWidth="1"/>
    <col min="3604" max="3605" width="6.28515625" style="2" customWidth="1"/>
    <col min="3606" max="3606" width="13.85546875" style="2" customWidth="1"/>
    <col min="3607" max="3607" width="10.85546875" style="2" customWidth="1"/>
    <col min="3608" max="3608" width="14.7109375" style="2" customWidth="1"/>
    <col min="3609" max="3609" width="0" style="2" hidden="1" customWidth="1"/>
    <col min="3610" max="3610" width="13" style="2" customWidth="1"/>
    <col min="3611" max="3611" width="12.7109375" style="2" customWidth="1"/>
    <col min="3612" max="3612" width="13.140625" style="2" customWidth="1"/>
    <col min="3613" max="3613" width="14" style="2" customWidth="1"/>
    <col min="3614" max="3614" width="8.140625" style="2" customWidth="1"/>
    <col min="3615" max="3615" width="11.5703125" style="2" customWidth="1"/>
    <col min="3616" max="3616" width="24.7109375" style="2" customWidth="1"/>
    <col min="3617" max="3617" width="12" style="2" customWidth="1"/>
    <col min="3618" max="3619" width="0.28515625" style="2" customWidth="1"/>
    <col min="3620" max="3620" width="1.42578125" style="2" customWidth="1"/>
    <col min="3621" max="3621" width="0" style="2" hidden="1" customWidth="1"/>
    <col min="3622" max="3840" width="11.42578125" style="2"/>
    <col min="3841" max="3841" width="8" style="2" customWidth="1"/>
    <col min="3842" max="3842" width="13.42578125" style="2" customWidth="1"/>
    <col min="3843" max="3843" width="4.28515625" style="2" customWidth="1"/>
    <col min="3844" max="3844" width="4" style="2" customWidth="1"/>
    <col min="3845" max="3845" width="17" style="2" customWidth="1"/>
    <col min="3846" max="3846" width="4.140625" style="2" customWidth="1"/>
    <col min="3847" max="3847" width="11.28515625" style="2" customWidth="1"/>
    <col min="3848" max="3848" width="11" style="2" customWidth="1"/>
    <col min="3849" max="3850" width="2.140625" style="2" customWidth="1"/>
    <col min="3851" max="3851" width="3.28515625" style="2" customWidth="1"/>
    <col min="3852" max="3853" width="0" style="2" hidden="1" customWidth="1"/>
    <col min="3854" max="3854" width="2.85546875" style="2" customWidth="1"/>
    <col min="3855" max="3855" width="3.28515625" style="2" customWidth="1"/>
    <col min="3856" max="3856" width="1.5703125" style="2" customWidth="1"/>
    <col min="3857" max="3857" width="0" style="2" hidden="1" customWidth="1"/>
    <col min="3858" max="3858" width="6.85546875" style="2" customWidth="1"/>
    <col min="3859" max="3859" width="0" style="2" hidden="1" customWidth="1"/>
    <col min="3860" max="3861" width="6.28515625" style="2" customWidth="1"/>
    <col min="3862" max="3862" width="13.85546875" style="2" customWidth="1"/>
    <col min="3863" max="3863" width="10.85546875" style="2" customWidth="1"/>
    <col min="3864" max="3864" width="14.7109375" style="2" customWidth="1"/>
    <col min="3865" max="3865" width="0" style="2" hidden="1" customWidth="1"/>
    <col min="3866" max="3866" width="13" style="2" customWidth="1"/>
    <col min="3867" max="3867" width="12.7109375" style="2" customWidth="1"/>
    <col min="3868" max="3868" width="13.140625" style="2" customWidth="1"/>
    <col min="3869" max="3869" width="14" style="2" customWidth="1"/>
    <col min="3870" max="3870" width="8.140625" style="2" customWidth="1"/>
    <col min="3871" max="3871" width="11.5703125" style="2" customWidth="1"/>
    <col min="3872" max="3872" width="24.7109375" style="2" customWidth="1"/>
    <col min="3873" max="3873" width="12" style="2" customWidth="1"/>
    <col min="3874" max="3875" width="0.28515625" style="2" customWidth="1"/>
    <col min="3876" max="3876" width="1.42578125" style="2" customWidth="1"/>
    <col min="3877" max="3877" width="0" style="2" hidden="1" customWidth="1"/>
    <col min="3878" max="4096" width="11.42578125" style="2"/>
    <col min="4097" max="4097" width="8" style="2" customWidth="1"/>
    <col min="4098" max="4098" width="13.42578125" style="2" customWidth="1"/>
    <col min="4099" max="4099" width="4.28515625" style="2" customWidth="1"/>
    <col min="4100" max="4100" width="4" style="2" customWidth="1"/>
    <col min="4101" max="4101" width="17" style="2" customWidth="1"/>
    <col min="4102" max="4102" width="4.140625" style="2" customWidth="1"/>
    <col min="4103" max="4103" width="11.28515625" style="2" customWidth="1"/>
    <col min="4104" max="4104" width="11" style="2" customWidth="1"/>
    <col min="4105" max="4106" width="2.140625" style="2" customWidth="1"/>
    <col min="4107" max="4107" width="3.28515625" style="2" customWidth="1"/>
    <col min="4108" max="4109" width="0" style="2" hidden="1" customWidth="1"/>
    <col min="4110" max="4110" width="2.85546875" style="2" customWidth="1"/>
    <col min="4111" max="4111" width="3.28515625" style="2" customWidth="1"/>
    <col min="4112" max="4112" width="1.5703125" style="2" customWidth="1"/>
    <col min="4113" max="4113" width="0" style="2" hidden="1" customWidth="1"/>
    <col min="4114" max="4114" width="6.85546875" style="2" customWidth="1"/>
    <col min="4115" max="4115" width="0" style="2" hidden="1" customWidth="1"/>
    <col min="4116" max="4117" width="6.28515625" style="2" customWidth="1"/>
    <col min="4118" max="4118" width="13.85546875" style="2" customWidth="1"/>
    <col min="4119" max="4119" width="10.85546875" style="2" customWidth="1"/>
    <col min="4120" max="4120" width="14.7109375" style="2" customWidth="1"/>
    <col min="4121" max="4121" width="0" style="2" hidden="1" customWidth="1"/>
    <col min="4122" max="4122" width="13" style="2" customWidth="1"/>
    <col min="4123" max="4123" width="12.7109375" style="2" customWidth="1"/>
    <col min="4124" max="4124" width="13.140625" style="2" customWidth="1"/>
    <col min="4125" max="4125" width="14" style="2" customWidth="1"/>
    <col min="4126" max="4126" width="8.140625" style="2" customWidth="1"/>
    <col min="4127" max="4127" width="11.5703125" style="2" customWidth="1"/>
    <col min="4128" max="4128" width="24.7109375" style="2" customWidth="1"/>
    <col min="4129" max="4129" width="12" style="2" customWidth="1"/>
    <col min="4130" max="4131" width="0.28515625" style="2" customWidth="1"/>
    <col min="4132" max="4132" width="1.42578125" style="2" customWidth="1"/>
    <col min="4133" max="4133" width="0" style="2" hidden="1" customWidth="1"/>
    <col min="4134" max="4352" width="11.42578125" style="2"/>
    <col min="4353" max="4353" width="8" style="2" customWidth="1"/>
    <col min="4354" max="4354" width="13.42578125" style="2" customWidth="1"/>
    <col min="4355" max="4355" width="4.28515625" style="2" customWidth="1"/>
    <col min="4356" max="4356" width="4" style="2" customWidth="1"/>
    <col min="4357" max="4357" width="17" style="2" customWidth="1"/>
    <col min="4358" max="4358" width="4.140625" style="2" customWidth="1"/>
    <col min="4359" max="4359" width="11.28515625" style="2" customWidth="1"/>
    <col min="4360" max="4360" width="11" style="2" customWidth="1"/>
    <col min="4361" max="4362" width="2.140625" style="2" customWidth="1"/>
    <col min="4363" max="4363" width="3.28515625" style="2" customWidth="1"/>
    <col min="4364" max="4365" width="0" style="2" hidden="1" customWidth="1"/>
    <col min="4366" max="4366" width="2.85546875" style="2" customWidth="1"/>
    <col min="4367" max="4367" width="3.28515625" style="2" customWidth="1"/>
    <col min="4368" max="4368" width="1.5703125" style="2" customWidth="1"/>
    <col min="4369" max="4369" width="0" style="2" hidden="1" customWidth="1"/>
    <col min="4370" max="4370" width="6.85546875" style="2" customWidth="1"/>
    <col min="4371" max="4371" width="0" style="2" hidden="1" customWidth="1"/>
    <col min="4372" max="4373" width="6.28515625" style="2" customWidth="1"/>
    <col min="4374" max="4374" width="13.85546875" style="2" customWidth="1"/>
    <col min="4375" max="4375" width="10.85546875" style="2" customWidth="1"/>
    <col min="4376" max="4376" width="14.7109375" style="2" customWidth="1"/>
    <col min="4377" max="4377" width="0" style="2" hidden="1" customWidth="1"/>
    <col min="4378" max="4378" width="13" style="2" customWidth="1"/>
    <col min="4379" max="4379" width="12.7109375" style="2" customWidth="1"/>
    <col min="4380" max="4380" width="13.140625" style="2" customWidth="1"/>
    <col min="4381" max="4381" width="14" style="2" customWidth="1"/>
    <col min="4382" max="4382" width="8.140625" style="2" customWidth="1"/>
    <col min="4383" max="4383" width="11.5703125" style="2" customWidth="1"/>
    <col min="4384" max="4384" width="24.7109375" style="2" customWidth="1"/>
    <col min="4385" max="4385" width="12" style="2" customWidth="1"/>
    <col min="4386" max="4387" width="0.28515625" style="2" customWidth="1"/>
    <col min="4388" max="4388" width="1.42578125" style="2" customWidth="1"/>
    <col min="4389" max="4389" width="0" style="2" hidden="1" customWidth="1"/>
    <col min="4390" max="4608" width="11.42578125" style="2"/>
    <col min="4609" max="4609" width="8" style="2" customWidth="1"/>
    <col min="4610" max="4610" width="13.42578125" style="2" customWidth="1"/>
    <col min="4611" max="4611" width="4.28515625" style="2" customWidth="1"/>
    <col min="4612" max="4612" width="4" style="2" customWidth="1"/>
    <col min="4613" max="4613" width="17" style="2" customWidth="1"/>
    <col min="4614" max="4614" width="4.140625" style="2" customWidth="1"/>
    <col min="4615" max="4615" width="11.28515625" style="2" customWidth="1"/>
    <col min="4616" max="4616" width="11" style="2" customWidth="1"/>
    <col min="4617" max="4618" width="2.140625" style="2" customWidth="1"/>
    <col min="4619" max="4619" width="3.28515625" style="2" customWidth="1"/>
    <col min="4620" max="4621" width="0" style="2" hidden="1" customWidth="1"/>
    <col min="4622" max="4622" width="2.85546875" style="2" customWidth="1"/>
    <col min="4623" max="4623" width="3.28515625" style="2" customWidth="1"/>
    <col min="4624" max="4624" width="1.5703125" style="2" customWidth="1"/>
    <col min="4625" max="4625" width="0" style="2" hidden="1" customWidth="1"/>
    <col min="4626" max="4626" width="6.85546875" style="2" customWidth="1"/>
    <col min="4627" max="4627" width="0" style="2" hidden="1" customWidth="1"/>
    <col min="4628" max="4629" width="6.28515625" style="2" customWidth="1"/>
    <col min="4630" max="4630" width="13.85546875" style="2" customWidth="1"/>
    <col min="4631" max="4631" width="10.85546875" style="2" customWidth="1"/>
    <col min="4632" max="4632" width="14.7109375" style="2" customWidth="1"/>
    <col min="4633" max="4633" width="0" style="2" hidden="1" customWidth="1"/>
    <col min="4634" max="4634" width="13" style="2" customWidth="1"/>
    <col min="4635" max="4635" width="12.7109375" style="2" customWidth="1"/>
    <col min="4636" max="4636" width="13.140625" style="2" customWidth="1"/>
    <col min="4637" max="4637" width="14" style="2" customWidth="1"/>
    <col min="4638" max="4638" width="8.140625" style="2" customWidth="1"/>
    <col min="4639" max="4639" width="11.5703125" style="2" customWidth="1"/>
    <col min="4640" max="4640" width="24.7109375" style="2" customWidth="1"/>
    <col min="4641" max="4641" width="12" style="2" customWidth="1"/>
    <col min="4642" max="4643" width="0.28515625" style="2" customWidth="1"/>
    <col min="4644" max="4644" width="1.42578125" style="2" customWidth="1"/>
    <col min="4645" max="4645" width="0" style="2" hidden="1" customWidth="1"/>
    <col min="4646" max="4864" width="11.42578125" style="2"/>
    <col min="4865" max="4865" width="8" style="2" customWidth="1"/>
    <col min="4866" max="4866" width="13.42578125" style="2" customWidth="1"/>
    <col min="4867" max="4867" width="4.28515625" style="2" customWidth="1"/>
    <col min="4868" max="4868" width="4" style="2" customWidth="1"/>
    <col min="4869" max="4869" width="17" style="2" customWidth="1"/>
    <col min="4870" max="4870" width="4.140625" style="2" customWidth="1"/>
    <col min="4871" max="4871" width="11.28515625" style="2" customWidth="1"/>
    <col min="4872" max="4872" width="11" style="2" customWidth="1"/>
    <col min="4873" max="4874" width="2.140625" style="2" customWidth="1"/>
    <col min="4875" max="4875" width="3.28515625" style="2" customWidth="1"/>
    <col min="4876" max="4877" width="0" style="2" hidden="1" customWidth="1"/>
    <col min="4878" max="4878" width="2.85546875" style="2" customWidth="1"/>
    <col min="4879" max="4879" width="3.28515625" style="2" customWidth="1"/>
    <col min="4880" max="4880" width="1.5703125" style="2" customWidth="1"/>
    <col min="4881" max="4881" width="0" style="2" hidden="1" customWidth="1"/>
    <col min="4882" max="4882" width="6.85546875" style="2" customWidth="1"/>
    <col min="4883" max="4883" width="0" style="2" hidden="1" customWidth="1"/>
    <col min="4884" max="4885" width="6.28515625" style="2" customWidth="1"/>
    <col min="4886" max="4886" width="13.85546875" style="2" customWidth="1"/>
    <col min="4887" max="4887" width="10.85546875" style="2" customWidth="1"/>
    <col min="4888" max="4888" width="14.7109375" style="2" customWidth="1"/>
    <col min="4889" max="4889" width="0" style="2" hidden="1" customWidth="1"/>
    <col min="4890" max="4890" width="13" style="2" customWidth="1"/>
    <col min="4891" max="4891" width="12.7109375" style="2" customWidth="1"/>
    <col min="4892" max="4892" width="13.140625" style="2" customWidth="1"/>
    <col min="4893" max="4893" width="14" style="2" customWidth="1"/>
    <col min="4894" max="4894" width="8.140625" style="2" customWidth="1"/>
    <col min="4895" max="4895" width="11.5703125" style="2" customWidth="1"/>
    <col min="4896" max="4896" width="24.7109375" style="2" customWidth="1"/>
    <col min="4897" max="4897" width="12" style="2" customWidth="1"/>
    <col min="4898" max="4899" width="0.28515625" style="2" customWidth="1"/>
    <col min="4900" max="4900" width="1.42578125" style="2" customWidth="1"/>
    <col min="4901" max="4901" width="0" style="2" hidden="1" customWidth="1"/>
    <col min="4902" max="5120" width="11.42578125" style="2"/>
    <col min="5121" max="5121" width="8" style="2" customWidth="1"/>
    <col min="5122" max="5122" width="13.42578125" style="2" customWidth="1"/>
    <col min="5123" max="5123" width="4.28515625" style="2" customWidth="1"/>
    <col min="5124" max="5124" width="4" style="2" customWidth="1"/>
    <col min="5125" max="5125" width="17" style="2" customWidth="1"/>
    <col min="5126" max="5126" width="4.140625" style="2" customWidth="1"/>
    <col min="5127" max="5127" width="11.28515625" style="2" customWidth="1"/>
    <col min="5128" max="5128" width="11" style="2" customWidth="1"/>
    <col min="5129" max="5130" width="2.140625" style="2" customWidth="1"/>
    <col min="5131" max="5131" width="3.28515625" style="2" customWidth="1"/>
    <col min="5132" max="5133" width="0" style="2" hidden="1" customWidth="1"/>
    <col min="5134" max="5134" width="2.85546875" style="2" customWidth="1"/>
    <col min="5135" max="5135" width="3.28515625" style="2" customWidth="1"/>
    <col min="5136" max="5136" width="1.5703125" style="2" customWidth="1"/>
    <col min="5137" max="5137" width="0" style="2" hidden="1" customWidth="1"/>
    <col min="5138" max="5138" width="6.85546875" style="2" customWidth="1"/>
    <col min="5139" max="5139" width="0" style="2" hidden="1" customWidth="1"/>
    <col min="5140" max="5141" width="6.28515625" style="2" customWidth="1"/>
    <col min="5142" max="5142" width="13.85546875" style="2" customWidth="1"/>
    <col min="5143" max="5143" width="10.85546875" style="2" customWidth="1"/>
    <col min="5144" max="5144" width="14.7109375" style="2" customWidth="1"/>
    <col min="5145" max="5145" width="0" style="2" hidden="1" customWidth="1"/>
    <col min="5146" max="5146" width="13" style="2" customWidth="1"/>
    <col min="5147" max="5147" width="12.7109375" style="2" customWidth="1"/>
    <col min="5148" max="5148" width="13.140625" style="2" customWidth="1"/>
    <col min="5149" max="5149" width="14" style="2" customWidth="1"/>
    <col min="5150" max="5150" width="8.140625" style="2" customWidth="1"/>
    <col min="5151" max="5151" width="11.5703125" style="2" customWidth="1"/>
    <col min="5152" max="5152" width="24.7109375" style="2" customWidth="1"/>
    <col min="5153" max="5153" width="12" style="2" customWidth="1"/>
    <col min="5154" max="5155" width="0.28515625" style="2" customWidth="1"/>
    <col min="5156" max="5156" width="1.42578125" style="2" customWidth="1"/>
    <col min="5157" max="5157" width="0" style="2" hidden="1" customWidth="1"/>
    <col min="5158" max="5376" width="11.42578125" style="2"/>
    <col min="5377" max="5377" width="8" style="2" customWidth="1"/>
    <col min="5378" max="5378" width="13.42578125" style="2" customWidth="1"/>
    <col min="5379" max="5379" width="4.28515625" style="2" customWidth="1"/>
    <col min="5380" max="5380" width="4" style="2" customWidth="1"/>
    <col min="5381" max="5381" width="17" style="2" customWidth="1"/>
    <col min="5382" max="5382" width="4.140625" style="2" customWidth="1"/>
    <col min="5383" max="5383" width="11.28515625" style="2" customWidth="1"/>
    <col min="5384" max="5384" width="11" style="2" customWidth="1"/>
    <col min="5385" max="5386" width="2.140625" style="2" customWidth="1"/>
    <col min="5387" max="5387" width="3.28515625" style="2" customWidth="1"/>
    <col min="5388" max="5389" width="0" style="2" hidden="1" customWidth="1"/>
    <col min="5390" max="5390" width="2.85546875" style="2" customWidth="1"/>
    <col min="5391" max="5391" width="3.28515625" style="2" customWidth="1"/>
    <col min="5392" max="5392" width="1.5703125" style="2" customWidth="1"/>
    <col min="5393" max="5393" width="0" style="2" hidden="1" customWidth="1"/>
    <col min="5394" max="5394" width="6.85546875" style="2" customWidth="1"/>
    <col min="5395" max="5395" width="0" style="2" hidden="1" customWidth="1"/>
    <col min="5396" max="5397" width="6.28515625" style="2" customWidth="1"/>
    <col min="5398" max="5398" width="13.85546875" style="2" customWidth="1"/>
    <col min="5399" max="5399" width="10.85546875" style="2" customWidth="1"/>
    <col min="5400" max="5400" width="14.7109375" style="2" customWidth="1"/>
    <col min="5401" max="5401" width="0" style="2" hidden="1" customWidth="1"/>
    <col min="5402" max="5402" width="13" style="2" customWidth="1"/>
    <col min="5403" max="5403" width="12.7109375" style="2" customWidth="1"/>
    <col min="5404" max="5404" width="13.140625" style="2" customWidth="1"/>
    <col min="5405" max="5405" width="14" style="2" customWidth="1"/>
    <col min="5406" max="5406" width="8.140625" style="2" customWidth="1"/>
    <col min="5407" max="5407" width="11.5703125" style="2" customWidth="1"/>
    <col min="5408" max="5408" width="24.7109375" style="2" customWidth="1"/>
    <col min="5409" max="5409" width="12" style="2" customWidth="1"/>
    <col min="5410" max="5411" width="0.28515625" style="2" customWidth="1"/>
    <col min="5412" max="5412" width="1.42578125" style="2" customWidth="1"/>
    <col min="5413" max="5413" width="0" style="2" hidden="1" customWidth="1"/>
    <col min="5414" max="5632" width="11.42578125" style="2"/>
    <col min="5633" max="5633" width="8" style="2" customWidth="1"/>
    <col min="5634" max="5634" width="13.42578125" style="2" customWidth="1"/>
    <col min="5635" max="5635" width="4.28515625" style="2" customWidth="1"/>
    <col min="5636" max="5636" width="4" style="2" customWidth="1"/>
    <col min="5637" max="5637" width="17" style="2" customWidth="1"/>
    <col min="5638" max="5638" width="4.140625" style="2" customWidth="1"/>
    <col min="5639" max="5639" width="11.28515625" style="2" customWidth="1"/>
    <col min="5640" max="5640" width="11" style="2" customWidth="1"/>
    <col min="5641" max="5642" width="2.140625" style="2" customWidth="1"/>
    <col min="5643" max="5643" width="3.28515625" style="2" customWidth="1"/>
    <col min="5644" max="5645" width="0" style="2" hidden="1" customWidth="1"/>
    <col min="5646" max="5646" width="2.85546875" style="2" customWidth="1"/>
    <col min="5647" max="5647" width="3.28515625" style="2" customWidth="1"/>
    <col min="5648" max="5648" width="1.5703125" style="2" customWidth="1"/>
    <col min="5649" max="5649" width="0" style="2" hidden="1" customWidth="1"/>
    <col min="5650" max="5650" width="6.85546875" style="2" customWidth="1"/>
    <col min="5651" max="5651" width="0" style="2" hidden="1" customWidth="1"/>
    <col min="5652" max="5653" width="6.28515625" style="2" customWidth="1"/>
    <col min="5654" max="5654" width="13.85546875" style="2" customWidth="1"/>
    <col min="5655" max="5655" width="10.85546875" style="2" customWidth="1"/>
    <col min="5656" max="5656" width="14.7109375" style="2" customWidth="1"/>
    <col min="5657" max="5657" width="0" style="2" hidden="1" customWidth="1"/>
    <col min="5658" max="5658" width="13" style="2" customWidth="1"/>
    <col min="5659" max="5659" width="12.7109375" style="2" customWidth="1"/>
    <col min="5660" max="5660" width="13.140625" style="2" customWidth="1"/>
    <col min="5661" max="5661" width="14" style="2" customWidth="1"/>
    <col min="5662" max="5662" width="8.140625" style="2" customWidth="1"/>
    <col min="5663" max="5663" width="11.5703125" style="2" customWidth="1"/>
    <col min="5664" max="5664" width="24.7109375" style="2" customWidth="1"/>
    <col min="5665" max="5665" width="12" style="2" customWidth="1"/>
    <col min="5666" max="5667" width="0.28515625" style="2" customWidth="1"/>
    <col min="5668" max="5668" width="1.42578125" style="2" customWidth="1"/>
    <col min="5669" max="5669" width="0" style="2" hidden="1" customWidth="1"/>
    <col min="5670" max="5888" width="11.42578125" style="2"/>
    <col min="5889" max="5889" width="8" style="2" customWidth="1"/>
    <col min="5890" max="5890" width="13.42578125" style="2" customWidth="1"/>
    <col min="5891" max="5891" width="4.28515625" style="2" customWidth="1"/>
    <col min="5892" max="5892" width="4" style="2" customWidth="1"/>
    <col min="5893" max="5893" width="17" style="2" customWidth="1"/>
    <col min="5894" max="5894" width="4.140625" style="2" customWidth="1"/>
    <col min="5895" max="5895" width="11.28515625" style="2" customWidth="1"/>
    <col min="5896" max="5896" width="11" style="2" customWidth="1"/>
    <col min="5897" max="5898" width="2.140625" style="2" customWidth="1"/>
    <col min="5899" max="5899" width="3.28515625" style="2" customWidth="1"/>
    <col min="5900" max="5901" width="0" style="2" hidden="1" customWidth="1"/>
    <col min="5902" max="5902" width="2.85546875" style="2" customWidth="1"/>
    <col min="5903" max="5903" width="3.28515625" style="2" customWidth="1"/>
    <col min="5904" max="5904" width="1.5703125" style="2" customWidth="1"/>
    <col min="5905" max="5905" width="0" style="2" hidden="1" customWidth="1"/>
    <col min="5906" max="5906" width="6.85546875" style="2" customWidth="1"/>
    <col min="5907" max="5907" width="0" style="2" hidden="1" customWidth="1"/>
    <col min="5908" max="5909" width="6.28515625" style="2" customWidth="1"/>
    <col min="5910" max="5910" width="13.85546875" style="2" customWidth="1"/>
    <col min="5911" max="5911" width="10.85546875" style="2" customWidth="1"/>
    <col min="5912" max="5912" width="14.7109375" style="2" customWidth="1"/>
    <col min="5913" max="5913" width="0" style="2" hidden="1" customWidth="1"/>
    <col min="5914" max="5914" width="13" style="2" customWidth="1"/>
    <col min="5915" max="5915" width="12.7109375" style="2" customWidth="1"/>
    <col min="5916" max="5916" width="13.140625" style="2" customWidth="1"/>
    <col min="5917" max="5917" width="14" style="2" customWidth="1"/>
    <col min="5918" max="5918" width="8.140625" style="2" customWidth="1"/>
    <col min="5919" max="5919" width="11.5703125" style="2" customWidth="1"/>
    <col min="5920" max="5920" width="24.7109375" style="2" customWidth="1"/>
    <col min="5921" max="5921" width="12" style="2" customWidth="1"/>
    <col min="5922" max="5923" width="0.28515625" style="2" customWidth="1"/>
    <col min="5924" max="5924" width="1.42578125" style="2" customWidth="1"/>
    <col min="5925" max="5925" width="0" style="2" hidden="1" customWidth="1"/>
    <col min="5926" max="6144" width="11.42578125" style="2"/>
    <col min="6145" max="6145" width="8" style="2" customWidth="1"/>
    <col min="6146" max="6146" width="13.42578125" style="2" customWidth="1"/>
    <col min="6147" max="6147" width="4.28515625" style="2" customWidth="1"/>
    <col min="6148" max="6148" width="4" style="2" customWidth="1"/>
    <col min="6149" max="6149" width="17" style="2" customWidth="1"/>
    <col min="6150" max="6150" width="4.140625" style="2" customWidth="1"/>
    <col min="6151" max="6151" width="11.28515625" style="2" customWidth="1"/>
    <col min="6152" max="6152" width="11" style="2" customWidth="1"/>
    <col min="6153" max="6154" width="2.140625" style="2" customWidth="1"/>
    <col min="6155" max="6155" width="3.28515625" style="2" customWidth="1"/>
    <col min="6156" max="6157" width="0" style="2" hidden="1" customWidth="1"/>
    <col min="6158" max="6158" width="2.85546875" style="2" customWidth="1"/>
    <col min="6159" max="6159" width="3.28515625" style="2" customWidth="1"/>
    <col min="6160" max="6160" width="1.5703125" style="2" customWidth="1"/>
    <col min="6161" max="6161" width="0" style="2" hidden="1" customWidth="1"/>
    <col min="6162" max="6162" width="6.85546875" style="2" customWidth="1"/>
    <col min="6163" max="6163" width="0" style="2" hidden="1" customWidth="1"/>
    <col min="6164" max="6165" width="6.28515625" style="2" customWidth="1"/>
    <col min="6166" max="6166" width="13.85546875" style="2" customWidth="1"/>
    <col min="6167" max="6167" width="10.85546875" style="2" customWidth="1"/>
    <col min="6168" max="6168" width="14.7109375" style="2" customWidth="1"/>
    <col min="6169" max="6169" width="0" style="2" hidden="1" customWidth="1"/>
    <col min="6170" max="6170" width="13" style="2" customWidth="1"/>
    <col min="6171" max="6171" width="12.7109375" style="2" customWidth="1"/>
    <col min="6172" max="6172" width="13.140625" style="2" customWidth="1"/>
    <col min="6173" max="6173" width="14" style="2" customWidth="1"/>
    <col min="6174" max="6174" width="8.140625" style="2" customWidth="1"/>
    <col min="6175" max="6175" width="11.5703125" style="2" customWidth="1"/>
    <col min="6176" max="6176" width="24.7109375" style="2" customWidth="1"/>
    <col min="6177" max="6177" width="12" style="2" customWidth="1"/>
    <col min="6178" max="6179" width="0.28515625" style="2" customWidth="1"/>
    <col min="6180" max="6180" width="1.42578125" style="2" customWidth="1"/>
    <col min="6181" max="6181" width="0" style="2" hidden="1" customWidth="1"/>
    <col min="6182" max="6400" width="11.42578125" style="2"/>
    <col min="6401" max="6401" width="8" style="2" customWidth="1"/>
    <col min="6402" max="6402" width="13.42578125" style="2" customWidth="1"/>
    <col min="6403" max="6403" width="4.28515625" style="2" customWidth="1"/>
    <col min="6404" max="6404" width="4" style="2" customWidth="1"/>
    <col min="6405" max="6405" width="17" style="2" customWidth="1"/>
    <col min="6406" max="6406" width="4.140625" style="2" customWidth="1"/>
    <col min="6407" max="6407" width="11.28515625" style="2" customWidth="1"/>
    <col min="6408" max="6408" width="11" style="2" customWidth="1"/>
    <col min="6409" max="6410" width="2.140625" style="2" customWidth="1"/>
    <col min="6411" max="6411" width="3.28515625" style="2" customWidth="1"/>
    <col min="6412" max="6413" width="0" style="2" hidden="1" customWidth="1"/>
    <col min="6414" max="6414" width="2.85546875" style="2" customWidth="1"/>
    <col min="6415" max="6415" width="3.28515625" style="2" customWidth="1"/>
    <col min="6416" max="6416" width="1.5703125" style="2" customWidth="1"/>
    <col min="6417" max="6417" width="0" style="2" hidden="1" customWidth="1"/>
    <col min="6418" max="6418" width="6.85546875" style="2" customWidth="1"/>
    <col min="6419" max="6419" width="0" style="2" hidden="1" customWidth="1"/>
    <col min="6420" max="6421" width="6.28515625" style="2" customWidth="1"/>
    <col min="6422" max="6422" width="13.85546875" style="2" customWidth="1"/>
    <col min="6423" max="6423" width="10.85546875" style="2" customWidth="1"/>
    <col min="6424" max="6424" width="14.7109375" style="2" customWidth="1"/>
    <col min="6425" max="6425" width="0" style="2" hidden="1" customWidth="1"/>
    <col min="6426" max="6426" width="13" style="2" customWidth="1"/>
    <col min="6427" max="6427" width="12.7109375" style="2" customWidth="1"/>
    <col min="6428" max="6428" width="13.140625" style="2" customWidth="1"/>
    <col min="6429" max="6429" width="14" style="2" customWidth="1"/>
    <col min="6430" max="6430" width="8.140625" style="2" customWidth="1"/>
    <col min="6431" max="6431" width="11.5703125" style="2" customWidth="1"/>
    <col min="6432" max="6432" width="24.7109375" style="2" customWidth="1"/>
    <col min="6433" max="6433" width="12" style="2" customWidth="1"/>
    <col min="6434" max="6435" width="0.28515625" style="2" customWidth="1"/>
    <col min="6436" max="6436" width="1.42578125" style="2" customWidth="1"/>
    <col min="6437" max="6437" width="0" style="2" hidden="1" customWidth="1"/>
    <col min="6438" max="6656" width="11.42578125" style="2"/>
    <col min="6657" max="6657" width="8" style="2" customWidth="1"/>
    <col min="6658" max="6658" width="13.42578125" style="2" customWidth="1"/>
    <col min="6659" max="6659" width="4.28515625" style="2" customWidth="1"/>
    <col min="6660" max="6660" width="4" style="2" customWidth="1"/>
    <col min="6661" max="6661" width="17" style="2" customWidth="1"/>
    <col min="6662" max="6662" width="4.140625" style="2" customWidth="1"/>
    <col min="6663" max="6663" width="11.28515625" style="2" customWidth="1"/>
    <col min="6664" max="6664" width="11" style="2" customWidth="1"/>
    <col min="6665" max="6666" width="2.140625" style="2" customWidth="1"/>
    <col min="6667" max="6667" width="3.28515625" style="2" customWidth="1"/>
    <col min="6668" max="6669" width="0" style="2" hidden="1" customWidth="1"/>
    <col min="6670" max="6670" width="2.85546875" style="2" customWidth="1"/>
    <col min="6671" max="6671" width="3.28515625" style="2" customWidth="1"/>
    <col min="6672" max="6672" width="1.5703125" style="2" customWidth="1"/>
    <col min="6673" max="6673" width="0" style="2" hidden="1" customWidth="1"/>
    <col min="6674" max="6674" width="6.85546875" style="2" customWidth="1"/>
    <col min="6675" max="6675" width="0" style="2" hidden="1" customWidth="1"/>
    <col min="6676" max="6677" width="6.28515625" style="2" customWidth="1"/>
    <col min="6678" max="6678" width="13.85546875" style="2" customWidth="1"/>
    <col min="6679" max="6679" width="10.85546875" style="2" customWidth="1"/>
    <col min="6680" max="6680" width="14.7109375" style="2" customWidth="1"/>
    <col min="6681" max="6681" width="0" style="2" hidden="1" customWidth="1"/>
    <col min="6682" max="6682" width="13" style="2" customWidth="1"/>
    <col min="6683" max="6683" width="12.7109375" style="2" customWidth="1"/>
    <col min="6684" max="6684" width="13.140625" style="2" customWidth="1"/>
    <col min="6685" max="6685" width="14" style="2" customWidth="1"/>
    <col min="6686" max="6686" width="8.140625" style="2" customWidth="1"/>
    <col min="6687" max="6687" width="11.5703125" style="2" customWidth="1"/>
    <col min="6688" max="6688" width="24.7109375" style="2" customWidth="1"/>
    <col min="6689" max="6689" width="12" style="2" customWidth="1"/>
    <col min="6690" max="6691" width="0.28515625" style="2" customWidth="1"/>
    <col min="6692" max="6692" width="1.42578125" style="2" customWidth="1"/>
    <col min="6693" max="6693" width="0" style="2" hidden="1" customWidth="1"/>
    <col min="6694" max="6912" width="11.42578125" style="2"/>
    <col min="6913" max="6913" width="8" style="2" customWidth="1"/>
    <col min="6914" max="6914" width="13.42578125" style="2" customWidth="1"/>
    <col min="6915" max="6915" width="4.28515625" style="2" customWidth="1"/>
    <col min="6916" max="6916" width="4" style="2" customWidth="1"/>
    <col min="6917" max="6917" width="17" style="2" customWidth="1"/>
    <col min="6918" max="6918" width="4.140625" style="2" customWidth="1"/>
    <col min="6919" max="6919" width="11.28515625" style="2" customWidth="1"/>
    <col min="6920" max="6920" width="11" style="2" customWidth="1"/>
    <col min="6921" max="6922" width="2.140625" style="2" customWidth="1"/>
    <col min="6923" max="6923" width="3.28515625" style="2" customWidth="1"/>
    <col min="6924" max="6925" width="0" style="2" hidden="1" customWidth="1"/>
    <col min="6926" max="6926" width="2.85546875" style="2" customWidth="1"/>
    <col min="6927" max="6927" width="3.28515625" style="2" customWidth="1"/>
    <col min="6928" max="6928" width="1.5703125" style="2" customWidth="1"/>
    <col min="6929" max="6929" width="0" style="2" hidden="1" customWidth="1"/>
    <col min="6930" max="6930" width="6.85546875" style="2" customWidth="1"/>
    <col min="6931" max="6931" width="0" style="2" hidden="1" customWidth="1"/>
    <col min="6932" max="6933" width="6.28515625" style="2" customWidth="1"/>
    <col min="6934" max="6934" width="13.85546875" style="2" customWidth="1"/>
    <col min="6935" max="6935" width="10.85546875" style="2" customWidth="1"/>
    <col min="6936" max="6936" width="14.7109375" style="2" customWidth="1"/>
    <col min="6937" max="6937" width="0" style="2" hidden="1" customWidth="1"/>
    <col min="6938" max="6938" width="13" style="2" customWidth="1"/>
    <col min="6939" max="6939" width="12.7109375" style="2" customWidth="1"/>
    <col min="6940" max="6940" width="13.140625" style="2" customWidth="1"/>
    <col min="6941" max="6941" width="14" style="2" customWidth="1"/>
    <col min="6942" max="6942" width="8.140625" style="2" customWidth="1"/>
    <col min="6943" max="6943" width="11.5703125" style="2" customWidth="1"/>
    <col min="6944" max="6944" width="24.7109375" style="2" customWidth="1"/>
    <col min="6945" max="6945" width="12" style="2" customWidth="1"/>
    <col min="6946" max="6947" width="0.28515625" style="2" customWidth="1"/>
    <col min="6948" max="6948" width="1.42578125" style="2" customWidth="1"/>
    <col min="6949" max="6949" width="0" style="2" hidden="1" customWidth="1"/>
    <col min="6950" max="7168" width="11.42578125" style="2"/>
    <col min="7169" max="7169" width="8" style="2" customWidth="1"/>
    <col min="7170" max="7170" width="13.42578125" style="2" customWidth="1"/>
    <col min="7171" max="7171" width="4.28515625" style="2" customWidth="1"/>
    <col min="7172" max="7172" width="4" style="2" customWidth="1"/>
    <col min="7173" max="7173" width="17" style="2" customWidth="1"/>
    <col min="7174" max="7174" width="4.140625" style="2" customWidth="1"/>
    <col min="7175" max="7175" width="11.28515625" style="2" customWidth="1"/>
    <col min="7176" max="7176" width="11" style="2" customWidth="1"/>
    <col min="7177" max="7178" width="2.140625" style="2" customWidth="1"/>
    <col min="7179" max="7179" width="3.28515625" style="2" customWidth="1"/>
    <col min="7180" max="7181" width="0" style="2" hidden="1" customWidth="1"/>
    <col min="7182" max="7182" width="2.85546875" style="2" customWidth="1"/>
    <col min="7183" max="7183" width="3.28515625" style="2" customWidth="1"/>
    <col min="7184" max="7184" width="1.5703125" style="2" customWidth="1"/>
    <col min="7185" max="7185" width="0" style="2" hidden="1" customWidth="1"/>
    <col min="7186" max="7186" width="6.85546875" style="2" customWidth="1"/>
    <col min="7187" max="7187" width="0" style="2" hidden="1" customWidth="1"/>
    <col min="7188" max="7189" width="6.28515625" style="2" customWidth="1"/>
    <col min="7190" max="7190" width="13.85546875" style="2" customWidth="1"/>
    <col min="7191" max="7191" width="10.85546875" style="2" customWidth="1"/>
    <col min="7192" max="7192" width="14.7109375" style="2" customWidth="1"/>
    <col min="7193" max="7193" width="0" style="2" hidden="1" customWidth="1"/>
    <col min="7194" max="7194" width="13" style="2" customWidth="1"/>
    <col min="7195" max="7195" width="12.7109375" style="2" customWidth="1"/>
    <col min="7196" max="7196" width="13.140625" style="2" customWidth="1"/>
    <col min="7197" max="7197" width="14" style="2" customWidth="1"/>
    <col min="7198" max="7198" width="8.140625" style="2" customWidth="1"/>
    <col min="7199" max="7199" width="11.5703125" style="2" customWidth="1"/>
    <col min="7200" max="7200" width="24.7109375" style="2" customWidth="1"/>
    <col min="7201" max="7201" width="12" style="2" customWidth="1"/>
    <col min="7202" max="7203" width="0.28515625" style="2" customWidth="1"/>
    <col min="7204" max="7204" width="1.42578125" style="2" customWidth="1"/>
    <col min="7205" max="7205" width="0" style="2" hidden="1" customWidth="1"/>
    <col min="7206" max="7424" width="11.42578125" style="2"/>
    <col min="7425" max="7425" width="8" style="2" customWidth="1"/>
    <col min="7426" max="7426" width="13.42578125" style="2" customWidth="1"/>
    <col min="7427" max="7427" width="4.28515625" style="2" customWidth="1"/>
    <col min="7428" max="7428" width="4" style="2" customWidth="1"/>
    <col min="7429" max="7429" width="17" style="2" customWidth="1"/>
    <col min="7430" max="7430" width="4.140625" style="2" customWidth="1"/>
    <col min="7431" max="7431" width="11.28515625" style="2" customWidth="1"/>
    <col min="7432" max="7432" width="11" style="2" customWidth="1"/>
    <col min="7433" max="7434" width="2.140625" style="2" customWidth="1"/>
    <col min="7435" max="7435" width="3.28515625" style="2" customWidth="1"/>
    <col min="7436" max="7437" width="0" style="2" hidden="1" customWidth="1"/>
    <col min="7438" max="7438" width="2.85546875" style="2" customWidth="1"/>
    <col min="7439" max="7439" width="3.28515625" style="2" customWidth="1"/>
    <col min="7440" max="7440" width="1.5703125" style="2" customWidth="1"/>
    <col min="7441" max="7441" width="0" style="2" hidden="1" customWidth="1"/>
    <col min="7442" max="7442" width="6.85546875" style="2" customWidth="1"/>
    <col min="7443" max="7443" width="0" style="2" hidden="1" customWidth="1"/>
    <col min="7444" max="7445" width="6.28515625" style="2" customWidth="1"/>
    <col min="7446" max="7446" width="13.85546875" style="2" customWidth="1"/>
    <col min="7447" max="7447" width="10.85546875" style="2" customWidth="1"/>
    <col min="7448" max="7448" width="14.7109375" style="2" customWidth="1"/>
    <col min="7449" max="7449" width="0" style="2" hidden="1" customWidth="1"/>
    <col min="7450" max="7450" width="13" style="2" customWidth="1"/>
    <col min="7451" max="7451" width="12.7109375" style="2" customWidth="1"/>
    <col min="7452" max="7452" width="13.140625" style="2" customWidth="1"/>
    <col min="7453" max="7453" width="14" style="2" customWidth="1"/>
    <col min="7454" max="7454" width="8.140625" style="2" customWidth="1"/>
    <col min="7455" max="7455" width="11.5703125" style="2" customWidth="1"/>
    <col min="7456" max="7456" width="24.7109375" style="2" customWidth="1"/>
    <col min="7457" max="7457" width="12" style="2" customWidth="1"/>
    <col min="7458" max="7459" width="0.28515625" style="2" customWidth="1"/>
    <col min="7460" max="7460" width="1.42578125" style="2" customWidth="1"/>
    <col min="7461" max="7461" width="0" style="2" hidden="1" customWidth="1"/>
    <col min="7462" max="7680" width="11.42578125" style="2"/>
    <col min="7681" max="7681" width="8" style="2" customWidth="1"/>
    <col min="7682" max="7682" width="13.42578125" style="2" customWidth="1"/>
    <col min="7683" max="7683" width="4.28515625" style="2" customWidth="1"/>
    <col min="7684" max="7684" width="4" style="2" customWidth="1"/>
    <col min="7685" max="7685" width="17" style="2" customWidth="1"/>
    <col min="7686" max="7686" width="4.140625" style="2" customWidth="1"/>
    <col min="7687" max="7687" width="11.28515625" style="2" customWidth="1"/>
    <col min="7688" max="7688" width="11" style="2" customWidth="1"/>
    <col min="7689" max="7690" width="2.140625" style="2" customWidth="1"/>
    <col min="7691" max="7691" width="3.28515625" style="2" customWidth="1"/>
    <col min="7692" max="7693" width="0" style="2" hidden="1" customWidth="1"/>
    <col min="7694" max="7694" width="2.85546875" style="2" customWidth="1"/>
    <col min="7695" max="7695" width="3.28515625" style="2" customWidth="1"/>
    <col min="7696" max="7696" width="1.5703125" style="2" customWidth="1"/>
    <col min="7697" max="7697" width="0" style="2" hidden="1" customWidth="1"/>
    <col min="7698" max="7698" width="6.85546875" style="2" customWidth="1"/>
    <col min="7699" max="7699" width="0" style="2" hidden="1" customWidth="1"/>
    <col min="7700" max="7701" width="6.28515625" style="2" customWidth="1"/>
    <col min="7702" max="7702" width="13.85546875" style="2" customWidth="1"/>
    <col min="7703" max="7703" width="10.85546875" style="2" customWidth="1"/>
    <col min="7704" max="7704" width="14.7109375" style="2" customWidth="1"/>
    <col min="7705" max="7705" width="0" style="2" hidden="1" customWidth="1"/>
    <col min="7706" max="7706" width="13" style="2" customWidth="1"/>
    <col min="7707" max="7707" width="12.7109375" style="2" customWidth="1"/>
    <col min="7708" max="7708" width="13.140625" style="2" customWidth="1"/>
    <col min="7709" max="7709" width="14" style="2" customWidth="1"/>
    <col min="7710" max="7710" width="8.140625" style="2" customWidth="1"/>
    <col min="7711" max="7711" width="11.5703125" style="2" customWidth="1"/>
    <col min="7712" max="7712" width="24.7109375" style="2" customWidth="1"/>
    <col min="7713" max="7713" width="12" style="2" customWidth="1"/>
    <col min="7714" max="7715" width="0.28515625" style="2" customWidth="1"/>
    <col min="7716" max="7716" width="1.42578125" style="2" customWidth="1"/>
    <col min="7717" max="7717" width="0" style="2" hidden="1" customWidth="1"/>
    <col min="7718" max="7936" width="11.42578125" style="2"/>
    <col min="7937" max="7937" width="8" style="2" customWidth="1"/>
    <col min="7938" max="7938" width="13.42578125" style="2" customWidth="1"/>
    <col min="7939" max="7939" width="4.28515625" style="2" customWidth="1"/>
    <col min="7940" max="7940" width="4" style="2" customWidth="1"/>
    <col min="7941" max="7941" width="17" style="2" customWidth="1"/>
    <col min="7942" max="7942" width="4.140625" style="2" customWidth="1"/>
    <col min="7943" max="7943" width="11.28515625" style="2" customWidth="1"/>
    <col min="7944" max="7944" width="11" style="2" customWidth="1"/>
    <col min="7945" max="7946" width="2.140625" style="2" customWidth="1"/>
    <col min="7947" max="7947" width="3.28515625" style="2" customWidth="1"/>
    <col min="7948" max="7949" width="0" style="2" hidden="1" customWidth="1"/>
    <col min="7950" max="7950" width="2.85546875" style="2" customWidth="1"/>
    <col min="7951" max="7951" width="3.28515625" style="2" customWidth="1"/>
    <col min="7952" max="7952" width="1.5703125" style="2" customWidth="1"/>
    <col min="7953" max="7953" width="0" style="2" hidden="1" customWidth="1"/>
    <col min="7954" max="7954" width="6.85546875" style="2" customWidth="1"/>
    <col min="7955" max="7955" width="0" style="2" hidden="1" customWidth="1"/>
    <col min="7956" max="7957" width="6.28515625" style="2" customWidth="1"/>
    <col min="7958" max="7958" width="13.85546875" style="2" customWidth="1"/>
    <col min="7959" max="7959" width="10.85546875" style="2" customWidth="1"/>
    <col min="7960" max="7960" width="14.7109375" style="2" customWidth="1"/>
    <col min="7961" max="7961" width="0" style="2" hidden="1" customWidth="1"/>
    <col min="7962" max="7962" width="13" style="2" customWidth="1"/>
    <col min="7963" max="7963" width="12.7109375" style="2" customWidth="1"/>
    <col min="7964" max="7964" width="13.140625" style="2" customWidth="1"/>
    <col min="7965" max="7965" width="14" style="2" customWidth="1"/>
    <col min="7966" max="7966" width="8.140625" style="2" customWidth="1"/>
    <col min="7967" max="7967" width="11.5703125" style="2" customWidth="1"/>
    <col min="7968" max="7968" width="24.7109375" style="2" customWidth="1"/>
    <col min="7969" max="7969" width="12" style="2" customWidth="1"/>
    <col min="7970" max="7971" width="0.28515625" style="2" customWidth="1"/>
    <col min="7972" max="7972" width="1.42578125" style="2" customWidth="1"/>
    <col min="7973" max="7973" width="0" style="2" hidden="1" customWidth="1"/>
    <col min="7974" max="8192" width="11.42578125" style="2"/>
    <col min="8193" max="8193" width="8" style="2" customWidth="1"/>
    <col min="8194" max="8194" width="13.42578125" style="2" customWidth="1"/>
    <col min="8195" max="8195" width="4.28515625" style="2" customWidth="1"/>
    <col min="8196" max="8196" width="4" style="2" customWidth="1"/>
    <col min="8197" max="8197" width="17" style="2" customWidth="1"/>
    <col min="8198" max="8198" width="4.140625" style="2" customWidth="1"/>
    <col min="8199" max="8199" width="11.28515625" style="2" customWidth="1"/>
    <col min="8200" max="8200" width="11" style="2" customWidth="1"/>
    <col min="8201" max="8202" width="2.140625" style="2" customWidth="1"/>
    <col min="8203" max="8203" width="3.28515625" style="2" customWidth="1"/>
    <col min="8204" max="8205" width="0" style="2" hidden="1" customWidth="1"/>
    <col min="8206" max="8206" width="2.85546875" style="2" customWidth="1"/>
    <col min="8207" max="8207" width="3.28515625" style="2" customWidth="1"/>
    <col min="8208" max="8208" width="1.5703125" style="2" customWidth="1"/>
    <col min="8209" max="8209" width="0" style="2" hidden="1" customWidth="1"/>
    <col min="8210" max="8210" width="6.85546875" style="2" customWidth="1"/>
    <col min="8211" max="8211" width="0" style="2" hidden="1" customWidth="1"/>
    <col min="8212" max="8213" width="6.28515625" style="2" customWidth="1"/>
    <col min="8214" max="8214" width="13.85546875" style="2" customWidth="1"/>
    <col min="8215" max="8215" width="10.85546875" style="2" customWidth="1"/>
    <col min="8216" max="8216" width="14.7109375" style="2" customWidth="1"/>
    <col min="8217" max="8217" width="0" style="2" hidden="1" customWidth="1"/>
    <col min="8218" max="8218" width="13" style="2" customWidth="1"/>
    <col min="8219" max="8219" width="12.7109375" style="2" customWidth="1"/>
    <col min="8220" max="8220" width="13.140625" style="2" customWidth="1"/>
    <col min="8221" max="8221" width="14" style="2" customWidth="1"/>
    <col min="8222" max="8222" width="8.140625" style="2" customWidth="1"/>
    <col min="8223" max="8223" width="11.5703125" style="2" customWidth="1"/>
    <col min="8224" max="8224" width="24.7109375" style="2" customWidth="1"/>
    <col min="8225" max="8225" width="12" style="2" customWidth="1"/>
    <col min="8226" max="8227" width="0.28515625" style="2" customWidth="1"/>
    <col min="8228" max="8228" width="1.42578125" style="2" customWidth="1"/>
    <col min="8229" max="8229" width="0" style="2" hidden="1" customWidth="1"/>
    <col min="8230" max="8448" width="11.42578125" style="2"/>
    <col min="8449" max="8449" width="8" style="2" customWidth="1"/>
    <col min="8450" max="8450" width="13.42578125" style="2" customWidth="1"/>
    <col min="8451" max="8451" width="4.28515625" style="2" customWidth="1"/>
    <col min="8452" max="8452" width="4" style="2" customWidth="1"/>
    <col min="8453" max="8453" width="17" style="2" customWidth="1"/>
    <col min="8454" max="8454" width="4.140625" style="2" customWidth="1"/>
    <col min="8455" max="8455" width="11.28515625" style="2" customWidth="1"/>
    <col min="8456" max="8456" width="11" style="2" customWidth="1"/>
    <col min="8457" max="8458" width="2.140625" style="2" customWidth="1"/>
    <col min="8459" max="8459" width="3.28515625" style="2" customWidth="1"/>
    <col min="8460" max="8461" width="0" style="2" hidden="1" customWidth="1"/>
    <col min="8462" max="8462" width="2.85546875" style="2" customWidth="1"/>
    <col min="8463" max="8463" width="3.28515625" style="2" customWidth="1"/>
    <col min="8464" max="8464" width="1.5703125" style="2" customWidth="1"/>
    <col min="8465" max="8465" width="0" style="2" hidden="1" customWidth="1"/>
    <col min="8466" max="8466" width="6.85546875" style="2" customWidth="1"/>
    <col min="8467" max="8467" width="0" style="2" hidden="1" customWidth="1"/>
    <col min="8468" max="8469" width="6.28515625" style="2" customWidth="1"/>
    <col min="8470" max="8470" width="13.85546875" style="2" customWidth="1"/>
    <col min="8471" max="8471" width="10.85546875" style="2" customWidth="1"/>
    <col min="8472" max="8472" width="14.7109375" style="2" customWidth="1"/>
    <col min="8473" max="8473" width="0" style="2" hidden="1" customWidth="1"/>
    <col min="8474" max="8474" width="13" style="2" customWidth="1"/>
    <col min="8475" max="8475" width="12.7109375" style="2" customWidth="1"/>
    <col min="8476" max="8476" width="13.140625" style="2" customWidth="1"/>
    <col min="8477" max="8477" width="14" style="2" customWidth="1"/>
    <col min="8478" max="8478" width="8.140625" style="2" customWidth="1"/>
    <col min="8479" max="8479" width="11.5703125" style="2" customWidth="1"/>
    <col min="8480" max="8480" width="24.7109375" style="2" customWidth="1"/>
    <col min="8481" max="8481" width="12" style="2" customWidth="1"/>
    <col min="8482" max="8483" width="0.28515625" style="2" customWidth="1"/>
    <col min="8484" max="8484" width="1.42578125" style="2" customWidth="1"/>
    <col min="8485" max="8485" width="0" style="2" hidden="1" customWidth="1"/>
    <col min="8486" max="8704" width="11.42578125" style="2"/>
    <col min="8705" max="8705" width="8" style="2" customWidth="1"/>
    <col min="8706" max="8706" width="13.42578125" style="2" customWidth="1"/>
    <col min="8707" max="8707" width="4.28515625" style="2" customWidth="1"/>
    <col min="8708" max="8708" width="4" style="2" customWidth="1"/>
    <col min="8709" max="8709" width="17" style="2" customWidth="1"/>
    <col min="8710" max="8710" width="4.140625" style="2" customWidth="1"/>
    <col min="8711" max="8711" width="11.28515625" style="2" customWidth="1"/>
    <col min="8712" max="8712" width="11" style="2" customWidth="1"/>
    <col min="8713" max="8714" width="2.140625" style="2" customWidth="1"/>
    <col min="8715" max="8715" width="3.28515625" style="2" customWidth="1"/>
    <col min="8716" max="8717" width="0" style="2" hidden="1" customWidth="1"/>
    <col min="8718" max="8718" width="2.85546875" style="2" customWidth="1"/>
    <col min="8719" max="8719" width="3.28515625" style="2" customWidth="1"/>
    <col min="8720" max="8720" width="1.5703125" style="2" customWidth="1"/>
    <col min="8721" max="8721" width="0" style="2" hidden="1" customWidth="1"/>
    <col min="8722" max="8722" width="6.85546875" style="2" customWidth="1"/>
    <col min="8723" max="8723" width="0" style="2" hidden="1" customWidth="1"/>
    <col min="8724" max="8725" width="6.28515625" style="2" customWidth="1"/>
    <col min="8726" max="8726" width="13.85546875" style="2" customWidth="1"/>
    <col min="8727" max="8727" width="10.85546875" style="2" customWidth="1"/>
    <col min="8728" max="8728" width="14.7109375" style="2" customWidth="1"/>
    <col min="8729" max="8729" width="0" style="2" hidden="1" customWidth="1"/>
    <col min="8730" max="8730" width="13" style="2" customWidth="1"/>
    <col min="8731" max="8731" width="12.7109375" style="2" customWidth="1"/>
    <col min="8732" max="8732" width="13.140625" style="2" customWidth="1"/>
    <col min="8733" max="8733" width="14" style="2" customWidth="1"/>
    <col min="8734" max="8734" width="8.140625" style="2" customWidth="1"/>
    <col min="8735" max="8735" width="11.5703125" style="2" customWidth="1"/>
    <col min="8736" max="8736" width="24.7109375" style="2" customWidth="1"/>
    <col min="8737" max="8737" width="12" style="2" customWidth="1"/>
    <col min="8738" max="8739" width="0.28515625" style="2" customWidth="1"/>
    <col min="8740" max="8740" width="1.42578125" style="2" customWidth="1"/>
    <col min="8741" max="8741" width="0" style="2" hidden="1" customWidth="1"/>
    <col min="8742" max="8960" width="11.42578125" style="2"/>
    <col min="8961" max="8961" width="8" style="2" customWidth="1"/>
    <col min="8962" max="8962" width="13.42578125" style="2" customWidth="1"/>
    <col min="8963" max="8963" width="4.28515625" style="2" customWidth="1"/>
    <col min="8964" max="8964" width="4" style="2" customWidth="1"/>
    <col min="8965" max="8965" width="17" style="2" customWidth="1"/>
    <col min="8966" max="8966" width="4.140625" style="2" customWidth="1"/>
    <col min="8967" max="8967" width="11.28515625" style="2" customWidth="1"/>
    <col min="8968" max="8968" width="11" style="2" customWidth="1"/>
    <col min="8969" max="8970" width="2.140625" style="2" customWidth="1"/>
    <col min="8971" max="8971" width="3.28515625" style="2" customWidth="1"/>
    <col min="8972" max="8973" width="0" style="2" hidden="1" customWidth="1"/>
    <col min="8974" max="8974" width="2.85546875" style="2" customWidth="1"/>
    <col min="8975" max="8975" width="3.28515625" style="2" customWidth="1"/>
    <col min="8976" max="8976" width="1.5703125" style="2" customWidth="1"/>
    <col min="8977" max="8977" width="0" style="2" hidden="1" customWidth="1"/>
    <col min="8978" max="8978" width="6.85546875" style="2" customWidth="1"/>
    <col min="8979" max="8979" width="0" style="2" hidden="1" customWidth="1"/>
    <col min="8980" max="8981" width="6.28515625" style="2" customWidth="1"/>
    <col min="8982" max="8982" width="13.85546875" style="2" customWidth="1"/>
    <col min="8983" max="8983" width="10.85546875" style="2" customWidth="1"/>
    <col min="8984" max="8984" width="14.7109375" style="2" customWidth="1"/>
    <col min="8985" max="8985" width="0" style="2" hidden="1" customWidth="1"/>
    <col min="8986" max="8986" width="13" style="2" customWidth="1"/>
    <col min="8987" max="8987" width="12.7109375" style="2" customWidth="1"/>
    <col min="8988" max="8988" width="13.140625" style="2" customWidth="1"/>
    <col min="8989" max="8989" width="14" style="2" customWidth="1"/>
    <col min="8990" max="8990" width="8.140625" style="2" customWidth="1"/>
    <col min="8991" max="8991" width="11.5703125" style="2" customWidth="1"/>
    <col min="8992" max="8992" width="24.7109375" style="2" customWidth="1"/>
    <col min="8993" max="8993" width="12" style="2" customWidth="1"/>
    <col min="8994" max="8995" width="0.28515625" style="2" customWidth="1"/>
    <col min="8996" max="8996" width="1.42578125" style="2" customWidth="1"/>
    <col min="8997" max="8997" width="0" style="2" hidden="1" customWidth="1"/>
    <col min="8998" max="9216" width="11.42578125" style="2"/>
    <col min="9217" max="9217" width="8" style="2" customWidth="1"/>
    <col min="9218" max="9218" width="13.42578125" style="2" customWidth="1"/>
    <col min="9219" max="9219" width="4.28515625" style="2" customWidth="1"/>
    <col min="9220" max="9220" width="4" style="2" customWidth="1"/>
    <col min="9221" max="9221" width="17" style="2" customWidth="1"/>
    <col min="9222" max="9222" width="4.140625" style="2" customWidth="1"/>
    <col min="9223" max="9223" width="11.28515625" style="2" customWidth="1"/>
    <col min="9224" max="9224" width="11" style="2" customWidth="1"/>
    <col min="9225" max="9226" width="2.140625" style="2" customWidth="1"/>
    <col min="9227" max="9227" width="3.28515625" style="2" customWidth="1"/>
    <col min="9228" max="9229" width="0" style="2" hidden="1" customWidth="1"/>
    <col min="9230" max="9230" width="2.85546875" style="2" customWidth="1"/>
    <col min="9231" max="9231" width="3.28515625" style="2" customWidth="1"/>
    <col min="9232" max="9232" width="1.5703125" style="2" customWidth="1"/>
    <col min="9233" max="9233" width="0" style="2" hidden="1" customWidth="1"/>
    <col min="9234" max="9234" width="6.85546875" style="2" customWidth="1"/>
    <col min="9235" max="9235" width="0" style="2" hidden="1" customWidth="1"/>
    <col min="9236" max="9237" width="6.28515625" style="2" customWidth="1"/>
    <col min="9238" max="9238" width="13.85546875" style="2" customWidth="1"/>
    <col min="9239" max="9239" width="10.85546875" style="2" customWidth="1"/>
    <col min="9240" max="9240" width="14.7109375" style="2" customWidth="1"/>
    <col min="9241" max="9241" width="0" style="2" hidden="1" customWidth="1"/>
    <col min="9242" max="9242" width="13" style="2" customWidth="1"/>
    <col min="9243" max="9243" width="12.7109375" style="2" customWidth="1"/>
    <col min="9244" max="9244" width="13.140625" style="2" customWidth="1"/>
    <col min="9245" max="9245" width="14" style="2" customWidth="1"/>
    <col min="9246" max="9246" width="8.140625" style="2" customWidth="1"/>
    <col min="9247" max="9247" width="11.5703125" style="2" customWidth="1"/>
    <col min="9248" max="9248" width="24.7109375" style="2" customWidth="1"/>
    <col min="9249" max="9249" width="12" style="2" customWidth="1"/>
    <col min="9250" max="9251" width="0.28515625" style="2" customWidth="1"/>
    <col min="9252" max="9252" width="1.42578125" style="2" customWidth="1"/>
    <col min="9253" max="9253" width="0" style="2" hidden="1" customWidth="1"/>
    <col min="9254" max="9472" width="11.42578125" style="2"/>
    <col min="9473" max="9473" width="8" style="2" customWidth="1"/>
    <col min="9474" max="9474" width="13.42578125" style="2" customWidth="1"/>
    <col min="9475" max="9475" width="4.28515625" style="2" customWidth="1"/>
    <col min="9476" max="9476" width="4" style="2" customWidth="1"/>
    <col min="9477" max="9477" width="17" style="2" customWidth="1"/>
    <col min="9478" max="9478" width="4.140625" style="2" customWidth="1"/>
    <col min="9479" max="9479" width="11.28515625" style="2" customWidth="1"/>
    <col min="9480" max="9480" width="11" style="2" customWidth="1"/>
    <col min="9481" max="9482" width="2.140625" style="2" customWidth="1"/>
    <col min="9483" max="9483" width="3.28515625" style="2" customWidth="1"/>
    <col min="9484" max="9485" width="0" style="2" hidden="1" customWidth="1"/>
    <col min="9486" max="9486" width="2.85546875" style="2" customWidth="1"/>
    <col min="9487" max="9487" width="3.28515625" style="2" customWidth="1"/>
    <col min="9488" max="9488" width="1.5703125" style="2" customWidth="1"/>
    <col min="9489" max="9489" width="0" style="2" hidden="1" customWidth="1"/>
    <col min="9490" max="9490" width="6.85546875" style="2" customWidth="1"/>
    <col min="9491" max="9491" width="0" style="2" hidden="1" customWidth="1"/>
    <col min="9492" max="9493" width="6.28515625" style="2" customWidth="1"/>
    <col min="9494" max="9494" width="13.85546875" style="2" customWidth="1"/>
    <col min="9495" max="9495" width="10.85546875" style="2" customWidth="1"/>
    <col min="9496" max="9496" width="14.7109375" style="2" customWidth="1"/>
    <col min="9497" max="9497" width="0" style="2" hidden="1" customWidth="1"/>
    <col min="9498" max="9498" width="13" style="2" customWidth="1"/>
    <col min="9499" max="9499" width="12.7109375" style="2" customWidth="1"/>
    <col min="9500" max="9500" width="13.140625" style="2" customWidth="1"/>
    <col min="9501" max="9501" width="14" style="2" customWidth="1"/>
    <col min="9502" max="9502" width="8.140625" style="2" customWidth="1"/>
    <col min="9503" max="9503" width="11.5703125" style="2" customWidth="1"/>
    <col min="9504" max="9504" width="24.7109375" style="2" customWidth="1"/>
    <col min="9505" max="9505" width="12" style="2" customWidth="1"/>
    <col min="9506" max="9507" width="0.28515625" style="2" customWidth="1"/>
    <col min="9508" max="9508" width="1.42578125" style="2" customWidth="1"/>
    <col min="9509" max="9509" width="0" style="2" hidden="1" customWidth="1"/>
    <col min="9510" max="9728" width="11.42578125" style="2"/>
    <col min="9729" max="9729" width="8" style="2" customWidth="1"/>
    <col min="9730" max="9730" width="13.42578125" style="2" customWidth="1"/>
    <col min="9731" max="9731" width="4.28515625" style="2" customWidth="1"/>
    <col min="9732" max="9732" width="4" style="2" customWidth="1"/>
    <col min="9733" max="9733" width="17" style="2" customWidth="1"/>
    <col min="9734" max="9734" width="4.140625" style="2" customWidth="1"/>
    <col min="9735" max="9735" width="11.28515625" style="2" customWidth="1"/>
    <col min="9736" max="9736" width="11" style="2" customWidth="1"/>
    <col min="9737" max="9738" width="2.140625" style="2" customWidth="1"/>
    <col min="9739" max="9739" width="3.28515625" style="2" customWidth="1"/>
    <col min="9740" max="9741" width="0" style="2" hidden="1" customWidth="1"/>
    <col min="9742" max="9742" width="2.85546875" style="2" customWidth="1"/>
    <col min="9743" max="9743" width="3.28515625" style="2" customWidth="1"/>
    <col min="9744" max="9744" width="1.5703125" style="2" customWidth="1"/>
    <col min="9745" max="9745" width="0" style="2" hidden="1" customWidth="1"/>
    <col min="9746" max="9746" width="6.85546875" style="2" customWidth="1"/>
    <col min="9747" max="9747" width="0" style="2" hidden="1" customWidth="1"/>
    <col min="9748" max="9749" width="6.28515625" style="2" customWidth="1"/>
    <col min="9750" max="9750" width="13.85546875" style="2" customWidth="1"/>
    <col min="9751" max="9751" width="10.85546875" style="2" customWidth="1"/>
    <col min="9752" max="9752" width="14.7109375" style="2" customWidth="1"/>
    <col min="9753" max="9753" width="0" style="2" hidden="1" customWidth="1"/>
    <col min="9754" max="9754" width="13" style="2" customWidth="1"/>
    <col min="9755" max="9755" width="12.7109375" style="2" customWidth="1"/>
    <col min="9756" max="9756" width="13.140625" style="2" customWidth="1"/>
    <col min="9757" max="9757" width="14" style="2" customWidth="1"/>
    <col min="9758" max="9758" width="8.140625" style="2" customWidth="1"/>
    <col min="9759" max="9759" width="11.5703125" style="2" customWidth="1"/>
    <col min="9760" max="9760" width="24.7109375" style="2" customWidth="1"/>
    <col min="9761" max="9761" width="12" style="2" customWidth="1"/>
    <col min="9762" max="9763" width="0.28515625" style="2" customWidth="1"/>
    <col min="9764" max="9764" width="1.42578125" style="2" customWidth="1"/>
    <col min="9765" max="9765" width="0" style="2" hidden="1" customWidth="1"/>
    <col min="9766" max="9984" width="11.42578125" style="2"/>
    <col min="9985" max="9985" width="8" style="2" customWidth="1"/>
    <col min="9986" max="9986" width="13.42578125" style="2" customWidth="1"/>
    <col min="9987" max="9987" width="4.28515625" style="2" customWidth="1"/>
    <col min="9988" max="9988" width="4" style="2" customWidth="1"/>
    <col min="9989" max="9989" width="17" style="2" customWidth="1"/>
    <col min="9990" max="9990" width="4.140625" style="2" customWidth="1"/>
    <col min="9991" max="9991" width="11.28515625" style="2" customWidth="1"/>
    <col min="9992" max="9992" width="11" style="2" customWidth="1"/>
    <col min="9993" max="9994" width="2.140625" style="2" customWidth="1"/>
    <col min="9995" max="9995" width="3.28515625" style="2" customWidth="1"/>
    <col min="9996" max="9997" width="0" style="2" hidden="1" customWidth="1"/>
    <col min="9998" max="9998" width="2.85546875" style="2" customWidth="1"/>
    <col min="9999" max="9999" width="3.28515625" style="2" customWidth="1"/>
    <col min="10000" max="10000" width="1.5703125" style="2" customWidth="1"/>
    <col min="10001" max="10001" width="0" style="2" hidden="1" customWidth="1"/>
    <col min="10002" max="10002" width="6.85546875" style="2" customWidth="1"/>
    <col min="10003" max="10003" width="0" style="2" hidden="1" customWidth="1"/>
    <col min="10004" max="10005" width="6.28515625" style="2" customWidth="1"/>
    <col min="10006" max="10006" width="13.85546875" style="2" customWidth="1"/>
    <col min="10007" max="10007" width="10.85546875" style="2" customWidth="1"/>
    <col min="10008" max="10008" width="14.7109375" style="2" customWidth="1"/>
    <col min="10009" max="10009" width="0" style="2" hidden="1" customWidth="1"/>
    <col min="10010" max="10010" width="13" style="2" customWidth="1"/>
    <col min="10011" max="10011" width="12.7109375" style="2" customWidth="1"/>
    <col min="10012" max="10012" width="13.140625" style="2" customWidth="1"/>
    <col min="10013" max="10013" width="14" style="2" customWidth="1"/>
    <col min="10014" max="10014" width="8.140625" style="2" customWidth="1"/>
    <col min="10015" max="10015" width="11.5703125" style="2" customWidth="1"/>
    <col min="10016" max="10016" width="24.7109375" style="2" customWidth="1"/>
    <col min="10017" max="10017" width="12" style="2" customWidth="1"/>
    <col min="10018" max="10019" width="0.28515625" style="2" customWidth="1"/>
    <col min="10020" max="10020" width="1.42578125" style="2" customWidth="1"/>
    <col min="10021" max="10021" width="0" style="2" hidden="1" customWidth="1"/>
    <col min="10022" max="10240" width="11.42578125" style="2"/>
    <col min="10241" max="10241" width="8" style="2" customWidth="1"/>
    <col min="10242" max="10242" width="13.42578125" style="2" customWidth="1"/>
    <col min="10243" max="10243" width="4.28515625" style="2" customWidth="1"/>
    <col min="10244" max="10244" width="4" style="2" customWidth="1"/>
    <col min="10245" max="10245" width="17" style="2" customWidth="1"/>
    <col min="10246" max="10246" width="4.140625" style="2" customWidth="1"/>
    <col min="10247" max="10247" width="11.28515625" style="2" customWidth="1"/>
    <col min="10248" max="10248" width="11" style="2" customWidth="1"/>
    <col min="10249" max="10250" width="2.140625" style="2" customWidth="1"/>
    <col min="10251" max="10251" width="3.28515625" style="2" customWidth="1"/>
    <col min="10252" max="10253" width="0" style="2" hidden="1" customWidth="1"/>
    <col min="10254" max="10254" width="2.85546875" style="2" customWidth="1"/>
    <col min="10255" max="10255" width="3.28515625" style="2" customWidth="1"/>
    <col min="10256" max="10256" width="1.5703125" style="2" customWidth="1"/>
    <col min="10257" max="10257" width="0" style="2" hidden="1" customWidth="1"/>
    <col min="10258" max="10258" width="6.85546875" style="2" customWidth="1"/>
    <col min="10259" max="10259" width="0" style="2" hidden="1" customWidth="1"/>
    <col min="10260" max="10261" width="6.28515625" style="2" customWidth="1"/>
    <col min="10262" max="10262" width="13.85546875" style="2" customWidth="1"/>
    <col min="10263" max="10263" width="10.85546875" style="2" customWidth="1"/>
    <col min="10264" max="10264" width="14.7109375" style="2" customWidth="1"/>
    <col min="10265" max="10265" width="0" style="2" hidden="1" customWidth="1"/>
    <col min="10266" max="10266" width="13" style="2" customWidth="1"/>
    <col min="10267" max="10267" width="12.7109375" style="2" customWidth="1"/>
    <col min="10268" max="10268" width="13.140625" style="2" customWidth="1"/>
    <col min="10269" max="10269" width="14" style="2" customWidth="1"/>
    <col min="10270" max="10270" width="8.140625" style="2" customWidth="1"/>
    <col min="10271" max="10271" width="11.5703125" style="2" customWidth="1"/>
    <col min="10272" max="10272" width="24.7109375" style="2" customWidth="1"/>
    <col min="10273" max="10273" width="12" style="2" customWidth="1"/>
    <col min="10274" max="10275" width="0.28515625" style="2" customWidth="1"/>
    <col min="10276" max="10276" width="1.42578125" style="2" customWidth="1"/>
    <col min="10277" max="10277" width="0" style="2" hidden="1" customWidth="1"/>
    <col min="10278" max="10496" width="11.42578125" style="2"/>
    <col min="10497" max="10497" width="8" style="2" customWidth="1"/>
    <col min="10498" max="10498" width="13.42578125" style="2" customWidth="1"/>
    <col min="10499" max="10499" width="4.28515625" style="2" customWidth="1"/>
    <col min="10500" max="10500" width="4" style="2" customWidth="1"/>
    <col min="10501" max="10501" width="17" style="2" customWidth="1"/>
    <col min="10502" max="10502" width="4.140625" style="2" customWidth="1"/>
    <col min="10503" max="10503" width="11.28515625" style="2" customWidth="1"/>
    <col min="10504" max="10504" width="11" style="2" customWidth="1"/>
    <col min="10505" max="10506" width="2.140625" style="2" customWidth="1"/>
    <col min="10507" max="10507" width="3.28515625" style="2" customWidth="1"/>
    <col min="10508" max="10509" width="0" style="2" hidden="1" customWidth="1"/>
    <col min="10510" max="10510" width="2.85546875" style="2" customWidth="1"/>
    <col min="10511" max="10511" width="3.28515625" style="2" customWidth="1"/>
    <col min="10512" max="10512" width="1.5703125" style="2" customWidth="1"/>
    <col min="10513" max="10513" width="0" style="2" hidden="1" customWidth="1"/>
    <col min="10514" max="10514" width="6.85546875" style="2" customWidth="1"/>
    <col min="10515" max="10515" width="0" style="2" hidden="1" customWidth="1"/>
    <col min="10516" max="10517" width="6.28515625" style="2" customWidth="1"/>
    <col min="10518" max="10518" width="13.85546875" style="2" customWidth="1"/>
    <col min="10519" max="10519" width="10.85546875" style="2" customWidth="1"/>
    <col min="10520" max="10520" width="14.7109375" style="2" customWidth="1"/>
    <col min="10521" max="10521" width="0" style="2" hidden="1" customWidth="1"/>
    <col min="10522" max="10522" width="13" style="2" customWidth="1"/>
    <col min="10523" max="10523" width="12.7109375" style="2" customWidth="1"/>
    <col min="10524" max="10524" width="13.140625" style="2" customWidth="1"/>
    <col min="10525" max="10525" width="14" style="2" customWidth="1"/>
    <col min="10526" max="10526" width="8.140625" style="2" customWidth="1"/>
    <col min="10527" max="10527" width="11.5703125" style="2" customWidth="1"/>
    <col min="10528" max="10528" width="24.7109375" style="2" customWidth="1"/>
    <col min="10529" max="10529" width="12" style="2" customWidth="1"/>
    <col min="10530" max="10531" width="0.28515625" style="2" customWidth="1"/>
    <col min="10532" max="10532" width="1.42578125" style="2" customWidth="1"/>
    <col min="10533" max="10533" width="0" style="2" hidden="1" customWidth="1"/>
    <col min="10534" max="10752" width="11.42578125" style="2"/>
    <col min="10753" max="10753" width="8" style="2" customWidth="1"/>
    <col min="10754" max="10754" width="13.42578125" style="2" customWidth="1"/>
    <col min="10755" max="10755" width="4.28515625" style="2" customWidth="1"/>
    <col min="10756" max="10756" width="4" style="2" customWidth="1"/>
    <col min="10757" max="10757" width="17" style="2" customWidth="1"/>
    <col min="10758" max="10758" width="4.140625" style="2" customWidth="1"/>
    <col min="10759" max="10759" width="11.28515625" style="2" customWidth="1"/>
    <col min="10760" max="10760" width="11" style="2" customWidth="1"/>
    <col min="10761" max="10762" width="2.140625" style="2" customWidth="1"/>
    <col min="10763" max="10763" width="3.28515625" style="2" customWidth="1"/>
    <col min="10764" max="10765" width="0" style="2" hidden="1" customWidth="1"/>
    <col min="10766" max="10766" width="2.85546875" style="2" customWidth="1"/>
    <col min="10767" max="10767" width="3.28515625" style="2" customWidth="1"/>
    <col min="10768" max="10768" width="1.5703125" style="2" customWidth="1"/>
    <col min="10769" max="10769" width="0" style="2" hidden="1" customWidth="1"/>
    <col min="10770" max="10770" width="6.85546875" style="2" customWidth="1"/>
    <col min="10771" max="10771" width="0" style="2" hidden="1" customWidth="1"/>
    <col min="10772" max="10773" width="6.28515625" style="2" customWidth="1"/>
    <col min="10774" max="10774" width="13.85546875" style="2" customWidth="1"/>
    <col min="10775" max="10775" width="10.85546875" style="2" customWidth="1"/>
    <col min="10776" max="10776" width="14.7109375" style="2" customWidth="1"/>
    <col min="10777" max="10777" width="0" style="2" hidden="1" customWidth="1"/>
    <col min="10778" max="10778" width="13" style="2" customWidth="1"/>
    <col min="10779" max="10779" width="12.7109375" style="2" customWidth="1"/>
    <col min="10780" max="10780" width="13.140625" style="2" customWidth="1"/>
    <col min="10781" max="10781" width="14" style="2" customWidth="1"/>
    <col min="10782" max="10782" width="8.140625" style="2" customWidth="1"/>
    <col min="10783" max="10783" width="11.5703125" style="2" customWidth="1"/>
    <col min="10784" max="10784" width="24.7109375" style="2" customWidth="1"/>
    <col min="10785" max="10785" width="12" style="2" customWidth="1"/>
    <col min="10786" max="10787" width="0.28515625" style="2" customWidth="1"/>
    <col min="10788" max="10788" width="1.42578125" style="2" customWidth="1"/>
    <col min="10789" max="10789" width="0" style="2" hidden="1" customWidth="1"/>
    <col min="10790" max="11008" width="11.42578125" style="2"/>
    <col min="11009" max="11009" width="8" style="2" customWidth="1"/>
    <col min="11010" max="11010" width="13.42578125" style="2" customWidth="1"/>
    <col min="11011" max="11011" width="4.28515625" style="2" customWidth="1"/>
    <col min="11012" max="11012" width="4" style="2" customWidth="1"/>
    <col min="11013" max="11013" width="17" style="2" customWidth="1"/>
    <col min="11014" max="11014" width="4.140625" style="2" customWidth="1"/>
    <col min="11015" max="11015" width="11.28515625" style="2" customWidth="1"/>
    <col min="11016" max="11016" width="11" style="2" customWidth="1"/>
    <col min="11017" max="11018" width="2.140625" style="2" customWidth="1"/>
    <col min="11019" max="11019" width="3.28515625" style="2" customWidth="1"/>
    <col min="11020" max="11021" width="0" style="2" hidden="1" customWidth="1"/>
    <col min="11022" max="11022" width="2.85546875" style="2" customWidth="1"/>
    <col min="11023" max="11023" width="3.28515625" style="2" customWidth="1"/>
    <col min="11024" max="11024" width="1.5703125" style="2" customWidth="1"/>
    <col min="11025" max="11025" width="0" style="2" hidden="1" customWidth="1"/>
    <col min="11026" max="11026" width="6.85546875" style="2" customWidth="1"/>
    <col min="11027" max="11027" width="0" style="2" hidden="1" customWidth="1"/>
    <col min="11028" max="11029" width="6.28515625" style="2" customWidth="1"/>
    <col min="11030" max="11030" width="13.85546875" style="2" customWidth="1"/>
    <col min="11031" max="11031" width="10.85546875" style="2" customWidth="1"/>
    <col min="11032" max="11032" width="14.7109375" style="2" customWidth="1"/>
    <col min="11033" max="11033" width="0" style="2" hidden="1" customWidth="1"/>
    <col min="11034" max="11034" width="13" style="2" customWidth="1"/>
    <col min="11035" max="11035" width="12.7109375" style="2" customWidth="1"/>
    <col min="11036" max="11036" width="13.140625" style="2" customWidth="1"/>
    <col min="11037" max="11037" width="14" style="2" customWidth="1"/>
    <col min="11038" max="11038" width="8.140625" style="2" customWidth="1"/>
    <col min="11039" max="11039" width="11.5703125" style="2" customWidth="1"/>
    <col min="11040" max="11040" width="24.7109375" style="2" customWidth="1"/>
    <col min="11041" max="11041" width="12" style="2" customWidth="1"/>
    <col min="11042" max="11043" width="0.28515625" style="2" customWidth="1"/>
    <col min="11044" max="11044" width="1.42578125" style="2" customWidth="1"/>
    <col min="11045" max="11045" width="0" style="2" hidden="1" customWidth="1"/>
    <col min="11046" max="11264" width="11.42578125" style="2"/>
    <col min="11265" max="11265" width="8" style="2" customWidth="1"/>
    <col min="11266" max="11266" width="13.42578125" style="2" customWidth="1"/>
    <col min="11267" max="11267" width="4.28515625" style="2" customWidth="1"/>
    <col min="11268" max="11268" width="4" style="2" customWidth="1"/>
    <col min="11269" max="11269" width="17" style="2" customWidth="1"/>
    <col min="11270" max="11270" width="4.140625" style="2" customWidth="1"/>
    <col min="11271" max="11271" width="11.28515625" style="2" customWidth="1"/>
    <col min="11272" max="11272" width="11" style="2" customWidth="1"/>
    <col min="11273" max="11274" width="2.140625" style="2" customWidth="1"/>
    <col min="11275" max="11275" width="3.28515625" style="2" customWidth="1"/>
    <col min="11276" max="11277" width="0" style="2" hidden="1" customWidth="1"/>
    <col min="11278" max="11278" width="2.85546875" style="2" customWidth="1"/>
    <col min="11279" max="11279" width="3.28515625" style="2" customWidth="1"/>
    <col min="11280" max="11280" width="1.5703125" style="2" customWidth="1"/>
    <col min="11281" max="11281" width="0" style="2" hidden="1" customWidth="1"/>
    <col min="11282" max="11282" width="6.85546875" style="2" customWidth="1"/>
    <col min="11283" max="11283" width="0" style="2" hidden="1" customWidth="1"/>
    <col min="11284" max="11285" width="6.28515625" style="2" customWidth="1"/>
    <col min="11286" max="11286" width="13.85546875" style="2" customWidth="1"/>
    <col min="11287" max="11287" width="10.85546875" style="2" customWidth="1"/>
    <col min="11288" max="11288" width="14.7109375" style="2" customWidth="1"/>
    <col min="11289" max="11289" width="0" style="2" hidden="1" customWidth="1"/>
    <col min="11290" max="11290" width="13" style="2" customWidth="1"/>
    <col min="11291" max="11291" width="12.7109375" style="2" customWidth="1"/>
    <col min="11292" max="11292" width="13.140625" style="2" customWidth="1"/>
    <col min="11293" max="11293" width="14" style="2" customWidth="1"/>
    <col min="11294" max="11294" width="8.140625" style="2" customWidth="1"/>
    <col min="11295" max="11295" width="11.5703125" style="2" customWidth="1"/>
    <col min="11296" max="11296" width="24.7109375" style="2" customWidth="1"/>
    <col min="11297" max="11297" width="12" style="2" customWidth="1"/>
    <col min="11298" max="11299" width="0.28515625" style="2" customWidth="1"/>
    <col min="11300" max="11300" width="1.42578125" style="2" customWidth="1"/>
    <col min="11301" max="11301" width="0" style="2" hidden="1" customWidth="1"/>
    <col min="11302" max="11520" width="11.42578125" style="2"/>
    <col min="11521" max="11521" width="8" style="2" customWidth="1"/>
    <col min="11522" max="11522" width="13.42578125" style="2" customWidth="1"/>
    <col min="11523" max="11523" width="4.28515625" style="2" customWidth="1"/>
    <col min="11524" max="11524" width="4" style="2" customWidth="1"/>
    <col min="11525" max="11525" width="17" style="2" customWidth="1"/>
    <col min="11526" max="11526" width="4.140625" style="2" customWidth="1"/>
    <col min="11527" max="11527" width="11.28515625" style="2" customWidth="1"/>
    <col min="11528" max="11528" width="11" style="2" customWidth="1"/>
    <col min="11529" max="11530" width="2.140625" style="2" customWidth="1"/>
    <col min="11531" max="11531" width="3.28515625" style="2" customWidth="1"/>
    <col min="11532" max="11533" width="0" style="2" hidden="1" customWidth="1"/>
    <col min="11534" max="11534" width="2.85546875" style="2" customWidth="1"/>
    <col min="11535" max="11535" width="3.28515625" style="2" customWidth="1"/>
    <col min="11536" max="11536" width="1.5703125" style="2" customWidth="1"/>
    <col min="11537" max="11537" width="0" style="2" hidden="1" customWidth="1"/>
    <col min="11538" max="11538" width="6.85546875" style="2" customWidth="1"/>
    <col min="11539" max="11539" width="0" style="2" hidden="1" customWidth="1"/>
    <col min="11540" max="11541" width="6.28515625" style="2" customWidth="1"/>
    <col min="11542" max="11542" width="13.85546875" style="2" customWidth="1"/>
    <col min="11543" max="11543" width="10.85546875" style="2" customWidth="1"/>
    <col min="11544" max="11544" width="14.7109375" style="2" customWidth="1"/>
    <col min="11545" max="11545" width="0" style="2" hidden="1" customWidth="1"/>
    <col min="11546" max="11546" width="13" style="2" customWidth="1"/>
    <col min="11547" max="11547" width="12.7109375" style="2" customWidth="1"/>
    <col min="11548" max="11548" width="13.140625" style="2" customWidth="1"/>
    <col min="11549" max="11549" width="14" style="2" customWidth="1"/>
    <col min="11550" max="11550" width="8.140625" style="2" customWidth="1"/>
    <col min="11551" max="11551" width="11.5703125" style="2" customWidth="1"/>
    <col min="11552" max="11552" width="24.7109375" style="2" customWidth="1"/>
    <col min="11553" max="11553" width="12" style="2" customWidth="1"/>
    <col min="11554" max="11555" width="0.28515625" style="2" customWidth="1"/>
    <col min="11556" max="11556" width="1.42578125" style="2" customWidth="1"/>
    <col min="11557" max="11557" width="0" style="2" hidden="1" customWidth="1"/>
    <col min="11558" max="11776" width="11.42578125" style="2"/>
    <col min="11777" max="11777" width="8" style="2" customWidth="1"/>
    <col min="11778" max="11778" width="13.42578125" style="2" customWidth="1"/>
    <col min="11779" max="11779" width="4.28515625" style="2" customWidth="1"/>
    <col min="11780" max="11780" width="4" style="2" customWidth="1"/>
    <col min="11781" max="11781" width="17" style="2" customWidth="1"/>
    <col min="11782" max="11782" width="4.140625" style="2" customWidth="1"/>
    <col min="11783" max="11783" width="11.28515625" style="2" customWidth="1"/>
    <col min="11784" max="11784" width="11" style="2" customWidth="1"/>
    <col min="11785" max="11786" width="2.140625" style="2" customWidth="1"/>
    <col min="11787" max="11787" width="3.28515625" style="2" customWidth="1"/>
    <col min="11788" max="11789" width="0" style="2" hidden="1" customWidth="1"/>
    <col min="11790" max="11790" width="2.85546875" style="2" customWidth="1"/>
    <col min="11791" max="11791" width="3.28515625" style="2" customWidth="1"/>
    <col min="11792" max="11792" width="1.5703125" style="2" customWidth="1"/>
    <col min="11793" max="11793" width="0" style="2" hidden="1" customWidth="1"/>
    <col min="11794" max="11794" width="6.85546875" style="2" customWidth="1"/>
    <col min="11795" max="11795" width="0" style="2" hidden="1" customWidth="1"/>
    <col min="11796" max="11797" width="6.28515625" style="2" customWidth="1"/>
    <col min="11798" max="11798" width="13.85546875" style="2" customWidth="1"/>
    <col min="11799" max="11799" width="10.85546875" style="2" customWidth="1"/>
    <col min="11800" max="11800" width="14.7109375" style="2" customWidth="1"/>
    <col min="11801" max="11801" width="0" style="2" hidden="1" customWidth="1"/>
    <col min="11802" max="11802" width="13" style="2" customWidth="1"/>
    <col min="11803" max="11803" width="12.7109375" style="2" customWidth="1"/>
    <col min="11804" max="11804" width="13.140625" style="2" customWidth="1"/>
    <col min="11805" max="11805" width="14" style="2" customWidth="1"/>
    <col min="11806" max="11806" width="8.140625" style="2" customWidth="1"/>
    <col min="11807" max="11807" width="11.5703125" style="2" customWidth="1"/>
    <col min="11808" max="11808" width="24.7109375" style="2" customWidth="1"/>
    <col min="11809" max="11809" width="12" style="2" customWidth="1"/>
    <col min="11810" max="11811" width="0.28515625" style="2" customWidth="1"/>
    <col min="11812" max="11812" width="1.42578125" style="2" customWidth="1"/>
    <col min="11813" max="11813" width="0" style="2" hidden="1" customWidth="1"/>
    <col min="11814" max="12032" width="11.42578125" style="2"/>
    <col min="12033" max="12033" width="8" style="2" customWidth="1"/>
    <col min="12034" max="12034" width="13.42578125" style="2" customWidth="1"/>
    <col min="12035" max="12035" width="4.28515625" style="2" customWidth="1"/>
    <col min="12036" max="12036" width="4" style="2" customWidth="1"/>
    <col min="12037" max="12037" width="17" style="2" customWidth="1"/>
    <col min="12038" max="12038" width="4.140625" style="2" customWidth="1"/>
    <col min="12039" max="12039" width="11.28515625" style="2" customWidth="1"/>
    <col min="12040" max="12040" width="11" style="2" customWidth="1"/>
    <col min="12041" max="12042" width="2.140625" style="2" customWidth="1"/>
    <col min="12043" max="12043" width="3.28515625" style="2" customWidth="1"/>
    <col min="12044" max="12045" width="0" style="2" hidden="1" customWidth="1"/>
    <col min="12046" max="12046" width="2.85546875" style="2" customWidth="1"/>
    <col min="12047" max="12047" width="3.28515625" style="2" customWidth="1"/>
    <col min="12048" max="12048" width="1.5703125" style="2" customWidth="1"/>
    <col min="12049" max="12049" width="0" style="2" hidden="1" customWidth="1"/>
    <col min="12050" max="12050" width="6.85546875" style="2" customWidth="1"/>
    <col min="12051" max="12051" width="0" style="2" hidden="1" customWidth="1"/>
    <col min="12052" max="12053" width="6.28515625" style="2" customWidth="1"/>
    <col min="12054" max="12054" width="13.85546875" style="2" customWidth="1"/>
    <col min="12055" max="12055" width="10.85546875" style="2" customWidth="1"/>
    <col min="12056" max="12056" width="14.7109375" style="2" customWidth="1"/>
    <col min="12057" max="12057" width="0" style="2" hidden="1" customWidth="1"/>
    <col min="12058" max="12058" width="13" style="2" customWidth="1"/>
    <col min="12059" max="12059" width="12.7109375" style="2" customWidth="1"/>
    <col min="12060" max="12060" width="13.140625" style="2" customWidth="1"/>
    <col min="12061" max="12061" width="14" style="2" customWidth="1"/>
    <col min="12062" max="12062" width="8.140625" style="2" customWidth="1"/>
    <col min="12063" max="12063" width="11.5703125" style="2" customWidth="1"/>
    <col min="12064" max="12064" width="24.7109375" style="2" customWidth="1"/>
    <col min="12065" max="12065" width="12" style="2" customWidth="1"/>
    <col min="12066" max="12067" width="0.28515625" style="2" customWidth="1"/>
    <col min="12068" max="12068" width="1.42578125" style="2" customWidth="1"/>
    <col min="12069" max="12069" width="0" style="2" hidden="1" customWidth="1"/>
    <col min="12070" max="12288" width="11.42578125" style="2"/>
    <col min="12289" max="12289" width="8" style="2" customWidth="1"/>
    <col min="12290" max="12290" width="13.42578125" style="2" customWidth="1"/>
    <col min="12291" max="12291" width="4.28515625" style="2" customWidth="1"/>
    <col min="12292" max="12292" width="4" style="2" customWidth="1"/>
    <col min="12293" max="12293" width="17" style="2" customWidth="1"/>
    <col min="12294" max="12294" width="4.140625" style="2" customWidth="1"/>
    <col min="12295" max="12295" width="11.28515625" style="2" customWidth="1"/>
    <col min="12296" max="12296" width="11" style="2" customWidth="1"/>
    <col min="12297" max="12298" width="2.140625" style="2" customWidth="1"/>
    <col min="12299" max="12299" width="3.28515625" style="2" customWidth="1"/>
    <col min="12300" max="12301" width="0" style="2" hidden="1" customWidth="1"/>
    <col min="12302" max="12302" width="2.85546875" style="2" customWidth="1"/>
    <col min="12303" max="12303" width="3.28515625" style="2" customWidth="1"/>
    <col min="12304" max="12304" width="1.5703125" style="2" customWidth="1"/>
    <col min="12305" max="12305" width="0" style="2" hidden="1" customWidth="1"/>
    <col min="12306" max="12306" width="6.85546875" style="2" customWidth="1"/>
    <col min="12307" max="12307" width="0" style="2" hidden="1" customWidth="1"/>
    <col min="12308" max="12309" width="6.28515625" style="2" customWidth="1"/>
    <col min="12310" max="12310" width="13.85546875" style="2" customWidth="1"/>
    <col min="12311" max="12311" width="10.85546875" style="2" customWidth="1"/>
    <col min="12312" max="12312" width="14.7109375" style="2" customWidth="1"/>
    <col min="12313" max="12313" width="0" style="2" hidden="1" customWidth="1"/>
    <col min="12314" max="12314" width="13" style="2" customWidth="1"/>
    <col min="12315" max="12315" width="12.7109375" style="2" customWidth="1"/>
    <col min="12316" max="12316" width="13.140625" style="2" customWidth="1"/>
    <col min="12317" max="12317" width="14" style="2" customWidth="1"/>
    <col min="12318" max="12318" width="8.140625" style="2" customWidth="1"/>
    <col min="12319" max="12319" width="11.5703125" style="2" customWidth="1"/>
    <col min="12320" max="12320" width="24.7109375" style="2" customWidth="1"/>
    <col min="12321" max="12321" width="12" style="2" customWidth="1"/>
    <col min="12322" max="12323" width="0.28515625" style="2" customWidth="1"/>
    <col min="12324" max="12324" width="1.42578125" style="2" customWidth="1"/>
    <col min="12325" max="12325" width="0" style="2" hidden="1" customWidth="1"/>
    <col min="12326" max="12544" width="11.42578125" style="2"/>
    <col min="12545" max="12545" width="8" style="2" customWidth="1"/>
    <col min="12546" max="12546" width="13.42578125" style="2" customWidth="1"/>
    <col min="12547" max="12547" width="4.28515625" style="2" customWidth="1"/>
    <col min="12548" max="12548" width="4" style="2" customWidth="1"/>
    <col min="12549" max="12549" width="17" style="2" customWidth="1"/>
    <col min="12550" max="12550" width="4.140625" style="2" customWidth="1"/>
    <col min="12551" max="12551" width="11.28515625" style="2" customWidth="1"/>
    <col min="12552" max="12552" width="11" style="2" customWidth="1"/>
    <col min="12553" max="12554" width="2.140625" style="2" customWidth="1"/>
    <col min="12555" max="12555" width="3.28515625" style="2" customWidth="1"/>
    <col min="12556" max="12557" width="0" style="2" hidden="1" customWidth="1"/>
    <col min="12558" max="12558" width="2.85546875" style="2" customWidth="1"/>
    <col min="12559" max="12559" width="3.28515625" style="2" customWidth="1"/>
    <col min="12560" max="12560" width="1.5703125" style="2" customWidth="1"/>
    <col min="12561" max="12561" width="0" style="2" hidden="1" customWidth="1"/>
    <col min="12562" max="12562" width="6.85546875" style="2" customWidth="1"/>
    <col min="12563" max="12563" width="0" style="2" hidden="1" customWidth="1"/>
    <col min="12564" max="12565" width="6.28515625" style="2" customWidth="1"/>
    <col min="12566" max="12566" width="13.85546875" style="2" customWidth="1"/>
    <col min="12567" max="12567" width="10.85546875" style="2" customWidth="1"/>
    <col min="12568" max="12568" width="14.7109375" style="2" customWidth="1"/>
    <col min="12569" max="12569" width="0" style="2" hidden="1" customWidth="1"/>
    <col min="12570" max="12570" width="13" style="2" customWidth="1"/>
    <col min="12571" max="12571" width="12.7109375" style="2" customWidth="1"/>
    <col min="12572" max="12572" width="13.140625" style="2" customWidth="1"/>
    <col min="12573" max="12573" width="14" style="2" customWidth="1"/>
    <col min="12574" max="12574" width="8.140625" style="2" customWidth="1"/>
    <col min="12575" max="12575" width="11.5703125" style="2" customWidth="1"/>
    <col min="12576" max="12576" width="24.7109375" style="2" customWidth="1"/>
    <col min="12577" max="12577" width="12" style="2" customWidth="1"/>
    <col min="12578" max="12579" width="0.28515625" style="2" customWidth="1"/>
    <col min="12580" max="12580" width="1.42578125" style="2" customWidth="1"/>
    <col min="12581" max="12581" width="0" style="2" hidden="1" customWidth="1"/>
    <col min="12582" max="12800" width="11.42578125" style="2"/>
    <col min="12801" max="12801" width="8" style="2" customWidth="1"/>
    <col min="12802" max="12802" width="13.42578125" style="2" customWidth="1"/>
    <col min="12803" max="12803" width="4.28515625" style="2" customWidth="1"/>
    <col min="12804" max="12804" width="4" style="2" customWidth="1"/>
    <col min="12805" max="12805" width="17" style="2" customWidth="1"/>
    <col min="12806" max="12806" width="4.140625" style="2" customWidth="1"/>
    <col min="12807" max="12807" width="11.28515625" style="2" customWidth="1"/>
    <col min="12808" max="12808" width="11" style="2" customWidth="1"/>
    <col min="12809" max="12810" width="2.140625" style="2" customWidth="1"/>
    <col min="12811" max="12811" width="3.28515625" style="2" customWidth="1"/>
    <col min="12812" max="12813" width="0" style="2" hidden="1" customWidth="1"/>
    <col min="12814" max="12814" width="2.85546875" style="2" customWidth="1"/>
    <col min="12815" max="12815" width="3.28515625" style="2" customWidth="1"/>
    <col min="12816" max="12816" width="1.5703125" style="2" customWidth="1"/>
    <col min="12817" max="12817" width="0" style="2" hidden="1" customWidth="1"/>
    <col min="12818" max="12818" width="6.85546875" style="2" customWidth="1"/>
    <col min="12819" max="12819" width="0" style="2" hidden="1" customWidth="1"/>
    <col min="12820" max="12821" width="6.28515625" style="2" customWidth="1"/>
    <col min="12822" max="12822" width="13.85546875" style="2" customWidth="1"/>
    <col min="12823" max="12823" width="10.85546875" style="2" customWidth="1"/>
    <col min="12824" max="12824" width="14.7109375" style="2" customWidth="1"/>
    <col min="12825" max="12825" width="0" style="2" hidden="1" customWidth="1"/>
    <col min="12826" max="12826" width="13" style="2" customWidth="1"/>
    <col min="12827" max="12827" width="12.7109375" style="2" customWidth="1"/>
    <col min="12828" max="12828" width="13.140625" style="2" customWidth="1"/>
    <col min="12829" max="12829" width="14" style="2" customWidth="1"/>
    <col min="12830" max="12830" width="8.140625" style="2" customWidth="1"/>
    <col min="12831" max="12831" width="11.5703125" style="2" customWidth="1"/>
    <col min="12832" max="12832" width="24.7109375" style="2" customWidth="1"/>
    <col min="12833" max="12833" width="12" style="2" customWidth="1"/>
    <col min="12834" max="12835" width="0.28515625" style="2" customWidth="1"/>
    <col min="12836" max="12836" width="1.42578125" style="2" customWidth="1"/>
    <col min="12837" max="12837" width="0" style="2" hidden="1" customWidth="1"/>
    <col min="12838" max="13056" width="11.42578125" style="2"/>
    <col min="13057" max="13057" width="8" style="2" customWidth="1"/>
    <col min="13058" max="13058" width="13.42578125" style="2" customWidth="1"/>
    <col min="13059" max="13059" width="4.28515625" style="2" customWidth="1"/>
    <col min="13060" max="13060" width="4" style="2" customWidth="1"/>
    <col min="13061" max="13061" width="17" style="2" customWidth="1"/>
    <col min="13062" max="13062" width="4.140625" style="2" customWidth="1"/>
    <col min="13063" max="13063" width="11.28515625" style="2" customWidth="1"/>
    <col min="13064" max="13064" width="11" style="2" customWidth="1"/>
    <col min="13065" max="13066" width="2.140625" style="2" customWidth="1"/>
    <col min="13067" max="13067" width="3.28515625" style="2" customWidth="1"/>
    <col min="13068" max="13069" width="0" style="2" hidden="1" customWidth="1"/>
    <col min="13070" max="13070" width="2.85546875" style="2" customWidth="1"/>
    <col min="13071" max="13071" width="3.28515625" style="2" customWidth="1"/>
    <col min="13072" max="13072" width="1.5703125" style="2" customWidth="1"/>
    <col min="13073" max="13073" width="0" style="2" hidden="1" customWidth="1"/>
    <col min="13074" max="13074" width="6.85546875" style="2" customWidth="1"/>
    <col min="13075" max="13075" width="0" style="2" hidden="1" customWidth="1"/>
    <col min="13076" max="13077" width="6.28515625" style="2" customWidth="1"/>
    <col min="13078" max="13078" width="13.85546875" style="2" customWidth="1"/>
    <col min="13079" max="13079" width="10.85546875" style="2" customWidth="1"/>
    <col min="13080" max="13080" width="14.7109375" style="2" customWidth="1"/>
    <col min="13081" max="13081" width="0" style="2" hidden="1" customWidth="1"/>
    <col min="13082" max="13082" width="13" style="2" customWidth="1"/>
    <col min="13083" max="13083" width="12.7109375" style="2" customWidth="1"/>
    <col min="13084" max="13084" width="13.140625" style="2" customWidth="1"/>
    <col min="13085" max="13085" width="14" style="2" customWidth="1"/>
    <col min="13086" max="13086" width="8.140625" style="2" customWidth="1"/>
    <col min="13087" max="13087" width="11.5703125" style="2" customWidth="1"/>
    <col min="13088" max="13088" width="24.7109375" style="2" customWidth="1"/>
    <col min="13089" max="13089" width="12" style="2" customWidth="1"/>
    <col min="13090" max="13091" width="0.28515625" style="2" customWidth="1"/>
    <col min="13092" max="13092" width="1.42578125" style="2" customWidth="1"/>
    <col min="13093" max="13093" width="0" style="2" hidden="1" customWidth="1"/>
    <col min="13094" max="13312" width="11.42578125" style="2"/>
    <col min="13313" max="13313" width="8" style="2" customWidth="1"/>
    <col min="13314" max="13314" width="13.42578125" style="2" customWidth="1"/>
    <col min="13315" max="13315" width="4.28515625" style="2" customWidth="1"/>
    <col min="13316" max="13316" width="4" style="2" customWidth="1"/>
    <col min="13317" max="13317" width="17" style="2" customWidth="1"/>
    <col min="13318" max="13318" width="4.140625" style="2" customWidth="1"/>
    <col min="13319" max="13319" width="11.28515625" style="2" customWidth="1"/>
    <col min="13320" max="13320" width="11" style="2" customWidth="1"/>
    <col min="13321" max="13322" width="2.140625" style="2" customWidth="1"/>
    <col min="13323" max="13323" width="3.28515625" style="2" customWidth="1"/>
    <col min="13324" max="13325" width="0" style="2" hidden="1" customWidth="1"/>
    <col min="13326" max="13326" width="2.85546875" style="2" customWidth="1"/>
    <col min="13327" max="13327" width="3.28515625" style="2" customWidth="1"/>
    <col min="13328" max="13328" width="1.5703125" style="2" customWidth="1"/>
    <col min="13329" max="13329" width="0" style="2" hidden="1" customWidth="1"/>
    <col min="13330" max="13330" width="6.85546875" style="2" customWidth="1"/>
    <col min="13331" max="13331" width="0" style="2" hidden="1" customWidth="1"/>
    <col min="13332" max="13333" width="6.28515625" style="2" customWidth="1"/>
    <col min="13334" max="13334" width="13.85546875" style="2" customWidth="1"/>
    <col min="13335" max="13335" width="10.85546875" style="2" customWidth="1"/>
    <col min="13336" max="13336" width="14.7109375" style="2" customWidth="1"/>
    <col min="13337" max="13337" width="0" style="2" hidden="1" customWidth="1"/>
    <col min="13338" max="13338" width="13" style="2" customWidth="1"/>
    <col min="13339" max="13339" width="12.7109375" style="2" customWidth="1"/>
    <col min="13340" max="13340" width="13.140625" style="2" customWidth="1"/>
    <col min="13341" max="13341" width="14" style="2" customWidth="1"/>
    <col min="13342" max="13342" width="8.140625" style="2" customWidth="1"/>
    <col min="13343" max="13343" width="11.5703125" style="2" customWidth="1"/>
    <col min="13344" max="13344" width="24.7109375" style="2" customWidth="1"/>
    <col min="13345" max="13345" width="12" style="2" customWidth="1"/>
    <col min="13346" max="13347" width="0.28515625" style="2" customWidth="1"/>
    <col min="13348" max="13348" width="1.42578125" style="2" customWidth="1"/>
    <col min="13349" max="13349" width="0" style="2" hidden="1" customWidth="1"/>
    <col min="13350" max="13568" width="11.42578125" style="2"/>
    <col min="13569" max="13569" width="8" style="2" customWidth="1"/>
    <col min="13570" max="13570" width="13.42578125" style="2" customWidth="1"/>
    <col min="13571" max="13571" width="4.28515625" style="2" customWidth="1"/>
    <col min="13572" max="13572" width="4" style="2" customWidth="1"/>
    <col min="13573" max="13573" width="17" style="2" customWidth="1"/>
    <col min="13574" max="13574" width="4.140625" style="2" customWidth="1"/>
    <col min="13575" max="13575" width="11.28515625" style="2" customWidth="1"/>
    <col min="13576" max="13576" width="11" style="2" customWidth="1"/>
    <col min="13577" max="13578" width="2.140625" style="2" customWidth="1"/>
    <col min="13579" max="13579" width="3.28515625" style="2" customWidth="1"/>
    <col min="13580" max="13581" width="0" style="2" hidden="1" customWidth="1"/>
    <col min="13582" max="13582" width="2.85546875" style="2" customWidth="1"/>
    <col min="13583" max="13583" width="3.28515625" style="2" customWidth="1"/>
    <col min="13584" max="13584" width="1.5703125" style="2" customWidth="1"/>
    <col min="13585" max="13585" width="0" style="2" hidden="1" customWidth="1"/>
    <col min="13586" max="13586" width="6.85546875" style="2" customWidth="1"/>
    <col min="13587" max="13587" width="0" style="2" hidden="1" customWidth="1"/>
    <col min="13588" max="13589" width="6.28515625" style="2" customWidth="1"/>
    <col min="13590" max="13590" width="13.85546875" style="2" customWidth="1"/>
    <col min="13591" max="13591" width="10.85546875" style="2" customWidth="1"/>
    <col min="13592" max="13592" width="14.7109375" style="2" customWidth="1"/>
    <col min="13593" max="13593" width="0" style="2" hidden="1" customWidth="1"/>
    <col min="13594" max="13594" width="13" style="2" customWidth="1"/>
    <col min="13595" max="13595" width="12.7109375" style="2" customWidth="1"/>
    <col min="13596" max="13596" width="13.140625" style="2" customWidth="1"/>
    <col min="13597" max="13597" width="14" style="2" customWidth="1"/>
    <col min="13598" max="13598" width="8.140625" style="2" customWidth="1"/>
    <col min="13599" max="13599" width="11.5703125" style="2" customWidth="1"/>
    <col min="13600" max="13600" width="24.7109375" style="2" customWidth="1"/>
    <col min="13601" max="13601" width="12" style="2" customWidth="1"/>
    <col min="13602" max="13603" width="0.28515625" style="2" customWidth="1"/>
    <col min="13604" max="13604" width="1.42578125" style="2" customWidth="1"/>
    <col min="13605" max="13605" width="0" style="2" hidden="1" customWidth="1"/>
    <col min="13606" max="13824" width="11.42578125" style="2"/>
    <col min="13825" max="13825" width="8" style="2" customWidth="1"/>
    <col min="13826" max="13826" width="13.42578125" style="2" customWidth="1"/>
    <col min="13827" max="13827" width="4.28515625" style="2" customWidth="1"/>
    <col min="13828" max="13828" width="4" style="2" customWidth="1"/>
    <col min="13829" max="13829" width="17" style="2" customWidth="1"/>
    <col min="13830" max="13830" width="4.140625" style="2" customWidth="1"/>
    <col min="13831" max="13831" width="11.28515625" style="2" customWidth="1"/>
    <col min="13832" max="13832" width="11" style="2" customWidth="1"/>
    <col min="13833" max="13834" width="2.140625" style="2" customWidth="1"/>
    <col min="13835" max="13835" width="3.28515625" style="2" customWidth="1"/>
    <col min="13836" max="13837" width="0" style="2" hidden="1" customWidth="1"/>
    <col min="13838" max="13838" width="2.85546875" style="2" customWidth="1"/>
    <col min="13839" max="13839" width="3.28515625" style="2" customWidth="1"/>
    <col min="13840" max="13840" width="1.5703125" style="2" customWidth="1"/>
    <col min="13841" max="13841" width="0" style="2" hidden="1" customWidth="1"/>
    <col min="13842" max="13842" width="6.85546875" style="2" customWidth="1"/>
    <col min="13843" max="13843" width="0" style="2" hidden="1" customWidth="1"/>
    <col min="13844" max="13845" width="6.28515625" style="2" customWidth="1"/>
    <col min="13846" max="13846" width="13.85546875" style="2" customWidth="1"/>
    <col min="13847" max="13847" width="10.85546875" style="2" customWidth="1"/>
    <col min="13848" max="13848" width="14.7109375" style="2" customWidth="1"/>
    <col min="13849" max="13849" width="0" style="2" hidden="1" customWidth="1"/>
    <col min="13850" max="13850" width="13" style="2" customWidth="1"/>
    <col min="13851" max="13851" width="12.7109375" style="2" customWidth="1"/>
    <col min="13852" max="13852" width="13.140625" style="2" customWidth="1"/>
    <col min="13853" max="13853" width="14" style="2" customWidth="1"/>
    <col min="13854" max="13854" width="8.140625" style="2" customWidth="1"/>
    <col min="13855" max="13855" width="11.5703125" style="2" customWidth="1"/>
    <col min="13856" max="13856" width="24.7109375" style="2" customWidth="1"/>
    <col min="13857" max="13857" width="12" style="2" customWidth="1"/>
    <col min="13858" max="13859" width="0.28515625" style="2" customWidth="1"/>
    <col min="13860" max="13860" width="1.42578125" style="2" customWidth="1"/>
    <col min="13861" max="13861" width="0" style="2" hidden="1" customWidth="1"/>
    <col min="13862" max="14080" width="11.42578125" style="2"/>
    <col min="14081" max="14081" width="8" style="2" customWidth="1"/>
    <col min="14082" max="14082" width="13.42578125" style="2" customWidth="1"/>
    <col min="14083" max="14083" width="4.28515625" style="2" customWidth="1"/>
    <col min="14084" max="14084" width="4" style="2" customWidth="1"/>
    <col min="14085" max="14085" width="17" style="2" customWidth="1"/>
    <col min="14086" max="14086" width="4.140625" style="2" customWidth="1"/>
    <col min="14087" max="14087" width="11.28515625" style="2" customWidth="1"/>
    <col min="14088" max="14088" width="11" style="2" customWidth="1"/>
    <col min="14089" max="14090" width="2.140625" style="2" customWidth="1"/>
    <col min="14091" max="14091" width="3.28515625" style="2" customWidth="1"/>
    <col min="14092" max="14093" width="0" style="2" hidden="1" customWidth="1"/>
    <col min="14094" max="14094" width="2.85546875" style="2" customWidth="1"/>
    <col min="14095" max="14095" width="3.28515625" style="2" customWidth="1"/>
    <col min="14096" max="14096" width="1.5703125" style="2" customWidth="1"/>
    <col min="14097" max="14097" width="0" style="2" hidden="1" customWidth="1"/>
    <col min="14098" max="14098" width="6.85546875" style="2" customWidth="1"/>
    <col min="14099" max="14099" width="0" style="2" hidden="1" customWidth="1"/>
    <col min="14100" max="14101" width="6.28515625" style="2" customWidth="1"/>
    <col min="14102" max="14102" width="13.85546875" style="2" customWidth="1"/>
    <col min="14103" max="14103" width="10.85546875" style="2" customWidth="1"/>
    <col min="14104" max="14104" width="14.7109375" style="2" customWidth="1"/>
    <col min="14105" max="14105" width="0" style="2" hidden="1" customWidth="1"/>
    <col min="14106" max="14106" width="13" style="2" customWidth="1"/>
    <col min="14107" max="14107" width="12.7109375" style="2" customWidth="1"/>
    <col min="14108" max="14108" width="13.140625" style="2" customWidth="1"/>
    <col min="14109" max="14109" width="14" style="2" customWidth="1"/>
    <col min="14110" max="14110" width="8.140625" style="2" customWidth="1"/>
    <col min="14111" max="14111" width="11.5703125" style="2" customWidth="1"/>
    <col min="14112" max="14112" width="24.7109375" style="2" customWidth="1"/>
    <col min="14113" max="14113" width="12" style="2" customWidth="1"/>
    <col min="14114" max="14115" width="0.28515625" style="2" customWidth="1"/>
    <col min="14116" max="14116" width="1.42578125" style="2" customWidth="1"/>
    <col min="14117" max="14117" width="0" style="2" hidden="1" customWidth="1"/>
    <col min="14118" max="14336" width="11.42578125" style="2"/>
    <col min="14337" max="14337" width="8" style="2" customWidth="1"/>
    <col min="14338" max="14338" width="13.42578125" style="2" customWidth="1"/>
    <col min="14339" max="14339" width="4.28515625" style="2" customWidth="1"/>
    <col min="14340" max="14340" width="4" style="2" customWidth="1"/>
    <col min="14341" max="14341" width="17" style="2" customWidth="1"/>
    <col min="14342" max="14342" width="4.140625" style="2" customWidth="1"/>
    <col min="14343" max="14343" width="11.28515625" style="2" customWidth="1"/>
    <col min="14344" max="14344" width="11" style="2" customWidth="1"/>
    <col min="14345" max="14346" width="2.140625" style="2" customWidth="1"/>
    <col min="14347" max="14347" width="3.28515625" style="2" customWidth="1"/>
    <col min="14348" max="14349" width="0" style="2" hidden="1" customWidth="1"/>
    <col min="14350" max="14350" width="2.85546875" style="2" customWidth="1"/>
    <col min="14351" max="14351" width="3.28515625" style="2" customWidth="1"/>
    <col min="14352" max="14352" width="1.5703125" style="2" customWidth="1"/>
    <col min="14353" max="14353" width="0" style="2" hidden="1" customWidth="1"/>
    <col min="14354" max="14354" width="6.85546875" style="2" customWidth="1"/>
    <col min="14355" max="14355" width="0" style="2" hidden="1" customWidth="1"/>
    <col min="14356" max="14357" width="6.28515625" style="2" customWidth="1"/>
    <col min="14358" max="14358" width="13.85546875" style="2" customWidth="1"/>
    <col min="14359" max="14359" width="10.85546875" style="2" customWidth="1"/>
    <col min="14360" max="14360" width="14.7109375" style="2" customWidth="1"/>
    <col min="14361" max="14361" width="0" style="2" hidden="1" customWidth="1"/>
    <col min="14362" max="14362" width="13" style="2" customWidth="1"/>
    <col min="14363" max="14363" width="12.7109375" style="2" customWidth="1"/>
    <col min="14364" max="14364" width="13.140625" style="2" customWidth="1"/>
    <col min="14365" max="14365" width="14" style="2" customWidth="1"/>
    <col min="14366" max="14366" width="8.140625" style="2" customWidth="1"/>
    <col min="14367" max="14367" width="11.5703125" style="2" customWidth="1"/>
    <col min="14368" max="14368" width="24.7109375" style="2" customWidth="1"/>
    <col min="14369" max="14369" width="12" style="2" customWidth="1"/>
    <col min="14370" max="14371" width="0.28515625" style="2" customWidth="1"/>
    <col min="14372" max="14372" width="1.42578125" style="2" customWidth="1"/>
    <col min="14373" max="14373" width="0" style="2" hidden="1" customWidth="1"/>
    <col min="14374" max="14592" width="11.42578125" style="2"/>
    <col min="14593" max="14593" width="8" style="2" customWidth="1"/>
    <col min="14594" max="14594" width="13.42578125" style="2" customWidth="1"/>
    <col min="14595" max="14595" width="4.28515625" style="2" customWidth="1"/>
    <col min="14596" max="14596" width="4" style="2" customWidth="1"/>
    <col min="14597" max="14597" width="17" style="2" customWidth="1"/>
    <col min="14598" max="14598" width="4.140625" style="2" customWidth="1"/>
    <col min="14599" max="14599" width="11.28515625" style="2" customWidth="1"/>
    <col min="14600" max="14600" width="11" style="2" customWidth="1"/>
    <col min="14601" max="14602" width="2.140625" style="2" customWidth="1"/>
    <col min="14603" max="14603" width="3.28515625" style="2" customWidth="1"/>
    <col min="14604" max="14605" width="0" style="2" hidden="1" customWidth="1"/>
    <col min="14606" max="14606" width="2.85546875" style="2" customWidth="1"/>
    <col min="14607" max="14607" width="3.28515625" style="2" customWidth="1"/>
    <col min="14608" max="14608" width="1.5703125" style="2" customWidth="1"/>
    <col min="14609" max="14609" width="0" style="2" hidden="1" customWidth="1"/>
    <col min="14610" max="14610" width="6.85546875" style="2" customWidth="1"/>
    <col min="14611" max="14611" width="0" style="2" hidden="1" customWidth="1"/>
    <col min="14612" max="14613" width="6.28515625" style="2" customWidth="1"/>
    <col min="14614" max="14614" width="13.85546875" style="2" customWidth="1"/>
    <col min="14615" max="14615" width="10.85546875" style="2" customWidth="1"/>
    <col min="14616" max="14616" width="14.7109375" style="2" customWidth="1"/>
    <col min="14617" max="14617" width="0" style="2" hidden="1" customWidth="1"/>
    <col min="14618" max="14618" width="13" style="2" customWidth="1"/>
    <col min="14619" max="14619" width="12.7109375" style="2" customWidth="1"/>
    <col min="14620" max="14620" width="13.140625" style="2" customWidth="1"/>
    <col min="14621" max="14621" width="14" style="2" customWidth="1"/>
    <col min="14622" max="14622" width="8.140625" style="2" customWidth="1"/>
    <col min="14623" max="14623" width="11.5703125" style="2" customWidth="1"/>
    <col min="14624" max="14624" width="24.7109375" style="2" customWidth="1"/>
    <col min="14625" max="14625" width="12" style="2" customWidth="1"/>
    <col min="14626" max="14627" width="0.28515625" style="2" customWidth="1"/>
    <col min="14628" max="14628" width="1.42578125" style="2" customWidth="1"/>
    <col min="14629" max="14629" width="0" style="2" hidden="1" customWidth="1"/>
    <col min="14630" max="14848" width="11.42578125" style="2"/>
    <col min="14849" max="14849" width="8" style="2" customWidth="1"/>
    <col min="14850" max="14850" width="13.42578125" style="2" customWidth="1"/>
    <col min="14851" max="14851" width="4.28515625" style="2" customWidth="1"/>
    <col min="14852" max="14852" width="4" style="2" customWidth="1"/>
    <col min="14853" max="14853" width="17" style="2" customWidth="1"/>
    <col min="14854" max="14854" width="4.140625" style="2" customWidth="1"/>
    <col min="14855" max="14855" width="11.28515625" style="2" customWidth="1"/>
    <col min="14856" max="14856" width="11" style="2" customWidth="1"/>
    <col min="14857" max="14858" width="2.140625" style="2" customWidth="1"/>
    <col min="14859" max="14859" width="3.28515625" style="2" customWidth="1"/>
    <col min="14860" max="14861" width="0" style="2" hidden="1" customWidth="1"/>
    <col min="14862" max="14862" width="2.85546875" style="2" customWidth="1"/>
    <col min="14863" max="14863" width="3.28515625" style="2" customWidth="1"/>
    <col min="14864" max="14864" width="1.5703125" style="2" customWidth="1"/>
    <col min="14865" max="14865" width="0" style="2" hidden="1" customWidth="1"/>
    <col min="14866" max="14866" width="6.85546875" style="2" customWidth="1"/>
    <col min="14867" max="14867" width="0" style="2" hidden="1" customWidth="1"/>
    <col min="14868" max="14869" width="6.28515625" style="2" customWidth="1"/>
    <col min="14870" max="14870" width="13.85546875" style="2" customWidth="1"/>
    <col min="14871" max="14871" width="10.85546875" style="2" customWidth="1"/>
    <col min="14872" max="14872" width="14.7109375" style="2" customWidth="1"/>
    <col min="14873" max="14873" width="0" style="2" hidden="1" customWidth="1"/>
    <col min="14874" max="14874" width="13" style="2" customWidth="1"/>
    <col min="14875" max="14875" width="12.7109375" style="2" customWidth="1"/>
    <col min="14876" max="14876" width="13.140625" style="2" customWidth="1"/>
    <col min="14877" max="14877" width="14" style="2" customWidth="1"/>
    <col min="14878" max="14878" width="8.140625" style="2" customWidth="1"/>
    <col min="14879" max="14879" width="11.5703125" style="2" customWidth="1"/>
    <col min="14880" max="14880" width="24.7109375" style="2" customWidth="1"/>
    <col min="14881" max="14881" width="12" style="2" customWidth="1"/>
    <col min="14882" max="14883" width="0.28515625" style="2" customWidth="1"/>
    <col min="14884" max="14884" width="1.42578125" style="2" customWidth="1"/>
    <col min="14885" max="14885" width="0" style="2" hidden="1" customWidth="1"/>
    <col min="14886" max="15104" width="11.42578125" style="2"/>
    <col min="15105" max="15105" width="8" style="2" customWidth="1"/>
    <col min="15106" max="15106" width="13.42578125" style="2" customWidth="1"/>
    <col min="15107" max="15107" width="4.28515625" style="2" customWidth="1"/>
    <col min="15108" max="15108" width="4" style="2" customWidth="1"/>
    <col min="15109" max="15109" width="17" style="2" customWidth="1"/>
    <col min="15110" max="15110" width="4.140625" style="2" customWidth="1"/>
    <col min="15111" max="15111" width="11.28515625" style="2" customWidth="1"/>
    <col min="15112" max="15112" width="11" style="2" customWidth="1"/>
    <col min="15113" max="15114" width="2.140625" style="2" customWidth="1"/>
    <col min="15115" max="15115" width="3.28515625" style="2" customWidth="1"/>
    <col min="15116" max="15117" width="0" style="2" hidden="1" customWidth="1"/>
    <col min="15118" max="15118" width="2.85546875" style="2" customWidth="1"/>
    <col min="15119" max="15119" width="3.28515625" style="2" customWidth="1"/>
    <col min="15120" max="15120" width="1.5703125" style="2" customWidth="1"/>
    <col min="15121" max="15121" width="0" style="2" hidden="1" customWidth="1"/>
    <col min="15122" max="15122" width="6.85546875" style="2" customWidth="1"/>
    <col min="15123" max="15123" width="0" style="2" hidden="1" customWidth="1"/>
    <col min="15124" max="15125" width="6.28515625" style="2" customWidth="1"/>
    <col min="15126" max="15126" width="13.85546875" style="2" customWidth="1"/>
    <col min="15127" max="15127" width="10.85546875" style="2" customWidth="1"/>
    <col min="15128" max="15128" width="14.7109375" style="2" customWidth="1"/>
    <col min="15129" max="15129" width="0" style="2" hidden="1" customWidth="1"/>
    <col min="15130" max="15130" width="13" style="2" customWidth="1"/>
    <col min="15131" max="15131" width="12.7109375" style="2" customWidth="1"/>
    <col min="15132" max="15132" width="13.140625" style="2" customWidth="1"/>
    <col min="15133" max="15133" width="14" style="2" customWidth="1"/>
    <col min="15134" max="15134" width="8.140625" style="2" customWidth="1"/>
    <col min="15135" max="15135" width="11.5703125" style="2" customWidth="1"/>
    <col min="15136" max="15136" width="24.7109375" style="2" customWidth="1"/>
    <col min="15137" max="15137" width="12" style="2" customWidth="1"/>
    <col min="15138" max="15139" width="0.28515625" style="2" customWidth="1"/>
    <col min="15140" max="15140" width="1.42578125" style="2" customWidth="1"/>
    <col min="15141" max="15141" width="0" style="2" hidden="1" customWidth="1"/>
    <col min="15142" max="15360" width="11.42578125" style="2"/>
    <col min="15361" max="15361" width="8" style="2" customWidth="1"/>
    <col min="15362" max="15362" width="13.42578125" style="2" customWidth="1"/>
    <col min="15363" max="15363" width="4.28515625" style="2" customWidth="1"/>
    <col min="15364" max="15364" width="4" style="2" customWidth="1"/>
    <col min="15365" max="15365" width="17" style="2" customWidth="1"/>
    <col min="15366" max="15366" width="4.140625" style="2" customWidth="1"/>
    <col min="15367" max="15367" width="11.28515625" style="2" customWidth="1"/>
    <col min="15368" max="15368" width="11" style="2" customWidth="1"/>
    <col min="15369" max="15370" width="2.140625" style="2" customWidth="1"/>
    <col min="15371" max="15371" width="3.28515625" style="2" customWidth="1"/>
    <col min="15372" max="15373" width="0" style="2" hidden="1" customWidth="1"/>
    <col min="15374" max="15374" width="2.85546875" style="2" customWidth="1"/>
    <col min="15375" max="15375" width="3.28515625" style="2" customWidth="1"/>
    <col min="15376" max="15376" width="1.5703125" style="2" customWidth="1"/>
    <col min="15377" max="15377" width="0" style="2" hidden="1" customWidth="1"/>
    <col min="15378" max="15378" width="6.85546875" style="2" customWidth="1"/>
    <col min="15379" max="15379" width="0" style="2" hidden="1" customWidth="1"/>
    <col min="15380" max="15381" width="6.28515625" style="2" customWidth="1"/>
    <col min="15382" max="15382" width="13.85546875" style="2" customWidth="1"/>
    <col min="15383" max="15383" width="10.85546875" style="2" customWidth="1"/>
    <col min="15384" max="15384" width="14.7109375" style="2" customWidth="1"/>
    <col min="15385" max="15385" width="0" style="2" hidden="1" customWidth="1"/>
    <col min="15386" max="15386" width="13" style="2" customWidth="1"/>
    <col min="15387" max="15387" width="12.7109375" style="2" customWidth="1"/>
    <col min="15388" max="15388" width="13.140625" style="2" customWidth="1"/>
    <col min="15389" max="15389" width="14" style="2" customWidth="1"/>
    <col min="15390" max="15390" width="8.140625" style="2" customWidth="1"/>
    <col min="15391" max="15391" width="11.5703125" style="2" customWidth="1"/>
    <col min="15392" max="15392" width="24.7109375" style="2" customWidth="1"/>
    <col min="15393" max="15393" width="12" style="2" customWidth="1"/>
    <col min="15394" max="15395" width="0.28515625" style="2" customWidth="1"/>
    <col min="15396" max="15396" width="1.42578125" style="2" customWidth="1"/>
    <col min="15397" max="15397" width="0" style="2" hidden="1" customWidth="1"/>
    <col min="15398" max="15616" width="11.42578125" style="2"/>
    <col min="15617" max="15617" width="8" style="2" customWidth="1"/>
    <col min="15618" max="15618" width="13.42578125" style="2" customWidth="1"/>
    <col min="15619" max="15619" width="4.28515625" style="2" customWidth="1"/>
    <col min="15620" max="15620" width="4" style="2" customWidth="1"/>
    <col min="15621" max="15621" width="17" style="2" customWidth="1"/>
    <col min="15622" max="15622" width="4.140625" style="2" customWidth="1"/>
    <col min="15623" max="15623" width="11.28515625" style="2" customWidth="1"/>
    <col min="15624" max="15624" width="11" style="2" customWidth="1"/>
    <col min="15625" max="15626" width="2.140625" style="2" customWidth="1"/>
    <col min="15627" max="15627" width="3.28515625" style="2" customWidth="1"/>
    <col min="15628" max="15629" width="0" style="2" hidden="1" customWidth="1"/>
    <col min="15630" max="15630" width="2.85546875" style="2" customWidth="1"/>
    <col min="15631" max="15631" width="3.28515625" style="2" customWidth="1"/>
    <col min="15632" max="15632" width="1.5703125" style="2" customWidth="1"/>
    <col min="15633" max="15633" width="0" style="2" hidden="1" customWidth="1"/>
    <col min="15634" max="15634" width="6.85546875" style="2" customWidth="1"/>
    <col min="15635" max="15635" width="0" style="2" hidden="1" customWidth="1"/>
    <col min="15636" max="15637" width="6.28515625" style="2" customWidth="1"/>
    <col min="15638" max="15638" width="13.85546875" style="2" customWidth="1"/>
    <col min="15639" max="15639" width="10.85546875" style="2" customWidth="1"/>
    <col min="15640" max="15640" width="14.7109375" style="2" customWidth="1"/>
    <col min="15641" max="15641" width="0" style="2" hidden="1" customWidth="1"/>
    <col min="15642" max="15642" width="13" style="2" customWidth="1"/>
    <col min="15643" max="15643" width="12.7109375" style="2" customWidth="1"/>
    <col min="15644" max="15644" width="13.140625" style="2" customWidth="1"/>
    <col min="15645" max="15645" width="14" style="2" customWidth="1"/>
    <col min="15646" max="15646" width="8.140625" style="2" customWidth="1"/>
    <col min="15647" max="15647" width="11.5703125" style="2" customWidth="1"/>
    <col min="15648" max="15648" width="24.7109375" style="2" customWidth="1"/>
    <col min="15649" max="15649" width="12" style="2" customWidth="1"/>
    <col min="15650" max="15651" width="0.28515625" style="2" customWidth="1"/>
    <col min="15652" max="15652" width="1.42578125" style="2" customWidth="1"/>
    <col min="15653" max="15653" width="0" style="2" hidden="1" customWidth="1"/>
    <col min="15654" max="15872" width="11.42578125" style="2"/>
    <col min="15873" max="15873" width="8" style="2" customWidth="1"/>
    <col min="15874" max="15874" width="13.42578125" style="2" customWidth="1"/>
    <col min="15875" max="15875" width="4.28515625" style="2" customWidth="1"/>
    <col min="15876" max="15876" width="4" style="2" customWidth="1"/>
    <col min="15877" max="15877" width="17" style="2" customWidth="1"/>
    <col min="15878" max="15878" width="4.140625" style="2" customWidth="1"/>
    <col min="15879" max="15879" width="11.28515625" style="2" customWidth="1"/>
    <col min="15880" max="15880" width="11" style="2" customWidth="1"/>
    <col min="15881" max="15882" width="2.140625" style="2" customWidth="1"/>
    <col min="15883" max="15883" width="3.28515625" style="2" customWidth="1"/>
    <col min="15884" max="15885" width="0" style="2" hidden="1" customWidth="1"/>
    <col min="15886" max="15886" width="2.85546875" style="2" customWidth="1"/>
    <col min="15887" max="15887" width="3.28515625" style="2" customWidth="1"/>
    <col min="15888" max="15888" width="1.5703125" style="2" customWidth="1"/>
    <col min="15889" max="15889" width="0" style="2" hidden="1" customWidth="1"/>
    <col min="15890" max="15890" width="6.85546875" style="2" customWidth="1"/>
    <col min="15891" max="15891" width="0" style="2" hidden="1" customWidth="1"/>
    <col min="15892" max="15893" width="6.28515625" style="2" customWidth="1"/>
    <col min="15894" max="15894" width="13.85546875" style="2" customWidth="1"/>
    <col min="15895" max="15895" width="10.85546875" style="2" customWidth="1"/>
    <col min="15896" max="15896" width="14.7109375" style="2" customWidth="1"/>
    <col min="15897" max="15897" width="0" style="2" hidden="1" customWidth="1"/>
    <col min="15898" max="15898" width="13" style="2" customWidth="1"/>
    <col min="15899" max="15899" width="12.7109375" style="2" customWidth="1"/>
    <col min="15900" max="15900" width="13.140625" style="2" customWidth="1"/>
    <col min="15901" max="15901" width="14" style="2" customWidth="1"/>
    <col min="15902" max="15902" width="8.140625" style="2" customWidth="1"/>
    <col min="15903" max="15903" width="11.5703125" style="2" customWidth="1"/>
    <col min="15904" max="15904" width="24.7109375" style="2" customWidth="1"/>
    <col min="15905" max="15905" width="12" style="2" customWidth="1"/>
    <col min="15906" max="15907" width="0.28515625" style="2" customWidth="1"/>
    <col min="15908" max="15908" width="1.42578125" style="2" customWidth="1"/>
    <col min="15909" max="15909" width="0" style="2" hidden="1" customWidth="1"/>
    <col min="15910" max="16128" width="11.42578125" style="2"/>
    <col min="16129" max="16129" width="8" style="2" customWidth="1"/>
    <col min="16130" max="16130" width="13.42578125" style="2" customWidth="1"/>
    <col min="16131" max="16131" width="4.28515625" style="2" customWidth="1"/>
    <col min="16132" max="16132" width="4" style="2" customWidth="1"/>
    <col min="16133" max="16133" width="17" style="2" customWidth="1"/>
    <col min="16134" max="16134" width="4.140625" style="2" customWidth="1"/>
    <col min="16135" max="16135" width="11.28515625" style="2" customWidth="1"/>
    <col min="16136" max="16136" width="11" style="2" customWidth="1"/>
    <col min="16137" max="16138" width="2.140625" style="2" customWidth="1"/>
    <col min="16139" max="16139" width="3.28515625" style="2" customWidth="1"/>
    <col min="16140" max="16141" width="0" style="2" hidden="1" customWidth="1"/>
    <col min="16142" max="16142" width="2.85546875" style="2" customWidth="1"/>
    <col min="16143" max="16143" width="3.28515625" style="2" customWidth="1"/>
    <col min="16144" max="16144" width="1.5703125" style="2" customWidth="1"/>
    <col min="16145" max="16145" width="0" style="2" hidden="1" customWidth="1"/>
    <col min="16146" max="16146" width="6.85546875" style="2" customWidth="1"/>
    <col min="16147" max="16147" width="0" style="2" hidden="1" customWidth="1"/>
    <col min="16148" max="16149" width="6.28515625" style="2" customWidth="1"/>
    <col min="16150" max="16150" width="13.85546875" style="2" customWidth="1"/>
    <col min="16151" max="16151" width="10.85546875" style="2" customWidth="1"/>
    <col min="16152" max="16152" width="14.7109375" style="2" customWidth="1"/>
    <col min="16153" max="16153" width="0" style="2" hidden="1" customWidth="1"/>
    <col min="16154" max="16154" width="13" style="2" customWidth="1"/>
    <col min="16155" max="16155" width="12.7109375" style="2" customWidth="1"/>
    <col min="16156" max="16156" width="13.140625" style="2" customWidth="1"/>
    <col min="16157" max="16157" width="14" style="2" customWidth="1"/>
    <col min="16158" max="16158" width="8.140625" style="2" customWidth="1"/>
    <col min="16159" max="16159" width="11.5703125" style="2" customWidth="1"/>
    <col min="16160" max="16160" width="24.7109375" style="2" customWidth="1"/>
    <col min="16161" max="16161" width="12" style="2" customWidth="1"/>
    <col min="16162" max="16163" width="0.28515625" style="2" customWidth="1"/>
    <col min="16164" max="16164" width="1.42578125" style="2" customWidth="1"/>
    <col min="16165" max="16165" width="0" style="2" hidden="1" customWidth="1"/>
    <col min="16166" max="16384" width="11.42578125" style="2"/>
  </cols>
  <sheetData>
    <row r="1" spans="1:38" ht="45" customHeight="1">
      <c r="A1" s="600"/>
      <c r="B1" s="600"/>
      <c r="C1" s="601" t="s">
        <v>0</v>
      </c>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2" t="s">
        <v>95</v>
      </c>
      <c r="AH1" s="3" t="s">
        <v>17</v>
      </c>
      <c r="AI1" s="6" t="s">
        <v>23</v>
      </c>
    </row>
    <row r="2" spans="1:38" ht="45" customHeight="1">
      <c r="A2" s="600"/>
      <c r="B2" s="600"/>
      <c r="C2" s="603" t="s">
        <v>37</v>
      </c>
      <c r="D2" s="603"/>
      <c r="E2" s="603"/>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2"/>
      <c r="AH2" s="2" t="s">
        <v>18</v>
      </c>
      <c r="AI2" s="7" t="s">
        <v>24</v>
      </c>
    </row>
    <row r="3" spans="1:38"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H3" s="3" t="s">
        <v>16</v>
      </c>
      <c r="AI3" s="6" t="s">
        <v>25</v>
      </c>
    </row>
    <row r="4" spans="1:38" ht="30.75" customHeight="1">
      <c r="A4" s="597" t="s">
        <v>5</v>
      </c>
      <c r="B4" s="597"/>
      <c r="C4" s="597"/>
      <c r="D4" s="597"/>
      <c r="E4" s="598" t="s">
        <v>221</v>
      </c>
      <c r="F4" s="598"/>
      <c r="G4" s="598"/>
      <c r="H4" s="598"/>
      <c r="I4" s="598"/>
      <c r="J4" s="598"/>
      <c r="K4" s="598"/>
      <c r="L4" s="598"/>
      <c r="M4" s="598"/>
      <c r="N4" s="598"/>
      <c r="O4" s="598"/>
      <c r="P4" s="598"/>
      <c r="Q4" s="598"/>
      <c r="R4" s="598"/>
      <c r="S4" s="598"/>
      <c r="T4" s="598"/>
      <c r="U4" s="598"/>
      <c r="V4" s="599" t="s">
        <v>20</v>
      </c>
      <c r="W4" s="599"/>
      <c r="X4" s="598" t="s">
        <v>299</v>
      </c>
      <c r="Y4" s="598"/>
      <c r="Z4" s="598"/>
      <c r="AA4" s="598"/>
      <c r="AB4" s="598"/>
      <c r="AC4" s="598"/>
      <c r="AD4" s="599" t="s">
        <v>98</v>
      </c>
      <c r="AE4" s="599"/>
      <c r="AF4" s="134" t="s">
        <v>99</v>
      </c>
      <c r="AH4" s="6" t="s">
        <v>19</v>
      </c>
    </row>
    <row r="5" spans="1:38" ht="4.5" customHeight="1" thickBo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row>
    <row r="6" spans="1:38" ht="57" customHeight="1">
      <c r="A6" s="605" t="s">
        <v>39</v>
      </c>
      <c r="B6" s="606"/>
      <c r="C6" s="599" t="s">
        <v>1</v>
      </c>
      <c r="D6" s="599" t="s">
        <v>100</v>
      </c>
      <c r="E6" s="599"/>
      <c r="F6" s="608" t="s">
        <v>6</v>
      </c>
      <c r="G6" s="599" t="s">
        <v>9</v>
      </c>
      <c r="H6" s="599" t="s">
        <v>2</v>
      </c>
      <c r="I6" s="599" t="s">
        <v>21</v>
      </c>
      <c r="J6" s="599"/>
      <c r="K6" s="599"/>
      <c r="L6" s="599"/>
      <c r="M6" s="599"/>
      <c r="N6" s="599"/>
      <c r="O6" s="599"/>
      <c r="P6" s="599"/>
      <c r="Q6" s="599"/>
      <c r="R6" s="599"/>
      <c r="S6" s="599"/>
      <c r="T6" s="599"/>
      <c r="U6" s="599"/>
      <c r="V6" s="599" t="s">
        <v>101</v>
      </c>
      <c r="W6" s="599" t="s">
        <v>3</v>
      </c>
      <c r="X6" s="599"/>
      <c r="Y6" s="599"/>
      <c r="Z6" s="610" t="s">
        <v>102</v>
      </c>
      <c r="AA6" s="610" t="s">
        <v>103</v>
      </c>
      <c r="AB6" s="610" t="s">
        <v>4</v>
      </c>
      <c r="AC6" s="610"/>
      <c r="AD6" s="599" t="s">
        <v>104</v>
      </c>
      <c r="AE6" s="599" t="s">
        <v>105</v>
      </c>
      <c r="AF6" s="599" t="s">
        <v>106</v>
      </c>
    </row>
    <row r="7" spans="1:38" ht="37.5" customHeight="1" thickBot="1">
      <c r="A7" s="97" t="s">
        <v>40</v>
      </c>
      <c r="B7" s="98" t="s">
        <v>41</v>
      </c>
      <c r="C7" s="607"/>
      <c r="D7" s="607"/>
      <c r="E7" s="607"/>
      <c r="F7" s="609"/>
      <c r="G7" s="607"/>
      <c r="H7" s="607"/>
      <c r="I7" s="607" t="s">
        <v>11</v>
      </c>
      <c r="J7" s="607"/>
      <c r="K7" s="607"/>
      <c r="L7" s="607"/>
      <c r="M7" s="607"/>
      <c r="N7" s="607"/>
      <c r="O7" s="615" t="s">
        <v>12</v>
      </c>
      <c r="P7" s="615"/>
      <c r="Q7" s="615"/>
      <c r="R7" s="615"/>
      <c r="S7" s="615"/>
      <c r="T7" s="615" t="s">
        <v>13</v>
      </c>
      <c r="U7" s="615"/>
      <c r="V7" s="607"/>
      <c r="W7" s="607"/>
      <c r="X7" s="607"/>
      <c r="Y7" s="607"/>
      <c r="Z7" s="611"/>
      <c r="AA7" s="611"/>
      <c r="AB7" s="57" t="s">
        <v>14</v>
      </c>
      <c r="AC7" s="55" t="s">
        <v>15</v>
      </c>
      <c r="AD7" s="607"/>
      <c r="AE7" s="607"/>
      <c r="AF7" s="607"/>
    </row>
    <row r="8" spans="1:38" ht="153" customHeight="1" thickBot="1">
      <c r="A8" s="719"/>
      <c r="B8" s="632"/>
      <c r="C8" s="632">
        <v>1</v>
      </c>
      <c r="D8" s="722" t="s">
        <v>300</v>
      </c>
      <c r="E8" s="723"/>
      <c r="F8" s="728" t="s">
        <v>301</v>
      </c>
      <c r="G8" s="731" t="s">
        <v>38</v>
      </c>
      <c r="H8" s="632" t="s">
        <v>25</v>
      </c>
      <c r="I8" s="736" t="s">
        <v>162</v>
      </c>
      <c r="J8" s="737"/>
      <c r="K8" s="737"/>
      <c r="L8" s="737"/>
      <c r="M8" s="737"/>
      <c r="N8" s="738"/>
      <c r="O8" s="736" t="s">
        <v>162</v>
      </c>
      <c r="P8" s="737"/>
      <c r="Q8" s="737"/>
      <c r="R8" s="738"/>
      <c r="S8" s="99"/>
      <c r="T8" s="736" t="s">
        <v>162</v>
      </c>
      <c r="U8" s="738"/>
      <c r="V8" s="712" t="s">
        <v>162</v>
      </c>
      <c r="W8" s="795" t="s">
        <v>302</v>
      </c>
      <c r="X8" s="795"/>
      <c r="Y8" s="795"/>
      <c r="Z8" s="184" t="s">
        <v>303</v>
      </c>
      <c r="AA8" s="184" t="s">
        <v>165</v>
      </c>
      <c r="AB8" s="185" t="s">
        <v>304</v>
      </c>
      <c r="AC8" s="185" t="s">
        <v>304</v>
      </c>
      <c r="AD8" s="168">
        <v>1</v>
      </c>
      <c r="AE8" s="49" t="s">
        <v>17</v>
      </c>
      <c r="AF8" s="164" t="s">
        <v>305</v>
      </c>
      <c r="AG8" s="105"/>
      <c r="AH8" s="105"/>
      <c r="AI8" s="92"/>
      <c r="AJ8" s="92"/>
      <c r="AK8" s="92"/>
      <c r="AL8" s="92"/>
    </row>
    <row r="9" spans="1:38" ht="103.5" customHeight="1" thickBot="1">
      <c r="A9" s="720"/>
      <c r="B9" s="633"/>
      <c r="C9" s="633"/>
      <c r="D9" s="724"/>
      <c r="E9" s="725"/>
      <c r="F9" s="729"/>
      <c r="G9" s="732"/>
      <c r="H9" s="633"/>
      <c r="I9" s="739"/>
      <c r="J9" s="740"/>
      <c r="K9" s="740"/>
      <c r="L9" s="740"/>
      <c r="M9" s="740"/>
      <c r="N9" s="741"/>
      <c r="O9" s="739"/>
      <c r="P9" s="740"/>
      <c r="Q9" s="740"/>
      <c r="R9" s="741"/>
      <c r="S9" s="122"/>
      <c r="T9" s="739"/>
      <c r="U9" s="741"/>
      <c r="V9" s="713"/>
      <c r="W9" s="796" t="s">
        <v>306</v>
      </c>
      <c r="X9" s="796"/>
      <c r="Y9" s="796"/>
      <c r="Z9" s="189" t="s">
        <v>307</v>
      </c>
      <c r="AA9" s="189" t="s">
        <v>308</v>
      </c>
      <c r="AB9" s="188" t="s">
        <v>309</v>
      </c>
      <c r="AC9" s="188" t="s">
        <v>916</v>
      </c>
      <c r="AD9" s="5">
        <v>0.3</v>
      </c>
      <c r="AE9" s="53" t="s">
        <v>16</v>
      </c>
      <c r="AF9" s="142" t="s">
        <v>310</v>
      </c>
      <c r="AG9" s="105"/>
      <c r="AH9" s="105"/>
      <c r="AI9" s="92"/>
      <c r="AJ9" s="92"/>
      <c r="AK9" s="92"/>
      <c r="AL9" s="92"/>
    </row>
    <row r="10" spans="1:38" ht="102.75" customHeight="1" thickBot="1">
      <c r="A10" s="721"/>
      <c r="B10" s="634"/>
      <c r="C10" s="634"/>
      <c r="D10" s="726"/>
      <c r="E10" s="727"/>
      <c r="F10" s="730"/>
      <c r="G10" s="733"/>
      <c r="H10" s="634"/>
      <c r="I10" s="742"/>
      <c r="J10" s="743"/>
      <c r="K10" s="743"/>
      <c r="L10" s="743"/>
      <c r="M10" s="743"/>
      <c r="N10" s="744"/>
      <c r="O10" s="742"/>
      <c r="P10" s="743"/>
      <c r="Q10" s="743"/>
      <c r="R10" s="744"/>
      <c r="S10" s="191"/>
      <c r="T10" s="742"/>
      <c r="U10" s="744"/>
      <c r="V10" s="714"/>
      <c r="W10" s="794" t="s">
        <v>311</v>
      </c>
      <c r="X10" s="794"/>
      <c r="Y10" s="794"/>
      <c r="Z10" s="193" t="s">
        <v>312</v>
      </c>
      <c r="AA10" s="193" t="s">
        <v>313</v>
      </c>
      <c r="AB10" s="194" t="s">
        <v>208</v>
      </c>
      <c r="AC10" s="188" t="s">
        <v>916</v>
      </c>
      <c r="AD10" s="114">
        <v>0.2</v>
      </c>
      <c r="AE10" s="115" t="s">
        <v>16</v>
      </c>
      <c r="AF10" s="171" t="s">
        <v>314</v>
      </c>
      <c r="AG10" s="105"/>
      <c r="AH10" s="105"/>
      <c r="AI10" s="92"/>
      <c r="AJ10" s="92"/>
      <c r="AK10" s="92"/>
      <c r="AL10" s="92"/>
    </row>
    <row r="11" spans="1:38" ht="6" customHeight="1">
      <c r="A11" s="643"/>
      <c r="B11" s="643"/>
      <c r="C11" s="643"/>
      <c r="D11" s="643"/>
      <c r="E11" s="643"/>
      <c r="F11" s="643"/>
      <c r="G11" s="643"/>
      <c r="H11" s="643"/>
      <c r="I11" s="643"/>
      <c r="J11" s="643"/>
      <c r="K11" s="643"/>
      <c r="L11" s="643"/>
      <c r="M11" s="643"/>
      <c r="N11" s="643"/>
      <c r="O11" s="643"/>
      <c r="P11" s="643"/>
      <c r="Q11" s="643"/>
      <c r="R11" s="643"/>
      <c r="S11" s="643"/>
      <c r="T11" s="643"/>
      <c r="U11" s="643"/>
      <c r="V11" s="643"/>
      <c r="W11" s="643"/>
      <c r="X11" s="643"/>
      <c r="Y11" s="643"/>
      <c r="Z11" s="643"/>
      <c r="AA11" s="643"/>
      <c r="AB11" s="643"/>
      <c r="AC11" s="643"/>
      <c r="AD11" s="643"/>
      <c r="AE11" s="643"/>
      <c r="AF11" s="643"/>
    </row>
    <row r="12" spans="1:38" ht="12.75" customHeight="1">
      <c r="A12" s="644" t="s">
        <v>22</v>
      </c>
      <c r="B12" s="644"/>
      <c r="C12" s="644"/>
      <c r="D12" s="644"/>
      <c r="E12" s="644"/>
      <c r="F12" s="644"/>
      <c r="G12" s="644"/>
      <c r="H12" s="644"/>
      <c r="I12" s="644"/>
      <c r="J12" s="644"/>
      <c r="K12" s="644"/>
      <c r="L12" s="4"/>
      <c r="M12" s="4"/>
      <c r="N12" s="645" t="s">
        <v>34</v>
      </c>
      <c r="O12" s="645"/>
      <c r="P12" s="645"/>
      <c r="Q12" s="645"/>
      <c r="R12" s="645"/>
      <c r="S12" s="645"/>
      <c r="T12" s="645"/>
      <c r="U12" s="645"/>
      <c r="V12" s="645"/>
      <c r="W12" s="645"/>
      <c r="X12" s="645"/>
      <c r="Y12" s="645"/>
      <c r="Z12" s="645"/>
      <c r="AA12" s="645"/>
      <c r="AB12" s="645"/>
      <c r="AC12" s="646" t="s">
        <v>35</v>
      </c>
      <c r="AD12" s="646"/>
      <c r="AE12" s="646"/>
      <c r="AF12" s="646"/>
    </row>
    <row r="13" spans="1:38">
      <c r="A13" s="644"/>
      <c r="B13" s="644"/>
      <c r="C13" s="644"/>
      <c r="D13" s="644"/>
      <c r="E13" s="644"/>
      <c r="F13" s="644"/>
      <c r="G13" s="644"/>
      <c r="H13" s="644"/>
      <c r="I13" s="644"/>
      <c r="J13" s="644"/>
      <c r="K13" s="644"/>
      <c r="L13" s="4"/>
      <c r="M13" s="4"/>
      <c r="N13" s="645"/>
      <c r="O13" s="645"/>
      <c r="P13" s="645"/>
      <c r="Q13" s="645"/>
      <c r="R13" s="645"/>
      <c r="S13" s="645"/>
      <c r="T13" s="645"/>
      <c r="U13" s="645"/>
      <c r="V13" s="645"/>
      <c r="W13" s="645"/>
      <c r="X13" s="645"/>
      <c r="Y13" s="645"/>
      <c r="Z13" s="645"/>
      <c r="AA13" s="645"/>
      <c r="AB13" s="645"/>
      <c r="AC13" s="646"/>
      <c r="AD13" s="646"/>
      <c r="AE13" s="646"/>
      <c r="AF13" s="646"/>
    </row>
    <row r="14" spans="1:38" ht="28.5" customHeight="1">
      <c r="A14" s="715" t="s">
        <v>286</v>
      </c>
      <c r="B14" s="648"/>
      <c r="C14" s="648"/>
      <c r="D14" s="648"/>
      <c r="E14" s="648"/>
      <c r="F14" s="648"/>
      <c r="G14" s="648"/>
      <c r="H14" s="648"/>
      <c r="I14" s="648"/>
      <c r="J14" s="648"/>
      <c r="K14" s="648"/>
      <c r="L14" s="4"/>
      <c r="M14" s="4"/>
      <c r="N14" s="650" t="s">
        <v>283</v>
      </c>
      <c r="O14" s="650"/>
      <c r="P14" s="650"/>
      <c r="Q14" s="650"/>
      <c r="R14" s="650"/>
      <c r="S14" s="650"/>
      <c r="T14" s="650"/>
      <c r="U14" s="650"/>
      <c r="V14" s="650"/>
      <c r="W14" s="650"/>
      <c r="X14" s="650"/>
      <c r="Y14" s="650"/>
      <c r="Z14" s="650"/>
      <c r="AA14" s="650"/>
      <c r="AB14" s="650"/>
      <c r="AC14" s="651" t="s">
        <v>94</v>
      </c>
      <c r="AD14" s="651"/>
      <c r="AE14" s="651"/>
      <c r="AF14" s="651"/>
    </row>
    <row r="15" spans="1:38" ht="25.5" customHeight="1">
      <c r="A15" s="641" t="s">
        <v>36</v>
      </c>
      <c r="B15" s="641"/>
      <c r="C15" s="641"/>
      <c r="D15" s="641"/>
      <c r="E15" s="641"/>
      <c r="F15" s="641"/>
      <c r="G15" s="641"/>
      <c r="H15" s="641"/>
      <c r="I15" s="641"/>
      <c r="J15" s="641"/>
      <c r="K15" s="641"/>
      <c r="L15" s="641"/>
      <c r="M15" s="641"/>
      <c r="N15" s="641"/>
      <c r="O15" s="641"/>
      <c r="P15" s="641"/>
      <c r="Q15" s="641"/>
      <c r="R15" s="641"/>
      <c r="S15" s="641"/>
      <c r="T15" s="641"/>
      <c r="U15" s="641"/>
      <c r="V15" s="641"/>
      <c r="W15" s="641"/>
      <c r="X15" s="641"/>
      <c r="Y15" s="641"/>
      <c r="Z15" s="641"/>
      <c r="AA15" s="641"/>
      <c r="AB15" s="641"/>
      <c r="AC15" s="641"/>
      <c r="AD15" s="641"/>
      <c r="AE15" s="641"/>
      <c r="AF15" s="641"/>
    </row>
    <row r="16" spans="1:38" ht="1.5" customHeight="1">
      <c r="A16" s="642"/>
      <c r="B16" s="642"/>
      <c r="C16" s="642"/>
      <c r="D16" s="642"/>
      <c r="E16" s="642"/>
      <c r="F16" s="642"/>
      <c r="G16" s="642"/>
      <c r="H16" s="642"/>
      <c r="I16" s="642"/>
      <c r="J16" s="642"/>
      <c r="K16" s="642"/>
      <c r="L16" s="642"/>
      <c r="M16" s="642"/>
      <c r="N16" s="642"/>
      <c r="O16" s="642"/>
      <c r="P16" s="642"/>
      <c r="Q16" s="642"/>
      <c r="R16" s="642"/>
      <c r="S16" s="642"/>
      <c r="T16" s="642"/>
      <c r="U16" s="642"/>
      <c r="V16" s="642"/>
      <c r="W16" s="642"/>
      <c r="X16" s="642"/>
      <c r="Y16" s="642"/>
      <c r="Z16" s="642"/>
      <c r="AA16" s="642"/>
      <c r="AB16" s="642"/>
      <c r="AC16" s="642"/>
      <c r="AD16" s="642"/>
      <c r="AE16" s="642"/>
      <c r="AF16" s="642"/>
      <c r="AG16" s="642"/>
    </row>
    <row r="17" spans="1:35" ht="22.5" customHeight="1">
      <c r="A17" s="642"/>
      <c r="B17" s="642"/>
      <c r="C17" s="642"/>
      <c r="D17" s="642"/>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42"/>
      <c r="AD17" s="642"/>
      <c r="AE17" s="642"/>
      <c r="AF17" s="642"/>
      <c r="AG17" s="8"/>
      <c r="AH17" s="8"/>
    </row>
    <row r="20" spans="1:35" ht="24.75" customHeight="1">
      <c r="AI20" s="6" t="s">
        <v>38</v>
      </c>
    </row>
    <row r="21" spans="1:35" ht="24.75" customHeight="1">
      <c r="AI21" s="6" t="s">
        <v>10</v>
      </c>
    </row>
    <row r="22" spans="1:35" ht="24.75" customHeight="1">
      <c r="AI22" s="6" t="s">
        <v>42</v>
      </c>
    </row>
    <row r="23" spans="1:35" ht="24.75" customHeight="1">
      <c r="AI23" s="6" t="s">
        <v>43</v>
      </c>
    </row>
    <row r="24" spans="1:35" ht="24.75" customHeight="1">
      <c r="AI24" s="6" t="s">
        <v>44</v>
      </c>
    </row>
    <row r="25" spans="1:35" ht="24.75" customHeight="1">
      <c r="AI25" s="6" t="s">
        <v>26</v>
      </c>
    </row>
    <row r="26" spans="1:35" ht="24.75" customHeight="1">
      <c r="AI26" s="6" t="s">
        <v>27</v>
      </c>
    </row>
    <row r="27" spans="1:35" ht="24.75" customHeight="1">
      <c r="AI27" s="6" t="s">
        <v>28</v>
      </c>
    </row>
    <row r="28" spans="1:35" ht="24.75" customHeight="1">
      <c r="AI28" s="6" t="s">
        <v>30</v>
      </c>
    </row>
    <row r="29" spans="1:35" ht="24.75" customHeight="1">
      <c r="AI29" s="6" t="s">
        <v>29</v>
      </c>
    </row>
    <row r="30" spans="1:35" ht="24.75" customHeight="1">
      <c r="AI30" s="6" t="s">
        <v>31</v>
      </c>
    </row>
    <row r="31" spans="1:35" ht="24.75" customHeight="1">
      <c r="AI31" s="6" t="s">
        <v>32</v>
      </c>
    </row>
    <row r="32" spans="1:35" ht="51">
      <c r="AI32" s="6" t="s">
        <v>33</v>
      </c>
    </row>
  </sheetData>
  <mergeCells count="53">
    <mergeCell ref="A4:D4"/>
    <mergeCell ref="E4:U4"/>
    <mergeCell ref="V4:W4"/>
    <mergeCell ref="X4:AC4"/>
    <mergeCell ref="AD4:AE4"/>
    <mergeCell ref="A1:B2"/>
    <mergeCell ref="C1:AE1"/>
    <mergeCell ref="AF1:AF2"/>
    <mergeCell ref="C2:AE2"/>
    <mergeCell ref="A3:AF3"/>
    <mergeCell ref="AF6:AF7"/>
    <mergeCell ref="A5:AF5"/>
    <mergeCell ref="A6:B6"/>
    <mergeCell ref="C6:C7"/>
    <mergeCell ref="D6:E7"/>
    <mergeCell ref="F6:F7"/>
    <mergeCell ref="G6:G7"/>
    <mergeCell ref="H6:H7"/>
    <mergeCell ref="I6:U6"/>
    <mergeCell ref="V6:V7"/>
    <mergeCell ref="W6:Y7"/>
    <mergeCell ref="Z6:Z7"/>
    <mergeCell ref="AA6:AA7"/>
    <mergeCell ref="AB6:AC6"/>
    <mergeCell ref="AD6:AD7"/>
    <mergeCell ref="AE6:AE7"/>
    <mergeCell ref="I7:N7"/>
    <mergeCell ref="O7:S7"/>
    <mergeCell ref="T7:U7"/>
    <mergeCell ref="A8:A10"/>
    <mergeCell ref="B8:B10"/>
    <mergeCell ref="C8:C10"/>
    <mergeCell ref="D8:E10"/>
    <mergeCell ref="F8:F10"/>
    <mergeCell ref="G8:G10"/>
    <mergeCell ref="H8:H10"/>
    <mergeCell ref="I8:N10"/>
    <mergeCell ref="O8:R10"/>
    <mergeCell ref="T8:U10"/>
    <mergeCell ref="V8:V10"/>
    <mergeCell ref="W8:Y8"/>
    <mergeCell ref="W9:Y9"/>
    <mergeCell ref="W10:Y10"/>
    <mergeCell ref="A15:AF15"/>
    <mergeCell ref="A16:AG16"/>
    <mergeCell ref="A17:AF17"/>
    <mergeCell ref="A11:AF11"/>
    <mergeCell ref="A12:K13"/>
    <mergeCell ref="N12:AB13"/>
    <mergeCell ref="AC12:AF13"/>
    <mergeCell ref="A14:K14"/>
    <mergeCell ref="N14:AB14"/>
    <mergeCell ref="AC14:AF14"/>
  </mergeCells>
  <conditionalFormatting sqref="AD8:AD9">
    <cfRule type="cellIs" dxfId="387" priority="9" operator="between">
      <formula>0.001</formula>
      <formula>0.99</formula>
    </cfRule>
    <cfRule type="cellIs" dxfId="386" priority="10" operator="equal">
      <formula>1</formula>
    </cfRule>
    <cfRule type="cellIs" dxfId="385" priority="11" operator="equal">
      <formula>0</formula>
    </cfRule>
  </conditionalFormatting>
  <conditionalFormatting sqref="AD8:AD9">
    <cfRule type="cellIs" dxfId="384" priority="12" operator="between">
      <formula>0.01</formula>
      <formula>0.99</formula>
    </cfRule>
    <cfRule type="cellIs" dxfId="383" priority="13" operator="equal">
      <formula>1</formula>
    </cfRule>
    <cfRule type="cellIs" dxfId="382" priority="14" operator="equal">
      <formula>0</formula>
    </cfRule>
  </conditionalFormatting>
  <conditionalFormatting sqref="AA8:AA10">
    <cfRule type="cellIs" dxfId="381" priority="7" stopIfTrue="1" operator="greaterThan">
      <formula>#REF!</formula>
    </cfRule>
    <cfRule type="cellIs" dxfId="380" priority="8" stopIfTrue="1" operator="lessThan">
      <formula>#REF!</formula>
    </cfRule>
  </conditionalFormatting>
  <conditionalFormatting sqref="AD10">
    <cfRule type="cellIs" dxfId="379" priority="1" operator="between">
      <formula>0.001</formula>
      <formula>0.99</formula>
    </cfRule>
    <cfRule type="cellIs" dxfId="378" priority="2" operator="equal">
      <formula>1</formula>
    </cfRule>
    <cfRule type="cellIs" dxfId="377" priority="3" operator="equal">
      <formula>0</formula>
    </cfRule>
  </conditionalFormatting>
  <conditionalFormatting sqref="AD10">
    <cfRule type="cellIs" dxfId="376" priority="4" operator="between">
      <formula>0.01</formula>
      <formula>0.99</formula>
    </cfRule>
    <cfRule type="cellIs" dxfId="375" priority="5" operator="equal">
      <formula>1</formula>
    </cfRule>
    <cfRule type="cellIs" dxfId="374" priority="6" operator="equal">
      <formula>0</formula>
    </cfRule>
  </conditionalFormatting>
  <dataValidations count="4">
    <dataValidation type="list" allowBlank="1" showInputMessage="1" showErrorMessage="1" sqref="G65540:G65546 WLS8:WLS10 JC65540:JC65546 SY65540:SY65546 ACU65540:ACU65546 AMQ65540:AMQ65546 AWM65540:AWM65546 BGI65540:BGI65546 BQE65540:BQE65546 CAA65540:CAA65546 CJW65540:CJW65546 CTS65540:CTS65546 DDO65540:DDO65546 DNK65540:DNK65546 DXG65540:DXG65546 EHC65540:EHC65546 EQY65540:EQY65546 FAU65540:FAU65546 FKQ65540:FKQ65546 FUM65540:FUM65546 GEI65540:GEI65546 GOE65540:GOE65546 GYA65540:GYA65546 HHW65540:HHW65546 HRS65540:HRS65546 IBO65540:IBO65546 ILK65540:ILK65546 IVG65540:IVG65546 JFC65540:JFC65546 JOY65540:JOY65546 JYU65540:JYU65546 KIQ65540:KIQ65546 KSM65540:KSM65546 LCI65540:LCI65546 LME65540:LME65546 LWA65540:LWA65546 MFW65540:MFW65546 MPS65540:MPS65546 MZO65540:MZO65546 NJK65540:NJK65546 NTG65540:NTG65546 ODC65540:ODC65546 OMY65540:OMY65546 OWU65540:OWU65546 PGQ65540:PGQ65546 PQM65540:PQM65546 QAI65540:QAI65546 QKE65540:QKE65546 QUA65540:QUA65546 RDW65540:RDW65546 RNS65540:RNS65546 RXO65540:RXO65546 SHK65540:SHK65546 SRG65540:SRG65546 TBC65540:TBC65546 TKY65540:TKY65546 TUU65540:TUU65546 UEQ65540:UEQ65546 UOM65540:UOM65546 UYI65540:UYI65546 VIE65540:VIE65546 VSA65540:VSA65546 WBW65540:WBW65546 WLS65540:WLS65546 WVO65540:WVO65546 G131076:G131082 JC131076:JC131082 SY131076:SY131082 ACU131076:ACU131082 AMQ131076:AMQ131082 AWM131076:AWM131082 BGI131076:BGI131082 BQE131076:BQE131082 CAA131076:CAA131082 CJW131076:CJW131082 CTS131076:CTS131082 DDO131076:DDO131082 DNK131076:DNK131082 DXG131076:DXG131082 EHC131076:EHC131082 EQY131076:EQY131082 FAU131076:FAU131082 FKQ131076:FKQ131082 FUM131076:FUM131082 GEI131076:GEI131082 GOE131076:GOE131082 GYA131076:GYA131082 HHW131076:HHW131082 HRS131076:HRS131082 IBO131076:IBO131082 ILK131076:ILK131082 IVG131076:IVG131082 JFC131076:JFC131082 JOY131076:JOY131082 JYU131076:JYU131082 KIQ131076:KIQ131082 KSM131076:KSM131082 LCI131076:LCI131082 LME131076:LME131082 LWA131076:LWA131082 MFW131076:MFW131082 MPS131076:MPS131082 MZO131076:MZO131082 NJK131076:NJK131082 NTG131076:NTG131082 ODC131076:ODC131082 OMY131076:OMY131082 OWU131076:OWU131082 PGQ131076:PGQ131082 PQM131076:PQM131082 QAI131076:QAI131082 QKE131076:QKE131082 QUA131076:QUA131082 RDW131076:RDW131082 RNS131076:RNS131082 RXO131076:RXO131082 SHK131076:SHK131082 SRG131076:SRG131082 TBC131076:TBC131082 TKY131076:TKY131082 TUU131076:TUU131082 UEQ131076:UEQ131082 UOM131076:UOM131082 UYI131076:UYI131082 VIE131076:VIE131082 VSA131076:VSA131082 WBW131076:WBW131082 WLS131076:WLS131082 WVO131076:WVO131082 G196612:G196618 JC196612:JC196618 SY196612:SY196618 ACU196612:ACU196618 AMQ196612:AMQ196618 AWM196612:AWM196618 BGI196612:BGI196618 BQE196612:BQE196618 CAA196612:CAA196618 CJW196612:CJW196618 CTS196612:CTS196618 DDO196612:DDO196618 DNK196612:DNK196618 DXG196612:DXG196618 EHC196612:EHC196618 EQY196612:EQY196618 FAU196612:FAU196618 FKQ196612:FKQ196618 FUM196612:FUM196618 GEI196612:GEI196618 GOE196612:GOE196618 GYA196612:GYA196618 HHW196612:HHW196618 HRS196612:HRS196618 IBO196612:IBO196618 ILK196612:ILK196618 IVG196612:IVG196618 JFC196612:JFC196618 JOY196612:JOY196618 JYU196612:JYU196618 KIQ196612:KIQ196618 KSM196612:KSM196618 LCI196612:LCI196618 LME196612:LME196618 LWA196612:LWA196618 MFW196612:MFW196618 MPS196612:MPS196618 MZO196612:MZO196618 NJK196612:NJK196618 NTG196612:NTG196618 ODC196612:ODC196618 OMY196612:OMY196618 OWU196612:OWU196618 PGQ196612:PGQ196618 PQM196612:PQM196618 QAI196612:QAI196618 QKE196612:QKE196618 QUA196612:QUA196618 RDW196612:RDW196618 RNS196612:RNS196618 RXO196612:RXO196618 SHK196612:SHK196618 SRG196612:SRG196618 TBC196612:TBC196618 TKY196612:TKY196618 TUU196612:TUU196618 UEQ196612:UEQ196618 UOM196612:UOM196618 UYI196612:UYI196618 VIE196612:VIE196618 VSA196612:VSA196618 WBW196612:WBW196618 WLS196612:WLS196618 WVO196612:WVO196618 G262148:G262154 JC262148:JC262154 SY262148:SY262154 ACU262148:ACU262154 AMQ262148:AMQ262154 AWM262148:AWM262154 BGI262148:BGI262154 BQE262148:BQE262154 CAA262148:CAA262154 CJW262148:CJW262154 CTS262148:CTS262154 DDO262148:DDO262154 DNK262148:DNK262154 DXG262148:DXG262154 EHC262148:EHC262154 EQY262148:EQY262154 FAU262148:FAU262154 FKQ262148:FKQ262154 FUM262148:FUM262154 GEI262148:GEI262154 GOE262148:GOE262154 GYA262148:GYA262154 HHW262148:HHW262154 HRS262148:HRS262154 IBO262148:IBO262154 ILK262148:ILK262154 IVG262148:IVG262154 JFC262148:JFC262154 JOY262148:JOY262154 JYU262148:JYU262154 KIQ262148:KIQ262154 KSM262148:KSM262154 LCI262148:LCI262154 LME262148:LME262154 LWA262148:LWA262154 MFW262148:MFW262154 MPS262148:MPS262154 MZO262148:MZO262154 NJK262148:NJK262154 NTG262148:NTG262154 ODC262148:ODC262154 OMY262148:OMY262154 OWU262148:OWU262154 PGQ262148:PGQ262154 PQM262148:PQM262154 QAI262148:QAI262154 QKE262148:QKE262154 QUA262148:QUA262154 RDW262148:RDW262154 RNS262148:RNS262154 RXO262148:RXO262154 SHK262148:SHK262154 SRG262148:SRG262154 TBC262148:TBC262154 TKY262148:TKY262154 TUU262148:TUU262154 UEQ262148:UEQ262154 UOM262148:UOM262154 UYI262148:UYI262154 VIE262148:VIE262154 VSA262148:VSA262154 WBW262148:WBW262154 WLS262148:WLS262154 WVO262148:WVO262154 G327684:G327690 JC327684:JC327690 SY327684:SY327690 ACU327684:ACU327690 AMQ327684:AMQ327690 AWM327684:AWM327690 BGI327684:BGI327690 BQE327684:BQE327690 CAA327684:CAA327690 CJW327684:CJW327690 CTS327684:CTS327690 DDO327684:DDO327690 DNK327684:DNK327690 DXG327684:DXG327690 EHC327684:EHC327690 EQY327684:EQY327690 FAU327684:FAU327690 FKQ327684:FKQ327690 FUM327684:FUM327690 GEI327684:GEI327690 GOE327684:GOE327690 GYA327684:GYA327690 HHW327684:HHW327690 HRS327684:HRS327690 IBO327684:IBO327690 ILK327684:ILK327690 IVG327684:IVG327690 JFC327684:JFC327690 JOY327684:JOY327690 JYU327684:JYU327690 KIQ327684:KIQ327690 KSM327684:KSM327690 LCI327684:LCI327690 LME327684:LME327690 LWA327684:LWA327690 MFW327684:MFW327690 MPS327684:MPS327690 MZO327684:MZO327690 NJK327684:NJK327690 NTG327684:NTG327690 ODC327684:ODC327690 OMY327684:OMY327690 OWU327684:OWU327690 PGQ327684:PGQ327690 PQM327684:PQM327690 QAI327684:QAI327690 QKE327684:QKE327690 QUA327684:QUA327690 RDW327684:RDW327690 RNS327684:RNS327690 RXO327684:RXO327690 SHK327684:SHK327690 SRG327684:SRG327690 TBC327684:TBC327690 TKY327684:TKY327690 TUU327684:TUU327690 UEQ327684:UEQ327690 UOM327684:UOM327690 UYI327684:UYI327690 VIE327684:VIE327690 VSA327684:VSA327690 WBW327684:WBW327690 WLS327684:WLS327690 WVO327684:WVO327690 G393220:G393226 JC393220:JC393226 SY393220:SY393226 ACU393220:ACU393226 AMQ393220:AMQ393226 AWM393220:AWM393226 BGI393220:BGI393226 BQE393220:BQE393226 CAA393220:CAA393226 CJW393220:CJW393226 CTS393220:CTS393226 DDO393220:DDO393226 DNK393220:DNK393226 DXG393220:DXG393226 EHC393220:EHC393226 EQY393220:EQY393226 FAU393220:FAU393226 FKQ393220:FKQ393226 FUM393220:FUM393226 GEI393220:GEI393226 GOE393220:GOE393226 GYA393220:GYA393226 HHW393220:HHW393226 HRS393220:HRS393226 IBO393220:IBO393226 ILK393220:ILK393226 IVG393220:IVG393226 JFC393220:JFC393226 JOY393220:JOY393226 JYU393220:JYU393226 KIQ393220:KIQ393226 KSM393220:KSM393226 LCI393220:LCI393226 LME393220:LME393226 LWA393220:LWA393226 MFW393220:MFW393226 MPS393220:MPS393226 MZO393220:MZO393226 NJK393220:NJK393226 NTG393220:NTG393226 ODC393220:ODC393226 OMY393220:OMY393226 OWU393220:OWU393226 PGQ393220:PGQ393226 PQM393220:PQM393226 QAI393220:QAI393226 QKE393220:QKE393226 QUA393220:QUA393226 RDW393220:RDW393226 RNS393220:RNS393226 RXO393220:RXO393226 SHK393220:SHK393226 SRG393220:SRG393226 TBC393220:TBC393226 TKY393220:TKY393226 TUU393220:TUU393226 UEQ393220:UEQ393226 UOM393220:UOM393226 UYI393220:UYI393226 VIE393220:VIE393226 VSA393220:VSA393226 WBW393220:WBW393226 WLS393220:WLS393226 WVO393220:WVO393226 G458756:G458762 JC458756:JC458762 SY458756:SY458762 ACU458756:ACU458762 AMQ458756:AMQ458762 AWM458756:AWM458762 BGI458756:BGI458762 BQE458756:BQE458762 CAA458756:CAA458762 CJW458756:CJW458762 CTS458756:CTS458762 DDO458756:DDO458762 DNK458756:DNK458762 DXG458756:DXG458762 EHC458756:EHC458762 EQY458756:EQY458762 FAU458756:FAU458762 FKQ458756:FKQ458762 FUM458756:FUM458762 GEI458756:GEI458762 GOE458756:GOE458762 GYA458756:GYA458762 HHW458756:HHW458762 HRS458756:HRS458762 IBO458756:IBO458762 ILK458756:ILK458762 IVG458756:IVG458762 JFC458756:JFC458762 JOY458756:JOY458762 JYU458756:JYU458762 KIQ458756:KIQ458762 KSM458756:KSM458762 LCI458756:LCI458762 LME458756:LME458762 LWA458756:LWA458762 MFW458756:MFW458762 MPS458756:MPS458762 MZO458756:MZO458762 NJK458756:NJK458762 NTG458756:NTG458762 ODC458756:ODC458762 OMY458756:OMY458762 OWU458756:OWU458762 PGQ458756:PGQ458762 PQM458756:PQM458762 QAI458756:QAI458762 QKE458756:QKE458762 QUA458756:QUA458762 RDW458756:RDW458762 RNS458756:RNS458762 RXO458756:RXO458762 SHK458756:SHK458762 SRG458756:SRG458762 TBC458756:TBC458762 TKY458756:TKY458762 TUU458756:TUU458762 UEQ458756:UEQ458762 UOM458756:UOM458762 UYI458756:UYI458762 VIE458756:VIE458762 VSA458756:VSA458762 WBW458756:WBW458762 WLS458756:WLS458762 WVO458756:WVO458762 G524292:G524298 JC524292:JC524298 SY524292:SY524298 ACU524292:ACU524298 AMQ524292:AMQ524298 AWM524292:AWM524298 BGI524292:BGI524298 BQE524292:BQE524298 CAA524292:CAA524298 CJW524292:CJW524298 CTS524292:CTS524298 DDO524292:DDO524298 DNK524292:DNK524298 DXG524292:DXG524298 EHC524292:EHC524298 EQY524292:EQY524298 FAU524292:FAU524298 FKQ524292:FKQ524298 FUM524292:FUM524298 GEI524292:GEI524298 GOE524292:GOE524298 GYA524292:GYA524298 HHW524292:HHW524298 HRS524292:HRS524298 IBO524292:IBO524298 ILK524292:ILK524298 IVG524292:IVG524298 JFC524292:JFC524298 JOY524292:JOY524298 JYU524292:JYU524298 KIQ524292:KIQ524298 KSM524292:KSM524298 LCI524292:LCI524298 LME524292:LME524298 LWA524292:LWA524298 MFW524292:MFW524298 MPS524292:MPS524298 MZO524292:MZO524298 NJK524292:NJK524298 NTG524292:NTG524298 ODC524292:ODC524298 OMY524292:OMY524298 OWU524292:OWU524298 PGQ524292:PGQ524298 PQM524292:PQM524298 QAI524292:QAI524298 QKE524292:QKE524298 QUA524292:QUA524298 RDW524292:RDW524298 RNS524292:RNS524298 RXO524292:RXO524298 SHK524292:SHK524298 SRG524292:SRG524298 TBC524292:TBC524298 TKY524292:TKY524298 TUU524292:TUU524298 UEQ524292:UEQ524298 UOM524292:UOM524298 UYI524292:UYI524298 VIE524292:VIE524298 VSA524292:VSA524298 WBW524292:WBW524298 WLS524292:WLS524298 WVO524292:WVO524298 G589828:G589834 JC589828:JC589834 SY589828:SY589834 ACU589828:ACU589834 AMQ589828:AMQ589834 AWM589828:AWM589834 BGI589828:BGI589834 BQE589828:BQE589834 CAA589828:CAA589834 CJW589828:CJW589834 CTS589828:CTS589834 DDO589828:DDO589834 DNK589828:DNK589834 DXG589828:DXG589834 EHC589828:EHC589834 EQY589828:EQY589834 FAU589828:FAU589834 FKQ589828:FKQ589834 FUM589828:FUM589834 GEI589828:GEI589834 GOE589828:GOE589834 GYA589828:GYA589834 HHW589828:HHW589834 HRS589828:HRS589834 IBO589828:IBO589834 ILK589828:ILK589834 IVG589828:IVG589834 JFC589828:JFC589834 JOY589828:JOY589834 JYU589828:JYU589834 KIQ589828:KIQ589834 KSM589828:KSM589834 LCI589828:LCI589834 LME589828:LME589834 LWA589828:LWA589834 MFW589828:MFW589834 MPS589828:MPS589834 MZO589828:MZO589834 NJK589828:NJK589834 NTG589828:NTG589834 ODC589828:ODC589834 OMY589828:OMY589834 OWU589828:OWU589834 PGQ589828:PGQ589834 PQM589828:PQM589834 QAI589828:QAI589834 QKE589828:QKE589834 QUA589828:QUA589834 RDW589828:RDW589834 RNS589828:RNS589834 RXO589828:RXO589834 SHK589828:SHK589834 SRG589828:SRG589834 TBC589828:TBC589834 TKY589828:TKY589834 TUU589828:TUU589834 UEQ589828:UEQ589834 UOM589828:UOM589834 UYI589828:UYI589834 VIE589828:VIE589834 VSA589828:VSA589834 WBW589828:WBW589834 WLS589828:WLS589834 WVO589828:WVO589834 G655364:G655370 JC655364:JC655370 SY655364:SY655370 ACU655364:ACU655370 AMQ655364:AMQ655370 AWM655364:AWM655370 BGI655364:BGI655370 BQE655364:BQE655370 CAA655364:CAA655370 CJW655364:CJW655370 CTS655364:CTS655370 DDO655364:DDO655370 DNK655364:DNK655370 DXG655364:DXG655370 EHC655364:EHC655370 EQY655364:EQY655370 FAU655364:FAU655370 FKQ655364:FKQ655370 FUM655364:FUM655370 GEI655364:GEI655370 GOE655364:GOE655370 GYA655364:GYA655370 HHW655364:HHW655370 HRS655364:HRS655370 IBO655364:IBO655370 ILK655364:ILK655370 IVG655364:IVG655370 JFC655364:JFC655370 JOY655364:JOY655370 JYU655364:JYU655370 KIQ655364:KIQ655370 KSM655364:KSM655370 LCI655364:LCI655370 LME655364:LME655370 LWA655364:LWA655370 MFW655364:MFW655370 MPS655364:MPS655370 MZO655364:MZO655370 NJK655364:NJK655370 NTG655364:NTG655370 ODC655364:ODC655370 OMY655364:OMY655370 OWU655364:OWU655370 PGQ655364:PGQ655370 PQM655364:PQM655370 QAI655364:QAI655370 QKE655364:QKE655370 QUA655364:QUA655370 RDW655364:RDW655370 RNS655364:RNS655370 RXO655364:RXO655370 SHK655364:SHK655370 SRG655364:SRG655370 TBC655364:TBC655370 TKY655364:TKY655370 TUU655364:TUU655370 UEQ655364:UEQ655370 UOM655364:UOM655370 UYI655364:UYI655370 VIE655364:VIE655370 VSA655364:VSA655370 WBW655364:WBW655370 WLS655364:WLS655370 WVO655364:WVO655370 G720900:G720906 JC720900:JC720906 SY720900:SY720906 ACU720900:ACU720906 AMQ720900:AMQ720906 AWM720900:AWM720906 BGI720900:BGI720906 BQE720900:BQE720906 CAA720900:CAA720906 CJW720900:CJW720906 CTS720900:CTS720906 DDO720900:DDO720906 DNK720900:DNK720906 DXG720900:DXG720906 EHC720900:EHC720906 EQY720900:EQY720906 FAU720900:FAU720906 FKQ720900:FKQ720906 FUM720900:FUM720906 GEI720900:GEI720906 GOE720900:GOE720906 GYA720900:GYA720906 HHW720900:HHW720906 HRS720900:HRS720906 IBO720900:IBO720906 ILK720900:ILK720906 IVG720900:IVG720906 JFC720900:JFC720906 JOY720900:JOY720906 JYU720900:JYU720906 KIQ720900:KIQ720906 KSM720900:KSM720906 LCI720900:LCI720906 LME720900:LME720906 LWA720900:LWA720906 MFW720900:MFW720906 MPS720900:MPS720906 MZO720900:MZO720906 NJK720900:NJK720906 NTG720900:NTG720906 ODC720900:ODC720906 OMY720900:OMY720906 OWU720900:OWU720906 PGQ720900:PGQ720906 PQM720900:PQM720906 QAI720900:QAI720906 QKE720900:QKE720906 QUA720900:QUA720906 RDW720900:RDW720906 RNS720900:RNS720906 RXO720900:RXO720906 SHK720900:SHK720906 SRG720900:SRG720906 TBC720900:TBC720906 TKY720900:TKY720906 TUU720900:TUU720906 UEQ720900:UEQ720906 UOM720900:UOM720906 UYI720900:UYI720906 VIE720900:VIE720906 VSA720900:VSA720906 WBW720900:WBW720906 WLS720900:WLS720906 WVO720900:WVO720906 G786436:G786442 JC786436:JC786442 SY786436:SY786442 ACU786436:ACU786442 AMQ786436:AMQ786442 AWM786436:AWM786442 BGI786436:BGI786442 BQE786436:BQE786442 CAA786436:CAA786442 CJW786436:CJW786442 CTS786436:CTS786442 DDO786436:DDO786442 DNK786436:DNK786442 DXG786436:DXG786442 EHC786436:EHC786442 EQY786436:EQY786442 FAU786436:FAU786442 FKQ786436:FKQ786442 FUM786436:FUM786442 GEI786436:GEI786442 GOE786436:GOE786442 GYA786436:GYA786442 HHW786436:HHW786442 HRS786436:HRS786442 IBO786436:IBO786442 ILK786436:ILK786442 IVG786436:IVG786442 JFC786436:JFC786442 JOY786436:JOY786442 JYU786436:JYU786442 KIQ786436:KIQ786442 KSM786436:KSM786442 LCI786436:LCI786442 LME786436:LME786442 LWA786436:LWA786442 MFW786436:MFW786442 MPS786436:MPS786442 MZO786436:MZO786442 NJK786436:NJK786442 NTG786436:NTG786442 ODC786436:ODC786442 OMY786436:OMY786442 OWU786436:OWU786442 PGQ786436:PGQ786442 PQM786436:PQM786442 QAI786436:QAI786442 QKE786436:QKE786442 QUA786436:QUA786442 RDW786436:RDW786442 RNS786436:RNS786442 RXO786436:RXO786442 SHK786436:SHK786442 SRG786436:SRG786442 TBC786436:TBC786442 TKY786436:TKY786442 TUU786436:TUU786442 UEQ786436:UEQ786442 UOM786436:UOM786442 UYI786436:UYI786442 VIE786436:VIE786442 VSA786436:VSA786442 WBW786436:WBW786442 WLS786436:WLS786442 WVO786436:WVO786442 G851972:G851978 JC851972:JC851978 SY851972:SY851978 ACU851972:ACU851978 AMQ851972:AMQ851978 AWM851972:AWM851978 BGI851972:BGI851978 BQE851972:BQE851978 CAA851972:CAA851978 CJW851972:CJW851978 CTS851972:CTS851978 DDO851972:DDO851978 DNK851972:DNK851978 DXG851972:DXG851978 EHC851972:EHC851978 EQY851972:EQY851978 FAU851972:FAU851978 FKQ851972:FKQ851978 FUM851972:FUM851978 GEI851972:GEI851978 GOE851972:GOE851978 GYA851972:GYA851978 HHW851972:HHW851978 HRS851972:HRS851978 IBO851972:IBO851978 ILK851972:ILK851978 IVG851972:IVG851978 JFC851972:JFC851978 JOY851972:JOY851978 JYU851972:JYU851978 KIQ851972:KIQ851978 KSM851972:KSM851978 LCI851972:LCI851978 LME851972:LME851978 LWA851972:LWA851978 MFW851972:MFW851978 MPS851972:MPS851978 MZO851972:MZO851978 NJK851972:NJK851978 NTG851972:NTG851978 ODC851972:ODC851978 OMY851972:OMY851978 OWU851972:OWU851978 PGQ851972:PGQ851978 PQM851972:PQM851978 QAI851972:QAI851978 QKE851972:QKE851978 QUA851972:QUA851978 RDW851972:RDW851978 RNS851972:RNS851978 RXO851972:RXO851978 SHK851972:SHK851978 SRG851972:SRG851978 TBC851972:TBC851978 TKY851972:TKY851978 TUU851972:TUU851978 UEQ851972:UEQ851978 UOM851972:UOM851978 UYI851972:UYI851978 VIE851972:VIE851978 VSA851972:VSA851978 WBW851972:WBW851978 WLS851972:WLS851978 WVO851972:WVO851978 G917508:G917514 JC917508:JC917514 SY917508:SY917514 ACU917508:ACU917514 AMQ917508:AMQ917514 AWM917508:AWM917514 BGI917508:BGI917514 BQE917508:BQE917514 CAA917508:CAA917514 CJW917508:CJW917514 CTS917508:CTS917514 DDO917508:DDO917514 DNK917508:DNK917514 DXG917508:DXG917514 EHC917508:EHC917514 EQY917508:EQY917514 FAU917508:FAU917514 FKQ917508:FKQ917514 FUM917508:FUM917514 GEI917508:GEI917514 GOE917508:GOE917514 GYA917508:GYA917514 HHW917508:HHW917514 HRS917508:HRS917514 IBO917508:IBO917514 ILK917508:ILK917514 IVG917508:IVG917514 JFC917508:JFC917514 JOY917508:JOY917514 JYU917508:JYU917514 KIQ917508:KIQ917514 KSM917508:KSM917514 LCI917508:LCI917514 LME917508:LME917514 LWA917508:LWA917514 MFW917508:MFW917514 MPS917508:MPS917514 MZO917508:MZO917514 NJK917508:NJK917514 NTG917508:NTG917514 ODC917508:ODC917514 OMY917508:OMY917514 OWU917508:OWU917514 PGQ917508:PGQ917514 PQM917508:PQM917514 QAI917508:QAI917514 QKE917508:QKE917514 QUA917508:QUA917514 RDW917508:RDW917514 RNS917508:RNS917514 RXO917508:RXO917514 SHK917508:SHK917514 SRG917508:SRG917514 TBC917508:TBC917514 TKY917508:TKY917514 TUU917508:TUU917514 UEQ917508:UEQ917514 UOM917508:UOM917514 UYI917508:UYI917514 VIE917508:VIE917514 VSA917508:VSA917514 WBW917508:WBW917514 WLS917508:WLS917514 WVO917508:WVO917514 G983044:G983050 JC983044:JC983050 SY983044:SY983050 ACU983044:ACU983050 AMQ983044:AMQ983050 AWM983044:AWM983050 BGI983044:BGI983050 BQE983044:BQE983050 CAA983044:CAA983050 CJW983044:CJW983050 CTS983044:CTS983050 DDO983044:DDO983050 DNK983044:DNK983050 DXG983044:DXG983050 EHC983044:EHC983050 EQY983044:EQY983050 FAU983044:FAU983050 FKQ983044:FKQ983050 FUM983044:FUM983050 GEI983044:GEI983050 GOE983044:GOE983050 GYA983044:GYA983050 HHW983044:HHW983050 HRS983044:HRS983050 IBO983044:IBO983050 ILK983044:ILK983050 IVG983044:IVG983050 JFC983044:JFC983050 JOY983044:JOY983050 JYU983044:JYU983050 KIQ983044:KIQ983050 KSM983044:KSM983050 LCI983044:LCI983050 LME983044:LME983050 LWA983044:LWA983050 MFW983044:MFW983050 MPS983044:MPS983050 MZO983044:MZO983050 NJK983044:NJK983050 NTG983044:NTG983050 ODC983044:ODC983050 OMY983044:OMY983050 OWU983044:OWU983050 PGQ983044:PGQ983050 PQM983044:PQM983050 QAI983044:QAI983050 QKE983044:QKE983050 QUA983044:QUA983050 RDW983044:RDW983050 RNS983044:RNS983050 RXO983044:RXO983050 SHK983044:SHK983050 SRG983044:SRG983050 TBC983044:TBC983050 TKY983044:TKY983050 TUU983044:TUU983050 UEQ983044:UEQ983050 UOM983044:UOM983050 UYI983044:UYI983050 VIE983044:VIE983050 VSA983044:VSA983050 WBW983044:WBW983050 WLS983044:WLS983050 WVO983044:WVO98305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WVO8:WVO10 G8:G10">
      <formula1>$AI$20:$AI$32</formula1>
    </dataValidation>
    <dataValidation type="list" allowBlank="1" showInputMessage="1" showErrorMessage="1" sqref="H65540:H65546 JD65540:JD65546 SZ65540:SZ65546 ACV65540:ACV65546 AMR65540:AMR65546 AWN65540:AWN65546 BGJ65540:BGJ65546 BQF65540:BQF65546 CAB65540:CAB65546 CJX65540:CJX65546 CTT65540:CTT65546 DDP65540:DDP65546 DNL65540:DNL65546 DXH65540:DXH65546 EHD65540:EHD65546 EQZ65540:EQZ65546 FAV65540:FAV65546 FKR65540:FKR65546 FUN65540:FUN65546 GEJ65540:GEJ65546 GOF65540:GOF65546 GYB65540:GYB65546 HHX65540:HHX65546 HRT65540:HRT65546 IBP65540:IBP65546 ILL65540:ILL65546 IVH65540:IVH65546 JFD65540:JFD65546 JOZ65540:JOZ65546 JYV65540:JYV65546 KIR65540:KIR65546 KSN65540:KSN65546 LCJ65540:LCJ65546 LMF65540:LMF65546 LWB65540:LWB65546 MFX65540:MFX65546 MPT65540:MPT65546 MZP65540:MZP65546 NJL65540:NJL65546 NTH65540:NTH65546 ODD65540:ODD65546 OMZ65540:OMZ65546 OWV65540:OWV65546 PGR65540:PGR65546 PQN65540:PQN65546 QAJ65540:QAJ65546 QKF65540:QKF65546 QUB65540:QUB65546 RDX65540:RDX65546 RNT65540:RNT65546 RXP65540:RXP65546 SHL65540:SHL65546 SRH65540:SRH65546 TBD65540:TBD65546 TKZ65540:TKZ65546 TUV65540:TUV65546 UER65540:UER65546 UON65540:UON65546 UYJ65540:UYJ65546 VIF65540:VIF65546 VSB65540:VSB65546 WBX65540:WBX65546 WLT65540:WLT65546 WVP65540:WVP65546 H131076:H131082 JD131076:JD131082 SZ131076:SZ131082 ACV131076:ACV131082 AMR131076:AMR131082 AWN131076:AWN131082 BGJ131076:BGJ131082 BQF131076:BQF131082 CAB131076:CAB131082 CJX131076:CJX131082 CTT131076:CTT131082 DDP131076:DDP131082 DNL131076:DNL131082 DXH131076:DXH131082 EHD131076:EHD131082 EQZ131076:EQZ131082 FAV131076:FAV131082 FKR131076:FKR131082 FUN131076:FUN131082 GEJ131076:GEJ131082 GOF131076:GOF131082 GYB131076:GYB131082 HHX131076:HHX131082 HRT131076:HRT131082 IBP131076:IBP131082 ILL131076:ILL131082 IVH131076:IVH131082 JFD131076:JFD131082 JOZ131076:JOZ131082 JYV131076:JYV131082 KIR131076:KIR131082 KSN131076:KSN131082 LCJ131076:LCJ131082 LMF131076:LMF131082 LWB131076:LWB131082 MFX131076:MFX131082 MPT131076:MPT131082 MZP131076:MZP131082 NJL131076:NJL131082 NTH131076:NTH131082 ODD131076:ODD131082 OMZ131076:OMZ131082 OWV131076:OWV131082 PGR131076:PGR131082 PQN131076:PQN131082 QAJ131076:QAJ131082 QKF131076:QKF131082 QUB131076:QUB131082 RDX131076:RDX131082 RNT131076:RNT131082 RXP131076:RXP131082 SHL131076:SHL131082 SRH131076:SRH131082 TBD131076:TBD131082 TKZ131076:TKZ131082 TUV131076:TUV131082 UER131076:UER131082 UON131076:UON131082 UYJ131076:UYJ131082 VIF131076:VIF131082 VSB131076:VSB131082 WBX131076:WBX131082 WLT131076:WLT131082 WVP131076:WVP131082 H196612:H196618 JD196612:JD196618 SZ196612:SZ196618 ACV196612:ACV196618 AMR196612:AMR196618 AWN196612:AWN196618 BGJ196612:BGJ196618 BQF196612:BQF196618 CAB196612:CAB196618 CJX196612:CJX196618 CTT196612:CTT196618 DDP196612:DDP196618 DNL196612:DNL196618 DXH196612:DXH196618 EHD196612:EHD196618 EQZ196612:EQZ196618 FAV196612:FAV196618 FKR196612:FKR196618 FUN196612:FUN196618 GEJ196612:GEJ196618 GOF196612:GOF196618 GYB196612:GYB196618 HHX196612:HHX196618 HRT196612:HRT196618 IBP196612:IBP196618 ILL196612:ILL196618 IVH196612:IVH196618 JFD196612:JFD196618 JOZ196612:JOZ196618 JYV196612:JYV196618 KIR196612:KIR196618 KSN196612:KSN196618 LCJ196612:LCJ196618 LMF196612:LMF196618 LWB196612:LWB196618 MFX196612:MFX196618 MPT196612:MPT196618 MZP196612:MZP196618 NJL196612:NJL196618 NTH196612:NTH196618 ODD196612:ODD196618 OMZ196612:OMZ196618 OWV196612:OWV196618 PGR196612:PGR196618 PQN196612:PQN196618 QAJ196612:QAJ196618 QKF196612:QKF196618 QUB196612:QUB196618 RDX196612:RDX196618 RNT196612:RNT196618 RXP196612:RXP196618 SHL196612:SHL196618 SRH196612:SRH196618 TBD196612:TBD196618 TKZ196612:TKZ196618 TUV196612:TUV196618 UER196612:UER196618 UON196612:UON196618 UYJ196612:UYJ196618 VIF196612:VIF196618 VSB196612:VSB196618 WBX196612:WBX196618 WLT196612:WLT196618 WVP196612:WVP196618 H262148:H262154 JD262148:JD262154 SZ262148:SZ262154 ACV262148:ACV262154 AMR262148:AMR262154 AWN262148:AWN262154 BGJ262148:BGJ262154 BQF262148:BQF262154 CAB262148:CAB262154 CJX262148:CJX262154 CTT262148:CTT262154 DDP262148:DDP262154 DNL262148:DNL262154 DXH262148:DXH262154 EHD262148:EHD262154 EQZ262148:EQZ262154 FAV262148:FAV262154 FKR262148:FKR262154 FUN262148:FUN262154 GEJ262148:GEJ262154 GOF262148:GOF262154 GYB262148:GYB262154 HHX262148:HHX262154 HRT262148:HRT262154 IBP262148:IBP262154 ILL262148:ILL262154 IVH262148:IVH262154 JFD262148:JFD262154 JOZ262148:JOZ262154 JYV262148:JYV262154 KIR262148:KIR262154 KSN262148:KSN262154 LCJ262148:LCJ262154 LMF262148:LMF262154 LWB262148:LWB262154 MFX262148:MFX262154 MPT262148:MPT262154 MZP262148:MZP262154 NJL262148:NJL262154 NTH262148:NTH262154 ODD262148:ODD262154 OMZ262148:OMZ262154 OWV262148:OWV262154 PGR262148:PGR262154 PQN262148:PQN262154 QAJ262148:QAJ262154 QKF262148:QKF262154 QUB262148:QUB262154 RDX262148:RDX262154 RNT262148:RNT262154 RXP262148:RXP262154 SHL262148:SHL262154 SRH262148:SRH262154 TBD262148:TBD262154 TKZ262148:TKZ262154 TUV262148:TUV262154 UER262148:UER262154 UON262148:UON262154 UYJ262148:UYJ262154 VIF262148:VIF262154 VSB262148:VSB262154 WBX262148:WBX262154 WLT262148:WLT262154 WVP262148:WVP262154 H327684:H327690 JD327684:JD327690 SZ327684:SZ327690 ACV327684:ACV327690 AMR327684:AMR327690 AWN327684:AWN327690 BGJ327684:BGJ327690 BQF327684:BQF327690 CAB327684:CAB327690 CJX327684:CJX327690 CTT327684:CTT327690 DDP327684:DDP327690 DNL327684:DNL327690 DXH327684:DXH327690 EHD327684:EHD327690 EQZ327684:EQZ327690 FAV327684:FAV327690 FKR327684:FKR327690 FUN327684:FUN327690 GEJ327684:GEJ327690 GOF327684:GOF327690 GYB327684:GYB327690 HHX327684:HHX327690 HRT327684:HRT327690 IBP327684:IBP327690 ILL327684:ILL327690 IVH327684:IVH327690 JFD327684:JFD327690 JOZ327684:JOZ327690 JYV327684:JYV327690 KIR327684:KIR327690 KSN327684:KSN327690 LCJ327684:LCJ327690 LMF327684:LMF327690 LWB327684:LWB327690 MFX327684:MFX327690 MPT327684:MPT327690 MZP327684:MZP327690 NJL327684:NJL327690 NTH327684:NTH327690 ODD327684:ODD327690 OMZ327684:OMZ327690 OWV327684:OWV327690 PGR327684:PGR327690 PQN327684:PQN327690 QAJ327684:QAJ327690 QKF327684:QKF327690 QUB327684:QUB327690 RDX327684:RDX327690 RNT327684:RNT327690 RXP327684:RXP327690 SHL327684:SHL327690 SRH327684:SRH327690 TBD327684:TBD327690 TKZ327684:TKZ327690 TUV327684:TUV327690 UER327684:UER327690 UON327684:UON327690 UYJ327684:UYJ327690 VIF327684:VIF327690 VSB327684:VSB327690 WBX327684:WBX327690 WLT327684:WLT327690 WVP327684:WVP327690 H393220:H393226 JD393220:JD393226 SZ393220:SZ393226 ACV393220:ACV393226 AMR393220:AMR393226 AWN393220:AWN393226 BGJ393220:BGJ393226 BQF393220:BQF393226 CAB393220:CAB393226 CJX393220:CJX393226 CTT393220:CTT393226 DDP393220:DDP393226 DNL393220:DNL393226 DXH393220:DXH393226 EHD393220:EHD393226 EQZ393220:EQZ393226 FAV393220:FAV393226 FKR393220:FKR393226 FUN393220:FUN393226 GEJ393220:GEJ393226 GOF393220:GOF393226 GYB393220:GYB393226 HHX393220:HHX393226 HRT393220:HRT393226 IBP393220:IBP393226 ILL393220:ILL393226 IVH393220:IVH393226 JFD393220:JFD393226 JOZ393220:JOZ393226 JYV393220:JYV393226 KIR393220:KIR393226 KSN393220:KSN393226 LCJ393220:LCJ393226 LMF393220:LMF393226 LWB393220:LWB393226 MFX393220:MFX393226 MPT393220:MPT393226 MZP393220:MZP393226 NJL393220:NJL393226 NTH393220:NTH393226 ODD393220:ODD393226 OMZ393220:OMZ393226 OWV393220:OWV393226 PGR393220:PGR393226 PQN393220:PQN393226 QAJ393220:QAJ393226 QKF393220:QKF393226 QUB393220:QUB393226 RDX393220:RDX393226 RNT393220:RNT393226 RXP393220:RXP393226 SHL393220:SHL393226 SRH393220:SRH393226 TBD393220:TBD393226 TKZ393220:TKZ393226 TUV393220:TUV393226 UER393220:UER393226 UON393220:UON393226 UYJ393220:UYJ393226 VIF393220:VIF393226 VSB393220:VSB393226 WBX393220:WBX393226 WLT393220:WLT393226 WVP393220:WVP393226 H458756:H458762 JD458756:JD458762 SZ458756:SZ458762 ACV458756:ACV458762 AMR458756:AMR458762 AWN458756:AWN458762 BGJ458756:BGJ458762 BQF458756:BQF458762 CAB458756:CAB458762 CJX458756:CJX458762 CTT458756:CTT458762 DDP458756:DDP458762 DNL458756:DNL458762 DXH458756:DXH458762 EHD458756:EHD458762 EQZ458756:EQZ458762 FAV458756:FAV458762 FKR458756:FKR458762 FUN458756:FUN458762 GEJ458756:GEJ458762 GOF458756:GOF458762 GYB458756:GYB458762 HHX458756:HHX458762 HRT458756:HRT458762 IBP458756:IBP458762 ILL458756:ILL458762 IVH458756:IVH458762 JFD458756:JFD458762 JOZ458756:JOZ458762 JYV458756:JYV458762 KIR458756:KIR458762 KSN458756:KSN458762 LCJ458756:LCJ458762 LMF458756:LMF458762 LWB458756:LWB458762 MFX458756:MFX458762 MPT458756:MPT458762 MZP458756:MZP458762 NJL458756:NJL458762 NTH458756:NTH458762 ODD458756:ODD458762 OMZ458756:OMZ458762 OWV458756:OWV458762 PGR458756:PGR458762 PQN458756:PQN458762 QAJ458756:QAJ458762 QKF458756:QKF458762 QUB458756:QUB458762 RDX458756:RDX458762 RNT458756:RNT458762 RXP458756:RXP458762 SHL458756:SHL458762 SRH458756:SRH458762 TBD458756:TBD458762 TKZ458756:TKZ458762 TUV458756:TUV458762 UER458756:UER458762 UON458756:UON458762 UYJ458756:UYJ458762 VIF458756:VIF458762 VSB458756:VSB458762 WBX458756:WBX458762 WLT458756:WLT458762 WVP458756:WVP458762 H524292:H524298 JD524292:JD524298 SZ524292:SZ524298 ACV524292:ACV524298 AMR524292:AMR524298 AWN524292:AWN524298 BGJ524292:BGJ524298 BQF524292:BQF524298 CAB524292:CAB524298 CJX524292:CJX524298 CTT524292:CTT524298 DDP524292:DDP524298 DNL524292:DNL524298 DXH524292:DXH524298 EHD524292:EHD524298 EQZ524292:EQZ524298 FAV524292:FAV524298 FKR524292:FKR524298 FUN524292:FUN524298 GEJ524292:GEJ524298 GOF524292:GOF524298 GYB524292:GYB524298 HHX524292:HHX524298 HRT524292:HRT524298 IBP524292:IBP524298 ILL524292:ILL524298 IVH524292:IVH524298 JFD524292:JFD524298 JOZ524292:JOZ524298 JYV524292:JYV524298 KIR524292:KIR524298 KSN524292:KSN524298 LCJ524292:LCJ524298 LMF524292:LMF524298 LWB524292:LWB524298 MFX524292:MFX524298 MPT524292:MPT524298 MZP524292:MZP524298 NJL524292:NJL524298 NTH524292:NTH524298 ODD524292:ODD524298 OMZ524292:OMZ524298 OWV524292:OWV524298 PGR524292:PGR524298 PQN524292:PQN524298 QAJ524292:QAJ524298 QKF524292:QKF524298 QUB524292:QUB524298 RDX524292:RDX524298 RNT524292:RNT524298 RXP524292:RXP524298 SHL524292:SHL524298 SRH524292:SRH524298 TBD524292:TBD524298 TKZ524292:TKZ524298 TUV524292:TUV524298 UER524292:UER524298 UON524292:UON524298 UYJ524292:UYJ524298 VIF524292:VIF524298 VSB524292:VSB524298 WBX524292:WBX524298 WLT524292:WLT524298 WVP524292:WVP524298 H589828:H589834 JD589828:JD589834 SZ589828:SZ589834 ACV589828:ACV589834 AMR589828:AMR589834 AWN589828:AWN589834 BGJ589828:BGJ589834 BQF589828:BQF589834 CAB589828:CAB589834 CJX589828:CJX589834 CTT589828:CTT589834 DDP589828:DDP589834 DNL589828:DNL589834 DXH589828:DXH589834 EHD589828:EHD589834 EQZ589828:EQZ589834 FAV589828:FAV589834 FKR589828:FKR589834 FUN589828:FUN589834 GEJ589828:GEJ589834 GOF589828:GOF589834 GYB589828:GYB589834 HHX589828:HHX589834 HRT589828:HRT589834 IBP589828:IBP589834 ILL589828:ILL589834 IVH589828:IVH589834 JFD589828:JFD589834 JOZ589828:JOZ589834 JYV589828:JYV589834 KIR589828:KIR589834 KSN589828:KSN589834 LCJ589828:LCJ589834 LMF589828:LMF589834 LWB589828:LWB589834 MFX589828:MFX589834 MPT589828:MPT589834 MZP589828:MZP589834 NJL589828:NJL589834 NTH589828:NTH589834 ODD589828:ODD589834 OMZ589828:OMZ589834 OWV589828:OWV589834 PGR589828:PGR589834 PQN589828:PQN589834 QAJ589828:QAJ589834 QKF589828:QKF589834 QUB589828:QUB589834 RDX589828:RDX589834 RNT589828:RNT589834 RXP589828:RXP589834 SHL589828:SHL589834 SRH589828:SRH589834 TBD589828:TBD589834 TKZ589828:TKZ589834 TUV589828:TUV589834 UER589828:UER589834 UON589828:UON589834 UYJ589828:UYJ589834 VIF589828:VIF589834 VSB589828:VSB589834 WBX589828:WBX589834 WLT589828:WLT589834 WVP589828:WVP589834 H655364:H655370 JD655364:JD655370 SZ655364:SZ655370 ACV655364:ACV655370 AMR655364:AMR655370 AWN655364:AWN655370 BGJ655364:BGJ655370 BQF655364:BQF655370 CAB655364:CAB655370 CJX655364:CJX655370 CTT655364:CTT655370 DDP655364:DDP655370 DNL655364:DNL655370 DXH655364:DXH655370 EHD655364:EHD655370 EQZ655364:EQZ655370 FAV655364:FAV655370 FKR655364:FKR655370 FUN655364:FUN655370 GEJ655364:GEJ655370 GOF655364:GOF655370 GYB655364:GYB655370 HHX655364:HHX655370 HRT655364:HRT655370 IBP655364:IBP655370 ILL655364:ILL655370 IVH655364:IVH655370 JFD655364:JFD655370 JOZ655364:JOZ655370 JYV655364:JYV655370 KIR655364:KIR655370 KSN655364:KSN655370 LCJ655364:LCJ655370 LMF655364:LMF655370 LWB655364:LWB655370 MFX655364:MFX655370 MPT655364:MPT655370 MZP655364:MZP655370 NJL655364:NJL655370 NTH655364:NTH655370 ODD655364:ODD655370 OMZ655364:OMZ655370 OWV655364:OWV655370 PGR655364:PGR655370 PQN655364:PQN655370 QAJ655364:QAJ655370 QKF655364:QKF655370 QUB655364:QUB655370 RDX655364:RDX655370 RNT655364:RNT655370 RXP655364:RXP655370 SHL655364:SHL655370 SRH655364:SRH655370 TBD655364:TBD655370 TKZ655364:TKZ655370 TUV655364:TUV655370 UER655364:UER655370 UON655364:UON655370 UYJ655364:UYJ655370 VIF655364:VIF655370 VSB655364:VSB655370 WBX655364:WBX655370 WLT655364:WLT655370 WVP655364:WVP655370 H720900:H720906 JD720900:JD720906 SZ720900:SZ720906 ACV720900:ACV720906 AMR720900:AMR720906 AWN720900:AWN720906 BGJ720900:BGJ720906 BQF720900:BQF720906 CAB720900:CAB720906 CJX720900:CJX720906 CTT720900:CTT720906 DDP720900:DDP720906 DNL720900:DNL720906 DXH720900:DXH720906 EHD720900:EHD720906 EQZ720900:EQZ720906 FAV720900:FAV720906 FKR720900:FKR720906 FUN720900:FUN720906 GEJ720900:GEJ720906 GOF720900:GOF720906 GYB720900:GYB720906 HHX720900:HHX720906 HRT720900:HRT720906 IBP720900:IBP720906 ILL720900:ILL720906 IVH720900:IVH720906 JFD720900:JFD720906 JOZ720900:JOZ720906 JYV720900:JYV720906 KIR720900:KIR720906 KSN720900:KSN720906 LCJ720900:LCJ720906 LMF720900:LMF720906 LWB720900:LWB720906 MFX720900:MFX720906 MPT720900:MPT720906 MZP720900:MZP720906 NJL720900:NJL720906 NTH720900:NTH720906 ODD720900:ODD720906 OMZ720900:OMZ720906 OWV720900:OWV720906 PGR720900:PGR720906 PQN720900:PQN720906 QAJ720900:QAJ720906 QKF720900:QKF720906 QUB720900:QUB720906 RDX720900:RDX720906 RNT720900:RNT720906 RXP720900:RXP720906 SHL720900:SHL720906 SRH720900:SRH720906 TBD720900:TBD720906 TKZ720900:TKZ720906 TUV720900:TUV720906 UER720900:UER720906 UON720900:UON720906 UYJ720900:UYJ720906 VIF720900:VIF720906 VSB720900:VSB720906 WBX720900:WBX720906 WLT720900:WLT720906 WVP720900:WVP720906 H786436:H786442 JD786436:JD786442 SZ786436:SZ786442 ACV786436:ACV786442 AMR786436:AMR786442 AWN786436:AWN786442 BGJ786436:BGJ786442 BQF786436:BQF786442 CAB786436:CAB786442 CJX786436:CJX786442 CTT786436:CTT786442 DDP786436:DDP786442 DNL786436:DNL786442 DXH786436:DXH786442 EHD786436:EHD786442 EQZ786436:EQZ786442 FAV786436:FAV786442 FKR786436:FKR786442 FUN786436:FUN786442 GEJ786436:GEJ786442 GOF786436:GOF786442 GYB786436:GYB786442 HHX786436:HHX786442 HRT786436:HRT786442 IBP786436:IBP786442 ILL786436:ILL786442 IVH786436:IVH786442 JFD786436:JFD786442 JOZ786436:JOZ786442 JYV786436:JYV786442 KIR786436:KIR786442 KSN786436:KSN786442 LCJ786436:LCJ786442 LMF786436:LMF786442 LWB786436:LWB786442 MFX786436:MFX786442 MPT786436:MPT786442 MZP786436:MZP786442 NJL786436:NJL786442 NTH786436:NTH786442 ODD786436:ODD786442 OMZ786436:OMZ786442 OWV786436:OWV786442 PGR786436:PGR786442 PQN786436:PQN786442 QAJ786436:QAJ786442 QKF786436:QKF786442 QUB786436:QUB786442 RDX786436:RDX786442 RNT786436:RNT786442 RXP786436:RXP786442 SHL786436:SHL786442 SRH786436:SRH786442 TBD786436:TBD786442 TKZ786436:TKZ786442 TUV786436:TUV786442 UER786436:UER786442 UON786436:UON786442 UYJ786436:UYJ786442 VIF786436:VIF786442 VSB786436:VSB786442 WBX786436:WBX786442 WLT786436:WLT786442 WVP786436:WVP786442 H851972:H851978 JD851972:JD851978 SZ851972:SZ851978 ACV851972:ACV851978 AMR851972:AMR851978 AWN851972:AWN851978 BGJ851972:BGJ851978 BQF851972:BQF851978 CAB851972:CAB851978 CJX851972:CJX851978 CTT851972:CTT851978 DDP851972:DDP851978 DNL851972:DNL851978 DXH851972:DXH851978 EHD851972:EHD851978 EQZ851972:EQZ851978 FAV851972:FAV851978 FKR851972:FKR851978 FUN851972:FUN851978 GEJ851972:GEJ851978 GOF851972:GOF851978 GYB851972:GYB851978 HHX851972:HHX851978 HRT851972:HRT851978 IBP851972:IBP851978 ILL851972:ILL851978 IVH851972:IVH851978 JFD851972:JFD851978 JOZ851972:JOZ851978 JYV851972:JYV851978 KIR851972:KIR851978 KSN851972:KSN851978 LCJ851972:LCJ851978 LMF851972:LMF851978 LWB851972:LWB851978 MFX851972:MFX851978 MPT851972:MPT851978 MZP851972:MZP851978 NJL851972:NJL851978 NTH851972:NTH851978 ODD851972:ODD851978 OMZ851972:OMZ851978 OWV851972:OWV851978 PGR851972:PGR851978 PQN851972:PQN851978 QAJ851972:QAJ851978 QKF851972:QKF851978 QUB851972:QUB851978 RDX851972:RDX851978 RNT851972:RNT851978 RXP851972:RXP851978 SHL851972:SHL851978 SRH851972:SRH851978 TBD851972:TBD851978 TKZ851972:TKZ851978 TUV851972:TUV851978 UER851972:UER851978 UON851972:UON851978 UYJ851972:UYJ851978 VIF851972:VIF851978 VSB851972:VSB851978 WBX851972:WBX851978 WLT851972:WLT851978 WVP851972:WVP851978 H917508:H917514 JD917508:JD917514 SZ917508:SZ917514 ACV917508:ACV917514 AMR917508:AMR917514 AWN917508:AWN917514 BGJ917508:BGJ917514 BQF917508:BQF917514 CAB917508:CAB917514 CJX917508:CJX917514 CTT917508:CTT917514 DDP917508:DDP917514 DNL917508:DNL917514 DXH917508:DXH917514 EHD917508:EHD917514 EQZ917508:EQZ917514 FAV917508:FAV917514 FKR917508:FKR917514 FUN917508:FUN917514 GEJ917508:GEJ917514 GOF917508:GOF917514 GYB917508:GYB917514 HHX917508:HHX917514 HRT917508:HRT917514 IBP917508:IBP917514 ILL917508:ILL917514 IVH917508:IVH917514 JFD917508:JFD917514 JOZ917508:JOZ917514 JYV917508:JYV917514 KIR917508:KIR917514 KSN917508:KSN917514 LCJ917508:LCJ917514 LMF917508:LMF917514 LWB917508:LWB917514 MFX917508:MFX917514 MPT917508:MPT917514 MZP917508:MZP917514 NJL917508:NJL917514 NTH917508:NTH917514 ODD917508:ODD917514 OMZ917508:OMZ917514 OWV917508:OWV917514 PGR917508:PGR917514 PQN917508:PQN917514 QAJ917508:QAJ917514 QKF917508:QKF917514 QUB917508:QUB917514 RDX917508:RDX917514 RNT917508:RNT917514 RXP917508:RXP917514 SHL917508:SHL917514 SRH917508:SRH917514 TBD917508:TBD917514 TKZ917508:TKZ917514 TUV917508:TUV917514 UER917508:UER917514 UON917508:UON917514 UYJ917508:UYJ917514 VIF917508:VIF917514 VSB917508:VSB917514 WBX917508:WBX917514 WLT917508:WLT917514 WVP917508:WVP917514 H983044:H983050 JD983044:JD983050 SZ983044:SZ983050 ACV983044:ACV983050 AMR983044:AMR983050 AWN983044:AWN983050 BGJ983044:BGJ983050 BQF983044:BQF983050 CAB983044:CAB983050 CJX983044:CJX983050 CTT983044:CTT983050 DDP983044:DDP983050 DNL983044:DNL983050 DXH983044:DXH983050 EHD983044:EHD983050 EQZ983044:EQZ983050 FAV983044:FAV983050 FKR983044:FKR983050 FUN983044:FUN983050 GEJ983044:GEJ983050 GOF983044:GOF983050 GYB983044:GYB983050 HHX983044:HHX983050 HRT983044:HRT983050 IBP983044:IBP983050 ILL983044:ILL983050 IVH983044:IVH983050 JFD983044:JFD983050 JOZ983044:JOZ983050 JYV983044:JYV983050 KIR983044:KIR983050 KSN983044:KSN983050 LCJ983044:LCJ983050 LMF983044:LMF983050 LWB983044:LWB983050 MFX983044:MFX983050 MPT983044:MPT983050 MZP983044:MZP983050 NJL983044:NJL983050 NTH983044:NTH983050 ODD983044:ODD983050 OMZ983044:OMZ983050 OWV983044:OWV983050 PGR983044:PGR983050 PQN983044:PQN983050 QAJ983044:QAJ983050 QKF983044:QKF983050 QUB983044:QUB983050 RDX983044:RDX983050 RNT983044:RNT983050 RXP983044:RXP983050 SHL983044:SHL983050 SRH983044:SRH983050 TBD983044:TBD983050 TKZ983044:TKZ983050 TUV983044:TUV983050 UER983044:UER983050 UON983044:UON983050 UYJ983044:UYJ983050 VIF983044:VIF983050 VSB983044:VSB983050 WBX983044:WBX983050 WLT983044:WLT983050 WVP983044:WVP983050 WBX8:WBX10 WVP8:WVP10 WLT8:WLT10 JD8:JD10 SZ8:SZ10 ACV8:ACV10 AMR8:AMR10 AWN8:AWN10 BGJ8:BGJ10 BQF8:BQF10 CAB8:CAB10 CJX8:CJX10 CTT8:CTT10 DDP8:DDP10 DNL8:DNL10 DXH8:DXH10 EHD8:EHD10 EQZ8:EQZ10 FAV8:FAV10 FKR8:FKR10 FUN8:FUN10 GEJ8:GEJ10 GOF8:GOF10 GYB8:GYB10 HHX8:HHX10 HRT8:HRT10 IBP8:IBP10 ILL8:ILL10 IVH8:IVH10 JFD8:JFD10 JOZ8:JOZ10 JYV8:JYV10 KIR8:KIR10 KSN8:KSN10 LCJ8:LCJ10 LMF8:LMF10 LWB8:LWB10 MFX8:MFX10 MPT8:MPT10 MZP8:MZP10 NJL8:NJL10 NTH8:NTH10 ODD8:ODD10 OMZ8:OMZ10 OWV8:OWV10 PGR8:PGR10 PQN8:PQN10 QAJ8:QAJ10 QKF8:QKF10 QUB8:QUB10 RDX8:RDX10 RNT8:RNT10 RXP8:RXP10 SHL8:SHL10 SRH8:SRH10 TBD8:TBD10 TKZ8:TKZ10 TUV8:TUV10 UER8:UER10 UON8:UON10 UYJ8:UYJ10 VIF8:VIF10 VSB8:VSB10 H8:H10">
      <formula1>$AI$1:$AI$3</formula1>
    </dataValidation>
    <dataValidation type="list" allowBlank="1" showInputMessage="1" showErrorMessage="1" sqref="AE65540:AE65546 KA65540:KA65546 TW65540:TW65546 ADS65540:ADS65546 ANO65540:ANO65546 AXK65540:AXK65546 BHG65540:BHG65546 BRC65540:BRC65546 CAY65540:CAY65546 CKU65540:CKU65546 CUQ65540:CUQ65546 DEM65540:DEM65546 DOI65540:DOI65546 DYE65540:DYE65546 EIA65540:EIA65546 ERW65540:ERW65546 FBS65540:FBS65546 FLO65540:FLO65546 FVK65540:FVK65546 GFG65540:GFG65546 GPC65540:GPC65546 GYY65540:GYY65546 HIU65540:HIU65546 HSQ65540:HSQ65546 ICM65540:ICM65546 IMI65540:IMI65546 IWE65540:IWE65546 JGA65540:JGA65546 JPW65540:JPW65546 JZS65540:JZS65546 KJO65540:KJO65546 KTK65540:KTK65546 LDG65540:LDG65546 LNC65540:LNC65546 LWY65540:LWY65546 MGU65540:MGU65546 MQQ65540:MQQ65546 NAM65540:NAM65546 NKI65540:NKI65546 NUE65540:NUE65546 OEA65540:OEA65546 ONW65540:ONW65546 OXS65540:OXS65546 PHO65540:PHO65546 PRK65540:PRK65546 QBG65540:QBG65546 QLC65540:QLC65546 QUY65540:QUY65546 REU65540:REU65546 ROQ65540:ROQ65546 RYM65540:RYM65546 SII65540:SII65546 SSE65540:SSE65546 TCA65540:TCA65546 TLW65540:TLW65546 TVS65540:TVS65546 UFO65540:UFO65546 UPK65540:UPK65546 UZG65540:UZG65546 VJC65540:VJC65546 VSY65540:VSY65546 WCU65540:WCU65546 WMQ65540:WMQ65546 WWM65540:WWM65546 AE131076:AE131082 KA131076:KA131082 TW131076:TW131082 ADS131076:ADS131082 ANO131076:ANO131082 AXK131076:AXK131082 BHG131076:BHG131082 BRC131076:BRC131082 CAY131076:CAY131082 CKU131076:CKU131082 CUQ131076:CUQ131082 DEM131076:DEM131082 DOI131076:DOI131082 DYE131076:DYE131082 EIA131076:EIA131082 ERW131076:ERW131082 FBS131076:FBS131082 FLO131076:FLO131082 FVK131076:FVK131082 GFG131076:GFG131082 GPC131076:GPC131082 GYY131076:GYY131082 HIU131076:HIU131082 HSQ131076:HSQ131082 ICM131076:ICM131082 IMI131076:IMI131082 IWE131076:IWE131082 JGA131076:JGA131082 JPW131076:JPW131082 JZS131076:JZS131082 KJO131076:KJO131082 KTK131076:KTK131082 LDG131076:LDG131082 LNC131076:LNC131082 LWY131076:LWY131082 MGU131076:MGU131082 MQQ131076:MQQ131082 NAM131076:NAM131082 NKI131076:NKI131082 NUE131076:NUE131082 OEA131076:OEA131082 ONW131076:ONW131082 OXS131076:OXS131082 PHO131076:PHO131082 PRK131076:PRK131082 QBG131076:QBG131082 QLC131076:QLC131082 QUY131076:QUY131082 REU131076:REU131082 ROQ131076:ROQ131082 RYM131076:RYM131082 SII131076:SII131082 SSE131076:SSE131082 TCA131076:TCA131082 TLW131076:TLW131082 TVS131076:TVS131082 UFO131076:UFO131082 UPK131076:UPK131082 UZG131076:UZG131082 VJC131076:VJC131082 VSY131076:VSY131082 WCU131076:WCU131082 WMQ131076:WMQ131082 WWM131076:WWM131082 AE196612:AE196618 KA196612:KA196618 TW196612:TW196618 ADS196612:ADS196618 ANO196612:ANO196618 AXK196612:AXK196618 BHG196612:BHG196618 BRC196612:BRC196618 CAY196612:CAY196618 CKU196612:CKU196618 CUQ196612:CUQ196618 DEM196612:DEM196618 DOI196612:DOI196618 DYE196612:DYE196618 EIA196612:EIA196618 ERW196612:ERW196618 FBS196612:FBS196618 FLO196612:FLO196618 FVK196612:FVK196618 GFG196612:GFG196618 GPC196612:GPC196618 GYY196612:GYY196618 HIU196612:HIU196618 HSQ196612:HSQ196618 ICM196612:ICM196618 IMI196612:IMI196618 IWE196612:IWE196618 JGA196612:JGA196618 JPW196612:JPW196618 JZS196612:JZS196618 KJO196612:KJO196618 KTK196612:KTK196618 LDG196612:LDG196618 LNC196612:LNC196618 LWY196612:LWY196618 MGU196612:MGU196618 MQQ196612:MQQ196618 NAM196612:NAM196618 NKI196612:NKI196618 NUE196612:NUE196618 OEA196612:OEA196618 ONW196612:ONW196618 OXS196612:OXS196618 PHO196612:PHO196618 PRK196612:PRK196618 QBG196612:QBG196618 QLC196612:QLC196618 QUY196612:QUY196618 REU196612:REU196618 ROQ196612:ROQ196618 RYM196612:RYM196618 SII196612:SII196618 SSE196612:SSE196618 TCA196612:TCA196618 TLW196612:TLW196618 TVS196612:TVS196618 UFO196612:UFO196618 UPK196612:UPK196618 UZG196612:UZG196618 VJC196612:VJC196618 VSY196612:VSY196618 WCU196612:WCU196618 WMQ196612:WMQ196618 WWM196612:WWM196618 AE262148:AE262154 KA262148:KA262154 TW262148:TW262154 ADS262148:ADS262154 ANO262148:ANO262154 AXK262148:AXK262154 BHG262148:BHG262154 BRC262148:BRC262154 CAY262148:CAY262154 CKU262148:CKU262154 CUQ262148:CUQ262154 DEM262148:DEM262154 DOI262148:DOI262154 DYE262148:DYE262154 EIA262148:EIA262154 ERW262148:ERW262154 FBS262148:FBS262154 FLO262148:FLO262154 FVK262148:FVK262154 GFG262148:GFG262154 GPC262148:GPC262154 GYY262148:GYY262154 HIU262148:HIU262154 HSQ262148:HSQ262154 ICM262148:ICM262154 IMI262148:IMI262154 IWE262148:IWE262154 JGA262148:JGA262154 JPW262148:JPW262154 JZS262148:JZS262154 KJO262148:KJO262154 KTK262148:KTK262154 LDG262148:LDG262154 LNC262148:LNC262154 LWY262148:LWY262154 MGU262148:MGU262154 MQQ262148:MQQ262154 NAM262148:NAM262154 NKI262148:NKI262154 NUE262148:NUE262154 OEA262148:OEA262154 ONW262148:ONW262154 OXS262148:OXS262154 PHO262148:PHO262154 PRK262148:PRK262154 QBG262148:QBG262154 QLC262148:QLC262154 QUY262148:QUY262154 REU262148:REU262154 ROQ262148:ROQ262154 RYM262148:RYM262154 SII262148:SII262154 SSE262148:SSE262154 TCA262148:TCA262154 TLW262148:TLW262154 TVS262148:TVS262154 UFO262148:UFO262154 UPK262148:UPK262154 UZG262148:UZG262154 VJC262148:VJC262154 VSY262148:VSY262154 WCU262148:WCU262154 WMQ262148:WMQ262154 WWM262148:WWM262154 AE327684:AE327690 KA327684:KA327690 TW327684:TW327690 ADS327684:ADS327690 ANO327684:ANO327690 AXK327684:AXK327690 BHG327684:BHG327690 BRC327684:BRC327690 CAY327684:CAY327690 CKU327684:CKU327690 CUQ327684:CUQ327690 DEM327684:DEM327690 DOI327684:DOI327690 DYE327684:DYE327690 EIA327684:EIA327690 ERW327684:ERW327690 FBS327684:FBS327690 FLO327684:FLO327690 FVK327684:FVK327690 GFG327684:GFG327690 GPC327684:GPC327690 GYY327684:GYY327690 HIU327684:HIU327690 HSQ327684:HSQ327690 ICM327684:ICM327690 IMI327684:IMI327690 IWE327684:IWE327690 JGA327684:JGA327690 JPW327684:JPW327690 JZS327684:JZS327690 KJO327684:KJO327690 KTK327684:KTK327690 LDG327684:LDG327690 LNC327684:LNC327690 LWY327684:LWY327690 MGU327684:MGU327690 MQQ327684:MQQ327690 NAM327684:NAM327690 NKI327684:NKI327690 NUE327684:NUE327690 OEA327684:OEA327690 ONW327684:ONW327690 OXS327684:OXS327690 PHO327684:PHO327690 PRK327684:PRK327690 QBG327684:QBG327690 QLC327684:QLC327690 QUY327684:QUY327690 REU327684:REU327690 ROQ327684:ROQ327690 RYM327684:RYM327690 SII327684:SII327690 SSE327684:SSE327690 TCA327684:TCA327690 TLW327684:TLW327690 TVS327684:TVS327690 UFO327684:UFO327690 UPK327684:UPK327690 UZG327684:UZG327690 VJC327684:VJC327690 VSY327684:VSY327690 WCU327684:WCU327690 WMQ327684:WMQ327690 WWM327684:WWM327690 AE393220:AE393226 KA393220:KA393226 TW393220:TW393226 ADS393220:ADS393226 ANO393220:ANO393226 AXK393220:AXK393226 BHG393220:BHG393226 BRC393220:BRC393226 CAY393220:CAY393226 CKU393220:CKU393226 CUQ393220:CUQ393226 DEM393220:DEM393226 DOI393220:DOI393226 DYE393220:DYE393226 EIA393220:EIA393226 ERW393220:ERW393226 FBS393220:FBS393226 FLO393220:FLO393226 FVK393220:FVK393226 GFG393220:GFG393226 GPC393220:GPC393226 GYY393220:GYY393226 HIU393220:HIU393226 HSQ393220:HSQ393226 ICM393220:ICM393226 IMI393220:IMI393226 IWE393220:IWE393226 JGA393220:JGA393226 JPW393220:JPW393226 JZS393220:JZS393226 KJO393220:KJO393226 KTK393220:KTK393226 LDG393220:LDG393226 LNC393220:LNC393226 LWY393220:LWY393226 MGU393220:MGU393226 MQQ393220:MQQ393226 NAM393220:NAM393226 NKI393220:NKI393226 NUE393220:NUE393226 OEA393220:OEA393226 ONW393220:ONW393226 OXS393220:OXS393226 PHO393220:PHO393226 PRK393220:PRK393226 QBG393220:QBG393226 QLC393220:QLC393226 QUY393220:QUY393226 REU393220:REU393226 ROQ393220:ROQ393226 RYM393220:RYM393226 SII393220:SII393226 SSE393220:SSE393226 TCA393220:TCA393226 TLW393220:TLW393226 TVS393220:TVS393226 UFO393220:UFO393226 UPK393220:UPK393226 UZG393220:UZG393226 VJC393220:VJC393226 VSY393220:VSY393226 WCU393220:WCU393226 WMQ393220:WMQ393226 WWM393220:WWM393226 AE458756:AE458762 KA458756:KA458762 TW458756:TW458762 ADS458756:ADS458762 ANO458756:ANO458762 AXK458756:AXK458762 BHG458756:BHG458762 BRC458756:BRC458762 CAY458756:CAY458762 CKU458756:CKU458762 CUQ458756:CUQ458762 DEM458756:DEM458762 DOI458756:DOI458762 DYE458756:DYE458762 EIA458756:EIA458762 ERW458756:ERW458762 FBS458756:FBS458762 FLO458756:FLO458762 FVK458756:FVK458762 GFG458756:GFG458762 GPC458756:GPC458762 GYY458756:GYY458762 HIU458756:HIU458762 HSQ458756:HSQ458762 ICM458756:ICM458762 IMI458756:IMI458762 IWE458756:IWE458762 JGA458756:JGA458762 JPW458756:JPW458762 JZS458756:JZS458762 KJO458756:KJO458762 KTK458756:KTK458762 LDG458756:LDG458762 LNC458756:LNC458762 LWY458756:LWY458762 MGU458756:MGU458762 MQQ458756:MQQ458762 NAM458756:NAM458762 NKI458756:NKI458762 NUE458756:NUE458762 OEA458756:OEA458762 ONW458756:ONW458762 OXS458756:OXS458762 PHO458756:PHO458762 PRK458756:PRK458762 QBG458756:QBG458762 QLC458756:QLC458762 QUY458756:QUY458762 REU458756:REU458762 ROQ458756:ROQ458762 RYM458756:RYM458762 SII458756:SII458762 SSE458756:SSE458762 TCA458756:TCA458762 TLW458756:TLW458762 TVS458756:TVS458762 UFO458756:UFO458762 UPK458756:UPK458762 UZG458756:UZG458762 VJC458756:VJC458762 VSY458756:VSY458762 WCU458756:WCU458762 WMQ458756:WMQ458762 WWM458756:WWM458762 AE524292:AE524298 KA524292:KA524298 TW524292:TW524298 ADS524292:ADS524298 ANO524292:ANO524298 AXK524292:AXK524298 BHG524292:BHG524298 BRC524292:BRC524298 CAY524292:CAY524298 CKU524292:CKU524298 CUQ524292:CUQ524298 DEM524292:DEM524298 DOI524292:DOI524298 DYE524292:DYE524298 EIA524292:EIA524298 ERW524292:ERW524298 FBS524292:FBS524298 FLO524292:FLO524298 FVK524292:FVK524298 GFG524292:GFG524298 GPC524292:GPC524298 GYY524292:GYY524298 HIU524292:HIU524298 HSQ524292:HSQ524298 ICM524292:ICM524298 IMI524292:IMI524298 IWE524292:IWE524298 JGA524292:JGA524298 JPW524292:JPW524298 JZS524292:JZS524298 KJO524292:KJO524298 KTK524292:KTK524298 LDG524292:LDG524298 LNC524292:LNC524298 LWY524292:LWY524298 MGU524292:MGU524298 MQQ524292:MQQ524298 NAM524292:NAM524298 NKI524292:NKI524298 NUE524292:NUE524298 OEA524292:OEA524298 ONW524292:ONW524298 OXS524292:OXS524298 PHO524292:PHO524298 PRK524292:PRK524298 QBG524292:QBG524298 QLC524292:QLC524298 QUY524292:QUY524298 REU524292:REU524298 ROQ524292:ROQ524298 RYM524292:RYM524298 SII524292:SII524298 SSE524292:SSE524298 TCA524292:TCA524298 TLW524292:TLW524298 TVS524292:TVS524298 UFO524292:UFO524298 UPK524292:UPK524298 UZG524292:UZG524298 VJC524292:VJC524298 VSY524292:VSY524298 WCU524292:WCU524298 WMQ524292:WMQ524298 WWM524292:WWM524298 AE589828:AE589834 KA589828:KA589834 TW589828:TW589834 ADS589828:ADS589834 ANO589828:ANO589834 AXK589828:AXK589834 BHG589828:BHG589834 BRC589828:BRC589834 CAY589828:CAY589834 CKU589828:CKU589834 CUQ589828:CUQ589834 DEM589828:DEM589834 DOI589828:DOI589834 DYE589828:DYE589834 EIA589828:EIA589834 ERW589828:ERW589834 FBS589828:FBS589834 FLO589828:FLO589834 FVK589828:FVK589834 GFG589828:GFG589834 GPC589828:GPC589834 GYY589828:GYY589834 HIU589828:HIU589834 HSQ589828:HSQ589834 ICM589828:ICM589834 IMI589828:IMI589834 IWE589828:IWE589834 JGA589828:JGA589834 JPW589828:JPW589834 JZS589828:JZS589834 KJO589828:KJO589834 KTK589828:KTK589834 LDG589828:LDG589834 LNC589828:LNC589834 LWY589828:LWY589834 MGU589828:MGU589834 MQQ589828:MQQ589834 NAM589828:NAM589834 NKI589828:NKI589834 NUE589828:NUE589834 OEA589828:OEA589834 ONW589828:ONW589834 OXS589828:OXS589834 PHO589828:PHO589834 PRK589828:PRK589834 QBG589828:QBG589834 QLC589828:QLC589834 QUY589828:QUY589834 REU589828:REU589834 ROQ589828:ROQ589834 RYM589828:RYM589834 SII589828:SII589834 SSE589828:SSE589834 TCA589828:TCA589834 TLW589828:TLW589834 TVS589828:TVS589834 UFO589828:UFO589834 UPK589828:UPK589834 UZG589828:UZG589834 VJC589828:VJC589834 VSY589828:VSY589834 WCU589828:WCU589834 WMQ589828:WMQ589834 WWM589828:WWM589834 AE655364:AE655370 KA655364:KA655370 TW655364:TW655370 ADS655364:ADS655370 ANO655364:ANO655370 AXK655364:AXK655370 BHG655364:BHG655370 BRC655364:BRC655370 CAY655364:CAY655370 CKU655364:CKU655370 CUQ655364:CUQ655370 DEM655364:DEM655370 DOI655364:DOI655370 DYE655364:DYE655370 EIA655364:EIA655370 ERW655364:ERW655370 FBS655364:FBS655370 FLO655364:FLO655370 FVK655364:FVK655370 GFG655364:GFG655370 GPC655364:GPC655370 GYY655364:GYY655370 HIU655364:HIU655370 HSQ655364:HSQ655370 ICM655364:ICM655370 IMI655364:IMI655370 IWE655364:IWE655370 JGA655364:JGA655370 JPW655364:JPW655370 JZS655364:JZS655370 KJO655364:KJO655370 KTK655364:KTK655370 LDG655364:LDG655370 LNC655364:LNC655370 LWY655364:LWY655370 MGU655364:MGU655370 MQQ655364:MQQ655370 NAM655364:NAM655370 NKI655364:NKI655370 NUE655364:NUE655370 OEA655364:OEA655370 ONW655364:ONW655370 OXS655364:OXS655370 PHO655364:PHO655370 PRK655364:PRK655370 QBG655364:QBG655370 QLC655364:QLC655370 QUY655364:QUY655370 REU655364:REU655370 ROQ655364:ROQ655370 RYM655364:RYM655370 SII655364:SII655370 SSE655364:SSE655370 TCA655364:TCA655370 TLW655364:TLW655370 TVS655364:TVS655370 UFO655364:UFO655370 UPK655364:UPK655370 UZG655364:UZG655370 VJC655364:VJC655370 VSY655364:VSY655370 WCU655364:WCU655370 WMQ655364:WMQ655370 WWM655364:WWM655370 AE720900:AE720906 KA720900:KA720906 TW720900:TW720906 ADS720900:ADS720906 ANO720900:ANO720906 AXK720900:AXK720906 BHG720900:BHG720906 BRC720900:BRC720906 CAY720900:CAY720906 CKU720900:CKU720906 CUQ720900:CUQ720906 DEM720900:DEM720906 DOI720900:DOI720906 DYE720900:DYE720906 EIA720900:EIA720906 ERW720900:ERW720906 FBS720900:FBS720906 FLO720900:FLO720906 FVK720900:FVK720906 GFG720900:GFG720906 GPC720900:GPC720906 GYY720900:GYY720906 HIU720900:HIU720906 HSQ720900:HSQ720906 ICM720900:ICM720906 IMI720900:IMI720906 IWE720900:IWE720906 JGA720900:JGA720906 JPW720900:JPW720906 JZS720900:JZS720906 KJO720900:KJO720906 KTK720900:KTK720906 LDG720900:LDG720906 LNC720900:LNC720906 LWY720900:LWY720906 MGU720900:MGU720906 MQQ720900:MQQ720906 NAM720900:NAM720906 NKI720900:NKI720906 NUE720900:NUE720906 OEA720900:OEA720906 ONW720900:ONW720906 OXS720900:OXS720906 PHO720900:PHO720906 PRK720900:PRK720906 QBG720900:QBG720906 QLC720900:QLC720906 QUY720900:QUY720906 REU720900:REU720906 ROQ720900:ROQ720906 RYM720900:RYM720906 SII720900:SII720906 SSE720900:SSE720906 TCA720900:TCA720906 TLW720900:TLW720906 TVS720900:TVS720906 UFO720900:UFO720906 UPK720900:UPK720906 UZG720900:UZG720906 VJC720900:VJC720906 VSY720900:VSY720906 WCU720900:WCU720906 WMQ720900:WMQ720906 WWM720900:WWM720906 AE786436:AE786442 KA786436:KA786442 TW786436:TW786442 ADS786436:ADS786442 ANO786436:ANO786442 AXK786436:AXK786442 BHG786436:BHG786442 BRC786436:BRC786442 CAY786436:CAY786442 CKU786436:CKU786442 CUQ786436:CUQ786442 DEM786436:DEM786442 DOI786436:DOI786442 DYE786436:DYE786442 EIA786436:EIA786442 ERW786436:ERW786442 FBS786436:FBS786442 FLO786436:FLO786442 FVK786436:FVK786442 GFG786436:GFG786442 GPC786436:GPC786442 GYY786436:GYY786442 HIU786436:HIU786442 HSQ786436:HSQ786442 ICM786436:ICM786442 IMI786436:IMI786442 IWE786436:IWE786442 JGA786436:JGA786442 JPW786436:JPW786442 JZS786436:JZS786442 KJO786436:KJO786442 KTK786436:KTK786442 LDG786436:LDG786442 LNC786436:LNC786442 LWY786436:LWY786442 MGU786436:MGU786442 MQQ786436:MQQ786442 NAM786436:NAM786442 NKI786436:NKI786442 NUE786436:NUE786442 OEA786436:OEA786442 ONW786436:ONW786442 OXS786436:OXS786442 PHO786436:PHO786442 PRK786436:PRK786442 QBG786436:QBG786442 QLC786436:QLC786442 QUY786436:QUY786442 REU786436:REU786442 ROQ786436:ROQ786442 RYM786436:RYM786442 SII786436:SII786442 SSE786436:SSE786442 TCA786436:TCA786442 TLW786436:TLW786442 TVS786436:TVS786442 UFO786436:UFO786442 UPK786436:UPK786442 UZG786436:UZG786442 VJC786436:VJC786442 VSY786436:VSY786442 WCU786436:WCU786442 WMQ786436:WMQ786442 WWM786436:WWM786442 AE851972:AE851978 KA851972:KA851978 TW851972:TW851978 ADS851972:ADS851978 ANO851972:ANO851978 AXK851972:AXK851978 BHG851972:BHG851978 BRC851972:BRC851978 CAY851972:CAY851978 CKU851972:CKU851978 CUQ851972:CUQ851978 DEM851972:DEM851978 DOI851972:DOI851978 DYE851972:DYE851978 EIA851972:EIA851978 ERW851972:ERW851978 FBS851972:FBS851978 FLO851972:FLO851978 FVK851972:FVK851978 GFG851972:GFG851978 GPC851972:GPC851978 GYY851972:GYY851978 HIU851972:HIU851978 HSQ851972:HSQ851978 ICM851972:ICM851978 IMI851972:IMI851978 IWE851972:IWE851978 JGA851972:JGA851978 JPW851972:JPW851978 JZS851972:JZS851978 KJO851972:KJO851978 KTK851972:KTK851978 LDG851972:LDG851978 LNC851972:LNC851978 LWY851972:LWY851978 MGU851972:MGU851978 MQQ851972:MQQ851978 NAM851972:NAM851978 NKI851972:NKI851978 NUE851972:NUE851978 OEA851972:OEA851978 ONW851972:ONW851978 OXS851972:OXS851978 PHO851972:PHO851978 PRK851972:PRK851978 QBG851972:QBG851978 QLC851972:QLC851978 QUY851972:QUY851978 REU851972:REU851978 ROQ851972:ROQ851978 RYM851972:RYM851978 SII851972:SII851978 SSE851972:SSE851978 TCA851972:TCA851978 TLW851972:TLW851978 TVS851972:TVS851978 UFO851972:UFO851978 UPK851972:UPK851978 UZG851972:UZG851978 VJC851972:VJC851978 VSY851972:VSY851978 WCU851972:WCU851978 WMQ851972:WMQ851978 WWM851972:WWM851978 AE917508:AE917514 KA917508:KA917514 TW917508:TW917514 ADS917508:ADS917514 ANO917508:ANO917514 AXK917508:AXK917514 BHG917508:BHG917514 BRC917508:BRC917514 CAY917508:CAY917514 CKU917508:CKU917514 CUQ917508:CUQ917514 DEM917508:DEM917514 DOI917508:DOI917514 DYE917508:DYE917514 EIA917508:EIA917514 ERW917508:ERW917514 FBS917508:FBS917514 FLO917508:FLO917514 FVK917508:FVK917514 GFG917508:GFG917514 GPC917508:GPC917514 GYY917508:GYY917514 HIU917508:HIU917514 HSQ917508:HSQ917514 ICM917508:ICM917514 IMI917508:IMI917514 IWE917508:IWE917514 JGA917508:JGA917514 JPW917508:JPW917514 JZS917508:JZS917514 KJO917508:KJO917514 KTK917508:KTK917514 LDG917508:LDG917514 LNC917508:LNC917514 LWY917508:LWY917514 MGU917508:MGU917514 MQQ917508:MQQ917514 NAM917508:NAM917514 NKI917508:NKI917514 NUE917508:NUE917514 OEA917508:OEA917514 ONW917508:ONW917514 OXS917508:OXS917514 PHO917508:PHO917514 PRK917508:PRK917514 QBG917508:QBG917514 QLC917508:QLC917514 QUY917508:QUY917514 REU917508:REU917514 ROQ917508:ROQ917514 RYM917508:RYM917514 SII917508:SII917514 SSE917508:SSE917514 TCA917508:TCA917514 TLW917508:TLW917514 TVS917508:TVS917514 UFO917508:UFO917514 UPK917508:UPK917514 UZG917508:UZG917514 VJC917508:VJC917514 VSY917508:VSY917514 WCU917508:WCU917514 WMQ917508:WMQ917514 WWM917508:WWM917514 AE983044:AE983050 KA983044:KA983050 TW983044:TW983050 ADS983044:ADS983050 ANO983044:ANO983050 AXK983044:AXK983050 BHG983044:BHG983050 BRC983044:BRC983050 CAY983044:CAY983050 CKU983044:CKU983050 CUQ983044:CUQ983050 DEM983044:DEM983050 DOI983044:DOI983050 DYE983044:DYE983050 EIA983044:EIA983050 ERW983044:ERW983050 FBS983044:FBS983050 FLO983044:FLO983050 FVK983044:FVK983050 GFG983044:GFG983050 GPC983044:GPC983050 GYY983044:GYY983050 HIU983044:HIU983050 HSQ983044:HSQ983050 ICM983044:ICM983050 IMI983044:IMI983050 IWE983044:IWE983050 JGA983044:JGA983050 JPW983044:JPW983050 JZS983044:JZS983050 KJO983044:KJO983050 KTK983044:KTK983050 LDG983044:LDG983050 LNC983044:LNC983050 LWY983044:LWY983050 MGU983044:MGU983050 MQQ983044:MQQ983050 NAM983044:NAM983050 NKI983044:NKI983050 NUE983044:NUE983050 OEA983044:OEA983050 ONW983044:ONW983050 OXS983044:OXS983050 PHO983044:PHO983050 PRK983044:PRK983050 QBG983044:QBG983050 QLC983044:QLC983050 QUY983044:QUY983050 REU983044:REU983050 ROQ983044:ROQ983050 RYM983044:RYM983050 SII983044:SII983050 SSE983044:SSE983050 TCA983044:TCA983050 TLW983044:TLW983050 TVS983044:TVS983050 UFO983044:UFO983050 UPK983044:UPK983050 UZG983044:UZG983050 VJC983044:VJC983050 VSY983044:VSY983050 WCU983044:WCU983050 WMQ983044:WMQ983050 WWM983044:WWM983050 WCU8:WCU10 WMQ8:WMQ10 WWM8:WWM10 VSY8:VSY10 KA8:KA10 TW8:TW10 ADS8:ADS10 ANO8:ANO10 AXK8:AXK10 BHG8:BHG10 BRC8:BRC10 CAY8:CAY10 CKU8:CKU10 CUQ8:CUQ10 DEM8:DEM10 DOI8:DOI10 DYE8:DYE10 EIA8:EIA10 ERW8:ERW10 FBS8:FBS10 FLO8:FLO10 FVK8:FVK10 GFG8:GFG10 GPC8:GPC10 GYY8:GYY10 HIU8:HIU10 HSQ8:HSQ10 ICM8:ICM10 IMI8:IMI10 IWE8:IWE10 JGA8:JGA10 JPW8:JPW10 JZS8:JZS10 KJO8:KJO10 KTK8:KTK10 LDG8:LDG10 LNC8:LNC10 LWY8:LWY10 MGU8:MGU10 MQQ8:MQQ10 NAM8:NAM10 NKI8:NKI10 NUE8:NUE10 OEA8:OEA10 ONW8:ONW10 OXS8:OXS10 PHO8:PHO10 PRK8:PRK10 QBG8:QBG10 QLC8:QLC10 QUY8:QUY10 REU8:REU10 ROQ8:ROQ10 RYM8:RYM10 SII8:SII10 SSE8:SSE10 TCA8:TCA10 TLW8:TLW10 TVS8:TVS10 UFO8:UFO10 UPK8:UPK10 UZG8:UZG10 VJC8:VJC10 AE8:AE10">
      <formula1>$AH$1:$AH$4</formula1>
    </dataValidation>
    <dataValidation type="date" showInputMessage="1" showErrorMessage="1" error="Debe Digitar una Fecha Valida o Verificar la Fecha Inicial" sqref="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AC65542:AC65546 JY65542:JY65546 TU65542:TU65546 ADQ65542:ADQ65546 ANM65542:ANM65546 AXI65542:AXI65546 BHE65542:BHE65546 BRA65542:BRA65546 CAW65542:CAW65546 CKS65542:CKS65546 CUO65542:CUO65546 DEK65542:DEK65546 DOG65542:DOG65546 DYC65542:DYC65546 EHY65542:EHY65546 ERU65542:ERU65546 FBQ65542:FBQ65546 FLM65542:FLM65546 FVI65542:FVI65546 GFE65542:GFE65546 GPA65542:GPA65546 GYW65542:GYW65546 HIS65542:HIS65546 HSO65542:HSO65546 ICK65542:ICK65546 IMG65542:IMG65546 IWC65542:IWC65546 JFY65542:JFY65546 JPU65542:JPU65546 JZQ65542:JZQ65546 KJM65542:KJM65546 KTI65542:KTI65546 LDE65542:LDE65546 LNA65542:LNA65546 LWW65542:LWW65546 MGS65542:MGS65546 MQO65542:MQO65546 NAK65542:NAK65546 NKG65542:NKG65546 NUC65542:NUC65546 ODY65542:ODY65546 ONU65542:ONU65546 OXQ65542:OXQ65546 PHM65542:PHM65546 PRI65542:PRI65546 QBE65542:QBE65546 QLA65542:QLA65546 QUW65542:QUW65546 RES65542:RES65546 ROO65542:ROO65546 RYK65542:RYK65546 SIG65542:SIG65546 SSC65542:SSC65546 TBY65542:TBY65546 TLU65542:TLU65546 TVQ65542:TVQ65546 UFM65542:UFM65546 UPI65542:UPI65546 UZE65542:UZE65546 VJA65542:VJA65546 VSW65542:VSW65546 WCS65542:WCS65546 WMO65542:WMO65546 WWK65542:WWK65546 AC131078:AC131082 JY131078:JY131082 TU131078:TU131082 ADQ131078:ADQ131082 ANM131078:ANM131082 AXI131078:AXI131082 BHE131078:BHE131082 BRA131078:BRA131082 CAW131078:CAW131082 CKS131078:CKS131082 CUO131078:CUO131082 DEK131078:DEK131082 DOG131078:DOG131082 DYC131078:DYC131082 EHY131078:EHY131082 ERU131078:ERU131082 FBQ131078:FBQ131082 FLM131078:FLM131082 FVI131078:FVI131082 GFE131078:GFE131082 GPA131078:GPA131082 GYW131078:GYW131082 HIS131078:HIS131082 HSO131078:HSO131082 ICK131078:ICK131082 IMG131078:IMG131082 IWC131078:IWC131082 JFY131078:JFY131082 JPU131078:JPU131082 JZQ131078:JZQ131082 KJM131078:KJM131082 KTI131078:KTI131082 LDE131078:LDE131082 LNA131078:LNA131082 LWW131078:LWW131082 MGS131078:MGS131082 MQO131078:MQO131082 NAK131078:NAK131082 NKG131078:NKG131082 NUC131078:NUC131082 ODY131078:ODY131082 ONU131078:ONU131082 OXQ131078:OXQ131082 PHM131078:PHM131082 PRI131078:PRI131082 QBE131078:QBE131082 QLA131078:QLA131082 QUW131078:QUW131082 RES131078:RES131082 ROO131078:ROO131082 RYK131078:RYK131082 SIG131078:SIG131082 SSC131078:SSC131082 TBY131078:TBY131082 TLU131078:TLU131082 TVQ131078:TVQ131082 UFM131078:UFM131082 UPI131078:UPI131082 UZE131078:UZE131082 VJA131078:VJA131082 VSW131078:VSW131082 WCS131078:WCS131082 WMO131078:WMO131082 WWK131078:WWK131082 AC196614:AC196618 JY196614:JY196618 TU196614:TU196618 ADQ196614:ADQ196618 ANM196614:ANM196618 AXI196614:AXI196618 BHE196614:BHE196618 BRA196614:BRA196618 CAW196614:CAW196618 CKS196614:CKS196618 CUO196614:CUO196618 DEK196614:DEK196618 DOG196614:DOG196618 DYC196614:DYC196618 EHY196614:EHY196618 ERU196614:ERU196618 FBQ196614:FBQ196618 FLM196614:FLM196618 FVI196614:FVI196618 GFE196614:GFE196618 GPA196614:GPA196618 GYW196614:GYW196618 HIS196614:HIS196618 HSO196614:HSO196618 ICK196614:ICK196618 IMG196614:IMG196618 IWC196614:IWC196618 JFY196614:JFY196618 JPU196614:JPU196618 JZQ196614:JZQ196618 KJM196614:KJM196618 KTI196614:KTI196618 LDE196614:LDE196618 LNA196614:LNA196618 LWW196614:LWW196618 MGS196614:MGS196618 MQO196614:MQO196618 NAK196614:NAK196618 NKG196614:NKG196618 NUC196614:NUC196618 ODY196614:ODY196618 ONU196614:ONU196618 OXQ196614:OXQ196618 PHM196614:PHM196618 PRI196614:PRI196618 QBE196614:QBE196618 QLA196614:QLA196618 QUW196614:QUW196618 RES196614:RES196618 ROO196614:ROO196618 RYK196614:RYK196618 SIG196614:SIG196618 SSC196614:SSC196618 TBY196614:TBY196618 TLU196614:TLU196618 TVQ196614:TVQ196618 UFM196614:UFM196618 UPI196614:UPI196618 UZE196614:UZE196618 VJA196614:VJA196618 VSW196614:VSW196618 WCS196614:WCS196618 WMO196614:WMO196618 WWK196614:WWK196618 AC262150:AC262154 JY262150:JY262154 TU262150:TU262154 ADQ262150:ADQ262154 ANM262150:ANM262154 AXI262150:AXI262154 BHE262150:BHE262154 BRA262150:BRA262154 CAW262150:CAW262154 CKS262150:CKS262154 CUO262150:CUO262154 DEK262150:DEK262154 DOG262150:DOG262154 DYC262150:DYC262154 EHY262150:EHY262154 ERU262150:ERU262154 FBQ262150:FBQ262154 FLM262150:FLM262154 FVI262150:FVI262154 GFE262150:GFE262154 GPA262150:GPA262154 GYW262150:GYW262154 HIS262150:HIS262154 HSO262150:HSO262154 ICK262150:ICK262154 IMG262150:IMG262154 IWC262150:IWC262154 JFY262150:JFY262154 JPU262150:JPU262154 JZQ262150:JZQ262154 KJM262150:KJM262154 KTI262150:KTI262154 LDE262150:LDE262154 LNA262150:LNA262154 LWW262150:LWW262154 MGS262150:MGS262154 MQO262150:MQO262154 NAK262150:NAK262154 NKG262150:NKG262154 NUC262150:NUC262154 ODY262150:ODY262154 ONU262150:ONU262154 OXQ262150:OXQ262154 PHM262150:PHM262154 PRI262150:PRI262154 QBE262150:QBE262154 QLA262150:QLA262154 QUW262150:QUW262154 RES262150:RES262154 ROO262150:ROO262154 RYK262150:RYK262154 SIG262150:SIG262154 SSC262150:SSC262154 TBY262150:TBY262154 TLU262150:TLU262154 TVQ262150:TVQ262154 UFM262150:UFM262154 UPI262150:UPI262154 UZE262150:UZE262154 VJA262150:VJA262154 VSW262150:VSW262154 WCS262150:WCS262154 WMO262150:WMO262154 WWK262150:WWK262154 AC327686:AC327690 JY327686:JY327690 TU327686:TU327690 ADQ327686:ADQ327690 ANM327686:ANM327690 AXI327686:AXI327690 BHE327686:BHE327690 BRA327686:BRA327690 CAW327686:CAW327690 CKS327686:CKS327690 CUO327686:CUO327690 DEK327686:DEK327690 DOG327686:DOG327690 DYC327686:DYC327690 EHY327686:EHY327690 ERU327686:ERU327690 FBQ327686:FBQ327690 FLM327686:FLM327690 FVI327686:FVI327690 GFE327686:GFE327690 GPA327686:GPA327690 GYW327686:GYW327690 HIS327686:HIS327690 HSO327686:HSO327690 ICK327686:ICK327690 IMG327686:IMG327690 IWC327686:IWC327690 JFY327686:JFY327690 JPU327686:JPU327690 JZQ327686:JZQ327690 KJM327686:KJM327690 KTI327686:KTI327690 LDE327686:LDE327690 LNA327686:LNA327690 LWW327686:LWW327690 MGS327686:MGS327690 MQO327686:MQO327690 NAK327686:NAK327690 NKG327686:NKG327690 NUC327686:NUC327690 ODY327686:ODY327690 ONU327686:ONU327690 OXQ327686:OXQ327690 PHM327686:PHM327690 PRI327686:PRI327690 QBE327686:QBE327690 QLA327686:QLA327690 QUW327686:QUW327690 RES327686:RES327690 ROO327686:ROO327690 RYK327686:RYK327690 SIG327686:SIG327690 SSC327686:SSC327690 TBY327686:TBY327690 TLU327686:TLU327690 TVQ327686:TVQ327690 UFM327686:UFM327690 UPI327686:UPI327690 UZE327686:UZE327690 VJA327686:VJA327690 VSW327686:VSW327690 WCS327686:WCS327690 WMO327686:WMO327690 WWK327686:WWK327690 AC393222:AC393226 JY393222:JY393226 TU393222:TU393226 ADQ393222:ADQ393226 ANM393222:ANM393226 AXI393222:AXI393226 BHE393222:BHE393226 BRA393222:BRA393226 CAW393222:CAW393226 CKS393222:CKS393226 CUO393222:CUO393226 DEK393222:DEK393226 DOG393222:DOG393226 DYC393222:DYC393226 EHY393222:EHY393226 ERU393222:ERU393226 FBQ393222:FBQ393226 FLM393222:FLM393226 FVI393222:FVI393226 GFE393222:GFE393226 GPA393222:GPA393226 GYW393222:GYW393226 HIS393222:HIS393226 HSO393222:HSO393226 ICK393222:ICK393226 IMG393222:IMG393226 IWC393222:IWC393226 JFY393222:JFY393226 JPU393222:JPU393226 JZQ393222:JZQ393226 KJM393222:KJM393226 KTI393222:KTI393226 LDE393222:LDE393226 LNA393222:LNA393226 LWW393222:LWW393226 MGS393222:MGS393226 MQO393222:MQO393226 NAK393222:NAK393226 NKG393222:NKG393226 NUC393222:NUC393226 ODY393222:ODY393226 ONU393222:ONU393226 OXQ393222:OXQ393226 PHM393222:PHM393226 PRI393222:PRI393226 QBE393222:QBE393226 QLA393222:QLA393226 QUW393222:QUW393226 RES393222:RES393226 ROO393222:ROO393226 RYK393222:RYK393226 SIG393222:SIG393226 SSC393222:SSC393226 TBY393222:TBY393226 TLU393222:TLU393226 TVQ393222:TVQ393226 UFM393222:UFM393226 UPI393222:UPI393226 UZE393222:UZE393226 VJA393222:VJA393226 VSW393222:VSW393226 WCS393222:WCS393226 WMO393222:WMO393226 WWK393222:WWK393226 AC458758:AC458762 JY458758:JY458762 TU458758:TU458762 ADQ458758:ADQ458762 ANM458758:ANM458762 AXI458758:AXI458762 BHE458758:BHE458762 BRA458758:BRA458762 CAW458758:CAW458762 CKS458758:CKS458762 CUO458758:CUO458762 DEK458758:DEK458762 DOG458758:DOG458762 DYC458758:DYC458762 EHY458758:EHY458762 ERU458758:ERU458762 FBQ458758:FBQ458762 FLM458758:FLM458762 FVI458758:FVI458762 GFE458758:GFE458762 GPA458758:GPA458762 GYW458758:GYW458762 HIS458758:HIS458762 HSO458758:HSO458762 ICK458758:ICK458762 IMG458758:IMG458762 IWC458758:IWC458762 JFY458758:JFY458762 JPU458758:JPU458762 JZQ458758:JZQ458762 KJM458758:KJM458762 KTI458758:KTI458762 LDE458758:LDE458762 LNA458758:LNA458762 LWW458758:LWW458762 MGS458758:MGS458762 MQO458758:MQO458762 NAK458758:NAK458762 NKG458758:NKG458762 NUC458758:NUC458762 ODY458758:ODY458762 ONU458758:ONU458762 OXQ458758:OXQ458762 PHM458758:PHM458762 PRI458758:PRI458762 QBE458758:QBE458762 QLA458758:QLA458762 QUW458758:QUW458762 RES458758:RES458762 ROO458758:ROO458762 RYK458758:RYK458762 SIG458758:SIG458762 SSC458758:SSC458762 TBY458758:TBY458762 TLU458758:TLU458762 TVQ458758:TVQ458762 UFM458758:UFM458762 UPI458758:UPI458762 UZE458758:UZE458762 VJA458758:VJA458762 VSW458758:VSW458762 WCS458758:WCS458762 WMO458758:WMO458762 WWK458758:WWK458762 AC524294:AC524298 JY524294:JY524298 TU524294:TU524298 ADQ524294:ADQ524298 ANM524294:ANM524298 AXI524294:AXI524298 BHE524294:BHE524298 BRA524294:BRA524298 CAW524294:CAW524298 CKS524294:CKS524298 CUO524294:CUO524298 DEK524294:DEK524298 DOG524294:DOG524298 DYC524294:DYC524298 EHY524294:EHY524298 ERU524294:ERU524298 FBQ524294:FBQ524298 FLM524294:FLM524298 FVI524294:FVI524298 GFE524294:GFE524298 GPA524294:GPA524298 GYW524294:GYW524298 HIS524294:HIS524298 HSO524294:HSO524298 ICK524294:ICK524298 IMG524294:IMG524298 IWC524294:IWC524298 JFY524294:JFY524298 JPU524294:JPU524298 JZQ524294:JZQ524298 KJM524294:KJM524298 KTI524294:KTI524298 LDE524294:LDE524298 LNA524294:LNA524298 LWW524294:LWW524298 MGS524294:MGS524298 MQO524294:MQO524298 NAK524294:NAK524298 NKG524294:NKG524298 NUC524294:NUC524298 ODY524294:ODY524298 ONU524294:ONU524298 OXQ524294:OXQ524298 PHM524294:PHM524298 PRI524294:PRI524298 QBE524294:QBE524298 QLA524294:QLA524298 QUW524294:QUW524298 RES524294:RES524298 ROO524294:ROO524298 RYK524294:RYK524298 SIG524294:SIG524298 SSC524294:SSC524298 TBY524294:TBY524298 TLU524294:TLU524298 TVQ524294:TVQ524298 UFM524294:UFM524298 UPI524294:UPI524298 UZE524294:UZE524298 VJA524294:VJA524298 VSW524294:VSW524298 WCS524294:WCS524298 WMO524294:WMO524298 WWK524294:WWK524298 AC589830:AC589834 JY589830:JY589834 TU589830:TU589834 ADQ589830:ADQ589834 ANM589830:ANM589834 AXI589830:AXI589834 BHE589830:BHE589834 BRA589830:BRA589834 CAW589830:CAW589834 CKS589830:CKS589834 CUO589830:CUO589834 DEK589830:DEK589834 DOG589830:DOG589834 DYC589830:DYC589834 EHY589830:EHY589834 ERU589830:ERU589834 FBQ589830:FBQ589834 FLM589830:FLM589834 FVI589830:FVI589834 GFE589830:GFE589834 GPA589830:GPA589834 GYW589830:GYW589834 HIS589830:HIS589834 HSO589830:HSO589834 ICK589830:ICK589834 IMG589830:IMG589834 IWC589830:IWC589834 JFY589830:JFY589834 JPU589830:JPU589834 JZQ589830:JZQ589834 KJM589830:KJM589834 KTI589830:KTI589834 LDE589830:LDE589834 LNA589830:LNA589834 LWW589830:LWW589834 MGS589830:MGS589834 MQO589830:MQO589834 NAK589830:NAK589834 NKG589830:NKG589834 NUC589830:NUC589834 ODY589830:ODY589834 ONU589830:ONU589834 OXQ589830:OXQ589834 PHM589830:PHM589834 PRI589830:PRI589834 QBE589830:QBE589834 QLA589830:QLA589834 QUW589830:QUW589834 RES589830:RES589834 ROO589830:ROO589834 RYK589830:RYK589834 SIG589830:SIG589834 SSC589830:SSC589834 TBY589830:TBY589834 TLU589830:TLU589834 TVQ589830:TVQ589834 UFM589830:UFM589834 UPI589830:UPI589834 UZE589830:UZE589834 VJA589830:VJA589834 VSW589830:VSW589834 WCS589830:WCS589834 WMO589830:WMO589834 WWK589830:WWK589834 AC655366:AC655370 JY655366:JY655370 TU655366:TU655370 ADQ655366:ADQ655370 ANM655366:ANM655370 AXI655366:AXI655370 BHE655366:BHE655370 BRA655366:BRA655370 CAW655366:CAW655370 CKS655366:CKS655370 CUO655366:CUO655370 DEK655366:DEK655370 DOG655366:DOG655370 DYC655366:DYC655370 EHY655366:EHY655370 ERU655366:ERU655370 FBQ655366:FBQ655370 FLM655366:FLM655370 FVI655366:FVI655370 GFE655366:GFE655370 GPA655366:GPA655370 GYW655366:GYW655370 HIS655366:HIS655370 HSO655366:HSO655370 ICK655366:ICK655370 IMG655366:IMG655370 IWC655366:IWC655370 JFY655366:JFY655370 JPU655366:JPU655370 JZQ655366:JZQ655370 KJM655366:KJM655370 KTI655366:KTI655370 LDE655366:LDE655370 LNA655366:LNA655370 LWW655366:LWW655370 MGS655366:MGS655370 MQO655366:MQO655370 NAK655366:NAK655370 NKG655366:NKG655370 NUC655366:NUC655370 ODY655366:ODY655370 ONU655366:ONU655370 OXQ655366:OXQ655370 PHM655366:PHM655370 PRI655366:PRI655370 QBE655366:QBE655370 QLA655366:QLA655370 QUW655366:QUW655370 RES655366:RES655370 ROO655366:ROO655370 RYK655366:RYK655370 SIG655366:SIG655370 SSC655366:SSC655370 TBY655366:TBY655370 TLU655366:TLU655370 TVQ655366:TVQ655370 UFM655366:UFM655370 UPI655366:UPI655370 UZE655366:UZE655370 VJA655366:VJA655370 VSW655366:VSW655370 WCS655366:WCS655370 WMO655366:WMO655370 WWK655366:WWK655370 AC720902:AC720906 JY720902:JY720906 TU720902:TU720906 ADQ720902:ADQ720906 ANM720902:ANM720906 AXI720902:AXI720906 BHE720902:BHE720906 BRA720902:BRA720906 CAW720902:CAW720906 CKS720902:CKS720906 CUO720902:CUO720906 DEK720902:DEK720906 DOG720902:DOG720906 DYC720902:DYC720906 EHY720902:EHY720906 ERU720902:ERU720906 FBQ720902:FBQ720906 FLM720902:FLM720906 FVI720902:FVI720906 GFE720902:GFE720906 GPA720902:GPA720906 GYW720902:GYW720906 HIS720902:HIS720906 HSO720902:HSO720906 ICK720902:ICK720906 IMG720902:IMG720906 IWC720902:IWC720906 JFY720902:JFY720906 JPU720902:JPU720906 JZQ720902:JZQ720906 KJM720902:KJM720906 KTI720902:KTI720906 LDE720902:LDE720906 LNA720902:LNA720906 LWW720902:LWW720906 MGS720902:MGS720906 MQO720902:MQO720906 NAK720902:NAK720906 NKG720902:NKG720906 NUC720902:NUC720906 ODY720902:ODY720906 ONU720902:ONU720906 OXQ720902:OXQ720906 PHM720902:PHM720906 PRI720902:PRI720906 QBE720902:QBE720906 QLA720902:QLA720906 QUW720902:QUW720906 RES720902:RES720906 ROO720902:ROO720906 RYK720902:RYK720906 SIG720902:SIG720906 SSC720902:SSC720906 TBY720902:TBY720906 TLU720902:TLU720906 TVQ720902:TVQ720906 UFM720902:UFM720906 UPI720902:UPI720906 UZE720902:UZE720906 VJA720902:VJA720906 VSW720902:VSW720906 WCS720902:WCS720906 WMO720902:WMO720906 WWK720902:WWK720906 AC786438:AC786442 JY786438:JY786442 TU786438:TU786442 ADQ786438:ADQ786442 ANM786438:ANM786442 AXI786438:AXI786442 BHE786438:BHE786442 BRA786438:BRA786442 CAW786438:CAW786442 CKS786438:CKS786442 CUO786438:CUO786442 DEK786438:DEK786442 DOG786438:DOG786442 DYC786438:DYC786442 EHY786438:EHY786442 ERU786438:ERU786442 FBQ786438:FBQ786442 FLM786438:FLM786442 FVI786438:FVI786442 GFE786438:GFE786442 GPA786438:GPA786442 GYW786438:GYW786442 HIS786438:HIS786442 HSO786438:HSO786442 ICK786438:ICK786442 IMG786438:IMG786442 IWC786438:IWC786442 JFY786438:JFY786442 JPU786438:JPU786442 JZQ786438:JZQ786442 KJM786438:KJM786442 KTI786438:KTI786442 LDE786438:LDE786442 LNA786438:LNA786442 LWW786438:LWW786442 MGS786438:MGS786442 MQO786438:MQO786442 NAK786438:NAK786442 NKG786438:NKG786442 NUC786438:NUC786442 ODY786438:ODY786442 ONU786438:ONU786442 OXQ786438:OXQ786442 PHM786438:PHM786442 PRI786438:PRI786442 QBE786438:QBE786442 QLA786438:QLA786442 QUW786438:QUW786442 RES786438:RES786442 ROO786438:ROO786442 RYK786438:RYK786442 SIG786438:SIG786442 SSC786438:SSC786442 TBY786438:TBY786442 TLU786438:TLU786442 TVQ786438:TVQ786442 UFM786438:UFM786442 UPI786438:UPI786442 UZE786438:UZE786442 VJA786438:VJA786442 VSW786438:VSW786442 WCS786438:WCS786442 WMO786438:WMO786442 WWK786438:WWK786442 AC851974:AC851978 JY851974:JY851978 TU851974:TU851978 ADQ851974:ADQ851978 ANM851974:ANM851978 AXI851974:AXI851978 BHE851974:BHE851978 BRA851974:BRA851978 CAW851974:CAW851978 CKS851974:CKS851978 CUO851974:CUO851978 DEK851974:DEK851978 DOG851974:DOG851978 DYC851974:DYC851978 EHY851974:EHY851978 ERU851974:ERU851978 FBQ851974:FBQ851978 FLM851974:FLM851978 FVI851974:FVI851978 GFE851974:GFE851978 GPA851974:GPA851978 GYW851974:GYW851978 HIS851974:HIS851978 HSO851974:HSO851978 ICK851974:ICK851978 IMG851974:IMG851978 IWC851974:IWC851978 JFY851974:JFY851978 JPU851974:JPU851978 JZQ851974:JZQ851978 KJM851974:KJM851978 KTI851974:KTI851978 LDE851974:LDE851978 LNA851974:LNA851978 LWW851974:LWW851978 MGS851974:MGS851978 MQO851974:MQO851978 NAK851974:NAK851978 NKG851974:NKG851978 NUC851974:NUC851978 ODY851974:ODY851978 ONU851974:ONU851978 OXQ851974:OXQ851978 PHM851974:PHM851978 PRI851974:PRI851978 QBE851974:QBE851978 QLA851974:QLA851978 QUW851974:QUW851978 RES851974:RES851978 ROO851974:ROO851978 RYK851974:RYK851978 SIG851974:SIG851978 SSC851974:SSC851978 TBY851974:TBY851978 TLU851974:TLU851978 TVQ851974:TVQ851978 UFM851974:UFM851978 UPI851974:UPI851978 UZE851974:UZE851978 VJA851974:VJA851978 VSW851974:VSW851978 WCS851974:WCS851978 WMO851974:WMO851978 WWK851974:WWK851978 AC917510:AC917514 JY917510:JY917514 TU917510:TU917514 ADQ917510:ADQ917514 ANM917510:ANM917514 AXI917510:AXI917514 BHE917510:BHE917514 BRA917510:BRA917514 CAW917510:CAW917514 CKS917510:CKS917514 CUO917510:CUO917514 DEK917510:DEK917514 DOG917510:DOG917514 DYC917510:DYC917514 EHY917510:EHY917514 ERU917510:ERU917514 FBQ917510:FBQ917514 FLM917510:FLM917514 FVI917510:FVI917514 GFE917510:GFE917514 GPA917510:GPA917514 GYW917510:GYW917514 HIS917510:HIS917514 HSO917510:HSO917514 ICK917510:ICK917514 IMG917510:IMG917514 IWC917510:IWC917514 JFY917510:JFY917514 JPU917510:JPU917514 JZQ917510:JZQ917514 KJM917510:KJM917514 KTI917510:KTI917514 LDE917510:LDE917514 LNA917510:LNA917514 LWW917510:LWW917514 MGS917510:MGS917514 MQO917510:MQO917514 NAK917510:NAK917514 NKG917510:NKG917514 NUC917510:NUC917514 ODY917510:ODY917514 ONU917510:ONU917514 OXQ917510:OXQ917514 PHM917510:PHM917514 PRI917510:PRI917514 QBE917510:QBE917514 QLA917510:QLA917514 QUW917510:QUW917514 RES917510:RES917514 ROO917510:ROO917514 RYK917510:RYK917514 SIG917510:SIG917514 SSC917510:SSC917514 TBY917510:TBY917514 TLU917510:TLU917514 TVQ917510:TVQ917514 UFM917510:UFM917514 UPI917510:UPI917514 UZE917510:UZE917514 VJA917510:VJA917514 VSW917510:VSW917514 WCS917510:WCS917514 WMO917510:WMO917514 WWK917510:WWK917514 AC983046:AC983050 JY983046:JY983050 TU983046:TU983050 ADQ983046:ADQ983050 ANM983046:ANM983050 AXI983046:AXI983050 BHE983046:BHE983050 BRA983046:BRA983050 CAW983046:CAW983050 CKS983046:CKS983050 CUO983046:CUO983050 DEK983046:DEK983050 DOG983046:DOG983050 DYC983046:DYC983050 EHY983046:EHY983050 ERU983046:ERU983050 FBQ983046:FBQ983050 FLM983046:FLM983050 FVI983046:FVI983050 GFE983046:GFE983050 GPA983046:GPA983050 GYW983046:GYW983050 HIS983046:HIS983050 HSO983046:HSO983050 ICK983046:ICK983050 IMG983046:IMG983050 IWC983046:IWC983050 JFY983046:JFY983050 JPU983046:JPU983050 JZQ983046:JZQ983050 KJM983046:KJM983050 KTI983046:KTI983050 LDE983046:LDE983050 LNA983046:LNA983050 LWW983046:LWW983050 MGS983046:MGS983050 MQO983046:MQO983050 NAK983046:NAK983050 NKG983046:NKG983050 NUC983046:NUC983050 ODY983046:ODY983050 ONU983046:ONU983050 OXQ983046:OXQ983050 PHM983046:PHM983050 PRI983046:PRI983050 QBE983046:QBE983050 QLA983046:QLA983050 QUW983046:QUW983050 RES983046:RES983050 ROO983046:ROO983050 RYK983046:RYK983050 SIG983046:SIG983050 SSC983046:SSC983050 TBY983046:TBY983050 TLU983046:TLU983050 TVQ983046:TVQ983050 UFM983046:UFM983050 UPI983046:UPI983050 UZE983046:UZE983050 VJA983046:VJA983050 VSW983046:VSW983050 WCS983046:WCS983050 WMO983046:WMO983050 WWK983046:WWK983050 JY8:JY10 WWK8:WWK10 WMO8:WMO10 WCS8:WCS10 VSW8:VSW10 VJA8:VJA10 UZE8:UZE10 UPI8:UPI10 UFM8:UFM10 TVQ8:TVQ10 TLU8:TLU10 TBY8:TBY10 SSC8:SSC10 SIG8:SIG10 RYK8:RYK10 ROO8:ROO10 RES8:RES10 QUW8:QUW10 QLA8:QLA10 QBE8:QBE10 PRI8:PRI10 PHM8:PHM10 OXQ8:OXQ10 ONU8:ONU10 ODY8:ODY10 NUC8:NUC10 NKG8:NKG10 NAK8:NAK10 MQO8:MQO10 MGS8:MGS10 LWW8:LWW10 LNA8:LNA10 LDE8:LDE10 KTI8:KTI10 KJM8:KJM10 JZQ8:JZQ10 JPU8:JPU10 JFY8:JFY10 IWC8:IWC10 IMG8:IMG10 ICK8:ICK10 HSO8:HSO10 HIS8:HIS10 GYW8:GYW10 GPA8:GPA10 GFE8:GFE10 FVI8:FVI10 FLM8:FLM10 FBQ8:FBQ10 ERU8:ERU10 EHY8:EHY10 DYC8:DYC10 DOG8:DOG10 DEK8:DEK10 CUO8:CUO10 CKS8:CKS10 CAW8:CAW10 BRA8:BRA10 BHE8:BHE10 AXI8:AXI10 ANM8:ANM10 ADQ8:ADQ10 TU8:TU10">
      <formula1>AB8</formula1>
      <formula2>IF(AB8&lt;&gt;0,IF(AC8-AB8&gt;=0,AC8,),)</formula2>
    </dataValidation>
  </dataValidations>
  <printOptions horizontalCentered="1"/>
  <pageMargins left="0.39370078740157483" right="0.19" top="0.59055118110236227" bottom="0.59055118110236227" header="0.31496062992125984" footer="0.31496062992125984"/>
  <pageSetup paperSize="345" scale="54" orientation="landscape" r:id="rId1"/>
  <headerFooter>
    <oddFooter>&amp;C&amp;"Tahoma,Cursiva"&amp;K365F91Si usted ha accedido a este formato a través de un medio diferente al sitio http://www.unicordoba.edu.co/index.php/documentossigec/documentos-calidad asegúrese que ésta es la versión vigente</oddFooter>
  </headerFooter>
  <rowBreaks count="1" manualBreakCount="1">
    <brk id="16" max="31"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K39"/>
  <sheetViews>
    <sheetView view="pageBreakPreview" topLeftCell="I14" zoomScale="90" zoomScaleNormal="90" zoomScaleSheetLayoutView="90" workbookViewId="0">
      <selection activeCell="AC19" sqref="AC19:AF20"/>
    </sheetView>
  </sheetViews>
  <sheetFormatPr baseColWidth="10" defaultRowHeight="12.75"/>
  <cols>
    <col min="1" max="1" width="13.140625" style="2" customWidth="1"/>
    <col min="2" max="2" width="13.42578125" style="2" customWidth="1"/>
    <col min="3" max="3" width="4.28515625" style="2" customWidth="1"/>
    <col min="4" max="4" width="6.85546875" style="2" customWidth="1"/>
    <col min="5" max="5" width="15" style="2" customWidth="1"/>
    <col min="6" max="6" width="4.140625" style="2" customWidth="1"/>
    <col min="7" max="7" width="11.28515625" style="2" customWidth="1"/>
    <col min="8" max="8" width="11" style="2" customWidth="1"/>
    <col min="9" max="10" width="2.140625" style="2" customWidth="1"/>
    <col min="11" max="11" width="3.28515625" style="2" customWidth="1"/>
    <col min="12" max="12" width="0.28515625" style="2" hidden="1" customWidth="1"/>
    <col min="13" max="13" width="0.42578125" style="2" hidden="1" customWidth="1"/>
    <col min="14" max="14" width="2.85546875" style="2" customWidth="1"/>
    <col min="15" max="15" width="3.28515625" style="2" customWidth="1"/>
    <col min="16" max="16" width="1.42578125" style="2" customWidth="1"/>
    <col min="17" max="17" width="1.85546875" style="2" hidden="1" customWidth="1"/>
    <col min="18" max="18" width="6.85546875" style="2" customWidth="1"/>
    <col min="19" max="19" width="3" style="2" hidden="1" customWidth="1"/>
    <col min="20" max="21" width="6.28515625" style="2" customWidth="1"/>
    <col min="22" max="22" width="21.85546875" style="2" customWidth="1"/>
    <col min="23" max="23" width="14.42578125" style="2" customWidth="1"/>
    <col min="24" max="24" width="20.28515625" style="2" customWidth="1"/>
    <col min="25" max="25" width="0.42578125" style="2" hidden="1" customWidth="1"/>
    <col min="26" max="26" width="13" style="2" customWidth="1"/>
    <col min="27" max="27" width="17.7109375" style="2" customWidth="1"/>
    <col min="28" max="28" width="13.140625" style="2" customWidth="1"/>
    <col min="29" max="29" width="14" style="2" customWidth="1"/>
    <col min="30" max="30" width="8.140625" style="2" customWidth="1"/>
    <col min="31" max="31" width="14.42578125" style="2" customWidth="1"/>
    <col min="32" max="32" width="27.42578125" style="2" customWidth="1"/>
    <col min="33" max="33" width="12" style="2" customWidth="1"/>
    <col min="34" max="35" width="0.28515625" style="2" customWidth="1"/>
    <col min="36" max="36" width="1.42578125" style="2" customWidth="1"/>
    <col min="37" max="37" width="1.28515625" style="2" hidden="1" customWidth="1"/>
    <col min="38" max="256" width="11.42578125" style="2"/>
    <col min="257" max="257" width="13.140625" style="2" customWidth="1"/>
    <col min="258" max="258" width="13.42578125" style="2" customWidth="1"/>
    <col min="259" max="259" width="4.28515625" style="2" customWidth="1"/>
    <col min="260" max="260" width="4" style="2" customWidth="1"/>
    <col min="261" max="261" width="15" style="2" customWidth="1"/>
    <col min="262" max="262" width="4.140625" style="2" customWidth="1"/>
    <col min="263" max="263" width="11.28515625" style="2" customWidth="1"/>
    <col min="264" max="264" width="11" style="2" customWidth="1"/>
    <col min="265" max="266" width="2.140625" style="2" customWidth="1"/>
    <col min="267" max="267" width="3.28515625" style="2" customWidth="1"/>
    <col min="268" max="269" width="0" style="2" hidden="1" customWidth="1"/>
    <col min="270" max="270" width="2.85546875" style="2" customWidth="1"/>
    <col min="271" max="271" width="3.28515625" style="2" customWidth="1"/>
    <col min="272" max="272" width="1.42578125" style="2" customWidth="1"/>
    <col min="273" max="273" width="0" style="2" hidden="1" customWidth="1"/>
    <col min="274" max="274" width="6.85546875" style="2" customWidth="1"/>
    <col min="275" max="275" width="0" style="2" hidden="1" customWidth="1"/>
    <col min="276" max="277" width="6.28515625" style="2" customWidth="1"/>
    <col min="278" max="278" width="21.85546875" style="2" customWidth="1"/>
    <col min="279" max="279" width="10.85546875" style="2" customWidth="1"/>
    <col min="280" max="280" width="20.28515625" style="2" customWidth="1"/>
    <col min="281" max="281" width="0" style="2" hidden="1" customWidth="1"/>
    <col min="282" max="282" width="13" style="2" customWidth="1"/>
    <col min="283" max="283" width="12.7109375" style="2" customWidth="1"/>
    <col min="284" max="284" width="13.140625" style="2" customWidth="1"/>
    <col min="285" max="285" width="14" style="2" customWidth="1"/>
    <col min="286" max="286" width="8.140625" style="2" customWidth="1"/>
    <col min="287" max="287" width="11.42578125" style="2" customWidth="1"/>
    <col min="288" max="288" width="23.7109375" style="2" customWidth="1"/>
    <col min="289" max="289" width="12" style="2" customWidth="1"/>
    <col min="290" max="291" width="0.28515625" style="2" customWidth="1"/>
    <col min="292" max="292" width="1.42578125" style="2" customWidth="1"/>
    <col min="293" max="293" width="0" style="2" hidden="1" customWidth="1"/>
    <col min="294" max="512" width="11.42578125" style="2"/>
    <col min="513" max="513" width="13.140625" style="2" customWidth="1"/>
    <col min="514" max="514" width="13.42578125" style="2" customWidth="1"/>
    <col min="515" max="515" width="4.28515625" style="2" customWidth="1"/>
    <col min="516" max="516" width="4" style="2" customWidth="1"/>
    <col min="517" max="517" width="15" style="2" customWidth="1"/>
    <col min="518" max="518" width="4.140625" style="2" customWidth="1"/>
    <col min="519" max="519" width="11.28515625" style="2" customWidth="1"/>
    <col min="520" max="520" width="11" style="2" customWidth="1"/>
    <col min="521" max="522" width="2.140625" style="2" customWidth="1"/>
    <col min="523" max="523" width="3.28515625" style="2" customWidth="1"/>
    <col min="524" max="525" width="0" style="2" hidden="1" customWidth="1"/>
    <col min="526" max="526" width="2.85546875" style="2" customWidth="1"/>
    <col min="527" max="527" width="3.28515625" style="2" customWidth="1"/>
    <col min="528" max="528" width="1.42578125" style="2" customWidth="1"/>
    <col min="529" max="529" width="0" style="2" hidden="1" customWidth="1"/>
    <col min="530" max="530" width="6.85546875" style="2" customWidth="1"/>
    <col min="531" max="531" width="0" style="2" hidden="1" customWidth="1"/>
    <col min="532" max="533" width="6.28515625" style="2" customWidth="1"/>
    <col min="534" max="534" width="21.85546875" style="2" customWidth="1"/>
    <col min="535" max="535" width="10.85546875" style="2" customWidth="1"/>
    <col min="536" max="536" width="20.28515625" style="2" customWidth="1"/>
    <col min="537" max="537" width="0" style="2" hidden="1" customWidth="1"/>
    <col min="538" max="538" width="13" style="2" customWidth="1"/>
    <col min="539" max="539" width="12.7109375" style="2" customWidth="1"/>
    <col min="540" max="540" width="13.140625" style="2" customWidth="1"/>
    <col min="541" max="541" width="14" style="2" customWidth="1"/>
    <col min="542" max="542" width="8.140625" style="2" customWidth="1"/>
    <col min="543" max="543" width="11.42578125" style="2" customWidth="1"/>
    <col min="544" max="544" width="23.7109375" style="2" customWidth="1"/>
    <col min="545" max="545" width="12" style="2" customWidth="1"/>
    <col min="546" max="547" width="0.28515625" style="2" customWidth="1"/>
    <col min="548" max="548" width="1.42578125" style="2" customWidth="1"/>
    <col min="549" max="549" width="0" style="2" hidden="1" customWidth="1"/>
    <col min="550" max="768" width="11.42578125" style="2"/>
    <col min="769" max="769" width="13.140625" style="2" customWidth="1"/>
    <col min="770" max="770" width="13.42578125" style="2" customWidth="1"/>
    <col min="771" max="771" width="4.28515625" style="2" customWidth="1"/>
    <col min="772" max="772" width="4" style="2" customWidth="1"/>
    <col min="773" max="773" width="15" style="2" customWidth="1"/>
    <col min="774" max="774" width="4.140625" style="2" customWidth="1"/>
    <col min="775" max="775" width="11.28515625" style="2" customWidth="1"/>
    <col min="776" max="776" width="11" style="2" customWidth="1"/>
    <col min="777" max="778" width="2.140625" style="2" customWidth="1"/>
    <col min="779" max="779" width="3.28515625" style="2" customWidth="1"/>
    <col min="780" max="781" width="0" style="2" hidden="1" customWidth="1"/>
    <col min="782" max="782" width="2.85546875" style="2" customWidth="1"/>
    <col min="783" max="783" width="3.28515625" style="2" customWidth="1"/>
    <col min="784" max="784" width="1.42578125" style="2" customWidth="1"/>
    <col min="785" max="785" width="0" style="2" hidden="1" customWidth="1"/>
    <col min="786" max="786" width="6.85546875" style="2" customWidth="1"/>
    <col min="787" max="787" width="0" style="2" hidden="1" customWidth="1"/>
    <col min="788" max="789" width="6.28515625" style="2" customWidth="1"/>
    <col min="790" max="790" width="21.85546875" style="2" customWidth="1"/>
    <col min="791" max="791" width="10.85546875" style="2" customWidth="1"/>
    <col min="792" max="792" width="20.28515625" style="2" customWidth="1"/>
    <col min="793" max="793" width="0" style="2" hidden="1" customWidth="1"/>
    <col min="794" max="794" width="13" style="2" customWidth="1"/>
    <col min="795" max="795" width="12.7109375" style="2" customWidth="1"/>
    <col min="796" max="796" width="13.140625" style="2" customWidth="1"/>
    <col min="797" max="797" width="14" style="2" customWidth="1"/>
    <col min="798" max="798" width="8.140625" style="2" customWidth="1"/>
    <col min="799" max="799" width="11.42578125" style="2" customWidth="1"/>
    <col min="800" max="800" width="23.7109375" style="2" customWidth="1"/>
    <col min="801" max="801" width="12" style="2" customWidth="1"/>
    <col min="802" max="803" width="0.28515625" style="2" customWidth="1"/>
    <col min="804" max="804" width="1.42578125" style="2" customWidth="1"/>
    <col min="805" max="805" width="0" style="2" hidden="1" customWidth="1"/>
    <col min="806" max="1024" width="11.42578125" style="2"/>
    <col min="1025" max="1025" width="13.140625" style="2" customWidth="1"/>
    <col min="1026" max="1026" width="13.42578125" style="2" customWidth="1"/>
    <col min="1027" max="1027" width="4.28515625" style="2" customWidth="1"/>
    <col min="1028" max="1028" width="4" style="2" customWidth="1"/>
    <col min="1029" max="1029" width="15" style="2" customWidth="1"/>
    <col min="1030" max="1030" width="4.140625" style="2" customWidth="1"/>
    <col min="1031" max="1031" width="11.28515625" style="2" customWidth="1"/>
    <col min="1032" max="1032" width="11" style="2" customWidth="1"/>
    <col min="1033" max="1034" width="2.140625" style="2" customWidth="1"/>
    <col min="1035" max="1035" width="3.28515625" style="2" customWidth="1"/>
    <col min="1036" max="1037" width="0" style="2" hidden="1" customWidth="1"/>
    <col min="1038" max="1038" width="2.85546875" style="2" customWidth="1"/>
    <col min="1039" max="1039" width="3.28515625" style="2" customWidth="1"/>
    <col min="1040" max="1040" width="1.42578125" style="2" customWidth="1"/>
    <col min="1041" max="1041" width="0" style="2" hidden="1" customWidth="1"/>
    <col min="1042" max="1042" width="6.85546875" style="2" customWidth="1"/>
    <col min="1043" max="1043" width="0" style="2" hidden="1" customWidth="1"/>
    <col min="1044" max="1045" width="6.28515625" style="2" customWidth="1"/>
    <col min="1046" max="1046" width="21.85546875" style="2" customWidth="1"/>
    <col min="1047" max="1047" width="10.85546875" style="2" customWidth="1"/>
    <col min="1048" max="1048" width="20.28515625" style="2" customWidth="1"/>
    <col min="1049" max="1049" width="0" style="2" hidden="1" customWidth="1"/>
    <col min="1050" max="1050" width="13" style="2" customWidth="1"/>
    <col min="1051" max="1051" width="12.7109375" style="2" customWidth="1"/>
    <col min="1052" max="1052" width="13.140625" style="2" customWidth="1"/>
    <col min="1053" max="1053" width="14" style="2" customWidth="1"/>
    <col min="1054" max="1054" width="8.140625" style="2" customWidth="1"/>
    <col min="1055" max="1055" width="11.42578125" style="2" customWidth="1"/>
    <col min="1056" max="1056" width="23.7109375" style="2" customWidth="1"/>
    <col min="1057" max="1057" width="12" style="2" customWidth="1"/>
    <col min="1058" max="1059" width="0.28515625" style="2" customWidth="1"/>
    <col min="1060" max="1060" width="1.42578125" style="2" customWidth="1"/>
    <col min="1061" max="1061" width="0" style="2" hidden="1" customWidth="1"/>
    <col min="1062" max="1280" width="11.42578125" style="2"/>
    <col min="1281" max="1281" width="13.140625" style="2" customWidth="1"/>
    <col min="1282" max="1282" width="13.42578125" style="2" customWidth="1"/>
    <col min="1283" max="1283" width="4.28515625" style="2" customWidth="1"/>
    <col min="1284" max="1284" width="4" style="2" customWidth="1"/>
    <col min="1285" max="1285" width="15" style="2" customWidth="1"/>
    <col min="1286" max="1286" width="4.140625" style="2" customWidth="1"/>
    <col min="1287" max="1287" width="11.28515625" style="2" customWidth="1"/>
    <col min="1288" max="1288" width="11" style="2" customWidth="1"/>
    <col min="1289" max="1290" width="2.140625" style="2" customWidth="1"/>
    <col min="1291" max="1291" width="3.28515625" style="2" customWidth="1"/>
    <col min="1292" max="1293" width="0" style="2" hidden="1" customWidth="1"/>
    <col min="1294" max="1294" width="2.85546875" style="2" customWidth="1"/>
    <col min="1295" max="1295" width="3.28515625" style="2" customWidth="1"/>
    <col min="1296" max="1296" width="1.42578125" style="2" customWidth="1"/>
    <col min="1297" max="1297" width="0" style="2" hidden="1" customWidth="1"/>
    <col min="1298" max="1298" width="6.85546875" style="2" customWidth="1"/>
    <col min="1299" max="1299" width="0" style="2" hidden="1" customWidth="1"/>
    <col min="1300" max="1301" width="6.28515625" style="2" customWidth="1"/>
    <col min="1302" max="1302" width="21.85546875" style="2" customWidth="1"/>
    <col min="1303" max="1303" width="10.85546875" style="2" customWidth="1"/>
    <col min="1304" max="1304" width="20.28515625" style="2" customWidth="1"/>
    <col min="1305" max="1305" width="0" style="2" hidden="1" customWidth="1"/>
    <col min="1306" max="1306" width="13" style="2" customWidth="1"/>
    <col min="1307" max="1307" width="12.7109375" style="2" customWidth="1"/>
    <col min="1308" max="1308" width="13.140625" style="2" customWidth="1"/>
    <col min="1309" max="1309" width="14" style="2" customWidth="1"/>
    <col min="1310" max="1310" width="8.140625" style="2" customWidth="1"/>
    <col min="1311" max="1311" width="11.42578125" style="2" customWidth="1"/>
    <col min="1312" max="1312" width="23.7109375" style="2" customWidth="1"/>
    <col min="1313" max="1313" width="12" style="2" customWidth="1"/>
    <col min="1314" max="1315" width="0.28515625" style="2" customWidth="1"/>
    <col min="1316" max="1316" width="1.42578125" style="2" customWidth="1"/>
    <col min="1317" max="1317" width="0" style="2" hidden="1" customWidth="1"/>
    <col min="1318" max="1536" width="11.42578125" style="2"/>
    <col min="1537" max="1537" width="13.140625" style="2" customWidth="1"/>
    <col min="1538" max="1538" width="13.42578125" style="2" customWidth="1"/>
    <col min="1539" max="1539" width="4.28515625" style="2" customWidth="1"/>
    <col min="1540" max="1540" width="4" style="2" customWidth="1"/>
    <col min="1541" max="1541" width="15" style="2" customWidth="1"/>
    <col min="1542" max="1542" width="4.140625" style="2" customWidth="1"/>
    <col min="1543" max="1543" width="11.28515625" style="2" customWidth="1"/>
    <col min="1544" max="1544" width="11" style="2" customWidth="1"/>
    <col min="1545" max="1546" width="2.140625" style="2" customWidth="1"/>
    <col min="1547" max="1547" width="3.28515625" style="2" customWidth="1"/>
    <col min="1548" max="1549" width="0" style="2" hidden="1" customWidth="1"/>
    <col min="1550" max="1550" width="2.85546875" style="2" customWidth="1"/>
    <col min="1551" max="1551" width="3.28515625" style="2" customWidth="1"/>
    <col min="1552" max="1552" width="1.42578125" style="2" customWidth="1"/>
    <col min="1553" max="1553" width="0" style="2" hidden="1" customWidth="1"/>
    <col min="1554" max="1554" width="6.85546875" style="2" customWidth="1"/>
    <col min="1555" max="1555" width="0" style="2" hidden="1" customWidth="1"/>
    <col min="1556" max="1557" width="6.28515625" style="2" customWidth="1"/>
    <col min="1558" max="1558" width="21.85546875" style="2" customWidth="1"/>
    <col min="1559" max="1559" width="10.85546875" style="2" customWidth="1"/>
    <col min="1560" max="1560" width="20.28515625" style="2" customWidth="1"/>
    <col min="1561" max="1561" width="0" style="2" hidden="1" customWidth="1"/>
    <col min="1562" max="1562" width="13" style="2" customWidth="1"/>
    <col min="1563" max="1563" width="12.7109375" style="2" customWidth="1"/>
    <col min="1564" max="1564" width="13.140625" style="2" customWidth="1"/>
    <col min="1565" max="1565" width="14" style="2" customWidth="1"/>
    <col min="1566" max="1566" width="8.140625" style="2" customWidth="1"/>
    <col min="1567" max="1567" width="11.42578125" style="2" customWidth="1"/>
    <col min="1568" max="1568" width="23.7109375" style="2" customWidth="1"/>
    <col min="1569" max="1569" width="12" style="2" customWidth="1"/>
    <col min="1570" max="1571" width="0.28515625" style="2" customWidth="1"/>
    <col min="1572" max="1572" width="1.42578125" style="2" customWidth="1"/>
    <col min="1573" max="1573" width="0" style="2" hidden="1" customWidth="1"/>
    <col min="1574" max="1792" width="11.42578125" style="2"/>
    <col min="1793" max="1793" width="13.140625" style="2" customWidth="1"/>
    <col min="1794" max="1794" width="13.42578125" style="2" customWidth="1"/>
    <col min="1795" max="1795" width="4.28515625" style="2" customWidth="1"/>
    <col min="1796" max="1796" width="4" style="2" customWidth="1"/>
    <col min="1797" max="1797" width="15" style="2" customWidth="1"/>
    <col min="1798" max="1798" width="4.140625" style="2" customWidth="1"/>
    <col min="1799" max="1799" width="11.28515625" style="2" customWidth="1"/>
    <col min="1800" max="1800" width="11" style="2" customWidth="1"/>
    <col min="1801" max="1802" width="2.140625" style="2" customWidth="1"/>
    <col min="1803" max="1803" width="3.28515625" style="2" customWidth="1"/>
    <col min="1804" max="1805" width="0" style="2" hidden="1" customWidth="1"/>
    <col min="1806" max="1806" width="2.85546875" style="2" customWidth="1"/>
    <col min="1807" max="1807" width="3.28515625" style="2" customWidth="1"/>
    <col min="1808" max="1808" width="1.42578125" style="2" customWidth="1"/>
    <col min="1809" max="1809" width="0" style="2" hidden="1" customWidth="1"/>
    <col min="1810" max="1810" width="6.85546875" style="2" customWidth="1"/>
    <col min="1811" max="1811" width="0" style="2" hidden="1" customWidth="1"/>
    <col min="1812" max="1813" width="6.28515625" style="2" customWidth="1"/>
    <col min="1814" max="1814" width="21.85546875" style="2" customWidth="1"/>
    <col min="1815" max="1815" width="10.85546875" style="2" customWidth="1"/>
    <col min="1816" max="1816" width="20.28515625" style="2" customWidth="1"/>
    <col min="1817" max="1817" width="0" style="2" hidden="1" customWidth="1"/>
    <col min="1818" max="1818" width="13" style="2" customWidth="1"/>
    <col min="1819" max="1819" width="12.7109375" style="2" customWidth="1"/>
    <col min="1820" max="1820" width="13.140625" style="2" customWidth="1"/>
    <col min="1821" max="1821" width="14" style="2" customWidth="1"/>
    <col min="1822" max="1822" width="8.140625" style="2" customWidth="1"/>
    <col min="1823" max="1823" width="11.42578125" style="2" customWidth="1"/>
    <col min="1824" max="1824" width="23.7109375" style="2" customWidth="1"/>
    <col min="1825" max="1825" width="12" style="2" customWidth="1"/>
    <col min="1826" max="1827" width="0.28515625" style="2" customWidth="1"/>
    <col min="1828" max="1828" width="1.42578125" style="2" customWidth="1"/>
    <col min="1829" max="1829" width="0" style="2" hidden="1" customWidth="1"/>
    <col min="1830" max="2048" width="11.42578125" style="2"/>
    <col min="2049" max="2049" width="13.140625" style="2" customWidth="1"/>
    <col min="2050" max="2050" width="13.42578125" style="2" customWidth="1"/>
    <col min="2051" max="2051" width="4.28515625" style="2" customWidth="1"/>
    <col min="2052" max="2052" width="4" style="2" customWidth="1"/>
    <col min="2053" max="2053" width="15" style="2" customWidth="1"/>
    <col min="2054" max="2054" width="4.140625" style="2" customWidth="1"/>
    <col min="2055" max="2055" width="11.28515625" style="2" customWidth="1"/>
    <col min="2056" max="2056" width="11" style="2" customWidth="1"/>
    <col min="2057" max="2058" width="2.140625" style="2" customWidth="1"/>
    <col min="2059" max="2059" width="3.28515625" style="2" customWidth="1"/>
    <col min="2060" max="2061" width="0" style="2" hidden="1" customWidth="1"/>
    <col min="2062" max="2062" width="2.85546875" style="2" customWidth="1"/>
    <col min="2063" max="2063" width="3.28515625" style="2" customWidth="1"/>
    <col min="2064" max="2064" width="1.42578125" style="2" customWidth="1"/>
    <col min="2065" max="2065" width="0" style="2" hidden="1" customWidth="1"/>
    <col min="2066" max="2066" width="6.85546875" style="2" customWidth="1"/>
    <col min="2067" max="2067" width="0" style="2" hidden="1" customWidth="1"/>
    <col min="2068" max="2069" width="6.28515625" style="2" customWidth="1"/>
    <col min="2070" max="2070" width="21.85546875" style="2" customWidth="1"/>
    <col min="2071" max="2071" width="10.85546875" style="2" customWidth="1"/>
    <col min="2072" max="2072" width="20.28515625" style="2" customWidth="1"/>
    <col min="2073" max="2073" width="0" style="2" hidden="1" customWidth="1"/>
    <col min="2074" max="2074" width="13" style="2" customWidth="1"/>
    <col min="2075" max="2075" width="12.7109375" style="2" customWidth="1"/>
    <col min="2076" max="2076" width="13.140625" style="2" customWidth="1"/>
    <col min="2077" max="2077" width="14" style="2" customWidth="1"/>
    <col min="2078" max="2078" width="8.140625" style="2" customWidth="1"/>
    <col min="2079" max="2079" width="11.42578125" style="2" customWidth="1"/>
    <col min="2080" max="2080" width="23.7109375" style="2" customWidth="1"/>
    <col min="2081" max="2081" width="12" style="2" customWidth="1"/>
    <col min="2082" max="2083" width="0.28515625" style="2" customWidth="1"/>
    <col min="2084" max="2084" width="1.42578125" style="2" customWidth="1"/>
    <col min="2085" max="2085" width="0" style="2" hidden="1" customWidth="1"/>
    <col min="2086" max="2304" width="11.42578125" style="2"/>
    <col min="2305" max="2305" width="13.140625" style="2" customWidth="1"/>
    <col min="2306" max="2306" width="13.42578125" style="2" customWidth="1"/>
    <col min="2307" max="2307" width="4.28515625" style="2" customWidth="1"/>
    <col min="2308" max="2308" width="4" style="2" customWidth="1"/>
    <col min="2309" max="2309" width="15" style="2" customWidth="1"/>
    <col min="2310" max="2310" width="4.140625" style="2" customWidth="1"/>
    <col min="2311" max="2311" width="11.28515625" style="2" customWidth="1"/>
    <col min="2312" max="2312" width="11" style="2" customWidth="1"/>
    <col min="2313" max="2314" width="2.140625" style="2" customWidth="1"/>
    <col min="2315" max="2315" width="3.28515625" style="2" customWidth="1"/>
    <col min="2316" max="2317" width="0" style="2" hidden="1" customWidth="1"/>
    <col min="2318" max="2318" width="2.85546875" style="2" customWidth="1"/>
    <col min="2319" max="2319" width="3.28515625" style="2" customWidth="1"/>
    <col min="2320" max="2320" width="1.42578125" style="2" customWidth="1"/>
    <col min="2321" max="2321" width="0" style="2" hidden="1" customWidth="1"/>
    <col min="2322" max="2322" width="6.85546875" style="2" customWidth="1"/>
    <col min="2323" max="2323" width="0" style="2" hidden="1" customWidth="1"/>
    <col min="2324" max="2325" width="6.28515625" style="2" customWidth="1"/>
    <col min="2326" max="2326" width="21.85546875" style="2" customWidth="1"/>
    <col min="2327" max="2327" width="10.85546875" style="2" customWidth="1"/>
    <col min="2328" max="2328" width="20.28515625" style="2" customWidth="1"/>
    <col min="2329" max="2329" width="0" style="2" hidden="1" customWidth="1"/>
    <col min="2330" max="2330" width="13" style="2" customWidth="1"/>
    <col min="2331" max="2331" width="12.7109375" style="2" customWidth="1"/>
    <col min="2332" max="2332" width="13.140625" style="2" customWidth="1"/>
    <col min="2333" max="2333" width="14" style="2" customWidth="1"/>
    <col min="2334" max="2334" width="8.140625" style="2" customWidth="1"/>
    <col min="2335" max="2335" width="11.42578125" style="2" customWidth="1"/>
    <col min="2336" max="2336" width="23.7109375" style="2" customWidth="1"/>
    <col min="2337" max="2337" width="12" style="2" customWidth="1"/>
    <col min="2338" max="2339" width="0.28515625" style="2" customWidth="1"/>
    <col min="2340" max="2340" width="1.42578125" style="2" customWidth="1"/>
    <col min="2341" max="2341" width="0" style="2" hidden="1" customWidth="1"/>
    <col min="2342" max="2560" width="11.42578125" style="2"/>
    <col min="2561" max="2561" width="13.140625" style="2" customWidth="1"/>
    <col min="2562" max="2562" width="13.42578125" style="2" customWidth="1"/>
    <col min="2563" max="2563" width="4.28515625" style="2" customWidth="1"/>
    <col min="2564" max="2564" width="4" style="2" customWidth="1"/>
    <col min="2565" max="2565" width="15" style="2" customWidth="1"/>
    <col min="2566" max="2566" width="4.140625" style="2" customWidth="1"/>
    <col min="2567" max="2567" width="11.28515625" style="2" customWidth="1"/>
    <col min="2568" max="2568" width="11" style="2" customWidth="1"/>
    <col min="2569" max="2570" width="2.140625" style="2" customWidth="1"/>
    <col min="2571" max="2571" width="3.28515625" style="2" customWidth="1"/>
    <col min="2572" max="2573" width="0" style="2" hidden="1" customWidth="1"/>
    <col min="2574" max="2574" width="2.85546875" style="2" customWidth="1"/>
    <col min="2575" max="2575" width="3.28515625" style="2" customWidth="1"/>
    <col min="2576" max="2576" width="1.42578125" style="2" customWidth="1"/>
    <col min="2577" max="2577" width="0" style="2" hidden="1" customWidth="1"/>
    <col min="2578" max="2578" width="6.85546875" style="2" customWidth="1"/>
    <col min="2579" max="2579" width="0" style="2" hidden="1" customWidth="1"/>
    <col min="2580" max="2581" width="6.28515625" style="2" customWidth="1"/>
    <col min="2582" max="2582" width="21.85546875" style="2" customWidth="1"/>
    <col min="2583" max="2583" width="10.85546875" style="2" customWidth="1"/>
    <col min="2584" max="2584" width="20.28515625" style="2" customWidth="1"/>
    <col min="2585" max="2585" width="0" style="2" hidden="1" customWidth="1"/>
    <col min="2586" max="2586" width="13" style="2" customWidth="1"/>
    <col min="2587" max="2587" width="12.7109375" style="2" customWidth="1"/>
    <col min="2588" max="2588" width="13.140625" style="2" customWidth="1"/>
    <col min="2589" max="2589" width="14" style="2" customWidth="1"/>
    <col min="2590" max="2590" width="8.140625" style="2" customWidth="1"/>
    <col min="2591" max="2591" width="11.42578125" style="2" customWidth="1"/>
    <col min="2592" max="2592" width="23.7109375" style="2" customWidth="1"/>
    <col min="2593" max="2593" width="12" style="2" customWidth="1"/>
    <col min="2594" max="2595" width="0.28515625" style="2" customWidth="1"/>
    <col min="2596" max="2596" width="1.42578125" style="2" customWidth="1"/>
    <col min="2597" max="2597" width="0" style="2" hidden="1" customWidth="1"/>
    <col min="2598" max="2816" width="11.42578125" style="2"/>
    <col min="2817" max="2817" width="13.140625" style="2" customWidth="1"/>
    <col min="2818" max="2818" width="13.42578125" style="2" customWidth="1"/>
    <col min="2819" max="2819" width="4.28515625" style="2" customWidth="1"/>
    <col min="2820" max="2820" width="4" style="2" customWidth="1"/>
    <col min="2821" max="2821" width="15" style="2" customWidth="1"/>
    <col min="2822" max="2822" width="4.140625" style="2" customWidth="1"/>
    <col min="2823" max="2823" width="11.28515625" style="2" customWidth="1"/>
    <col min="2824" max="2824" width="11" style="2" customWidth="1"/>
    <col min="2825" max="2826" width="2.140625" style="2" customWidth="1"/>
    <col min="2827" max="2827" width="3.28515625" style="2" customWidth="1"/>
    <col min="2828" max="2829" width="0" style="2" hidden="1" customWidth="1"/>
    <col min="2830" max="2830" width="2.85546875" style="2" customWidth="1"/>
    <col min="2831" max="2831" width="3.28515625" style="2" customWidth="1"/>
    <col min="2832" max="2832" width="1.42578125" style="2" customWidth="1"/>
    <col min="2833" max="2833" width="0" style="2" hidden="1" customWidth="1"/>
    <col min="2834" max="2834" width="6.85546875" style="2" customWidth="1"/>
    <col min="2835" max="2835" width="0" style="2" hidden="1" customWidth="1"/>
    <col min="2836" max="2837" width="6.28515625" style="2" customWidth="1"/>
    <col min="2838" max="2838" width="21.85546875" style="2" customWidth="1"/>
    <col min="2839" max="2839" width="10.85546875" style="2" customWidth="1"/>
    <col min="2840" max="2840" width="20.28515625" style="2" customWidth="1"/>
    <col min="2841" max="2841" width="0" style="2" hidden="1" customWidth="1"/>
    <col min="2842" max="2842" width="13" style="2" customWidth="1"/>
    <col min="2843" max="2843" width="12.7109375" style="2" customWidth="1"/>
    <col min="2844" max="2844" width="13.140625" style="2" customWidth="1"/>
    <col min="2845" max="2845" width="14" style="2" customWidth="1"/>
    <col min="2846" max="2846" width="8.140625" style="2" customWidth="1"/>
    <col min="2847" max="2847" width="11.42578125" style="2" customWidth="1"/>
    <col min="2848" max="2848" width="23.7109375" style="2" customWidth="1"/>
    <col min="2849" max="2849" width="12" style="2" customWidth="1"/>
    <col min="2850" max="2851" width="0.28515625" style="2" customWidth="1"/>
    <col min="2852" max="2852" width="1.42578125" style="2" customWidth="1"/>
    <col min="2853" max="2853" width="0" style="2" hidden="1" customWidth="1"/>
    <col min="2854" max="3072" width="11.42578125" style="2"/>
    <col min="3073" max="3073" width="13.140625" style="2" customWidth="1"/>
    <col min="3074" max="3074" width="13.42578125" style="2" customWidth="1"/>
    <col min="3075" max="3075" width="4.28515625" style="2" customWidth="1"/>
    <col min="3076" max="3076" width="4" style="2" customWidth="1"/>
    <col min="3077" max="3077" width="15" style="2" customWidth="1"/>
    <col min="3078" max="3078" width="4.140625" style="2" customWidth="1"/>
    <col min="3079" max="3079" width="11.28515625" style="2" customWidth="1"/>
    <col min="3080" max="3080" width="11" style="2" customWidth="1"/>
    <col min="3081" max="3082" width="2.140625" style="2" customWidth="1"/>
    <col min="3083" max="3083" width="3.28515625" style="2" customWidth="1"/>
    <col min="3084" max="3085" width="0" style="2" hidden="1" customWidth="1"/>
    <col min="3086" max="3086" width="2.85546875" style="2" customWidth="1"/>
    <col min="3087" max="3087" width="3.28515625" style="2" customWidth="1"/>
    <col min="3088" max="3088" width="1.42578125" style="2" customWidth="1"/>
    <col min="3089" max="3089" width="0" style="2" hidden="1" customWidth="1"/>
    <col min="3090" max="3090" width="6.85546875" style="2" customWidth="1"/>
    <col min="3091" max="3091" width="0" style="2" hidden="1" customWidth="1"/>
    <col min="3092" max="3093" width="6.28515625" style="2" customWidth="1"/>
    <col min="3094" max="3094" width="21.85546875" style="2" customWidth="1"/>
    <col min="3095" max="3095" width="10.85546875" style="2" customWidth="1"/>
    <col min="3096" max="3096" width="20.28515625" style="2" customWidth="1"/>
    <col min="3097" max="3097" width="0" style="2" hidden="1" customWidth="1"/>
    <col min="3098" max="3098" width="13" style="2" customWidth="1"/>
    <col min="3099" max="3099" width="12.7109375" style="2" customWidth="1"/>
    <col min="3100" max="3100" width="13.140625" style="2" customWidth="1"/>
    <col min="3101" max="3101" width="14" style="2" customWidth="1"/>
    <col min="3102" max="3102" width="8.140625" style="2" customWidth="1"/>
    <col min="3103" max="3103" width="11.42578125" style="2" customWidth="1"/>
    <col min="3104" max="3104" width="23.7109375" style="2" customWidth="1"/>
    <col min="3105" max="3105" width="12" style="2" customWidth="1"/>
    <col min="3106" max="3107" width="0.28515625" style="2" customWidth="1"/>
    <col min="3108" max="3108" width="1.42578125" style="2" customWidth="1"/>
    <col min="3109" max="3109" width="0" style="2" hidden="1" customWidth="1"/>
    <col min="3110" max="3328" width="11.42578125" style="2"/>
    <col min="3329" max="3329" width="13.140625" style="2" customWidth="1"/>
    <col min="3330" max="3330" width="13.42578125" style="2" customWidth="1"/>
    <col min="3331" max="3331" width="4.28515625" style="2" customWidth="1"/>
    <col min="3332" max="3332" width="4" style="2" customWidth="1"/>
    <col min="3333" max="3333" width="15" style="2" customWidth="1"/>
    <col min="3334" max="3334" width="4.140625" style="2" customWidth="1"/>
    <col min="3335" max="3335" width="11.28515625" style="2" customWidth="1"/>
    <col min="3336" max="3336" width="11" style="2" customWidth="1"/>
    <col min="3337" max="3338" width="2.140625" style="2" customWidth="1"/>
    <col min="3339" max="3339" width="3.28515625" style="2" customWidth="1"/>
    <col min="3340" max="3341" width="0" style="2" hidden="1" customWidth="1"/>
    <col min="3342" max="3342" width="2.85546875" style="2" customWidth="1"/>
    <col min="3343" max="3343" width="3.28515625" style="2" customWidth="1"/>
    <col min="3344" max="3344" width="1.42578125" style="2" customWidth="1"/>
    <col min="3345" max="3345" width="0" style="2" hidden="1" customWidth="1"/>
    <col min="3346" max="3346" width="6.85546875" style="2" customWidth="1"/>
    <col min="3347" max="3347" width="0" style="2" hidden="1" customWidth="1"/>
    <col min="3348" max="3349" width="6.28515625" style="2" customWidth="1"/>
    <col min="3350" max="3350" width="21.85546875" style="2" customWidth="1"/>
    <col min="3351" max="3351" width="10.85546875" style="2" customWidth="1"/>
    <col min="3352" max="3352" width="20.28515625" style="2" customWidth="1"/>
    <col min="3353" max="3353" width="0" style="2" hidden="1" customWidth="1"/>
    <col min="3354" max="3354" width="13" style="2" customWidth="1"/>
    <col min="3355" max="3355" width="12.7109375" style="2" customWidth="1"/>
    <col min="3356" max="3356" width="13.140625" style="2" customWidth="1"/>
    <col min="3357" max="3357" width="14" style="2" customWidth="1"/>
    <col min="3358" max="3358" width="8.140625" style="2" customWidth="1"/>
    <col min="3359" max="3359" width="11.42578125" style="2" customWidth="1"/>
    <col min="3360" max="3360" width="23.7109375" style="2" customWidth="1"/>
    <col min="3361" max="3361" width="12" style="2" customWidth="1"/>
    <col min="3362" max="3363" width="0.28515625" style="2" customWidth="1"/>
    <col min="3364" max="3364" width="1.42578125" style="2" customWidth="1"/>
    <col min="3365" max="3365" width="0" style="2" hidden="1" customWidth="1"/>
    <col min="3366" max="3584" width="11.42578125" style="2"/>
    <col min="3585" max="3585" width="13.140625" style="2" customWidth="1"/>
    <col min="3586" max="3586" width="13.42578125" style="2" customWidth="1"/>
    <col min="3587" max="3587" width="4.28515625" style="2" customWidth="1"/>
    <col min="3588" max="3588" width="4" style="2" customWidth="1"/>
    <col min="3589" max="3589" width="15" style="2" customWidth="1"/>
    <col min="3590" max="3590" width="4.140625" style="2" customWidth="1"/>
    <col min="3591" max="3591" width="11.28515625" style="2" customWidth="1"/>
    <col min="3592" max="3592" width="11" style="2" customWidth="1"/>
    <col min="3593" max="3594" width="2.140625" style="2" customWidth="1"/>
    <col min="3595" max="3595" width="3.28515625" style="2" customWidth="1"/>
    <col min="3596" max="3597" width="0" style="2" hidden="1" customWidth="1"/>
    <col min="3598" max="3598" width="2.85546875" style="2" customWidth="1"/>
    <col min="3599" max="3599" width="3.28515625" style="2" customWidth="1"/>
    <col min="3600" max="3600" width="1.42578125" style="2" customWidth="1"/>
    <col min="3601" max="3601" width="0" style="2" hidden="1" customWidth="1"/>
    <col min="3602" max="3602" width="6.85546875" style="2" customWidth="1"/>
    <col min="3603" max="3603" width="0" style="2" hidden="1" customWidth="1"/>
    <col min="3604" max="3605" width="6.28515625" style="2" customWidth="1"/>
    <col min="3606" max="3606" width="21.85546875" style="2" customWidth="1"/>
    <col min="3607" max="3607" width="10.85546875" style="2" customWidth="1"/>
    <col min="3608" max="3608" width="20.28515625" style="2" customWidth="1"/>
    <col min="3609" max="3609" width="0" style="2" hidden="1" customWidth="1"/>
    <col min="3610" max="3610" width="13" style="2" customWidth="1"/>
    <col min="3611" max="3611" width="12.7109375" style="2" customWidth="1"/>
    <col min="3612" max="3612" width="13.140625" style="2" customWidth="1"/>
    <col min="3613" max="3613" width="14" style="2" customWidth="1"/>
    <col min="3614" max="3614" width="8.140625" style="2" customWidth="1"/>
    <col min="3615" max="3615" width="11.42578125" style="2" customWidth="1"/>
    <col min="3616" max="3616" width="23.7109375" style="2" customWidth="1"/>
    <col min="3617" max="3617" width="12" style="2" customWidth="1"/>
    <col min="3618" max="3619" width="0.28515625" style="2" customWidth="1"/>
    <col min="3620" max="3620" width="1.42578125" style="2" customWidth="1"/>
    <col min="3621" max="3621" width="0" style="2" hidden="1" customWidth="1"/>
    <col min="3622" max="3840" width="11.42578125" style="2"/>
    <col min="3841" max="3841" width="13.140625" style="2" customWidth="1"/>
    <col min="3842" max="3842" width="13.42578125" style="2" customWidth="1"/>
    <col min="3843" max="3843" width="4.28515625" style="2" customWidth="1"/>
    <col min="3844" max="3844" width="4" style="2" customWidth="1"/>
    <col min="3845" max="3845" width="15" style="2" customWidth="1"/>
    <col min="3846" max="3846" width="4.140625" style="2" customWidth="1"/>
    <col min="3847" max="3847" width="11.28515625" style="2" customWidth="1"/>
    <col min="3848" max="3848" width="11" style="2" customWidth="1"/>
    <col min="3849" max="3850" width="2.140625" style="2" customWidth="1"/>
    <col min="3851" max="3851" width="3.28515625" style="2" customWidth="1"/>
    <col min="3852" max="3853" width="0" style="2" hidden="1" customWidth="1"/>
    <col min="3854" max="3854" width="2.85546875" style="2" customWidth="1"/>
    <col min="3855" max="3855" width="3.28515625" style="2" customWidth="1"/>
    <col min="3856" max="3856" width="1.42578125" style="2" customWidth="1"/>
    <col min="3857" max="3857" width="0" style="2" hidden="1" customWidth="1"/>
    <col min="3858" max="3858" width="6.85546875" style="2" customWidth="1"/>
    <col min="3859" max="3859" width="0" style="2" hidden="1" customWidth="1"/>
    <col min="3860" max="3861" width="6.28515625" style="2" customWidth="1"/>
    <col min="3862" max="3862" width="21.85546875" style="2" customWidth="1"/>
    <col min="3863" max="3863" width="10.85546875" style="2" customWidth="1"/>
    <col min="3864" max="3864" width="20.28515625" style="2" customWidth="1"/>
    <col min="3865" max="3865" width="0" style="2" hidden="1" customWidth="1"/>
    <col min="3866" max="3866" width="13" style="2" customWidth="1"/>
    <col min="3867" max="3867" width="12.7109375" style="2" customWidth="1"/>
    <col min="3868" max="3868" width="13.140625" style="2" customWidth="1"/>
    <col min="3869" max="3869" width="14" style="2" customWidth="1"/>
    <col min="3870" max="3870" width="8.140625" style="2" customWidth="1"/>
    <col min="3871" max="3871" width="11.42578125" style="2" customWidth="1"/>
    <col min="3872" max="3872" width="23.7109375" style="2" customWidth="1"/>
    <col min="3873" max="3873" width="12" style="2" customWidth="1"/>
    <col min="3874" max="3875" width="0.28515625" style="2" customWidth="1"/>
    <col min="3876" max="3876" width="1.42578125" style="2" customWidth="1"/>
    <col min="3877" max="3877" width="0" style="2" hidden="1" customWidth="1"/>
    <col min="3878" max="4096" width="11.42578125" style="2"/>
    <col min="4097" max="4097" width="13.140625" style="2" customWidth="1"/>
    <col min="4098" max="4098" width="13.42578125" style="2" customWidth="1"/>
    <col min="4099" max="4099" width="4.28515625" style="2" customWidth="1"/>
    <col min="4100" max="4100" width="4" style="2" customWidth="1"/>
    <col min="4101" max="4101" width="15" style="2" customWidth="1"/>
    <col min="4102" max="4102" width="4.140625" style="2" customWidth="1"/>
    <col min="4103" max="4103" width="11.28515625" style="2" customWidth="1"/>
    <col min="4104" max="4104" width="11" style="2" customWidth="1"/>
    <col min="4105" max="4106" width="2.140625" style="2" customWidth="1"/>
    <col min="4107" max="4107" width="3.28515625" style="2" customWidth="1"/>
    <col min="4108" max="4109" width="0" style="2" hidden="1" customWidth="1"/>
    <col min="4110" max="4110" width="2.85546875" style="2" customWidth="1"/>
    <col min="4111" max="4111" width="3.28515625" style="2" customWidth="1"/>
    <col min="4112" max="4112" width="1.42578125" style="2" customWidth="1"/>
    <col min="4113" max="4113" width="0" style="2" hidden="1" customWidth="1"/>
    <col min="4114" max="4114" width="6.85546875" style="2" customWidth="1"/>
    <col min="4115" max="4115" width="0" style="2" hidden="1" customWidth="1"/>
    <col min="4116" max="4117" width="6.28515625" style="2" customWidth="1"/>
    <col min="4118" max="4118" width="21.85546875" style="2" customWidth="1"/>
    <col min="4119" max="4119" width="10.85546875" style="2" customWidth="1"/>
    <col min="4120" max="4120" width="20.28515625" style="2" customWidth="1"/>
    <col min="4121" max="4121" width="0" style="2" hidden="1" customWidth="1"/>
    <col min="4122" max="4122" width="13" style="2" customWidth="1"/>
    <col min="4123" max="4123" width="12.7109375" style="2" customWidth="1"/>
    <col min="4124" max="4124" width="13.140625" style="2" customWidth="1"/>
    <col min="4125" max="4125" width="14" style="2" customWidth="1"/>
    <col min="4126" max="4126" width="8.140625" style="2" customWidth="1"/>
    <col min="4127" max="4127" width="11.42578125" style="2" customWidth="1"/>
    <col min="4128" max="4128" width="23.7109375" style="2" customWidth="1"/>
    <col min="4129" max="4129" width="12" style="2" customWidth="1"/>
    <col min="4130" max="4131" width="0.28515625" style="2" customWidth="1"/>
    <col min="4132" max="4132" width="1.42578125" style="2" customWidth="1"/>
    <col min="4133" max="4133" width="0" style="2" hidden="1" customWidth="1"/>
    <col min="4134" max="4352" width="11.42578125" style="2"/>
    <col min="4353" max="4353" width="13.140625" style="2" customWidth="1"/>
    <col min="4354" max="4354" width="13.42578125" style="2" customWidth="1"/>
    <col min="4355" max="4355" width="4.28515625" style="2" customWidth="1"/>
    <col min="4356" max="4356" width="4" style="2" customWidth="1"/>
    <col min="4357" max="4357" width="15" style="2" customWidth="1"/>
    <col min="4358" max="4358" width="4.140625" style="2" customWidth="1"/>
    <col min="4359" max="4359" width="11.28515625" style="2" customWidth="1"/>
    <col min="4360" max="4360" width="11" style="2" customWidth="1"/>
    <col min="4361" max="4362" width="2.140625" style="2" customWidth="1"/>
    <col min="4363" max="4363" width="3.28515625" style="2" customWidth="1"/>
    <col min="4364" max="4365" width="0" style="2" hidden="1" customWidth="1"/>
    <col min="4366" max="4366" width="2.85546875" style="2" customWidth="1"/>
    <col min="4367" max="4367" width="3.28515625" style="2" customWidth="1"/>
    <col min="4368" max="4368" width="1.42578125" style="2" customWidth="1"/>
    <col min="4369" max="4369" width="0" style="2" hidden="1" customWidth="1"/>
    <col min="4370" max="4370" width="6.85546875" style="2" customWidth="1"/>
    <col min="4371" max="4371" width="0" style="2" hidden="1" customWidth="1"/>
    <col min="4372" max="4373" width="6.28515625" style="2" customWidth="1"/>
    <col min="4374" max="4374" width="21.85546875" style="2" customWidth="1"/>
    <col min="4375" max="4375" width="10.85546875" style="2" customWidth="1"/>
    <col min="4376" max="4376" width="20.28515625" style="2" customWidth="1"/>
    <col min="4377" max="4377" width="0" style="2" hidden="1" customWidth="1"/>
    <col min="4378" max="4378" width="13" style="2" customWidth="1"/>
    <col min="4379" max="4379" width="12.7109375" style="2" customWidth="1"/>
    <col min="4380" max="4380" width="13.140625" style="2" customWidth="1"/>
    <col min="4381" max="4381" width="14" style="2" customWidth="1"/>
    <col min="4382" max="4382" width="8.140625" style="2" customWidth="1"/>
    <col min="4383" max="4383" width="11.42578125" style="2" customWidth="1"/>
    <col min="4384" max="4384" width="23.7109375" style="2" customWidth="1"/>
    <col min="4385" max="4385" width="12" style="2" customWidth="1"/>
    <col min="4386" max="4387" width="0.28515625" style="2" customWidth="1"/>
    <col min="4388" max="4388" width="1.42578125" style="2" customWidth="1"/>
    <col min="4389" max="4389" width="0" style="2" hidden="1" customWidth="1"/>
    <col min="4390" max="4608" width="11.42578125" style="2"/>
    <col min="4609" max="4609" width="13.140625" style="2" customWidth="1"/>
    <col min="4610" max="4610" width="13.42578125" style="2" customWidth="1"/>
    <col min="4611" max="4611" width="4.28515625" style="2" customWidth="1"/>
    <col min="4612" max="4612" width="4" style="2" customWidth="1"/>
    <col min="4613" max="4613" width="15" style="2" customWidth="1"/>
    <col min="4614" max="4614" width="4.140625" style="2" customWidth="1"/>
    <col min="4615" max="4615" width="11.28515625" style="2" customWidth="1"/>
    <col min="4616" max="4616" width="11" style="2" customWidth="1"/>
    <col min="4617" max="4618" width="2.140625" style="2" customWidth="1"/>
    <col min="4619" max="4619" width="3.28515625" style="2" customWidth="1"/>
    <col min="4620" max="4621" width="0" style="2" hidden="1" customWidth="1"/>
    <col min="4622" max="4622" width="2.85546875" style="2" customWidth="1"/>
    <col min="4623" max="4623" width="3.28515625" style="2" customWidth="1"/>
    <col min="4624" max="4624" width="1.42578125" style="2" customWidth="1"/>
    <col min="4625" max="4625" width="0" style="2" hidden="1" customWidth="1"/>
    <col min="4626" max="4626" width="6.85546875" style="2" customWidth="1"/>
    <col min="4627" max="4627" width="0" style="2" hidden="1" customWidth="1"/>
    <col min="4628" max="4629" width="6.28515625" style="2" customWidth="1"/>
    <col min="4630" max="4630" width="21.85546875" style="2" customWidth="1"/>
    <col min="4631" max="4631" width="10.85546875" style="2" customWidth="1"/>
    <col min="4632" max="4632" width="20.28515625" style="2" customWidth="1"/>
    <col min="4633" max="4633" width="0" style="2" hidden="1" customWidth="1"/>
    <col min="4634" max="4634" width="13" style="2" customWidth="1"/>
    <col min="4635" max="4635" width="12.7109375" style="2" customWidth="1"/>
    <col min="4636" max="4636" width="13.140625" style="2" customWidth="1"/>
    <col min="4637" max="4637" width="14" style="2" customWidth="1"/>
    <col min="4638" max="4638" width="8.140625" style="2" customWidth="1"/>
    <col min="4639" max="4639" width="11.42578125" style="2" customWidth="1"/>
    <col min="4640" max="4640" width="23.7109375" style="2" customWidth="1"/>
    <col min="4641" max="4641" width="12" style="2" customWidth="1"/>
    <col min="4642" max="4643" width="0.28515625" style="2" customWidth="1"/>
    <col min="4644" max="4644" width="1.42578125" style="2" customWidth="1"/>
    <col min="4645" max="4645" width="0" style="2" hidden="1" customWidth="1"/>
    <col min="4646" max="4864" width="11.42578125" style="2"/>
    <col min="4865" max="4865" width="13.140625" style="2" customWidth="1"/>
    <col min="4866" max="4866" width="13.42578125" style="2" customWidth="1"/>
    <col min="4867" max="4867" width="4.28515625" style="2" customWidth="1"/>
    <col min="4868" max="4868" width="4" style="2" customWidth="1"/>
    <col min="4869" max="4869" width="15" style="2" customWidth="1"/>
    <col min="4870" max="4870" width="4.140625" style="2" customWidth="1"/>
    <col min="4871" max="4871" width="11.28515625" style="2" customWidth="1"/>
    <col min="4872" max="4872" width="11" style="2" customWidth="1"/>
    <col min="4873" max="4874" width="2.140625" style="2" customWidth="1"/>
    <col min="4875" max="4875" width="3.28515625" style="2" customWidth="1"/>
    <col min="4876" max="4877" width="0" style="2" hidden="1" customWidth="1"/>
    <col min="4878" max="4878" width="2.85546875" style="2" customWidth="1"/>
    <col min="4879" max="4879" width="3.28515625" style="2" customWidth="1"/>
    <col min="4880" max="4880" width="1.42578125" style="2" customWidth="1"/>
    <col min="4881" max="4881" width="0" style="2" hidden="1" customWidth="1"/>
    <col min="4882" max="4882" width="6.85546875" style="2" customWidth="1"/>
    <col min="4883" max="4883" width="0" style="2" hidden="1" customWidth="1"/>
    <col min="4884" max="4885" width="6.28515625" style="2" customWidth="1"/>
    <col min="4886" max="4886" width="21.85546875" style="2" customWidth="1"/>
    <col min="4887" max="4887" width="10.85546875" style="2" customWidth="1"/>
    <col min="4888" max="4888" width="20.28515625" style="2" customWidth="1"/>
    <col min="4889" max="4889" width="0" style="2" hidden="1" customWidth="1"/>
    <col min="4890" max="4890" width="13" style="2" customWidth="1"/>
    <col min="4891" max="4891" width="12.7109375" style="2" customWidth="1"/>
    <col min="4892" max="4892" width="13.140625" style="2" customWidth="1"/>
    <col min="4893" max="4893" width="14" style="2" customWidth="1"/>
    <col min="4894" max="4894" width="8.140625" style="2" customWidth="1"/>
    <col min="4895" max="4895" width="11.42578125" style="2" customWidth="1"/>
    <col min="4896" max="4896" width="23.7109375" style="2" customWidth="1"/>
    <col min="4897" max="4897" width="12" style="2" customWidth="1"/>
    <col min="4898" max="4899" width="0.28515625" style="2" customWidth="1"/>
    <col min="4900" max="4900" width="1.42578125" style="2" customWidth="1"/>
    <col min="4901" max="4901" width="0" style="2" hidden="1" customWidth="1"/>
    <col min="4902" max="5120" width="11.42578125" style="2"/>
    <col min="5121" max="5121" width="13.140625" style="2" customWidth="1"/>
    <col min="5122" max="5122" width="13.42578125" style="2" customWidth="1"/>
    <col min="5123" max="5123" width="4.28515625" style="2" customWidth="1"/>
    <col min="5124" max="5124" width="4" style="2" customWidth="1"/>
    <col min="5125" max="5125" width="15" style="2" customWidth="1"/>
    <col min="5126" max="5126" width="4.140625" style="2" customWidth="1"/>
    <col min="5127" max="5127" width="11.28515625" style="2" customWidth="1"/>
    <col min="5128" max="5128" width="11" style="2" customWidth="1"/>
    <col min="5129" max="5130" width="2.140625" style="2" customWidth="1"/>
    <col min="5131" max="5131" width="3.28515625" style="2" customWidth="1"/>
    <col min="5132" max="5133" width="0" style="2" hidden="1" customWidth="1"/>
    <col min="5134" max="5134" width="2.85546875" style="2" customWidth="1"/>
    <col min="5135" max="5135" width="3.28515625" style="2" customWidth="1"/>
    <col min="5136" max="5136" width="1.42578125" style="2" customWidth="1"/>
    <col min="5137" max="5137" width="0" style="2" hidden="1" customWidth="1"/>
    <col min="5138" max="5138" width="6.85546875" style="2" customWidth="1"/>
    <col min="5139" max="5139" width="0" style="2" hidden="1" customWidth="1"/>
    <col min="5140" max="5141" width="6.28515625" style="2" customWidth="1"/>
    <col min="5142" max="5142" width="21.85546875" style="2" customWidth="1"/>
    <col min="5143" max="5143" width="10.85546875" style="2" customWidth="1"/>
    <col min="5144" max="5144" width="20.28515625" style="2" customWidth="1"/>
    <col min="5145" max="5145" width="0" style="2" hidden="1" customWidth="1"/>
    <col min="5146" max="5146" width="13" style="2" customWidth="1"/>
    <col min="5147" max="5147" width="12.7109375" style="2" customWidth="1"/>
    <col min="5148" max="5148" width="13.140625" style="2" customWidth="1"/>
    <col min="5149" max="5149" width="14" style="2" customWidth="1"/>
    <col min="5150" max="5150" width="8.140625" style="2" customWidth="1"/>
    <col min="5151" max="5151" width="11.42578125" style="2" customWidth="1"/>
    <col min="5152" max="5152" width="23.7109375" style="2" customWidth="1"/>
    <col min="5153" max="5153" width="12" style="2" customWidth="1"/>
    <col min="5154" max="5155" width="0.28515625" style="2" customWidth="1"/>
    <col min="5156" max="5156" width="1.42578125" style="2" customWidth="1"/>
    <col min="5157" max="5157" width="0" style="2" hidden="1" customWidth="1"/>
    <col min="5158" max="5376" width="11.42578125" style="2"/>
    <col min="5377" max="5377" width="13.140625" style="2" customWidth="1"/>
    <col min="5378" max="5378" width="13.42578125" style="2" customWidth="1"/>
    <col min="5379" max="5379" width="4.28515625" style="2" customWidth="1"/>
    <col min="5380" max="5380" width="4" style="2" customWidth="1"/>
    <col min="5381" max="5381" width="15" style="2" customWidth="1"/>
    <col min="5382" max="5382" width="4.140625" style="2" customWidth="1"/>
    <col min="5383" max="5383" width="11.28515625" style="2" customWidth="1"/>
    <col min="5384" max="5384" width="11" style="2" customWidth="1"/>
    <col min="5385" max="5386" width="2.140625" style="2" customWidth="1"/>
    <col min="5387" max="5387" width="3.28515625" style="2" customWidth="1"/>
    <col min="5388" max="5389" width="0" style="2" hidden="1" customWidth="1"/>
    <col min="5390" max="5390" width="2.85546875" style="2" customWidth="1"/>
    <col min="5391" max="5391" width="3.28515625" style="2" customWidth="1"/>
    <col min="5392" max="5392" width="1.42578125" style="2" customWidth="1"/>
    <col min="5393" max="5393" width="0" style="2" hidden="1" customWidth="1"/>
    <col min="5394" max="5394" width="6.85546875" style="2" customWidth="1"/>
    <col min="5395" max="5395" width="0" style="2" hidden="1" customWidth="1"/>
    <col min="5396" max="5397" width="6.28515625" style="2" customWidth="1"/>
    <col min="5398" max="5398" width="21.85546875" style="2" customWidth="1"/>
    <col min="5399" max="5399" width="10.85546875" style="2" customWidth="1"/>
    <col min="5400" max="5400" width="20.28515625" style="2" customWidth="1"/>
    <col min="5401" max="5401" width="0" style="2" hidden="1" customWidth="1"/>
    <col min="5402" max="5402" width="13" style="2" customWidth="1"/>
    <col min="5403" max="5403" width="12.7109375" style="2" customWidth="1"/>
    <col min="5404" max="5404" width="13.140625" style="2" customWidth="1"/>
    <col min="5405" max="5405" width="14" style="2" customWidth="1"/>
    <col min="5406" max="5406" width="8.140625" style="2" customWidth="1"/>
    <col min="5407" max="5407" width="11.42578125" style="2" customWidth="1"/>
    <col min="5408" max="5408" width="23.7109375" style="2" customWidth="1"/>
    <col min="5409" max="5409" width="12" style="2" customWidth="1"/>
    <col min="5410" max="5411" width="0.28515625" style="2" customWidth="1"/>
    <col min="5412" max="5412" width="1.42578125" style="2" customWidth="1"/>
    <col min="5413" max="5413" width="0" style="2" hidden="1" customWidth="1"/>
    <col min="5414" max="5632" width="11.42578125" style="2"/>
    <col min="5633" max="5633" width="13.140625" style="2" customWidth="1"/>
    <col min="5634" max="5634" width="13.42578125" style="2" customWidth="1"/>
    <col min="5635" max="5635" width="4.28515625" style="2" customWidth="1"/>
    <col min="5636" max="5636" width="4" style="2" customWidth="1"/>
    <col min="5637" max="5637" width="15" style="2" customWidth="1"/>
    <col min="5638" max="5638" width="4.140625" style="2" customWidth="1"/>
    <col min="5639" max="5639" width="11.28515625" style="2" customWidth="1"/>
    <col min="5640" max="5640" width="11" style="2" customWidth="1"/>
    <col min="5641" max="5642" width="2.140625" style="2" customWidth="1"/>
    <col min="5643" max="5643" width="3.28515625" style="2" customWidth="1"/>
    <col min="5644" max="5645" width="0" style="2" hidden="1" customWidth="1"/>
    <col min="5646" max="5646" width="2.85546875" style="2" customWidth="1"/>
    <col min="5647" max="5647" width="3.28515625" style="2" customWidth="1"/>
    <col min="5648" max="5648" width="1.42578125" style="2" customWidth="1"/>
    <col min="5649" max="5649" width="0" style="2" hidden="1" customWidth="1"/>
    <col min="5650" max="5650" width="6.85546875" style="2" customWidth="1"/>
    <col min="5651" max="5651" width="0" style="2" hidden="1" customWidth="1"/>
    <col min="5652" max="5653" width="6.28515625" style="2" customWidth="1"/>
    <col min="5654" max="5654" width="21.85546875" style="2" customWidth="1"/>
    <col min="5655" max="5655" width="10.85546875" style="2" customWidth="1"/>
    <col min="5656" max="5656" width="20.28515625" style="2" customWidth="1"/>
    <col min="5657" max="5657" width="0" style="2" hidden="1" customWidth="1"/>
    <col min="5658" max="5658" width="13" style="2" customWidth="1"/>
    <col min="5659" max="5659" width="12.7109375" style="2" customWidth="1"/>
    <col min="5660" max="5660" width="13.140625" style="2" customWidth="1"/>
    <col min="5661" max="5661" width="14" style="2" customWidth="1"/>
    <col min="5662" max="5662" width="8.140625" style="2" customWidth="1"/>
    <col min="5663" max="5663" width="11.42578125" style="2" customWidth="1"/>
    <col min="5664" max="5664" width="23.7109375" style="2" customWidth="1"/>
    <col min="5665" max="5665" width="12" style="2" customWidth="1"/>
    <col min="5666" max="5667" width="0.28515625" style="2" customWidth="1"/>
    <col min="5668" max="5668" width="1.42578125" style="2" customWidth="1"/>
    <col min="5669" max="5669" width="0" style="2" hidden="1" customWidth="1"/>
    <col min="5670" max="5888" width="11.42578125" style="2"/>
    <col min="5889" max="5889" width="13.140625" style="2" customWidth="1"/>
    <col min="5890" max="5890" width="13.42578125" style="2" customWidth="1"/>
    <col min="5891" max="5891" width="4.28515625" style="2" customWidth="1"/>
    <col min="5892" max="5892" width="4" style="2" customWidth="1"/>
    <col min="5893" max="5893" width="15" style="2" customWidth="1"/>
    <col min="5894" max="5894" width="4.140625" style="2" customWidth="1"/>
    <col min="5895" max="5895" width="11.28515625" style="2" customWidth="1"/>
    <col min="5896" max="5896" width="11" style="2" customWidth="1"/>
    <col min="5897" max="5898" width="2.140625" style="2" customWidth="1"/>
    <col min="5899" max="5899" width="3.28515625" style="2" customWidth="1"/>
    <col min="5900" max="5901" width="0" style="2" hidden="1" customWidth="1"/>
    <col min="5902" max="5902" width="2.85546875" style="2" customWidth="1"/>
    <col min="5903" max="5903" width="3.28515625" style="2" customWidth="1"/>
    <col min="5904" max="5904" width="1.42578125" style="2" customWidth="1"/>
    <col min="5905" max="5905" width="0" style="2" hidden="1" customWidth="1"/>
    <col min="5906" max="5906" width="6.85546875" style="2" customWidth="1"/>
    <col min="5907" max="5907" width="0" style="2" hidden="1" customWidth="1"/>
    <col min="5908" max="5909" width="6.28515625" style="2" customWidth="1"/>
    <col min="5910" max="5910" width="21.85546875" style="2" customWidth="1"/>
    <col min="5911" max="5911" width="10.85546875" style="2" customWidth="1"/>
    <col min="5912" max="5912" width="20.28515625" style="2" customWidth="1"/>
    <col min="5913" max="5913" width="0" style="2" hidden="1" customWidth="1"/>
    <col min="5914" max="5914" width="13" style="2" customWidth="1"/>
    <col min="5915" max="5915" width="12.7109375" style="2" customWidth="1"/>
    <col min="5916" max="5916" width="13.140625" style="2" customWidth="1"/>
    <col min="5917" max="5917" width="14" style="2" customWidth="1"/>
    <col min="5918" max="5918" width="8.140625" style="2" customWidth="1"/>
    <col min="5919" max="5919" width="11.42578125" style="2" customWidth="1"/>
    <col min="5920" max="5920" width="23.7109375" style="2" customWidth="1"/>
    <col min="5921" max="5921" width="12" style="2" customWidth="1"/>
    <col min="5922" max="5923" width="0.28515625" style="2" customWidth="1"/>
    <col min="5924" max="5924" width="1.42578125" style="2" customWidth="1"/>
    <col min="5925" max="5925" width="0" style="2" hidden="1" customWidth="1"/>
    <col min="5926" max="6144" width="11.42578125" style="2"/>
    <col min="6145" max="6145" width="13.140625" style="2" customWidth="1"/>
    <col min="6146" max="6146" width="13.42578125" style="2" customWidth="1"/>
    <col min="6147" max="6147" width="4.28515625" style="2" customWidth="1"/>
    <col min="6148" max="6148" width="4" style="2" customWidth="1"/>
    <col min="6149" max="6149" width="15" style="2" customWidth="1"/>
    <col min="6150" max="6150" width="4.140625" style="2" customWidth="1"/>
    <col min="6151" max="6151" width="11.28515625" style="2" customWidth="1"/>
    <col min="6152" max="6152" width="11" style="2" customWidth="1"/>
    <col min="6153" max="6154" width="2.140625" style="2" customWidth="1"/>
    <col min="6155" max="6155" width="3.28515625" style="2" customWidth="1"/>
    <col min="6156" max="6157" width="0" style="2" hidden="1" customWidth="1"/>
    <col min="6158" max="6158" width="2.85546875" style="2" customWidth="1"/>
    <col min="6159" max="6159" width="3.28515625" style="2" customWidth="1"/>
    <col min="6160" max="6160" width="1.42578125" style="2" customWidth="1"/>
    <col min="6161" max="6161" width="0" style="2" hidden="1" customWidth="1"/>
    <col min="6162" max="6162" width="6.85546875" style="2" customWidth="1"/>
    <col min="6163" max="6163" width="0" style="2" hidden="1" customWidth="1"/>
    <col min="6164" max="6165" width="6.28515625" style="2" customWidth="1"/>
    <col min="6166" max="6166" width="21.85546875" style="2" customWidth="1"/>
    <col min="6167" max="6167" width="10.85546875" style="2" customWidth="1"/>
    <col min="6168" max="6168" width="20.28515625" style="2" customWidth="1"/>
    <col min="6169" max="6169" width="0" style="2" hidden="1" customWidth="1"/>
    <col min="6170" max="6170" width="13" style="2" customWidth="1"/>
    <col min="6171" max="6171" width="12.7109375" style="2" customWidth="1"/>
    <col min="6172" max="6172" width="13.140625" style="2" customWidth="1"/>
    <col min="6173" max="6173" width="14" style="2" customWidth="1"/>
    <col min="6174" max="6174" width="8.140625" style="2" customWidth="1"/>
    <col min="6175" max="6175" width="11.42578125" style="2" customWidth="1"/>
    <col min="6176" max="6176" width="23.7109375" style="2" customWidth="1"/>
    <col min="6177" max="6177" width="12" style="2" customWidth="1"/>
    <col min="6178" max="6179" width="0.28515625" style="2" customWidth="1"/>
    <col min="6180" max="6180" width="1.42578125" style="2" customWidth="1"/>
    <col min="6181" max="6181" width="0" style="2" hidden="1" customWidth="1"/>
    <col min="6182" max="6400" width="11.42578125" style="2"/>
    <col min="6401" max="6401" width="13.140625" style="2" customWidth="1"/>
    <col min="6402" max="6402" width="13.42578125" style="2" customWidth="1"/>
    <col min="6403" max="6403" width="4.28515625" style="2" customWidth="1"/>
    <col min="6404" max="6404" width="4" style="2" customWidth="1"/>
    <col min="6405" max="6405" width="15" style="2" customWidth="1"/>
    <col min="6406" max="6406" width="4.140625" style="2" customWidth="1"/>
    <col min="6407" max="6407" width="11.28515625" style="2" customWidth="1"/>
    <col min="6408" max="6408" width="11" style="2" customWidth="1"/>
    <col min="6409" max="6410" width="2.140625" style="2" customWidth="1"/>
    <col min="6411" max="6411" width="3.28515625" style="2" customWidth="1"/>
    <col min="6412" max="6413" width="0" style="2" hidden="1" customWidth="1"/>
    <col min="6414" max="6414" width="2.85546875" style="2" customWidth="1"/>
    <col min="6415" max="6415" width="3.28515625" style="2" customWidth="1"/>
    <col min="6416" max="6416" width="1.42578125" style="2" customWidth="1"/>
    <col min="6417" max="6417" width="0" style="2" hidden="1" customWidth="1"/>
    <col min="6418" max="6418" width="6.85546875" style="2" customWidth="1"/>
    <col min="6419" max="6419" width="0" style="2" hidden="1" customWidth="1"/>
    <col min="6420" max="6421" width="6.28515625" style="2" customWidth="1"/>
    <col min="6422" max="6422" width="21.85546875" style="2" customWidth="1"/>
    <col min="6423" max="6423" width="10.85546875" style="2" customWidth="1"/>
    <col min="6424" max="6424" width="20.28515625" style="2" customWidth="1"/>
    <col min="6425" max="6425" width="0" style="2" hidden="1" customWidth="1"/>
    <col min="6426" max="6426" width="13" style="2" customWidth="1"/>
    <col min="6427" max="6427" width="12.7109375" style="2" customWidth="1"/>
    <col min="6428" max="6428" width="13.140625" style="2" customWidth="1"/>
    <col min="6429" max="6429" width="14" style="2" customWidth="1"/>
    <col min="6430" max="6430" width="8.140625" style="2" customWidth="1"/>
    <col min="6431" max="6431" width="11.42578125" style="2" customWidth="1"/>
    <col min="6432" max="6432" width="23.7109375" style="2" customWidth="1"/>
    <col min="6433" max="6433" width="12" style="2" customWidth="1"/>
    <col min="6434" max="6435" width="0.28515625" style="2" customWidth="1"/>
    <col min="6436" max="6436" width="1.42578125" style="2" customWidth="1"/>
    <col min="6437" max="6437" width="0" style="2" hidden="1" customWidth="1"/>
    <col min="6438" max="6656" width="11.42578125" style="2"/>
    <col min="6657" max="6657" width="13.140625" style="2" customWidth="1"/>
    <col min="6658" max="6658" width="13.42578125" style="2" customWidth="1"/>
    <col min="6659" max="6659" width="4.28515625" style="2" customWidth="1"/>
    <col min="6660" max="6660" width="4" style="2" customWidth="1"/>
    <col min="6661" max="6661" width="15" style="2" customWidth="1"/>
    <col min="6662" max="6662" width="4.140625" style="2" customWidth="1"/>
    <col min="6663" max="6663" width="11.28515625" style="2" customWidth="1"/>
    <col min="6664" max="6664" width="11" style="2" customWidth="1"/>
    <col min="6665" max="6666" width="2.140625" style="2" customWidth="1"/>
    <col min="6667" max="6667" width="3.28515625" style="2" customWidth="1"/>
    <col min="6668" max="6669" width="0" style="2" hidden="1" customWidth="1"/>
    <col min="6670" max="6670" width="2.85546875" style="2" customWidth="1"/>
    <col min="6671" max="6671" width="3.28515625" style="2" customWidth="1"/>
    <col min="6672" max="6672" width="1.42578125" style="2" customWidth="1"/>
    <col min="6673" max="6673" width="0" style="2" hidden="1" customWidth="1"/>
    <col min="6674" max="6674" width="6.85546875" style="2" customWidth="1"/>
    <col min="6675" max="6675" width="0" style="2" hidden="1" customWidth="1"/>
    <col min="6676" max="6677" width="6.28515625" style="2" customWidth="1"/>
    <col min="6678" max="6678" width="21.85546875" style="2" customWidth="1"/>
    <col min="6679" max="6679" width="10.85546875" style="2" customWidth="1"/>
    <col min="6680" max="6680" width="20.28515625" style="2" customWidth="1"/>
    <col min="6681" max="6681" width="0" style="2" hidden="1" customWidth="1"/>
    <col min="6682" max="6682" width="13" style="2" customWidth="1"/>
    <col min="6683" max="6683" width="12.7109375" style="2" customWidth="1"/>
    <col min="6684" max="6684" width="13.140625" style="2" customWidth="1"/>
    <col min="6685" max="6685" width="14" style="2" customWidth="1"/>
    <col min="6686" max="6686" width="8.140625" style="2" customWidth="1"/>
    <col min="6687" max="6687" width="11.42578125" style="2" customWidth="1"/>
    <col min="6688" max="6688" width="23.7109375" style="2" customWidth="1"/>
    <col min="6689" max="6689" width="12" style="2" customWidth="1"/>
    <col min="6690" max="6691" width="0.28515625" style="2" customWidth="1"/>
    <col min="6692" max="6692" width="1.42578125" style="2" customWidth="1"/>
    <col min="6693" max="6693" width="0" style="2" hidden="1" customWidth="1"/>
    <col min="6694" max="6912" width="11.42578125" style="2"/>
    <col min="6913" max="6913" width="13.140625" style="2" customWidth="1"/>
    <col min="6914" max="6914" width="13.42578125" style="2" customWidth="1"/>
    <col min="6915" max="6915" width="4.28515625" style="2" customWidth="1"/>
    <col min="6916" max="6916" width="4" style="2" customWidth="1"/>
    <col min="6917" max="6917" width="15" style="2" customWidth="1"/>
    <col min="6918" max="6918" width="4.140625" style="2" customWidth="1"/>
    <col min="6919" max="6919" width="11.28515625" style="2" customWidth="1"/>
    <col min="6920" max="6920" width="11" style="2" customWidth="1"/>
    <col min="6921" max="6922" width="2.140625" style="2" customWidth="1"/>
    <col min="6923" max="6923" width="3.28515625" style="2" customWidth="1"/>
    <col min="6924" max="6925" width="0" style="2" hidden="1" customWidth="1"/>
    <col min="6926" max="6926" width="2.85546875" style="2" customWidth="1"/>
    <col min="6927" max="6927" width="3.28515625" style="2" customWidth="1"/>
    <col min="6928" max="6928" width="1.42578125" style="2" customWidth="1"/>
    <col min="6929" max="6929" width="0" style="2" hidden="1" customWidth="1"/>
    <col min="6930" max="6930" width="6.85546875" style="2" customWidth="1"/>
    <col min="6931" max="6931" width="0" style="2" hidden="1" customWidth="1"/>
    <col min="6932" max="6933" width="6.28515625" style="2" customWidth="1"/>
    <col min="6934" max="6934" width="21.85546875" style="2" customWidth="1"/>
    <col min="6935" max="6935" width="10.85546875" style="2" customWidth="1"/>
    <col min="6936" max="6936" width="20.28515625" style="2" customWidth="1"/>
    <col min="6937" max="6937" width="0" style="2" hidden="1" customWidth="1"/>
    <col min="6938" max="6938" width="13" style="2" customWidth="1"/>
    <col min="6939" max="6939" width="12.7109375" style="2" customWidth="1"/>
    <col min="6940" max="6940" width="13.140625" style="2" customWidth="1"/>
    <col min="6941" max="6941" width="14" style="2" customWidth="1"/>
    <col min="6942" max="6942" width="8.140625" style="2" customWidth="1"/>
    <col min="6943" max="6943" width="11.42578125" style="2" customWidth="1"/>
    <col min="6944" max="6944" width="23.7109375" style="2" customWidth="1"/>
    <col min="6945" max="6945" width="12" style="2" customWidth="1"/>
    <col min="6946" max="6947" width="0.28515625" style="2" customWidth="1"/>
    <col min="6948" max="6948" width="1.42578125" style="2" customWidth="1"/>
    <col min="6949" max="6949" width="0" style="2" hidden="1" customWidth="1"/>
    <col min="6950" max="7168" width="11.42578125" style="2"/>
    <col min="7169" max="7169" width="13.140625" style="2" customWidth="1"/>
    <col min="7170" max="7170" width="13.42578125" style="2" customWidth="1"/>
    <col min="7171" max="7171" width="4.28515625" style="2" customWidth="1"/>
    <col min="7172" max="7172" width="4" style="2" customWidth="1"/>
    <col min="7173" max="7173" width="15" style="2" customWidth="1"/>
    <col min="7174" max="7174" width="4.140625" style="2" customWidth="1"/>
    <col min="7175" max="7175" width="11.28515625" style="2" customWidth="1"/>
    <col min="7176" max="7176" width="11" style="2" customWidth="1"/>
    <col min="7177" max="7178" width="2.140625" style="2" customWidth="1"/>
    <col min="7179" max="7179" width="3.28515625" style="2" customWidth="1"/>
    <col min="7180" max="7181" width="0" style="2" hidden="1" customWidth="1"/>
    <col min="7182" max="7182" width="2.85546875" style="2" customWidth="1"/>
    <col min="7183" max="7183" width="3.28515625" style="2" customWidth="1"/>
    <col min="7184" max="7184" width="1.42578125" style="2" customWidth="1"/>
    <col min="7185" max="7185" width="0" style="2" hidden="1" customWidth="1"/>
    <col min="7186" max="7186" width="6.85546875" style="2" customWidth="1"/>
    <col min="7187" max="7187" width="0" style="2" hidden="1" customWidth="1"/>
    <col min="7188" max="7189" width="6.28515625" style="2" customWidth="1"/>
    <col min="7190" max="7190" width="21.85546875" style="2" customWidth="1"/>
    <col min="7191" max="7191" width="10.85546875" style="2" customWidth="1"/>
    <col min="7192" max="7192" width="20.28515625" style="2" customWidth="1"/>
    <col min="7193" max="7193" width="0" style="2" hidden="1" customWidth="1"/>
    <col min="7194" max="7194" width="13" style="2" customWidth="1"/>
    <col min="7195" max="7195" width="12.7109375" style="2" customWidth="1"/>
    <col min="7196" max="7196" width="13.140625" style="2" customWidth="1"/>
    <col min="7197" max="7197" width="14" style="2" customWidth="1"/>
    <col min="7198" max="7198" width="8.140625" style="2" customWidth="1"/>
    <col min="7199" max="7199" width="11.42578125" style="2" customWidth="1"/>
    <col min="7200" max="7200" width="23.7109375" style="2" customWidth="1"/>
    <col min="7201" max="7201" width="12" style="2" customWidth="1"/>
    <col min="7202" max="7203" width="0.28515625" style="2" customWidth="1"/>
    <col min="7204" max="7204" width="1.42578125" style="2" customWidth="1"/>
    <col min="7205" max="7205" width="0" style="2" hidden="1" customWidth="1"/>
    <col min="7206" max="7424" width="11.42578125" style="2"/>
    <col min="7425" max="7425" width="13.140625" style="2" customWidth="1"/>
    <col min="7426" max="7426" width="13.42578125" style="2" customWidth="1"/>
    <col min="7427" max="7427" width="4.28515625" style="2" customWidth="1"/>
    <col min="7428" max="7428" width="4" style="2" customWidth="1"/>
    <col min="7429" max="7429" width="15" style="2" customWidth="1"/>
    <col min="7430" max="7430" width="4.140625" style="2" customWidth="1"/>
    <col min="7431" max="7431" width="11.28515625" style="2" customWidth="1"/>
    <col min="7432" max="7432" width="11" style="2" customWidth="1"/>
    <col min="7433" max="7434" width="2.140625" style="2" customWidth="1"/>
    <col min="7435" max="7435" width="3.28515625" style="2" customWidth="1"/>
    <col min="7436" max="7437" width="0" style="2" hidden="1" customWidth="1"/>
    <col min="7438" max="7438" width="2.85546875" style="2" customWidth="1"/>
    <col min="7439" max="7439" width="3.28515625" style="2" customWidth="1"/>
    <col min="7440" max="7440" width="1.42578125" style="2" customWidth="1"/>
    <col min="7441" max="7441" width="0" style="2" hidden="1" customWidth="1"/>
    <col min="7442" max="7442" width="6.85546875" style="2" customWidth="1"/>
    <col min="7443" max="7443" width="0" style="2" hidden="1" customWidth="1"/>
    <col min="7444" max="7445" width="6.28515625" style="2" customWidth="1"/>
    <col min="7446" max="7446" width="21.85546875" style="2" customWidth="1"/>
    <col min="7447" max="7447" width="10.85546875" style="2" customWidth="1"/>
    <col min="7448" max="7448" width="20.28515625" style="2" customWidth="1"/>
    <col min="7449" max="7449" width="0" style="2" hidden="1" customWidth="1"/>
    <col min="7450" max="7450" width="13" style="2" customWidth="1"/>
    <col min="7451" max="7451" width="12.7109375" style="2" customWidth="1"/>
    <col min="7452" max="7452" width="13.140625" style="2" customWidth="1"/>
    <col min="7453" max="7453" width="14" style="2" customWidth="1"/>
    <col min="7454" max="7454" width="8.140625" style="2" customWidth="1"/>
    <col min="7455" max="7455" width="11.42578125" style="2" customWidth="1"/>
    <col min="7456" max="7456" width="23.7109375" style="2" customWidth="1"/>
    <col min="7457" max="7457" width="12" style="2" customWidth="1"/>
    <col min="7458" max="7459" width="0.28515625" style="2" customWidth="1"/>
    <col min="7460" max="7460" width="1.42578125" style="2" customWidth="1"/>
    <col min="7461" max="7461" width="0" style="2" hidden="1" customWidth="1"/>
    <col min="7462" max="7680" width="11.42578125" style="2"/>
    <col min="7681" max="7681" width="13.140625" style="2" customWidth="1"/>
    <col min="7682" max="7682" width="13.42578125" style="2" customWidth="1"/>
    <col min="7683" max="7683" width="4.28515625" style="2" customWidth="1"/>
    <col min="7684" max="7684" width="4" style="2" customWidth="1"/>
    <col min="7685" max="7685" width="15" style="2" customWidth="1"/>
    <col min="7686" max="7686" width="4.140625" style="2" customWidth="1"/>
    <col min="7687" max="7687" width="11.28515625" style="2" customWidth="1"/>
    <col min="7688" max="7688" width="11" style="2" customWidth="1"/>
    <col min="7689" max="7690" width="2.140625" style="2" customWidth="1"/>
    <col min="7691" max="7691" width="3.28515625" style="2" customWidth="1"/>
    <col min="7692" max="7693" width="0" style="2" hidden="1" customWidth="1"/>
    <col min="7694" max="7694" width="2.85546875" style="2" customWidth="1"/>
    <col min="7695" max="7695" width="3.28515625" style="2" customWidth="1"/>
    <col min="7696" max="7696" width="1.42578125" style="2" customWidth="1"/>
    <col min="7697" max="7697" width="0" style="2" hidden="1" customWidth="1"/>
    <col min="7698" max="7698" width="6.85546875" style="2" customWidth="1"/>
    <col min="7699" max="7699" width="0" style="2" hidden="1" customWidth="1"/>
    <col min="7700" max="7701" width="6.28515625" style="2" customWidth="1"/>
    <col min="7702" max="7702" width="21.85546875" style="2" customWidth="1"/>
    <col min="7703" max="7703" width="10.85546875" style="2" customWidth="1"/>
    <col min="7704" max="7704" width="20.28515625" style="2" customWidth="1"/>
    <col min="7705" max="7705" width="0" style="2" hidden="1" customWidth="1"/>
    <col min="7706" max="7706" width="13" style="2" customWidth="1"/>
    <col min="7707" max="7707" width="12.7109375" style="2" customWidth="1"/>
    <col min="7708" max="7708" width="13.140625" style="2" customWidth="1"/>
    <col min="7709" max="7709" width="14" style="2" customWidth="1"/>
    <col min="7710" max="7710" width="8.140625" style="2" customWidth="1"/>
    <col min="7711" max="7711" width="11.42578125" style="2" customWidth="1"/>
    <col min="7712" max="7712" width="23.7109375" style="2" customWidth="1"/>
    <col min="7713" max="7713" width="12" style="2" customWidth="1"/>
    <col min="7714" max="7715" width="0.28515625" style="2" customWidth="1"/>
    <col min="7716" max="7716" width="1.42578125" style="2" customWidth="1"/>
    <col min="7717" max="7717" width="0" style="2" hidden="1" customWidth="1"/>
    <col min="7718" max="7936" width="11.42578125" style="2"/>
    <col min="7937" max="7937" width="13.140625" style="2" customWidth="1"/>
    <col min="7938" max="7938" width="13.42578125" style="2" customWidth="1"/>
    <col min="7939" max="7939" width="4.28515625" style="2" customWidth="1"/>
    <col min="7940" max="7940" width="4" style="2" customWidth="1"/>
    <col min="7941" max="7941" width="15" style="2" customWidth="1"/>
    <col min="7942" max="7942" width="4.140625" style="2" customWidth="1"/>
    <col min="7943" max="7943" width="11.28515625" style="2" customWidth="1"/>
    <col min="7944" max="7944" width="11" style="2" customWidth="1"/>
    <col min="7945" max="7946" width="2.140625" style="2" customWidth="1"/>
    <col min="7947" max="7947" width="3.28515625" style="2" customWidth="1"/>
    <col min="7948" max="7949" width="0" style="2" hidden="1" customWidth="1"/>
    <col min="7950" max="7950" width="2.85546875" style="2" customWidth="1"/>
    <col min="7951" max="7951" width="3.28515625" style="2" customWidth="1"/>
    <col min="7952" max="7952" width="1.42578125" style="2" customWidth="1"/>
    <col min="7953" max="7953" width="0" style="2" hidden="1" customWidth="1"/>
    <col min="7954" max="7954" width="6.85546875" style="2" customWidth="1"/>
    <col min="7955" max="7955" width="0" style="2" hidden="1" customWidth="1"/>
    <col min="7956" max="7957" width="6.28515625" style="2" customWidth="1"/>
    <col min="7958" max="7958" width="21.85546875" style="2" customWidth="1"/>
    <col min="7959" max="7959" width="10.85546875" style="2" customWidth="1"/>
    <col min="7960" max="7960" width="20.28515625" style="2" customWidth="1"/>
    <col min="7961" max="7961" width="0" style="2" hidden="1" customWidth="1"/>
    <col min="7962" max="7962" width="13" style="2" customWidth="1"/>
    <col min="7963" max="7963" width="12.7109375" style="2" customWidth="1"/>
    <col min="7964" max="7964" width="13.140625" style="2" customWidth="1"/>
    <col min="7965" max="7965" width="14" style="2" customWidth="1"/>
    <col min="7966" max="7966" width="8.140625" style="2" customWidth="1"/>
    <col min="7967" max="7967" width="11.42578125" style="2" customWidth="1"/>
    <col min="7968" max="7968" width="23.7109375" style="2" customWidth="1"/>
    <col min="7969" max="7969" width="12" style="2" customWidth="1"/>
    <col min="7970" max="7971" width="0.28515625" style="2" customWidth="1"/>
    <col min="7972" max="7972" width="1.42578125" style="2" customWidth="1"/>
    <col min="7973" max="7973" width="0" style="2" hidden="1" customWidth="1"/>
    <col min="7974" max="8192" width="11.42578125" style="2"/>
    <col min="8193" max="8193" width="13.140625" style="2" customWidth="1"/>
    <col min="8194" max="8194" width="13.42578125" style="2" customWidth="1"/>
    <col min="8195" max="8195" width="4.28515625" style="2" customWidth="1"/>
    <col min="8196" max="8196" width="4" style="2" customWidth="1"/>
    <col min="8197" max="8197" width="15" style="2" customWidth="1"/>
    <col min="8198" max="8198" width="4.140625" style="2" customWidth="1"/>
    <col min="8199" max="8199" width="11.28515625" style="2" customWidth="1"/>
    <col min="8200" max="8200" width="11" style="2" customWidth="1"/>
    <col min="8201" max="8202" width="2.140625" style="2" customWidth="1"/>
    <col min="8203" max="8203" width="3.28515625" style="2" customWidth="1"/>
    <col min="8204" max="8205" width="0" style="2" hidden="1" customWidth="1"/>
    <col min="8206" max="8206" width="2.85546875" style="2" customWidth="1"/>
    <col min="8207" max="8207" width="3.28515625" style="2" customWidth="1"/>
    <col min="8208" max="8208" width="1.42578125" style="2" customWidth="1"/>
    <col min="8209" max="8209" width="0" style="2" hidden="1" customWidth="1"/>
    <col min="8210" max="8210" width="6.85546875" style="2" customWidth="1"/>
    <col min="8211" max="8211" width="0" style="2" hidden="1" customWidth="1"/>
    <col min="8212" max="8213" width="6.28515625" style="2" customWidth="1"/>
    <col min="8214" max="8214" width="21.85546875" style="2" customWidth="1"/>
    <col min="8215" max="8215" width="10.85546875" style="2" customWidth="1"/>
    <col min="8216" max="8216" width="20.28515625" style="2" customWidth="1"/>
    <col min="8217" max="8217" width="0" style="2" hidden="1" customWidth="1"/>
    <col min="8218" max="8218" width="13" style="2" customWidth="1"/>
    <col min="8219" max="8219" width="12.7109375" style="2" customWidth="1"/>
    <col min="8220" max="8220" width="13.140625" style="2" customWidth="1"/>
    <col min="8221" max="8221" width="14" style="2" customWidth="1"/>
    <col min="8222" max="8222" width="8.140625" style="2" customWidth="1"/>
    <col min="8223" max="8223" width="11.42578125" style="2" customWidth="1"/>
    <col min="8224" max="8224" width="23.7109375" style="2" customWidth="1"/>
    <col min="8225" max="8225" width="12" style="2" customWidth="1"/>
    <col min="8226" max="8227" width="0.28515625" style="2" customWidth="1"/>
    <col min="8228" max="8228" width="1.42578125" style="2" customWidth="1"/>
    <col min="8229" max="8229" width="0" style="2" hidden="1" customWidth="1"/>
    <col min="8230" max="8448" width="11.42578125" style="2"/>
    <col min="8449" max="8449" width="13.140625" style="2" customWidth="1"/>
    <col min="8450" max="8450" width="13.42578125" style="2" customWidth="1"/>
    <col min="8451" max="8451" width="4.28515625" style="2" customWidth="1"/>
    <col min="8452" max="8452" width="4" style="2" customWidth="1"/>
    <col min="8453" max="8453" width="15" style="2" customWidth="1"/>
    <col min="8454" max="8454" width="4.140625" style="2" customWidth="1"/>
    <col min="8455" max="8455" width="11.28515625" style="2" customWidth="1"/>
    <col min="8456" max="8456" width="11" style="2" customWidth="1"/>
    <col min="8457" max="8458" width="2.140625" style="2" customWidth="1"/>
    <col min="8459" max="8459" width="3.28515625" style="2" customWidth="1"/>
    <col min="8460" max="8461" width="0" style="2" hidden="1" customWidth="1"/>
    <col min="8462" max="8462" width="2.85546875" style="2" customWidth="1"/>
    <col min="8463" max="8463" width="3.28515625" style="2" customWidth="1"/>
    <col min="8464" max="8464" width="1.42578125" style="2" customWidth="1"/>
    <col min="8465" max="8465" width="0" style="2" hidden="1" customWidth="1"/>
    <col min="8466" max="8466" width="6.85546875" style="2" customWidth="1"/>
    <col min="8467" max="8467" width="0" style="2" hidden="1" customWidth="1"/>
    <col min="8468" max="8469" width="6.28515625" style="2" customWidth="1"/>
    <col min="8470" max="8470" width="21.85546875" style="2" customWidth="1"/>
    <col min="8471" max="8471" width="10.85546875" style="2" customWidth="1"/>
    <col min="8472" max="8472" width="20.28515625" style="2" customWidth="1"/>
    <col min="8473" max="8473" width="0" style="2" hidden="1" customWidth="1"/>
    <col min="8474" max="8474" width="13" style="2" customWidth="1"/>
    <col min="8475" max="8475" width="12.7109375" style="2" customWidth="1"/>
    <col min="8476" max="8476" width="13.140625" style="2" customWidth="1"/>
    <col min="8477" max="8477" width="14" style="2" customWidth="1"/>
    <col min="8478" max="8478" width="8.140625" style="2" customWidth="1"/>
    <col min="8479" max="8479" width="11.42578125" style="2" customWidth="1"/>
    <col min="8480" max="8480" width="23.7109375" style="2" customWidth="1"/>
    <col min="8481" max="8481" width="12" style="2" customWidth="1"/>
    <col min="8482" max="8483" width="0.28515625" style="2" customWidth="1"/>
    <col min="8484" max="8484" width="1.42578125" style="2" customWidth="1"/>
    <col min="8485" max="8485" width="0" style="2" hidden="1" customWidth="1"/>
    <col min="8486" max="8704" width="11.42578125" style="2"/>
    <col min="8705" max="8705" width="13.140625" style="2" customWidth="1"/>
    <col min="8706" max="8706" width="13.42578125" style="2" customWidth="1"/>
    <col min="8707" max="8707" width="4.28515625" style="2" customWidth="1"/>
    <col min="8708" max="8708" width="4" style="2" customWidth="1"/>
    <col min="8709" max="8709" width="15" style="2" customWidth="1"/>
    <col min="8710" max="8710" width="4.140625" style="2" customWidth="1"/>
    <col min="8711" max="8711" width="11.28515625" style="2" customWidth="1"/>
    <col min="8712" max="8712" width="11" style="2" customWidth="1"/>
    <col min="8713" max="8714" width="2.140625" style="2" customWidth="1"/>
    <col min="8715" max="8715" width="3.28515625" style="2" customWidth="1"/>
    <col min="8716" max="8717" width="0" style="2" hidden="1" customWidth="1"/>
    <col min="8718" max="8718" width="2.85546875" style="2" customWidth="1"/>
    <col min="8719" max="8719" width="3.28515625" style="2" customWidth="1"/>
    <col min="8720" max="8720" width="1.42578125" style="2" customWidth="1"/>
    <col min="8721" max="8721" width="0" style="2" hidden="1" customWidth="1"/>
    <col min="8722" max="8722" width="6.85546875" style="2" customWidth="1"/>
    <col min="8723" max="8723" width="0" style="2" hidden="1" customWidth="1"/>
    <col min="8724" max="8725" width="6.28515625" style="2" customWidth="1"/>
    <col min="8726" max="8726" width="21.85546875" style="2" customWidth="1"/>
    <col min="8727" max="8727" width="10.85546875" style="2" customWidth="1"/>
    <col min="8728" max="8728" width="20.28515625" style="2" customWidth="1"/>
    <col min="8729" max="8729" width="0" style="2" hidden="1" customWidth="1"/>
    <col min="8730" max="8730" width="13" style="2" customWidth="1"/>
    <col min="8731" max="8731" width="12.7109375" style="2" customWidth="1"/>
    <col min="8732" max="8732" width="13.140625" style="2" customWidth="1"/>
    <col min="8733" max="8733" width="14" style="2" customWidth="1"/>
    <col min="8734" max="8734" width="8.140625" style="2" customWidth="1"/>
    <col min="8735" max="8735" width="11.42578125" style="2" customWidth="1"/>
    <col min="8736" max="8736" width="23.7109375" style="2" customWidth="1"/>
    <col min="8737" max="8737" width="12" style="2" customWidth="1"/>
    <col min="8738" max="8739" width="0.28515625" style="2" customWidth="1"/>
    <col min="8740" max="8740" width="1.42578125" style="2" customWidth="1"/>
    <col min="8741" max="8741" width="0" style="2" hidden="1" customWidth="1"/>
    <col min="8742" max="8960" width="11.42578125" style="2"/>
    <col min="8961" max="8961" width="13.140625" style="2" customWidth="1"/>
    <col min="8962" max="8962" width="13.42578125" style="2" customWidth="1"/>
    <col min="8963" max="8963" width="4.28515625" style="2" customWidth="1"/>
    <col min="8964" max="8964" width="4" style="2" customWidth="1"/>
    <col min="8965" max="8965" width="15" style="2" customWidth="1"/>
    <col min="8966" max="8966" width="4.140625" style="2" customWidth="1"/>
    <col min="8967" max="8967" width="11.28515625" style="2" customWidth="1"/>
    <col min="8968" max="8968" width="11" style="2" customWidth="1"/>
    <col min="8969" max="8970" width="2.140625" style="2" customWidth="1"/>
    <col min="8971" max="8971" width="3.28515625" style="2" customWidth="1"/>
    <col min="8972" max="8973" width="0" style="2" hidden="1" customWidth="1"/>
    <col min="8974" max="8974" width="2.85546875" style="2" customWidth="1"/>
    <col min="8975" max="8975" width="3.28515625" style="2" customWidth="1"/>
    <col min="8976" max="8976" width="1.42578125" style="2" customWidth="1"/>
    <col min="8977" max="8977" width="0" style="2" hidden="1" customWidth="1"/>
    <col min="8978" max="8978" width="6.85546875" style="2" customWidth="1"/>
    <col min="8979" max="8979" width="0" style="2" hidden="1" customWidth="1"/>
    <col min="8980" max="8981" width="6.28515625" style="2" customWidth="1"/>
    <col min="8982" max="8982" width="21.85546875" style="2" customWidth="1"/>
    <col min="8983" max="8983" width="10.85546875" style="2" customWidth="1"/>
    <col min="8984" max="8984" width="20.28515625" style="2" customWidth="1"/>
    <col min="8985" max="8985" width="0" style="2" hidden="1" customWidth="1"/>
    <col min="8986" max="8986" width="13" style="2" customWidth="1"/>
    <col min="8987" max="8987" width="12.7109375" style="2" customWidth="1"/>
    <col min="8988" max="8988" width="13.140625" style="2" customWidth="1"/>
    <col min="8989" max="8989" width="14" style="2" customWidth="1"/>
    <col min="8990" max="8990" width="8.140625" style="2" customWidth="1"/>
    <col min="8991" max="8991" width="11.42578125" style="2" customWidth="1"/>
    <col min="8992" max="8992" width="23.7109375" style="2" customWidth="1"/>
    <col min="8993" max="8993" width="12" style="2" customWidth="1"/>
    <col min="8994" max="8995" width="0.28515625" style="2" customWidth="1"/>
    <col min="8996" max="8996" width="1.42578125" style="2" customWidth="1"/>
    <col min="8997" max="8997" width="0" style="2" hidden="1" customWidth="1"/>
    <col min="8998" max="9216" width="11.42578125" style="2"/>
    <col min="9217" max="9217" width="13.140625" style="2" customWidth="1"/>
    <col min="9218" max="9218" width="13.42578125" style="2" customWidth="1"/>
    <col min="9219" max="9219" width="4.28515625" style="2" customWidth="1"/>
    <col min="9220" max="9220" width="4" style="2" customWidth="1"/>
    <col min="9221" max="9221" width="15" style="2" customWidth="1"/>
    <col min="9222" max="9222" width="4.140625" style="2" customWidth="1"/>
    <col min="9223" max="9223" width="11.28515625" style="2" customWidth="1"/>
    <col min="9224" max="9224" width="11" style="2" customWidth="1"/>
    <col min="9225" max="9226" width="2.140625" style="2" customWidth="1"/>
    <col min="9227" max="9227" width="3.28515625" style="2" customWidth="1"/>
    <col min="9228" max="9229" width="0" style="2" hidden="1" customWidth="1"/>
    <col min="9230" max="9230" width="2.85546875" style="2" customWidth="1"/>
    <col min="9231" max="9231" width="3.28515625" style="2" customWidth="1"/>
    <col min="9232" max="9232" width="1.42578125" style="2" customWidth="1"/>
    <col min="9233" max="9233" width="0" style="2" hidden="1" customWidth="1"/>
    <col min="9234" max="9234" width="6.85546875" style="2" customWidth="1"/>
    <col min="9235" max="9235" width="0" style="2" hidden="1" customWidth="1"/>
    <col min="9236" max="9237" width="6.28515625" style="2" customWidth="1"/>
    <col min="9238" max="9238" width="21.85546875" style="2" customWidth="1"/>
    <col min="9239" max="9239" width="10.85546875" style="2" customWidth="1"/>
    <col min="9240" max="9240" width="20.28515625" style="2" customWidth="1"/>
    <col min="9241" max="9241" width="0" style="2" hidden="1" customWidth="1"/>
    <col min="9242" max="9242" width="13" style="2" customWidth="1"/>
    <col min="9243" max="9243" width="12.7109375" style="2" customWidth="1"/>
    <col min="9244" max="9244" width="13.140625" style="2" customWidth="1"/>
    <col min="9245" max="9245" width="14" style="2" customWidth="1"/>
    <col min="9246" max="9246" width="8.140625" style="2" customWidth="1"/>
    <col min="9247" max="9247" width="11.42578125" style="2" customWidth="1"/>
    <col min="9248" max="9248" width="23.7109375" style="2" customWidth="1"/>
    <col min="9249" max="9249" width="12" style="2" customWidth="1"/>
    <col min="9250" max="9251" width="0.28515625" style="2" customWidth="1"/>
    <col min="9252" max="9252" width="1.42578125" style="2" customWidth="1"/>
    <col min="9253" max="9253" width="0" style="2" hidden="1" customWidth="1"/>
    <col min="9254" max="9472" width="11.42578125" style="2"/>
    <col min="9473" max="9473" width="13.140625" style="2" customWidth="1"/>
    <col min="9474" max="9474" width="13.42578125" style="2" customWidth="1"/>
    <col min="9475" max="9475" width="4.28515625" style="2" customWidth="1"/>
    <col min="9476" max="9476" width="4" style="2" customWidth="1"/>
    <col min="9477" max="9477" width="15" style="2" customWidth="1"/>
    <col min="9478" max="9478" width="4.140625" style="2" customWidth="1"/>
    <col min="9479" max="9479" width="11.28515625" style="2" customWidth="1"/>
    <col min="9480" max="9480" width="11" style="2" customWidth="1"/>
    <col min="9481" max="9482" width="2.140625" style="2" customWidth="1"/>
    <col min="9483" max="9483" width="3.28515625" style="2" customWidth="1"/>
    <col min="9484" max="9485" width="0" style="2" hidden="1" customWidth="1"/>
    <col min="9486" max="9486" width="2.85546875" style="2" customWidth="1"/>
    <col min="9487" max="9487" width="3.28515625" style="2" customWidth="1"/>
    <col min="9488" max="9488" width="1.42578125" style="2" customWidth="1"/>
    <col min="9489" max="9489" width="0" style="2" hidden="1" customWidth="1"/>
    <col min="9490" max="9490" width="6.85546875" style="2" customWidth="1"/>
    <col min="9491" max="9491" width="0" style="2" hidden="1" customWidth="1"/>
    <col min="9492" max="9493" width="6.28515625" style="2" customWidth="1"/>
    <col min="9494" max="9494" width="21.85546875" style="2" customWidth="1"/>
    <col min="9495" max="9495" width="10.85546875" style="2" customWidth="1"/>
    <col min="9496" max="9496" width="20.28515625" style="2" customWidth="1"/>
    <col min="9497" max="9497" width="0" style="2" hidden="1" customWidth="1"/>
    <col min="9498" max="9498" width="13" style="2" customWidth="1"/>
    <col min="9499" max="9499" width="12.7109375" style="2" customWidth="1"/>
    <col min="9500" max="9500" width="13.140625" style="2" customWidth="1"/>
    <col min="9501" max="9501" width="14" style="2" customWidth="1"/>
    <col min="9502" max="9502" width="8.140625" style="2" customWidth="1"/>
    <col min="9503" max="9503" width="11.42578125" style="2" customWidth="1"/>
    <col min="9504" max="9504" width="23.7109375" style="2" customWidth="1"/>
    <col min="9505" max="9505" width="12" style="2" customWidth="1"/>
    <col min="9506" max="9507" width="0.28515625" style="2" customWidth="1"/>
    <col min="9508" max="9508" width="1.42578125" style="2" customWidth="1"/>
    <col min="9509" max="9509" width="0" style="2" hidden="1" customWidth="1"/>
    <col min="9510" max="9728" width="11.42578125" style="2"/>
    <col min="9729" max="9729" width="13.140625" style="2" customWidth="1"/>
    <col min="9730" max="9730" width="13.42578125" style="2" customWidth="1"/>
    <col min="9731" max="9731" width="4.28515625" style="2" customWidth="1"/>
    <col min="9732" max="9732" width="4" style="2" customWidth="1"/>
    <col min="9733" max="9733" width="15" style="2" customWidth="1"/>
    <col min="9734" max="9734" width="4.140625" style="2" customWidth="1"/>
    <col min="9735" max="9735" width="11.28515625" style="2" customWidth="1"/>
    <col min="9736" max="9736" width="11" style="2" customWidth="1"/>
    <col min="9737" max="9738" width="2.140625" style="2" customWidth="1"/>
    <col min="9739" max="9739" width="3.28515625" style="2" customWidth="1"/>
    <col min="9740" max="9741" width="0" style="2" hidden="1" customWidth="1"/>
    <col min="9742" max="9742" width="2.85546875" style="2" customWidth="1"/>
    <col min="9743" max="9743" width="3.28515625" style="2" customWidth="1"/>
    <col min="9744" max="9744" width="1.42578125" style="2" customWidth="1"/>
    <col min="9745" max="9745" width="0" style="2" hidden="1" customWidth="1"/>
    <col min="9746" max="9746" width="6.85546875" style="2" customWidth="1"/>
    <col min="9747" max="9747" width="0" style="2" hidden="1" customWidth="1"/>
    <col min="9748" max="9749" width="6.28515625" style="2" customWidth="1"/>
    <col min="9750" max="9750" width="21.85546875" style="2" customWidth="1"/>
    <col min="9751" max="9751" width="10.85546875" style="2" customWidth="1"/>
    <col min="9752" max="9752" width="20.28515625" style="2" customWidth="1"/>
    <col min="9753" max="9753" width="0" style="2" hidden="1" customWidth="1"/>
    <col min="9754" max="9754" width="13" style="2" customWidth="1"/>
    <col min="9755" max="9755" width="12.7109375" style="2" customWidth="1"/>
    <col min="9756" max="9756" width="13.140625" style="2" customWidth="1"/>
    <col min="9757" max="9757" width="14" style="2" customWidth="1"/>
    <col min="9758" max="9758" width="8.140625" style="2" customWidth="1"/>
    <col min="9759" max="9759" width="11.42578125" style="2" customWidth="1"/>
    <col min="9760" max="9760" width="23.7109375" style="2" customWidth="1"/>
    <col min="9761" max="9761" width="12" style="2" customWidth="1"/>
    <col min="9762" max="9763" width="0.28515625" style="2" customWidth="1"/>
    <col min="9764" max="9764" width="1.42578125" style="2" customWidth="1"/>
    <col min="9765" max="9765" width="0" style="2" hidden="1" customWidth="1"/>
    <col min="9766" max="9984" width="11.42578125" style="2"/>
    <col min="9985" max="9985" width="13.140625" style="2" customWidth="1"/>
    <col min="9986" max="9986" width="13.42578125" style="2" customWidth="1"/>
    <col min="9987" max="9987" width="4.28515625" style="2" customWidth="1"/>
    <col min="9988" max="9988" width="4" style="2" customWidth="1"/>
    <col min="9989" max="9989" width="15" style="2" customWidth="1"/>
    <col min="9990" max="9990" width="4.140625" style="2" customWidth="1"/>
    <col min="9991" max="9991" width="11.28515625" style="2" customWidth="1"/>
    <col min="9992" max="9992" width="11" style="2" customWidth="1"/>
    <col min="9993" max="9994" width="2.140625" style="2" customWidth="1"/>
    <col min="9995" max="9995" width="3.28515625" style="2" customWidth="1"/>
    <col min="9996" max="9997" width="0" style="2" hidden="1" customWidth="1"/>
    <col min="9998" max="9998" width="2.85546875" style="2" customWidth="1"/>
    <col min="9999" max="9999" width="3.28515625" style="2" customWidth="1"/>
    <col min="10000" max="10000" width="1.42578125" style="2" customWidth="1"/>
    <col min="10001" max="10001" width="0" style="2" hidden="1" customWidth="1"/>
    <col min="10002" max="10002" width="6.85546875" style="2" customWidth="1"/>
    <col min="10003" max="10003" width="0" style="2" hidden="1" customWidth="1"/>
    <col min="10004" max="10005" width="6.28515625" style="2" customWidth="1"/>
    <col min="10006" max="10006" width="21.85546875" style="2" customWidth="1"/>
    <col min="10007" max="10007" width="10.85546875" style="2" customWidth="1"/>
    <col min="10008" max="10008" width="20.28515625" style="2" customWidth="1"/>
    <col min="10009" max="10009" width="0" style="2" hidden="1" customWidth="1"/>
    <col min="10010" max="10010" width="13" style="2" customWidth="1"/>
    <col min="10011" max="10011" width="12.7109375" style="2" customWidth="1"/>
    <col min="10012" max="10012" width="13.140625" style="2" customWidth="1"/>
    <col min="10013" max="10013" width="14" style="2" customWidth="1"/>
    <col min="10014" max="10014" width="8.140625" style="2" customWidth="1"/>
    <col min="10015" max="10015" width="11.42578125" style="2" customWidth="1"/>
    <col min="10016" max="10016" width="23.7109375" style="2" customWidth="1"/>
    <col min="10017" max="10017" width="12" style="2" customWidth="1"/>
    <col min="10018" max="10019" width="0.28515625" style="2" customWidth="1"/>
    <col min="10020" max="10020" width="1.42578125" style="2" customWidth="1"/>
    <col min="10021" max="10021" width="0" style="2" hidden="1" customWidth="1"/>
    <col min="10022" max="10240" width="11.42578125" style="2"/>
    <col min="10241" max="10241" width="13.140625" style="2" customWidth="1"/>
    <col min="10242" max="10242" width="13.42578125" style="2" customWidth="1"/>
    <col min="10243" max="10243" width="4.28515625" style="2" customWidth="1"/>
    <col min="10244" max="10244" width="4" style="2" customWidth="1"/>
    <col min="10245" max="10245" width="15" style="2" customWidth="1"/>
    <col min="10246" max="10246" width="4.140625" style="2" customWidth="1"/>
    <col min="10247" max="10247" width="11.28515625" style="2" customWidth="1"/>
    <col min="10248" max="10248" width="11" style="2" customWidth="1"/>
    <col min="10249" max="10250" width="2.140625" style="2" customWidth="1"/>
    <col min="10251" max="10251" width="3.28515625" style="2" customWidth="1"/>
    <col min="10252" max="10253" width="0" style="2" hidden="1" customWidth="1"/>
    <col min="10254" max="10254" width="2.85546875" style="2" customWidth="1"/>
    <col min="10255" max="10255" width="3.28515625" style="2" customWidth="1"/>
    <col min="10256" max="10256" width="1.42578125" style="2" customWidth="1"/>
    <col min="10257" max="10257" width="0" style="2" hidden="1" customWidth="1"/>
    <col min="10258" max="10258" width="6.85546875" style="2" customWidth="1"/>
    <col min="10259" max="10259" width="0" style="2" hidden="1" customWidth="1"/>
    <col min="10260" max="10261" width="6.28515625" style="2" customWidth="1"/>
    <col min="10262" max="10262" width="21.85546875" style="2" customWidth="1"/>
    <col min="10263" max="10263" width="10.85546875" style="2" customWidth="1"/>
    <col min="10264" max="10264" width="20.28515625" style="2" customWidth="1"/>
    <col min="10265" max="10265" width="0" style="2" hidden="1" customWidth="1"/>
    <col min="10266" max="10266" width="13" style="2" customWidth="1"/>
    <col min="10267" max="10267" width="12.7109375" style="2" customWidth="1"/>
    <col min="10268" max="10268" width="13.140625" style="2" customWidth="1"/>
    <col min="10269" max="10269" width="14" style="2" customWidth="1"/>
    <col min="10270" max="10270" width="8.140625" style="2" customWidth="1"/>
    <col min="10271" max="10271" width="11.42578125" style="2" customWidth="1"/>
    <col min="10272" max="10272" width="23.7109375" style="2" customWidth="1"/>
    <col min="10273" max="10273" width="12" style="2" customWidth="1"/>
    <col min="10274" max="10275" width="0.28515625" style="2" customWidth="1"/>
    <col min="10276" max="10276" width="1.42578125" style="2" customWidth="1"/>
    <col min="10277" max="10277" width="0" style="2" hidden="1" customWidth="1"/>
    <col min="10278" max="10496" width="11.42578125" style="2"/>
    <col min="10497" max="10497" width="13.140625" style="2" customWidth="1"/>
    <col min="10498" max="10498" width="13.42578125" style="2" customWidth="1"/>
    <col min="10499" max="10499" width="4.28515625" style="2" customWidth="1"/>
    <col min="10500" max="10500" width="4" style="2" customWidth="1"/>
    <col min="10501" max="10501" width="15" style="2" customWidth="1"/>
    <col min="10502" max="10502" width="4.140625" style="2" customWidth="1"/>
    <col min="10503" max="10503" width="11.28515625" style="2" customWidth="1"/>
    <col min="10504" max="10504" width="11" style="2" customWidth="1"/>
    <col min="10505" max="10506" width="2.140625" style="2" customWidth="1"/>
    <col min="10507" max="10507" width="3.28515625" style="2" customWidth="1"/>
    <col min="10508" max="10509" width="0" style="2" hidden="1" customWidth="1"/>
    <col min="10510" max="10510" width="2.85546875" style="2" customWidth="1"/>
    <col min="10511" max="10511" width="3.28515625" style="2" customWidth="1"/>
    <col min="10512" max="10512" width="1.42578125" style="2" customWidth="1"/>
    <col min="10513" max="10513" width="0" style="2" hidden="1" customWidth="1"/>
    <col min="10514" max="10514" width="6.85546875" style="2" customWidth="1"/>
    <col min="10515" max="10515" width="0" style="2" hidden="1" customWidth="1"/>
    <col min="10516" max="10517" width="6.28515625" style="2" customWidth="1"/>
    <col min="10518" max="10518" width="21.85546875" style="2" customWidth="1"/>
    <col min="10519" max="10519" width="10.85546875" style="2" customWidth="1"/>
    <col min="10520" max="10520" width="20.28515625" style="2" customWidth="1"/>
    <col min="10521" max="10521" width="0" style="2" hidden="1" customWidth="1"/>
    <col min="10522" max="10522" width="13" style="2" customWidth="1"/>
    <col min="10523" max="10523" width="12.7109375" style="2" customWidth="1"/>
    <col min="10524" max="10524" width="13.140625" style="2" customWidth="1"/>
    <col min="10525" max="10525" width="14" style="2" customWidth="1"/>
    <col min="10526" max="10526" width="8.140625" style="2" customWidth="1"/>
    <col min="10527" max="10527" width="11.42578125" style="2" customWidth="1"/>
    <col min="10528" max="10528" width="23.7109375" style="2" customWidth="1"/>
    <col min="10529" max="10529" width="12" style="2" customWidth="1"/>
    <col min="10530" max="10531" width="0.28515625" style="2" customWidth="1"/>
    <col min="10532" max="10532" width="1.42578125" style="2" customWidth="1"/>
    <col min="10533" max="10533" width="0" style="2" hidden="1" customWidth="1"/>
    <col min="10534" max="10752" width="11.42578125" style="2"/>
    <col min="10753" max="10753" width="13.140625" style="2" customWidth="1"/>
    <col min="10754" max="10754" width="13.42578125" style="2" customWidth="1"/>
    <col min="10755" max="10755" width="4.28515625" style="2" customWidth="1"/>
    <col min="10756" max="10756" width="4" style="2" customWidth="1"/>
    <col min="10757" max="10757" width="15" style="2" customWidth="1"/>
    <col min="10758" max="10758" width="4.140625" style="2" customWidth="1"/>
    <col min="10759" max="10759" width="11.28515625" style="2" customWidth="1"/>
    <col min="10760" max="10760" width="11" style="2" customWidth="1"/>
    <col min="10761" max="10762" width="2.140625" style="2" customWidth="1"/>
    <col min="10763" max="10763" width="3.28515625" style="2" customWidth="1"/>
    <col min="10764" max="10765" width="0" style="2" hidden="1" customWidth="1"/>
    <col min="10766" max="10766" width="2.85546875" style="2" customWidth="1"/>
    <col min="10767" max="10767" width="3.28515625" style="2" customWidth="1"/>
    <col min="10768" max="10768" width="1.42578125" style="2" customWidth="1"/>
    <col min="10769" max="10769" width="0" style="2" hidden="1" customWidth="1"/>
    <col min="10770" max="10770" width="6.85546875" style="2" customWidth="1"/>
    <col min="10771" max="10771" width="0" style="2" hidden="1" customWidth="1"/>
    <col min="10772" max="10773" width="6.28515625" style="2" customWidth="1"/>
    <col min="10774" max="10774" width="21.85546875" style="2" customWidth="1"/>
    <col min="10775" max="10775" width="10.85546875" style="2" customWidth="1"/>
    <col min="10776" max="10776" width="20.28515625" style="2" customWidth="1"/>
    <col min="10777" max="10777" width="0" style="2" hidden="1" customWidth="1"/>
    <col min="10778" max="10778" width="13" style="2" customWidth="1"/>
    <col min="10779" max="10779" width="12.7109375" style="2" customWidth="1"/>
    <col min="10780" max="10780" width="13.140625" style="2" customWidth="1"/>
    <col min="10781" max="10781" width="14" style="2" customWidth="1"/>
    <col min="10782" max="10782" width="8.140625" style="2" customWidth="1"/>
    <col min="10783" max="10783" width="11.42578125" style="2" customWidth="1"/>
    <col min="10784" max="10784" width="23.7109375" style="2" customWidth="1"/>
    <col min="10785" max="10785" width="12" style="2" customWidth="1"/>
    <col min="10786" max="10787" width="0.28515625" style="2" customWidth="1"/>
    <col min="10788" max="10788" width="1.42578125" style="2" customWidth="1"/>
    <col min="10789" max="10789" width="0" style="2" hidden="1" customWidth="1"/>
    <col min="10790" max="11008" width="11.42578125" style="2"/>
    <col min="11009" max="11009" width="13.140625" style="2" customWidth="1"/>
    <col min="11010" max="11010" width="13.42578125" style="2" customWidth="1"/>
    <col min="11011" max="11011" width="4.28515625" style="2" customWidth="1"/>
    <col min="11012" max="11012" width="4" style="2" customWidth="1"/>
    <col min="11013" max="11013" width="15" style="2" customWidth="1"/>
    <col min="11014" max="11014" width="4.140625" style="2" customWidth="1"/>
    <col min="11015" max="11015" width="11.28515625" style="2" customWidth="1"/>
    <col min="11016" max="11016" width="11" style="2" customWidth="1"/>
    <col min="11017" max="11018" width="2.140625" style="2" customWidth="1"/>
    <col min="11019" max="11019" width="3.28515625" style="2" customWidth="1"/>
    <col min="11020" max="11021" width="0" style="2" hidden="1" customWidth="1"/>
    <col min="11022" max="11022" width="2.85546875" style="2" customWidth="1"/>
    <col min="11023" max="11023" width="3.28515625" style="2" customWidth="1"/>
    <col min="11024" max="11024" width="1.42578125" style="2" customWidth="1"/>
    <col min="11025" max="11025" width="0" style="2" hidden="1" customWidth="1"/>
    <col min="11026" max="11026" width="6.85546875" style="2" customWidth="1"/>
    <col min="11027" max="11027" width="0" style="2" hidden="1" customWidth="1"/>
    <col min="11028" max="11029" width="6.28515625" style="2" customWidth="1"/>
    <col min="11030" max="11030" width="21.85546875" style="2" customWidth="1"/>
    <col min="11031" max="11031" width="10.85546875" style="2" customWidth="1"/>
    <col min="11032" max="11032" width="20.28515625" style="2" customWidth="1"/>
    <col min="11033" max="11033" width="0" style="2" hidden="1" customWidth="1"/>
    <col min="11034" max="11034" width="13" style="2" customWidth="1"/>
    <col min="11035" max="11035" width="12.7109375" style="2" customWidth="1"/>
    <col min="11036" max="11036" width="13.140625" style="2" customWidth="1"/>
    <col min="11037" max="11037" width="14" style="2" customWidth="1"/>
    <col min="11038" max="11038" width="8.140625" style="2" customWidth="1"/>
    <col min="11039" max="11039" width="11.42578125" style="2" customWidth="1"/>
    <col min="11040" max="11040" width="23.7109375" style="2" customWidth="1"/>
    <col min="11041" max="11041" width="12" style="2" customWidth="1"/>
    <col min="11042" max="11043" width="0.28515625" style="2" customWidth="1"/>
    <col min="11044" max="11044" width="1.42578125" style="2" customWidth="1"/>
    <col min="11045" max="11045" width="0" style="2" hidden="1" customWidth="1"/>
    <col min="11046" max="11264" width="11.42578125" style="2"/>
    <col min="11265" max="11265" width="13.140625" style="2" customWidth="1"/>
    <col min="11266" max="11266" width="13.42578125" style="2" customWidth="1"/>
    <col min="11267" max="11267" width="4.28515625" style="2" customWidth="1"/>
    <col min="11268" max="11268" width="4" style="2" customWidth="1"/>
    <col min="11269" max="11269" width="15" style="2" customWidth="1"/>
    <col min="11270" max="11270" width="4.140625" style="2" customWidth="1"/>
    <col min="11271" max="11271" width="11.28515625" style="2" customWidth="1"/>
    <col min="11272" max="11272" width="11" style="2" customWidth="1"/>
    <col min="11273" max="11274" width="2.140625" style="2" customWidth="1"/>
    <col min="11275" max="11275" width="3.28515625" style="2" customWidth="1"/>
    <col min="11276" max="11277" width="0" style="2" hidden="1" customWidth="1"/>
    <col min="11278" max="11278" width="2.85546875" style="2" customWidth="1"/>
    <col min="11279" max="11279" width="3.28515625" style="2" customWidth="1"/>
    <col min="11280" max="11280" width="1.42578125" style="2" customWidth="1"/>
    <col min="11281" max="11281" width="0" style="2" hidden="1" customWidth="1"/>
    <col min="11282" max="11282" width="6.85546875" style="2" customWidth="1"/>
    <col min="11283" max="11283" width="0" style="2" hidden="1" customWidth="1"/>
    <col min="11284" max="11285" width="6.28515625" style="2" customWidth="1"/>
    <col min="11286" max="11286" width="21.85546875" style="2" customWidth="1"/>
    <col min="11287" max="11287" width="10.85546875" style="2" customWidth="1"/>
    <col min="11288" max="11288" width="20.28515625" style="2" customWidth="1"/>
    <col min="11289" max="11289" width="0" style="2" hidden="1" customWidth="1"/>
    <col min="11290" max="11290" width="13" style="2" customWidth="1"/>
    <col min="11291" max="11291" width="12.7109375" style="2" customWidth="1"/>
    <col min="11292" max="11292" width="13.140625" style="2" customWidth="1"/>
    <col min="11293" max="11293" width="14" style="2" customWidth="1"/>
    <col min="11294" max="11294" width="8.140625" style="2" customWidth="1"/>
    <col min="11295" max="11295" width="11.42578125" style="2" customWidth="1"/>
    <col min="11296" max="11296" width="23.7109375" style="2" customWidth="1"/>
    <col min="11297" max="11297" width="12" style="2" customWidth="1"/>
    <col min="11298" max="11299" width="0.28515625" style="2" customWidth="1"/>
    <col min="11300" max="11300" width="1.42578125" style="2" customWidth="1"/>
    <col min="11301" max="11301" width="0" style="2" hidden="1" customWidth="1"/>
    <col min="11302" max="11520" width="11.42578125" style="2"/>
    <col min="11521" max="11521" width="13.140625" style="2" customWidth="1"/>
    <col min="11522" max="11522" width="13.42578125" style="2" customWidth="1"/>
    <col min="11523" max="11523" width="4.28515625" style="2" customWidth="1"/>
    <col min="11524" max="11524" width="4" style="2" customWidth="1"/>
    <col min="11525" max="11525" width="15" style="2" customWidth="1"/>
    <col min="11526" max="11526" width="4.140625" style="2" customWidth="1"/>
    <col min="11527" max="11527" width="11.28515625" style="2" customWidth="1"/>
    <col min="11528" max="11528" width="11" style="2" customWidth="1"/>
    <col min="11529" max="11530" width="2.140625" style="2" customWidth="1"/>
    <col min="11531" max="11531" width="3.28515625" style="2" customWidth="1"/>
    <col min="11532" max="11533" width="0" style="2" hidden="1" customWidth="1"/>
    <col min="11534" max="11534" width="2.85546875" style="2" customWidth="1"/>
    <col min="11535" max="11535" width="3.28515625" style="2" customWidth="1"/>
    <col min="11536" max="11536" width="1.42578125" style="2" customWidth="1"/>
    <col min="11537" max="11537" width="0" style="2" hidden="1" customWidth="1"/>
    <col min="11538" max="11538" width="6.85546875" style="2" customWidth="1"/>
    <col min="11539" max="11539" width="0" style="2" hidden="1" customWidth="1"/>
    <col min="11540" max="11541" width="6.28515625" style="2" customWidth="1"/>
    <col min="11542" max="11542" width="21.85546875" style="2" customWidth="1"/>
    <col min="11543" max="11543" width="10.85546875" style="2" customWidth="1"/>
    <col min="11544" max="11544" width="20.28515625" style="2" customWidth="1"/>
    <col min="11545" max="11545" width="0" style="2" hidden="1" customWidth="1"/>
    <col min="11546" max="11546" width="13" style="2" customWidth="1"/>
    <col min="11547" max="11547" width="12.7109375" style="2" customWidth="1"/>
    <col min="11548" max="11548" width="13.140625" style="2" customWidth="1"/>
    <col min="11549" max="11549" width="14" style="2" customWidth="1"/>
    <col min="11550" max="11550" width="8.140625" style="2" customWidth="1"/>
    <col min="11551" max="11551" width="11.42578125" style="2" customWidth="1"/>
    <col min="11552" max="11552" width="23.7109375" style="2" customWidth="1"/>
    <col min="11553" max="11553" width="12" style="2" customWidth="1"/>
    <col min="11554" max="11555" width="0.28515625" style="2" customWidth="1"/>
    <col min="11556" max="11556" width="1.42578125" style="2" customWidth="1"/>
    <col min="11557" max="11557" width="0" style="2" hidden="1" customWidth="1"/>
    <col min="11558" max="11776" width="11.42578125" style="2"/>
    <col min="11777" max="11777" width="13.140625" style="2" customWidth="1"/>
    <col min="11778" max="11778" width="13.42578125" style="2" customWidth="1"/>
    <col min="11779" max="11779" width="4.28515625" style="2" customWidth="1"/>
    <col min="11780" max="11780" width="4" style="2" customWidth="1"/>
    <col min="11781" max="11781" width="15" style="2" customWidth="1"/>
    <col min="11782" max="11782" width="4.140625" style="2" customWidth="1"/>
    <col min="11783" max="11783" width="11.28515625" style="2" customWidth="1"/>
    <col min="11784" max="11784" width="11" style="2" customWidth="1"/>
    <col min="11785" max="11786" width="2.140625" style="2" customWidth="1"/>
    <col min="11787" max="11787" width="3.28515625" style="2" customWidth="1"/>
    <col min="11788" max="11789" width="0" style="2" hidden="1" customWidth="1"/>
    <col min="11790" max="11790" width="2.85546875" style="2" customWidth="1"/>
    <col min="11791" max="11791" width="3.28515625" style="2" customWidth="1"/>
    <col min="11792" max="11792" width="1.42578125" style="2" customWidth="1"/>
    <col min="11793" max="11793" width="0" style="2" hidden="1" customWidth="1"/>
    <col min="11794" max="11794" width="6.85546875" style="2" customWidth="1"/>
    <col min="11795" max="11795" width="0" style="2" hidden="1" customWidth="1"/>
    <col min="11796" max="11797" width="6.28515625" style="2" customWidth="1"/>
    <col min="11798" max="11798" width="21.85546875" style="2" customWidth="1"/>
    <col min="11799" max="11799" width="10.85546875" style="2" customWidth="1"/>
    <col min="11800" max="11800" width="20.28515625" style="2" customWidth="1"/>
    <col min="11801" max="11801" width="0" style="2" hidden="1" customWidth="1"/>
    <col min="11802" max="11802" width="13" style="2" customWidth="1"/>
    <col min="11803" max="11803" width="12.7109375" style="2" customWidth="1"/>
    <col min="11804" max="11804" width="13.140625" style="2" customWidth="1"/>
    <col min="11805" max="11805" width="14" style="2" customWidth="1"/>
    <col min="11806" max="11806" width="8.140625" style="2" customWidth="1"/>
    <col min="11807" max="11807" width="11.42578125" style="2" customWidth="1"/>
    <col min="11808" max="11808" width="23.7109375" style="2" customWidth="1"/>
    <col min="11809" max="11809" width="12" style="2" customWidth="1"/>
    <col min="11810" max="11811" width="0.28515625" style="2" customWidth="1"/>
    <col min="11812" max="11812" width="1.42578125" style="2" customWidth="1"/>
    <col min="11813" max="11813" width="0" style="2" hidden="1" customWidth="1"/>
    <col min="11814" max="12032" width="11.42578125" style="2"/>
    <col min="12033" max="12033" width="13.140625" style="2" customWidth="1"/>
    <col min="12034" max="12034" width="13.42578125" style="2" customWidth="1"/>
    <col min="12035" max="12035" width="4.28515625" style="2" customWidth="1"/>
    <col min="12036" max="12036" width="4" style="2" customWidth="1"/>
    <col min="12037" max="12037" width="15" style="2" customWidth="1"/>
    <col min="12038" max="12038" width="4.140625" style="2" customWidth="1"/>
    <col min="12039" max="12039" width="11.28515625" style="2" customWidth="1"/>
    <col min="12040" max="12040" width="11" style="2" customWidth="1"/>
    <col min="12041" max="12042" width="2.140625" style="2" customWidth="1"/>
    <col min="12043" max="12043" width="3.28515625" style="2" customWidth="1"/>
    <col min="12044" max="12045" width="0" style="2" hidden="1" customWidth="1"/>
    <col min="12046" max="12046" width="2.85546875" style="2" customWidth="1"/>
    <col min="12047" max="12047" width="3.28515625" style="2" customWidth="1"/>
    <col min="12048" max="12048" width="1.42578125" style="2" customWidth="1"/>
    <col min="12049" max="12049" width="0" style="2" hidden="1" customWidth="1"/>
    <col min="12050" max="12050" width="6.85546875" style="2" customWidth="1"/>
    <col min="12051" max="12051" width="0" style="2" hidden="1" customWidth="1"/>
    <col min="12052" max="12053" width="6.28515625" style="2" customWidth="1"/>
    <col min="12054" max="12054" width="21.85546875" style="2" customWidth="1"/>
    <col min="12055" max="12055" width="10.85546875" style="2" customWidth="1"/>
    <col min="12056" max="12056" width="20.28515625" style="2" customWidth="1"/>
    <col min="12057" max="12057" width="0" style="2" hidden="1" customWidth="1"/>
    <col min="12058" max="12058" width="13" style="2" customWidth="1"/>
    <col min="12059" max="12059" width="12.7109375" style="2" customWidth="1"/>
    <col min="12060" max="12060" width="13.140625" style="2" customWidth="1"/>
    <col min="12061" max="12061" width="14" style="2" customWidth="1"/>
    <col min="12062" max="12062" width="8.140625" style="2" customWidth="1"/>
    <col min="12063" max="12063" width="11.42578125" style="2" customWidth="1"/>
    <col min="12064" max="12064" width="23.7109375" style="2" customWidth="1"/>
    <col min="12065" max="12065" width="12" style="2" customWidth="1"/>
    <col min="12066" max="12067" width="0.28515625" style="2" customWidth="1"/>
    <col min="12068" max="12068" width="1.42578125" style="2" customWidth="1"/>
    <col min="12069" max="12069" width="0" style="2" hidden="1" customWidth="1"/>
    <col min="12070" max="12288" width="11.42578125" style="2"/>
    <col min="12289" max="12289" width="13.140625" style="2" customWidth="1"/>
    <col min="12290" max="12290" width="13.42578125" style="2" customWidth="1"/>
    <col min="12291" max="12291" width="4.28515625" style="2" customWidth="1"/>
    <col min="12292" max="12292" width="4" style="2" customWidth="1"/>
    <col min="12293" max="12293" width="15" style="2" customWidth="1"/>
    <col min="12294" max="12294" width="4.140625" style="2" customWidth="1"/>
    <col min="12295" max="12295" width="11.28515625" style="2" customWidth="1"/>
    <col min="12296" max="12296" width="11" style="2" customWidth="1"/>
    <col min="12297" max="12298" width="2.140625" style="2" customWidth="1"/>
    <col min="12299" max="12299" width="3.28515625" style="2" customWidth="1"/>
    <col min="12300" max="12301" width="0" style="2" hidden="1" customWidth="1"/>
    <col min="12302" max="12302" width="2.85546875" style="2" customWidth="1"/>
    <col min="12303" max="12303" width="3.28515625" style="2" customWidth="1"/>
    <col min="12304" max="12304" width="1.42578125" style="2" customWidth="1"/>
    <col min="12305" max="12305" width="0" style="2" hidden="1" customWidth="1"/>
    <col min="12306" max="12306" width="6.85546875" style="2" customWidth="1"/>
    <col min="12307" max="12307" width="0" style="2" hidden="1" customWidth="1"/>
    <col min="12308" max="12309" width="6.28515625" style="2" customWidth="1"/>
    <col min="12310" max="12310" width="21.85546875" style="2" customWidth="1"/>
    <col min="12311" max="12311" width="10.85546875" style="2" customWidth="1"/>
    <col min="12312" max="12312" width="20.28515625" style="2" customWidth="1"/>
    <col min="12313" max="12313" width="0" style="2" hidden="1" customWidth="1"/>
    <col min="12314" max="12314" width="13" style="2" customWidth="1"/>
    <col min="12315" max="12315" width="12.7109375" style="2" customWidth="1"/>
    <col min="12316" max="12316" width="13.140625" style="2" customWidth="1"/>
    <col min="12317" max="12317" width="14" style="2" customWidth="1"/>
    <col min="12318" max="12318" width="8.140625" style="2" customWidth="1"/>
    <col min="12319" max="12319" width="11.42578125" style="2" customWidth="1"/>
    <col min="12320" max="12320" width="23.7109375" style="2" customWidth="1"/>
    <col min="12321" max="12321" width="12" style="2" customWidth="1"/>
    <col min="12322" max="12323" width="0.28515625" style="2" customWidth="1"/>
    <col min="12324" max="12324" width="1.42578125" style="2" customWidth="1"/>
    <col min="12325" max="12325" width="0" style="2" hidden="1" customWidth="1"/>
    <col min="12326" max="12544" width="11.42578125" style="2"/>
    <col min="12545" max="12545" width="13.140625" style="2" customWidth="1"/>
    <col min="12546" max="12546" width="13.42578125" style="2" customWidth="1"/>
    <col min="12547" max="12547" width="4.28515625" style="2" customWidth="1"/>
    <col min="12548" max="12548" width="4" style="2" customWidth="1"/>
    <col min="12549" max="12549" width="15" style="2" customWidth="1"/>
    <col min="12550" max="12550" width="4.140625" style="2" customWidth="1"/>
    <col min="12551" max="12551" width="11.28515625" style="2" customWidth="1"/>
    <col min="12552" max="12552" width="11" style="2" customWidth="1"/>
    <col min="12553" max="12554" width="2.140625" style="2" customWidth="1"/>
    <col min="12555" max="12555" width="3.28515625" style="2" customWidth="1"/>
    <col min="12556" max="12557" width="0" style="2" hidden="1" customWidth="1"/>
    <col min="12558" max="12558" width="2.85546875" style="2" customWidth="1"/>
    <col min="12559" max="12559" width="3.28515625" style="2" customWidth="1"/>
    <col min="12560" max="12560" width="1.42578125" style="2" customWidth="1"/>
    <col min="12561" max="12561" width="0" style="2" hidden="1" customWidth="1"/>
    <col min="12562" max="12562" width="6.85546875" style="2" customWidth="1"/>
    <col min="12563" max="12563" width="0" style="2" hidden="1" customWidth="1"/>
    <col min="12564" max="12565" width="6.28515625" style="2" customWidth="1"/>
    <col min="12566" max="12566" width="21.85546875" style="2" customWidth="1"/>
    <col min="12567" max="12567" width="10.85546875" style="2" customWidth="1"/>
    <col min="12568" max="12568" width="20.28515625" style="2" customWidth="1"/>
    <col min="12569" max="12569" width="0" style="2" hidden="1" customWidth="1"/>
    <col min="12570" max="12570" width="13" style="2" customWidth="1"/>
    <col min="12571" max="12571" width="12.7109375" style="2" customWidth="1"/>
    <col min="12572" max="12572" width="13.140625" style="2" customWidth="1"/>
    <col min="12573" max="12573" width="14" style="2" customWidth="1"/>
    <col min="12574" max="12574" width="8.140625" style="2" customWidth="1"/>
    <col min="12575" max="12575" width="11.42578125" style="2" customWidth="1"/>
    <col min="12576" max="12576" width="23.7109375" style="2" customWidth="1"/>
    <col min="12577" max="12577" width="12" style="2" customWidth="1"/>
    <col min="12578" max="12579" width="0.28515625" style="2" customWidth="1"/>
    <col min="12580" max="12580" width="1.42578125" style="2" customWidth="1"/>
    <col min="12581" max="12581" width="0" style="2" hidden="1" customWidth="1"/>
    <col min="12582" max="12800" width="11.42578125" style="2"/>
    <col min="12801" max="12801" width="13.140625" style="2" customWidth="1"/>
    <col min="12802" max="12802" width="13.42578125" style="2" customWidth="1"/>
    <col min="12803" max="12803" width="4.28515625" style="2" customWidth="1"/>
    <col min="12804" max="12804" width="4" style="2" customWidth="1"/>
    <col min="12805" max="12805" width="15" style="2" customWidth="1"/>
    <col min="12806" max="12806" width="4.140625" style="2" customWidth="1"/>
    <col min="12807" max="12807" width="11.28515625" style="2" customWidth="1"/>
    <col min="12808" max="12808" width="11" style="2" customWidth="1"/>
    <col min="12809" max="12810" width="2.140625" style="2" customWidth="1"/>
    <col min="12811" max="12811" width="3.28515625" style="2" customWidth="1"/>
    <col min="12812" max="12813" width="0" style="2" hidden="1" customWidth="1"/>
    <col min="12814" max="12814" width="2.85546875" style="2" customWidth="1"/>
    <col min="12815" max="12815" width="3.28515625" style="2" customWidth="1"/>
    <col min="12816" max="12816" width="1.42578125" style="2" customWidth="1"/>
    <col min="12817" max="12817" width="0" style="2" hidden="1" customWidth="1"/>
    <col min="12818" max="12818" width="6.85546875" style="2" customWidth="1"/>
    <col min="12819" max="12819" width="0" style="2" hidden="1" customWidth="1"/>
    <col min="12820" max="12821" width="6.28515625" style="2" customWidth="1"/>
    <col min="12822" max="12822" width="21.85546875" style="2" customWidth="1"/>
    <col min="12823" max="12823" width="10.85546875" style="2" customWidth="1"/>
    <col min="12824" max="12824" width="20.28515625" style="2" customWidth="1"/>
    <col min="12825" max="12825" width="0" style="2" hidden="1" customWidth="1"/>
    <col min="12826" max="12826" width="13" style="2" customWidth="1"/>
    <col min="12827" max="12827" width="12.7109375" style="2" customWidth="1"/>
    <col min="12828" max="12828" width="13.140625" style="2" customWidth="1"/>
    <col min="12829" max="12829" width="14" style="2" customWidth="1"/>
    <col min="12830" max="12830" width="8.140625" style="2" customWidth="1"/>
    <col min="12831" max="12831" width="11.42578125" style="2" customWidth="1"/>
    <col min="12832" max="12832" width="23.7109375" style="2" customWidth="1"/>
    <col min="12833" max="12833" width="12" style="2" customWidth="1"/>
    <col min="12834" max="12835" width="0.28515625" style="2" customWidth="1"/>
    <col min="12836" max="12836" width="1.42578125" style="2" customWidth="1"/>
    <col min="12837" max="12837" width="0" style="2" hidden="1" customWidth="1"/>
    <col min="12838" max="13056" width="11.42578125" style="2"/>
    <col min="13057" max="13057" width="13.140625" style="2" customWidth="1"/>
    <col min="13058" max="13058" width="13.42578125" style="2" customWidth="1"/>
    <col min="13059" max="13059" width="4.28515625" style="2" customWidth="1"/>
    <col min="13060" max="13060" width="4" style="2" customWidth="1"/>
    <col min="13061" max="13061" width="15" style="2" customWidth="1"/>
    <col min="13062" max="13062" width="4.140625" style="2" customWidth="1"/>
    <col min="13063" max="13063" width="11.28515625" style="2" customWidth="1"/>
    <col min="13064" max="13064" width="11" style="2" customWidth="1"/>
    <col min="13065" max="13066" width="2.140625" style="2" customWidth="1"/>
    <col min="13067" max="13067" width="3.28515625" style="2" customWidth="1"/>
    <col min="13068" max="13069" width="0" style="2" hidden="1" customWidth="1"/>
    <col min="13070" max="13070" width="2.85546875" style="2" customWidth="1"/>
    <col min="13071" max="13071" width="3.28515625" style="2" customWidth="1"/>
    <col min="13072" max="13072" width="1.42578125" style="2" customWidth="1"/>
    <col min="13073" max="13073" width="0" style="2" hidden="1" customWidth="1"/>
    <col min="13074" max="13074" width="6.85546875" style="2" customWidth="1"/>
    <col min="13075" max="13075" width="0" style="2" hidden="1" customWidth="1"/>
    <col min="13076" max="13077" width="6.28515625" style="2" customWidth="1"/>
    <col min="13078" max="13078" width="21.85546875" style="2" customWidth="1"/>
    <col min="13079" max="13079" width="10.85546875" style="2" customWidth="1"/>
    <col min="13080" max="13080" width="20.28515625" style="2" customWidth="1"/>
    <col min="13081" max="13081" width="0" style="2" hidden="1" customWidth="1"/>
    <col min="13082" max="13082" width="13" style="2" customWidth="1"/>
    <col min="13083" max="13083" width="12.7109375" style="2" customWidth="1"/>
    <col min="13084" max="13084" width="13.140625" style="2" customWidth="1"/>
    <col min="13085" max="13085" width="14" style="2" customWidth="1"/>
    <col min="13086" max="13086" width="8.140625" style="2" customWidth="1"/>
    <col min="13087" max="13087" width="11.42578125" style="2" customWidth="1"/>
    <col min="13088" max="13088" width="23.7109375" style="2" customWidth="1"/>
    <col min="13089" max="13089" width="12" style="2" customWidth="1"/>
    <col min="13090" max="13091" width="0.28515625" style="2" customWidth="1"/>
    <col min="13092" max="13092" width="1.42578125" style="2" customWidth="1"/>
    <col min="13093" max="13093" width="0" style="2" hidden="1" customWidth="1"/>
    <col min="13094" max="13312" width="11.42578125" style="2"/>
    <col min="13313" max="13313" width="13.140625" style="2" customWidth="1"/>
    <col min="13314" max="13314" width="13.42578125" style="2" customWidth="1"/>
    <col min="13315" max="13315" width="4.28515625" style="2" customWidth="1"/>
    <col min="13316" max="13316" width="4" style="2" customWidth="1"/>
    <col min="13317" max="13317" width="15" style="2" customWidth="1"/>
    <col min="13318" max="13318" width="4.140625" style="2" customWidth="1"/>
    <col min="13319" max="13319" width="11.28515625" style="2" customWidth="1"/>
    <col min="13320" max="13320" width="11" style="2" customWidth="1"/>
    <col min="13321" max="13322" width="2.140625" style="2" customWidth="1"/>
    <col min="13323" max="13323" width="3.28515625" style="2" customWidth="1"/>
    <col min="13324" max="13325" width="0" style="2" hidden="1" customWidth="1"/>
    <col min="13326" max="13326" width="2.85546875" style="2" customWidth="1"/>
    <col min="13327" max="13327" width="3.28515625" style="2" customWidth="1"/>
    <col min="13328" max="13328" width="1.42578125" style="2" customWidth="1"/>
    <col min="13329" max="13329" width="0" style="2" hidden="1" customWidth="1"/>
    <col min="13330" max="13330" width="6.85546875" style="2" customWidth="1"/>
    <col min="13331" max="13331" width="0" style="2" hidden="1" customWidth="1"/>
    <col min="13332" max="13333" width="6.28515625" style="2" customWidth="1"/>
    <col min="13334" max="13334" width="21.85546875" style="2" customWidth="1"/>
    <col min="13335" max="13335" width="10.85546875" style="2" customWidth="1"/>
    <col min="13336" max="13336" width="20.28515625" style="2" customWidth="1"/>
    <col min="13337" max="13337" width="0" style="2" hidden="1" customWidth="1"/>
    <col min="13338" max="13338" width="13" style="2" customWidth="1"/>
    <col min="13339" max="13339" width="12.7109375" style="2" customWidth="1"/>
    <col min="13340" max="13340" width="13.140625" style="2" customWidth="1"/>
    <col min="13341" max="13341" width="14" style="2" customWidth="1"/>
    <col min="13342" max="13342" width="8.140625" style="2" customWidth="1"/>
    <col min="13343" max="13343" width="11.42578125" style="2" customWidth="1"/>
    <col min="13344" max="13344" width="23.7109375" style="2" customWidth="1"/>
    <col min="13345" max="13345" width="12" style="2" customWidth="1"/>
    <col min="13346" max="13347" width="0.28515625" style="2" customWidth="1"/>
    <col min="13348" max="13348" width="1.42578125" style="2" customWidth="1"/>
    <col min="13349" max="13349" width="0" style="2" hidden="1" customWidth="1"/>
    <col min="13350" max="13568" width="11.42578125" style="2"/>
    <col min="13569" max="13569" width="13.140625" style="2" customWidth="1"/>
    <col min="13570" max="13570" width="13.42578125" style="2" customWidth="1"/>
    <col min="13571" max="13571" width="4.28515625" style="2" customWidth="1"/>
    <col min="13572" max="13572" width="4" style="2" customWidth="1"/>
    <col min="13573" max="13573" width="15" style="2" customWidth="1"/>
    <col min="13574" max="13574" width="4.140625" style="2" customWidth="1"/>
    <col min="13575" max="13575" width="11.28515625" style="2" customWidth="1"/>
    <col min="13576" max="13576" width="11" style="2" customWidth="1"/>
    <col min="13577" max="13578" width="2.140625" style="2" customWidth="1"/>
    <col min="13579" max="13579" width="3.28515625" style="2" customWidth="1"/>
    <col min="13580" max="13581" width="0" style="2" hidden="1" customWidth="1"/>
    <col min="13582" max="13582" width="2.85546875" style="2" customWidth="1"/>
    <col min="13583" max="13583" width="3.28515625" style="2" customWidth="1"/>
    <col min="13584" max="13584" width="1.42578125" style="2" customWidth="1"/>
    <col min="13585" max="13585" width="0" style="2" hidden="1" customWidth="1"/>
    <col min="13586" max="13586" width="6.85546875" style="2" customWidth="1"/>
    <col min="13587" max="13587" width="0" style="2" hidden="1" customWidth="1"/>
    <col min="13588" max="13589" width="6.28515625" style="2" customWidth="1"/>
    <col min="13590" max="13590" width="21.85546875" style="2" customWidth="1"/>
    <col min="13591" max="13591" width="10.85546875" style="2" customWidth="1"/>
    <col min="13592" max="13592" width="20.28515625" style="2" customWidth="1"/>
    <col min="13593" max="13593" width="0" style="2" hidden="1" customWidth="1"/>
    <col min="13594" max="13594" width="13" style="2" customWidth="1"/>
    <col min="13595" max="13595" width="12.7109375" style="2" customWidth="1"/>
    <col min="13596" max="13596" width="13.140625" style="2" customWidth="1"/>
    <col min="13597" max="13597" width="14" style="2" customWidth="1"/>
    <col min="13598" max="13598" width="8.140625" style="2" customWidth="1"/>
    <col min="13599" max="13599" width="11.42578125" style="2" customWidth="1"/>
    <col min="13600" max="13600" width="23.7109375" style="2" customWidth="1"/>
    <col min="13601" max="13601" width="12" style="2" customWidth="1"/>
    <col min="13602" max="13603" width="0.28515625" style="2" customWidth="1"/>
    <col min="13604" max="13604" width="1.42578125" style="2" customWidth="1"/>
    <col min="13605" max="13605" width="0" style="2" hidden="1" customWidth="1"/>
    <col min="13606" max="13824" width="11.42578125" style="2"/>
    <col min="13825" max="13825" width="13.140625" style="2" customWidth="1"/>
    <col min="13826" max="13826" width="13.42578125" style="2" customWidth="1"/>
    <col min="13827" max="13827" width="4.28515625" style="2" customWidth="1"/>
    <col min="13828" max="13828" width="4" style="2" customWidth="1"/>
    <col min="13829" max="13829" width="15" style="2" customWidth="1"/>
    <col min="13830" max="13830" width="4.140625" style="2" customWidth="1"/>
    <col min="13831" max="13831" width="11.28515625" style="2" customWidth="1"/>
    <col min="13832" max="13832" width="11" style="2" customWidth="1"/>
    <col min="13833" max="13834" width="2.140625" style="2" customWidth="1"/>
    <col min="13835" max="13835" width="3.28515625" style="2" customWidth="1"/>
    <col min="13836" max="13837" width="0" style="2" hidden="1" customWidth="1"/>
    <col min="13838" max="13838" width="2.85546875" style="2" customWidth="1"/>
    <col min="13839" max="13839" width="3.28515625" style="2" customWidth="1"/>
    <col min="13840" max="13840" width="1.42578125" style="2" customWidth="1"/>
    <col min="13841" max="13841" width="0" style="2" hidden="1" customWidth="1"/>
    <col min="13842" max="13842" width="6.85546875" style="2" customWidth="1"/>
    <col min="13843" max="13843" width="0" style="2" hidden="1" customWidth="1"/>
    <col min="13844" max="13845" width="6.28515625" style="2" customWidth="1"/>
    <col min="13846" max="13846" width="21.85546875" style="2" customWidth="1"/>
    <col min="13847" max="13847" width="10.85546875" style="2" customWidth="1"/>
    <col min="13848" max="13848" width="20.28515625" style="2" customWidth="1"/>
    <col min="13849" max="13849" width="0" style="2" hidden="1" customWidth="1"/>
    <col min="13850" max="13850" width="13" style="2" customWidth="1"/>
    <col min="13851" max="13851" width="12.7109375" style="2" customWidth="1"/>
    <col min="13852" max="13852" width="13.140625" style="2" customWidth="1"/>
    <col min="13853" max="13853" width="14" style="2" customWidth="1"/>
    <col min="13854" max="13854" width="8.140625" style="2" customWidth="1"/>
    <col min="13855" max="13855" width="11.42578125" style="2" customWidth="1"/>
    <col min="13856" max="13856" width="23.7109375" style="2" customWidth="1"/>
    <col min="13857" max="13857" width="12" style="2" customWidth="1"/>
    <col min="13858" max="13859" width="0.28515625" style="2" customWidth="1"/>
    <col min="13860" max="13860" width="1.42578125" style="2" customWidth="1"/>
    <col min="13861" max="13861" width="0" style="2" hidden="1" customWidth="1"/>
    <col min="13862" max="14080" width="11.42578125" style="2"/>
    <col min="14081" max="14081" width="13.140625" style="2" customWidth="1"/>
    <col min="14082" max="14082" width="13.42578125" style="2" customWidth="1"/>
    <col min="14083" max="14083" width="4.28515625" style="2" customWidth="1"/>
    <col min="14084" max="14084" width="4" style="2" customWidth="1"/>
    <col min="14085" max="14085" width="15" style="2" customWidth="1"/>
    <col min="14086" max="14086" width="4.140625" style="2" customWidth="1"/>
    <col min="14087" max="14087" width="11.28515625" style="2" customWidth="1"/>
    <col min="14088" max="14088" width="11" style="2" customWidth="1"/>
    <col min="14089" max="14090" width="2.140625" style="2" customWidth="1"/>
    <col min="14091" max="14091" width="3.28515625" style="2" customWidth="1"/>
    <col min="14092" max="14093" width="0" style="2" hidden="1" customWidth="1"/>
    <col min="14094" max="14094" width="2.85546875" style="2" customWidth="1"/>
    <col min="14095" max="14095" width="3.28515625" style="2" customWidth="1"/>
    <col min="14096" max="14096" width="1.42578125" style="2" customWidth="1"/>
    <col min="14097" max="14097" width="0" style="2" hidden="1" customWidth="1"/>
    <col min="14098" max="14098" width="6.85546875" style="2" customWidth="1"/>
    <col min="14099" max="14099" width="0" style="2" hidden="1" customWidth="1"/>
    <col min="14100" max="14101" width="6.28515625" style="2" customWidth="1"/>
    <col min="14102" max="14102" width="21.85546875" style="2" customWidth="1"/>
    <col min="14103" max="14103" width="10.85546875" style="2" customWidth="1"/>
    <col min="14104" max="14104" width="20.28515625" style="2" customWidth="1"/>
    <col min="14105" max="14105" width="0" style="2" hidden="1" customWidth="1"/>
    <col min="14106" max="14106" width="13" style="2" customWidth="1"/>
    <col min="14107" max="14107" width="12.7109375" style="2" customWidth="1"/>
    <col min="14108" max="14108" width="13.140625" style="2" customWidth="1"/>
    <col min="14109" max="14109" width="14" style="2" customWidth="1"/>
    <col min="14110" max="14110" width="8.140625" style="2" customWidth="1"/>
    <col min="14111" max="14111" width="11.42578125" style="2" customWidth="1"/>
    <col min="14112" max="14112" width="23.7109375" style="2" customWidth="1"/>
    <col min="14113" max="14113" width="12" style="2" customWidth="1"/>
    <col min="14114" max="14115" width="0.28515625" style="2" customWidth="1"/>
    <col min="14116" max="14116" width="1.42578125" style="2" customWidth="1"/>
    <col min="14117" max="14117" width="0" style="2" hidden="1" customWidth="1"/>
    <col min="14118" max="14336" width="11.42578125" style="2"/>
    <col min="14337" max="14337" width="13.140625" style="2" customWidth="1"/>
    <col min="14338" max="14338" width="13.42578125" style="2" customWidth="1"/>
    <col min="14339" max="14339" width="4.28515625" style="2" customWidth="1"/>
    <col min="14340" max="14340" width="4" style="2" customWidth="1"/>
    <col min="14341" max="14341" width="15" style="2" customWidth="1"/>
    <col min="14342" max="14342" width="4.140625" style="2" customWidth="1"/>
    <col min="14343" max="14343" width="11.28515625" style="2" customWidth="1"/>
    <col min="14344" max="14344" width="11" style="2" customWidth="1"/>
    <col min="14345" max="14346" width="2.140625" style="2" customWidth="1"/>
    <col min="14347" max="14347" width="3.28515625" style="2" customWidth="1"/>
    <col min="14348" max="14349" width="0" style="2" hidden="1" customWidth="1"/>
    <col min="14350" max="14350" width="2.85546875" style="2" customWidth="1"/>
    <col min="14351" max="14351" width="3.28515625" style="2" customWidth="1"/>
    <col min="14352" max="14352" width="1.42578125" style="2" customWidth="1"/>
    <col min="14353" max="14353" width="0" style="2" hidden="1" customWidth="1"/>
    <col min="14354" max="14354" width="6.85546875" style="2" customWidth="1"/>
    <col min="14355" max="14355" width="0" style="2" hidden="1" customWidth="1"/>
    <col min="14356" max="14357" width="6.28515625" style="2" customWidth="1"/>
    <col min="14358" max="14358" width="21.85546875" style="2" customWidth="1"/>
    <col min="14359" max="14359" width="10.85546875" style="2" customWidth="1"/>
    <col min="14360" max="14360" width="20.28515625" style="2" customWidth="1"/>
    <col min="14361" max="14361" width="0" style="2" hidden="1" customWidth="1"/>
    <col min="14362" max="14362" width="13" style="2" customWidth="1"/>
    <col min="14363" max="14363" width="12.7109375" style="2" customWidth="1"/>
    <col min="14364" max="14364" width="13.140625" style="2" customWidth="1"/>
    <col min="14365" max="14365" width="14" style="2" customWidth="1"/>
    <col min="14366" max="14366" width="8.140625" style="2" customWidth="1"/>
    <col min="14367" max="14367" width="11.42578125" style="2" customWidth="1"/>
    <col min="14368" max="14368" width="23.7109375" style="2" customWidth="1"/>
    <col min="14369" max="14369" width="12" style="2" customWidth="1"/>
    <col min="14370" max="14371" width="0.28515625" style="2" customWidth="1"/>
    <col min="14372" max="14372" width="1.42578125" style="2" customWidth="1"/>
    <col min="14373" max="14373" width="0" style="2" hidden="1" customWidth="1"/>
    <col min="14374" max="14592" width="11.42578125" style="2"/>
    <col min="14593" max="14593" width="13.140625" style="2" customWidth="1"/>
    <col min="14594" max="14594" width="13.42578125" style="2" customWidth="1"/>
    <col min="14595" max="14595" width="4.28515625" style="2" customWidth="1"/>
    <col min="14596" max="14596" width="4" style="2" customWidth="1"/>
    <col min="14597" max="14597" width="15" style="2" customWidth="1"/>
    <col min="14598" max="14598" width="4.140625" style="2" customWidth="1"/>
    <col min="14599" max="14599" width="11.28515625" style="2" customWidth="1"/>
    <col min="14600" max="14600" width="11" style="2" customWidth="1"/>
    <col min="14601" max="14602" width="2.140625" style="2" customWidth="1"/>
    <col min="14603" max="14603" width="3.28515625" style="2" customWidth="1"/>
    <col min="14604" max="14605" width="0" style="2" hidden="1" customWidth="1"/>
    <col min="14606" max="14606" width="2.85546875" style="2" customWidth="1"/>
    <col min="14607" max="14607" width="3.28515625" style="2" customWidth="1"/>
    <col min="14608" max="14608" width="1.42578125" style="2" customWidth="1"/>
    <col min="14609" max="14609" width="0" style="2" hidden="1" customWidth="1"/>
    <col min="14610" max="14610" width="6.85546875" style="2" customWidth="1"/>
    <col min="14611" max="14611" width="0" style="2" hidden="1" customWidth="1"/>
    <col min="14612" max="14613" width="6.28515625" style="2" customWidth="1"/>
    <col min="14614" max="14614" width="21.85546875" style="2" customWidth="1"/>
    <col min="14615" max="14615" width="10.85546875" style="2" customWidth="1"/>
    <col min="14616" max="14616" width="20.28515625" style="2" customWidth="1"/>
    <col min="14617" max="14617" width="0" style="2" hidden="1" customWidth="1"/>
    <col min="14618" max="14618" width="13" style="2" customWidth="1"/>
    <col min="14619" max="14619" width="12.7109375" style="2" customWidth="1"/>
    <col min="14620" max="14620" width="13.140625" style="2" customWidth="1"/>
    <col min="14621" max="14621" width="14" style="2" customWidth="1"/>
    <col min="14622" max="14622" width="8.140625" style="2" customWidth="1"/>
    <col min="14623" max="14623" width="11.42578125" style="2" customWidth="1"/>
    <col min="14624" max="14624" width="23.7109375" style="2" customWidth="1"/>
    <col min="14625" max="14625" width="12" style="2" customWidth="1"/>
    <col min="14626" max="14627" width="0.28515625" style="2" customWidth="1"/>
    <col min="14628" max="14628" width="1.42578125" style="2" customWidth="1"/>
    <col min="14629" max="14629" width="0" style="2" hidden="1" customWidth="1"/>
    <col min="14630" max="14848" width="11.42578125" style="2"/>
    <col min="14849" max="14849" width="13.140625" style="2" customWidth="1"/>
    <col min="14850" max="14850" width="13.42578125" style="2" customWidth="1"/>
    <col min="14851" max="14851" width="4.28515625" style="2" customWidth="1"/>
    <col min="14852" max="14852" width="4" style="2" customWidth="1"/>
    <col min="14853" max="14853" width="15" style="2" customWidth="1"/>
    <col min="14854" max="14854" width="4.140625" style="2" customWidth="1"/>
    <col min="14855" max="14855" width="11.28515625" style="2" customWidth="1"/>
    <col min="14856" max="14856" width="11" style="2" customWidth="1"/>
    <col min="14857" max="14858" width="2.140625" style="2" customWidth="1"/>
    <col min="14859" max="14859" width="3.28515625" style="2" customWidth="1"/>
    <col min="14860" max="14861" width="0" style="2" hidden="1" customWidth="1"/>
    <col min="14862" max="14862" width="2.85546875" style="2" customWidth="1"/>
    <col min="14863" max="14863" width="3.28515625" style="2" customWidth="1"/>
    <col min="14864" max="14864" width="1.42578125" style="2" customWidth="1"/>
    <col min="14865" max="14865" width="0" style="2" hidden="1" customWidth="1"/>
    <col min="14866" max="14866" width="6.85546875" style="2" customWidth="1"/>
    <col min="14867" max="14867" width="0" style="2" hidden="1" customWidth="1"/>
    <col min="14868" max="14869" width="6.28515625" style="2" customWidth="1"/>
    <col min="14870" max="14870" width="21.85546875" style="2" customWidth="1"/>
    <col min="14871" max="14871" width="10.85546875" style="2" customWidth="1"/>
    <col min="14872" max="14872" width="20.28515625" style="2" customWidth="1"/>
    <col min="14873" max="14873" width="0" style="2" hidden="1" customWidth="1"/>
    <col min="14874" max="14874" width="13" style="2" customWidth="1"/>
    <col min="14875" max="14875" width="12.7109375" style="2" customWidth="1"/>
    <col min="14876" max="14876" width="13.140625" style="2" customWidth="1"/>
    <col min="14877" max="14877" width="14" style="2" customWidth="1"/>
    <col min="14878" max="14878" width="8.140625" style="2" customWidth="1"/>
    <col min="14879" max="14879" width="11.42578125" style="2" customWidth="1"/>
    <col min="14880" max="14880" width="23.7109375" style="2" customWidth="1"/>
    <col min="14881" max="14881" width="12" style="2" customWidth="1"/>
    <col min="14882" max="14883" width="0.28515625" style="2" customWidth="1"/>
    <col min="14884" max="14884" width="1.42578125" style="2" customWidth="1"/>
    <col min="14885" max="14885" width="0" style="2" hidden="1" customWidth="1"/>
    <col min="14886" max="15104" width="11.42578125" style="2"/>
    <col min="15105" max="15105" width="13.140625" style="2" customWidth="1"/>
    <col min="15106" max="15106" width="13.42578125" style="2" customWidth="1"/>
    <col min="15107" max="15107" width="4.28515625" style="2" customWidth="1"/>
    <col min="15108" max="15108" width="4" style="2" customWidth="1"/>
    <col min="15109" max="15109" width="15" style="2" customWidth="1"/>
    <col min="15110" max="15110" width="4.140625" style="2" customWidth="1"/>
    <col min="15111" max="15111" width="11.28515625" style="2" customWidth="1"/>
    <col min="15112" max="15112" width="11" style="2" customWidth="1"/>
    <col min="15113" max="15114" width="2.140625" style="2" customWidth="1"/>
    <col min="15115" max="15115" width="3.28515625" style="2" customWidth="1"/>
    <col min="15116" max="15117" width="0" style="2" hidden="1" customWidth="1"/>
    <col min="15118" max="15118" width="2.85546875" style="2" customWidth="1"/>
    <col min="15119" max="15119" width="3.28515625" style="2" customWidth="1"/>
    <col min="15120" max="15120" width="1.42578125" style="2" customWidth="1"/>
    <col min="15121" max="15121" width="0" style="2" hidden="1" customWidth="1"/>
    <col min="15122" max="15122" width="6.85546875" style="2" customWidth="1"/>
    <col min="15123" max="15123" width="0" style="2" hidden="1" customWidth="1"/>
    <col min="15124" max="15125" width="6.28515625" style="2" customWidth="1"/>
    <col min="15126" max="15126" width="21.85546875" style="2" customWidth="1"/>
    <col min="15127" max="15127" width="10.85546875" style="2" customWidth="1"/>
    <col min="15128" max="15128" width="20.28515625" style="2" customWidth="1"/>
    <col min="15129" max="15129" width="0" style="2" hidden="1" customWidth="1"/>
    <col min="15130" max="15130" width="13" style="2" customWidth="1"/>
    <col min="15131" max="15131" width="12.7109375" style="2" customWidth="1"/>
    <col min="15132" max="15132" width="13.140625" style="2" customWidth="1"/>
    <col min="15133" max="15133" width="14" style="2" customWidth="1"/>
    <col min="15134" max="15134" width="8.140625" style="2" customWidth="1"/>
    <col min="15135" max="15135" width="11.42578125" style="2" customWidth="1"/>
    <col min="15136" max="15136" width="23.7109375" style="2" customWidth="1"/>
    <col min="15137" max="15137" width="12" style="2" customWidth="1"/>
    <col min="15138" max="15139" width="0.28515625" style="2" customWidth="1"/>
    <col min="15140" max="15140" width="1.42578125" style="2" customWidth="1"/>
    <col min="15141" max="15141" width="0" style="2" hidden="1" customWidth="1"/>
    <col min="15142" max="15360" width="11.42578125" style="2"/>
    <col min="15361" max="15361" width="13.140625" style="2" customWidth="1"/>
    <col min="15362" max="15362" width="13.42578125" style="2" customWidth="1"/>
    <col min="15363" max="15363" width="4.28515625" style="2" customWidth="1"/>
    <col min="15364" max="15364" width="4" style="2" customWidth="1"/>
    <col min="15365" max="15365" width="15" style="2" customWidth="1"/>
    <col min="15366" max="15366" width="4.140625" style="2" customWidth="1"/>
    <col min="15367" max="15367" width="11.28515625" style="2" customWidth="1"/>
    <col min="15368" max="15368" width="11" style="2" customWidth="1"/>
    <col min="15369" max="15370" width="2.140625" style="2" customWidth="1"/>
    <col min="15371" max="15371" width="3.28515625" style="2" customWidth="1"/>
    <col min="15372" max="15373" width="0" style="2" hidden="1" customWidth="1"/>
    <col min="15374" max="15374" width="2.85546875" style="2" customWidth="1"/>
    <col min="15375" max="15375" width="3.28515625" style="2" customWidth="1"/>
    <col min="15376" max="15376" width="1.42578125" style="2" customWidth="1"/>
    <col min="15377" max="15377" width="0" style="2" hidden="1" customWidth="1"/>
    <col min="15378" max="15378" width="6.85546875" style="2" customWidth="1"/>
    <col min="15379" max="15379" width="0" style="2" hidden="1" customWidth="1"/>
    <col min="15380" max="15381" width="6.28515625" style="2" customWidth="1"/>
    <col min="15382" max="15382" width="21.85546875" style="2" customWidth="1"/>
    <col min="15383" max="15383" width="10.85546875" style="2" customWidth="1"/>
    <col min="15384" max="15384" width="20.28515625" style="2" customWidth="1"/>
    <col min="15385" max="15385" width="0" style="2" hidden="1" customWidth="1"/>
    <col min="15386" max="15386" width="13" style="2" customWidth="1"/>
    <col min="15387" max="15387" width="12.7109375" style="2" customWidth="1"/>
    <col min="15388" max="15388" width="13.140625" style="2" customWidth="1"/>
    <col min="15389" max="15389" width="14" style="2" customWidth="1"/>
    <col min="15390" max="15390" width="8.140625" style="2" customWidth="1"/>
    <col min="15391" max="15391" width="11.42578125" style="2" customWidth="1"/>
    <col min="15392" max="15392" width="23.7109375" style="2" customWidth="1"/>
    <col min="15393" max="15393" width="12" style="2" customWidth="1"/>
    <col min="15394" max="15395" width="0.28515625" style="2" customWidth="1"/>
    <col min="15396" max="15396" width="1.42578125" style="2" customWidth="1"/>
    <col min="15397" max="15397" width="0" style="2" hidden="1" customWidth="1"/>
    <col min="15398" max="15616" width="11.42578125" style="2"/>
    <col min="15617" max="15617" width="13.140625" style="2" customWidth="1"/>
    <col min="15618" max="15618" width="13.42578125" style="2" customWidth="1"/>
    <col min="15619" max="15619" width="4.28515625" style="2" customWidth="1"/>
    <col min="15620" max="15620" width="4" style="2" customWidth="1"/>
    <col min="15621" max="15621" width="15" style="2" customWidth="1"/>
    <col min="15622" max="15622" width="4.140625" style="2" customWidth="1"/>
    <col min="15623" max="15623" width="11.28515625" style="2" customWidth="1"/>
    <col min="15624" max="15624" width="11" style="2" customWidth="1"/>
    <col min="15625" max="15626" width="2.140625" style="2" customWidth="1"/>
    <col min="15627" max="15627" width="3.28515625" style="2" customWidth="1"/>
    <col min="15628" max="15629" width="0" style="2" hidden="1" customWidth="1"/>
    <col min="15630" max="15630" width="2.85546875" style="2" customWidth="1"/>
    <col min="15631" max="15631" width="3.28515625" style="2" customWidth="1"/>
    <col min="15632" max="15632" width="1.42578125" style="2" customWidth="1"/>
    <col min="15633" max="15633" width="0" style="2" hidden="1" customWidth="1"/>
    <col min="15634" max="15634" width="6.85546875" style="2" customWidth="1"/>
    <col min="15635" max="15635" width="0" style="2" hidden="1" customWidth="1"/>
    <col min="15636" max="15637" width="6.28515625" style="2" customWidth="1"/>
    <col min="15638" max="15638" width="21.85546875" style="2" customWidth="1"/>
    <col min="15639" max="15639" width="10.85546875" style="2" customWidth="1"/>
    <col min="15640" max="15640" width="20.28515625" style="2" customWidth="1"/>
    <col min="15641" max="15641" width="0" style="2" hidden="1" customWidth="1"/>
    <col min="15642" max="15642" width="13" style="2" customWidth="1"/>
    <col min="15643" max="15643" width="12.7109375" style="2" customWidth="1"/>
    <col min="15644" max="15644" width="13.140625" style="2" customWidth="1"/>
    <col min="15645" max="15645" width="14" style="2" customWidth="1"/>
    <col min="15646" max="15646" width="8.140625" style="2" customWidth="1"/>
    <col min="15647" max="15647" width="11.42578125" style="2" customWidth="1"/>
    <col min="15648" max="15648" width="23.7109375" style="2" customWidth="1"/>
    <col min="15649" max="15649" width="12" style="2" customWidth="1"/>
    <col min="15650" max="15651" width="0.28515625" style="2" customWidth="1"/>
    <col min="15652" max="15652" width="1.42578125" style="2" customWidth="1"/>
    <col min="15653" max="15653" width="0" style="2" hidden="1" customWidth="1"/>
    <col min="15654" max="15872" width="11.42578125" style="2"/>
    <col min="15873" max="15873" width="13.140625" style="2" customWidth="1"/>
    <col min="15874" max="15874" width="13.42578125" style="2" customWidth="1"/>
    <col min="15875" max="15875" width="4.28515625" style="2" customWidth="1"/>
    <col min="15876" max="15876" width="4" style="2" customWidth="1"/>
    <col min="15877" max="15877" width="15" style="2" customWidth="1"/>
    <col min="15878" max="15878" width="4.140625" style="2" customWidth="1"/>
    <col min="15879" max="15879" width="11.28515625" style="2" customWidth="1"/>
    <col min="15880" max="15880" width="11" style="2" customWidth="1"/>
    <col min="15881" max="15882" width="2.140625" style="2" customWidth="1"/>
    <col min="15883" max="15883" width="3.28515625" style="2" customWidth="1"/>
    <col min="15884" max="15885" width="0" style="2" hidden="1" customWidth="1"/>
    <col min="15886" max="15886" width="2.85546875" style="2" customWidth="1"/>
    <col min="15887" max="15887" width="3.28515625" style="2" customWidth="1"/>
    <col min="15888" max="15888" width="1.42578125" style="2" customWidth="1"/>
    <col min="15889" max="15889" width="0" style="2" hidden="1" customWidth="1"/>
    <col min="15890" max="15890" width="6.85546875" style="2" customWidth="1"/>
    <col min="15891" max="15891" width="0" style="2" hidden="1" customWidth="1"/>
    <col min="15892" max="15893" width="6.28515625" style="2" customWidth="1"/>
    <col min="15894" max="15894" width="21.85546875" style="2" customWidth="1"/>
    <col min="15895" max="15895" width="10.85546875" style="2" customWidth="1"/>
    <col min="15896" max="15896" width="20.28515625" style="2" customWidth="1"/>
    <col min="15897" max="15897" width="0" style="2" hidden="1" customWidth="1"/>
    <col min="15898" max="15898" width="13" style="2" customWidth="1"/>
    <col min="15899" max="15899" width="12.7109375" style="2" customWidth="1"/>
    <col min="15900" max="15900" width="13.140625" style="2" customWidth="1"/>
    <col min="15901" max="15901" width="14" style="2" customWidth="1"/>
    <col min="15902" max="15902" width="8.140625" style="2" customWidth="1"/>
    <col min="15903" max="15903" width="11.42578125" style="2" customWidth="1"/>
    <col min="15904" max="15904" width="23.7109375" style="2" customWidth="1"/>
    <col min="15905" max="15905" width="12" style="2" customWidth="1"/>
    <col min="15906" max="15907" width="0.28515625" style="2" customWidth="1"/>
    <col min="15908" max="15908" width="1.42578125" style="2" customWidth="1"/>
    <col min="15909" max="15909" width="0" style="2" hidden="1" customWidth="1"/>
    <col min="15910" max="16128" width="11.42578125" style="2"/>
    <col min="16129" max="16129" width="13.140625" style="2" customWidth="1"/>
    <col min="16130" max="16130" width="13.42578125" style="2" customWidth="1"/>
    <col min="16131" max="16131" width="4.28515625" style="2" customWidth="1"/>
    <col min="16132" max="16132" width="4" style="2" customWidth="1"/>
    <col min="16133" max="16133" width="15" style="2" customWidth="1"/>
    <col min="16134" max="16134" width="4.140625" style="2" customWidth="1"/>
    <col min="16135" max="16135" width="11.28515625" style="2" customWidth="1"/>
    <col min="16136" max="16136" width="11" style="2" customWidth="1"/>
    <col min="16137" max="16138" width="2.140625" style="2" customWidth="1"/>
    <col min="16139" max="16139" width="3.28515625" style="2" customWidth="1"/>
    <col min="16140" max="16141" width="0" style="2" hidden="1" customWidth="1"/>
    <col min="16142" max="16142" width="2.85546875" style="2" customWidth="1"/>
    <col min="16143" max="16143" width="3.28515625" style="2" customWidth="1"/>
    <col min="16144" max="16144" width="1.42578125" style="2" customWidth="1"/>
    <col min="16145" max="16145" width="0" style="2" hidden="1" customWidth="1"/>
    <col min="16146" max="16146" width="6.85546875" style="2" customWidth="1"/>
    <col min="16147" max="16147" width="0" style="2" hidden="1" customWidth="1"/>
    <col min="16148" max="16149" width="6.28515625" style="2" customWidth="1"/>
    <col min="16150" max="16150" width="21.85546875" style="2" customWidth="1"/>
    <col min="16151" max="16151" width="10.85546875" style="2" customWidth="1"/>
    <col min="16152" max="16152" width="20.28515625" style="2" customWidth="1"/>
    <col min="16153" max="16153" width="0" style="2" hidden="1" customWidth="1"/>
    <col min="16154" max="16154" width="13" style="2" customWidth="1"/>
    <col min="16155" max="16155" width="12.7109375" style="2" customWidth="1"/>
    <col min="16156" max="16156" width="13.140625" style="2" customWidth="1"/>
    <col min="16157" max="16157" width="14" style="2" customWidth="1"/>
    <col min="16158" max="16158" width="8.140625" style="2" customWidth="1"/>
    <col min="16159" max="16159" width="11.42578125" style="2" customWidth="1"/>
    <col min="16160" max="16160" width="23.7109375" style="2" customWidth="1"/>
    <col min="16161" max="16161" width="12" style="2" customWidth="1"/>
    <col min="16162" max="16163" width="0.28515625" style="2" customWidth="1"/>
    <col min="16164" max="16164" width="1.42578125" style="2" customWidth="1"/>
    <col min="16165" max="16165" width="0" style="2" hidden="1" customWidth="1"/>
    <col min="16166" max="16384" width="11.42578125" style="2"/>
  </cols>
  <sheetData>
    <row r="1" spans="1:35" ht="45" customHeight="1">
      <c r="A1" s="600"/>
      <c r="B1" s="600"/>
      <c r="C1" s="601" t="s">
        <v>0</v>
      </c>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2" t="s">
        <v>95</v>
      </c>
      <c r="AH1" s="3" t="s">
        <v>17</v>
      </c>
      <c r="AI1" s="6" t="s">
        <v>23</v>
      </c>
    </row>
    <row r="2" spans="1:35" ht="45" customHeight="1">
      <c r="A2" s="600"/>
      <c r="B2" s="600"/>
      <c r="C2" s="603" t="s">
        <v>37</v>
      </c>
      <c r="D2" s="603"/>
      <c r="E2" s="603"/>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2"/>
      <c r="AH2" s="2" t="s">
        <v>18</v>
      </c>
      <c r="AI2" s="7" t="s">
        <v>24</v>
      </c>
    </row>
    <row r="3" spans="1:35"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H3" s="3" t="s">
        <v>16</v>
      </c>
      <c r="AI3" s="6" t="s">
        <v>25</v>
      </c>
    </row>
    <row r="4" spans="1:35" ht="30.75" customHeight="1">
      <c r="A4" s="597" t="s">
        <v>5</v>
      </c>
      <c r="B4" s="597"/>
      <c r="C4" s="597"/>
      <c r="D4" s="597"/>
      <c r="E4" s="671" t="s">
        <v>542</v>
      </c>
      <c r="F4" s="671"/>
      <c r="G4" s="671"/>
      <c r="H4" s="671"/>
      <c r="I4" s="671"/>
      <c r="J4" s="671"/>
      <c r="K4" s="671"/>
      <c r="L4" s="671"/>
      <c r="M4" s="671"/>
      <c r="N4" s="671"/>
      <c r="O4" s="671"/>
      <c r="P4" s="671"/>
      <c r="Q4" s="671"/>
      <c r="R4" s="671"/>
      <c r="S4" s="671"/>
      <c r="T4" s="671"/>
      <c r="U4" s="671"/>
      <c r="V4" s="599" t="s">
        <v>20</v>
      </c>
      <c r="W4" s="599"/>
      <c r="X4" s="671" t="s">
        <v>412</v>
      </c>
      <c r="Y4" s="671"/>
      <c r="Z4" s="671"/>
      <c r="AA4" s="671"/>
      <c r="AB4" s="671"/>
      <c r="AC4" s="671"/>
      <c r="AD4" s="599" t="s">
        <v>98</v>
      </c>
      <c r="AE4" s="599"/>
      <c r="AF4" s="45" t="s">
        <v>99</v>
      </c>
      <c r="AH4" s="6" t="s">
        <v>19</v>
      </c>
    </row>
    <row r="5" spans="1:35" ht="4.5" customHeight="1" thickBo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row>
    <row r="6" spans="1:35" ht="57" customHeight="1">
      <c r="A6" s="605" t="s">
        <v>39</v>
      </c>
      <c r="B6" s="606"/>
      <c r="C6" s="599" t="s">
        <v>1</v>
      </c>
      <c r="D6" s="599" t="s">
        <v>100</v>
      </c>
      <c r="E6" s="599"/>
      <c r="F6" s="608" t="s">
        <v>6</v>
      </c>
      <c r="G6" s="599" t="s">
        <v>9</v>
      </c>
      <c r="H6" s="599" t="s">
        <v>2</v>
      </c>
      <c r="I6" s="599" t="s">
        <v>21</v>
      </c>
      <c r="J6" s="599"/>
      <c r="K6" s="599"/>
      <c r="L6" s="599"/>
      <c r="M6" s="599"/>
      <c r="N6" s="599"/>
      <c r="O6" s="599"/>
      <c r="P6" s="599"/>
      <c r="Q6" s="599"/>
      <c r="R6" s="599"/>
      <c r="S6" s="599"/>
      <c r="T6" s="599"/>
      <c r="U6" s="599"/>
      <c r="V6" s="599" t="s">
        <v>101</v>
      </c>
      <c r="W6" s="599" t="s">
        <v>3</v>
      </c>
      <c r="X6" s="599"/>
      <c r="Y6" s="599"/>
      <c r="Z6" s="610" t="s">
        <v>102</v>
      </c>
      <c r="AA6" s="610" t="s">
        <v>103</v>
      </c>
      <c r="AB6" s="610" t="s">
        <v>4</v>
      </c>
      <c r="AC6" s="610"/>
      <c r="AD6" s="599" t="s">
        <v>104</v>
      </c>
      <c r="AE6" s="599" t="s">
        <v>105</v>
      </c>
      <c r="AF6" s="599" t="s">
        <v>106</v>
      </c>
    </row>
    <row r="7" spans="1:35" ht="37.5" customHeight="1" thickBot="1">
      <c r="A7" s="97" t="s">
        <v>40</v>
      </c>
      <c r="B7" s="98" t="s">
        <v>41</v>
      </c>
      <c r="C7" s="607"/>
      <c r="D7" s="607"/>
      <c r="E7" s="607"/>
      <c r="F7" s="609"/>
      <c r="G7" s="607"/>
      <c r="H7" s="607"/>
      <c r="I7" s="607" t="s">
        <v>11</v>
      </c>
      <c r="J7" s="607"/>
      <c r="K7" s="607"/>
      <c r="L7" s="607"/>
      <c r="M7" s="607"/>
      <c r="N7" s="607"/>
      <c r="O7" s="615" t="s">
        <v>12</v>
      </c>
      <c r="P7" s="615"/>
      <c r="Q7" s="615"/>
      <c r="R7" s="615"/>
      <c r="S7" s="615"/>
      <c r="T7" s="615" t="s">
        <v>13</v>
      </c>
      <c r="U7" s="615"/>
      <c r="V7" s="607"/>
      <c r="W7" s="607"/>
      <c r="X7" s="607"/>
      <c r="Y7" s="607"/>
      <c r="Z7" s="611"/>
      <c r="AA7" s="611"/>
      <c r="AB7" s="88" t="s">
        <v>14</v>
      </c>
      <c r="AC7" s="90" t="s">
        <v>15</v>
      </c>
      <c r="AD7" s="607"/>
      <c r="AE7" s="607"/>
      <c r="AF7" s="607"/>
    </row>
    <row r="8" spans="1:35" ht="133.5" customHeight="1">
      <c r="A8" s="797" t="s">
        <v>542</v>
      </c>
      <c r="B8" s="673"/>
      <c r="C8" s="673">
        <v>1</v>
      </c>
      <c r="D8" s="626" t="s">
        <v>543</v>
      </c>
      <c r="E8" s="626"/>
      <c r="F8" s="638" t="s">
        <v>544</v>
      </c>
      <c r="G8" s="612" t="s">
        <v>28</v>
      </c>
      <c r="H8" s="620" t="s">
        <v>25</v>
      </c>
      <c r="I8" s="652" t="s">
        <v>162</v>
      </c>
      <c r="J8" s="652"/>
      <c r="K8" s="652"/>
      <c r="L8" s="652"/>
      <c r="M8" s="652"/>
      <c r="N8" s="652"/>
      <c r="O8" s="652" t="s">
        <v>162</v>
      </c>
      <c r="P8" s="652"/>
      <c r="Q8" s="652"/>
      <c r="R8" s="652"/>
      <c r="S8" s="300"/>
      <c r="T8" s="652" t="s">
        <v>162</v>
      </c>
      <c r="U8" s="652"/>
      <c r="V8" s="626" t="s">
        <v>545</v>
      </c>
      <c r="W8" s="801" t="s">
        <v>546</v>
      </c>
      <c r="X8" s="801"/>
      <c r="Y8" s="801"/>
      <c r="Z8" s="301">
        <v>1</v>
      </c>
      <c r="AA8" s="301" t="s">
        <v>547</v>
      </c>
      <c r="AB8" s="302">
        <v>43614</v>
      </c>
      <c r="AC8" s="302">
        <v>43677</v>
      </c>
      <c r="AD8" s="102">
        <v>1</v>
      </c>
      <c r="AE8" s="103" t="s">
        <v>17</v>
      </c>
      <c r="AF8" s="303" t="s">
        <v>548</v>
      </c>
    </row>
    <row r="9" spans="1:35" ht="121.5" customHeight="1">
      <c r="A9" s="798"/>
      <c r="B9" s="674"/>
      <c r="C9" s="674"/>
      <c r="D9" s="655"/>
      <c r="E9" s="655"/>
      <c r="F9" s="800"/>
      <c r="G9" s="804"/>
      <c r="H9" s="598"/>
      <c r="I9" s="653"/>
      <c r="J9" s="653"/>
      <c r="K9" s="653"/>
      <c r="L9" s="653"/>
      <c r="M9" s="653"/>
      <c r="N9" s="653"/>
      <c r="O9" s="653"/>
      <c r="P9" s="653"/>
      <c r="Q9" s="653"/>
      <c r="R9" s="653"/>
      <c r="S9" s="85"/>
      <c r="T9" s="653"/>
      <c r="U9" s="653"/>
      <c r="V9" s="655"/>
      <c r="W9" s="802" t="s">
        <v>549</v>
      </c>
      <c r="X9" s="802"/>
      <c r="Y9" s="802"/>
      <c r="Z9" s="81">
        <v>1</v>
      </c>
      <c r="AA9" s="81" t="s">
        <v>550</v>
      </c>
      <c r="AB9" s="286">
        <v>43708</v>
      </c>
      <c r="AC9" s="286">
        <v>44119</v>
      </c>
      <c r="AD9" s="5">
        <v>0.3</v>
      </c>
      <c r="AE9" s="91" t="s">
        <v>16</v>
      </c>
      <c r="AF9" s="304" t="s">
        <v>551</v>
      </c>
    </row>
    <row r="10" spans="1:35" ht="147" customHeight="1" thickBot="1">
      <c r="A10" s="799"/>
      <c r="B10" s="675"/>
      <c r="C10" s="675"/>
      <c r="D10" s="628"/>
      <c r="E10" s="628"/>
      <c r="F10" s="640"/>
      <c r="G10" s="614"/>
      <c r="H10" s="622"/>
      <c r="I10" s="654"/>
      <c r="J10" s="654"/>
      <c r="K10" s="654"/>
      <c r="L10" s="654"/>
      <c r="M10" s="654"/>
      <c r="N10" s="654"/>
      <c r="O10" s="654"/>
      <c r="P10" s="654"/>
      <c r="Q10" s="654"/>
      <c r="R10" s="654"/>
      <c r="S10" s="292"/>
      <c r="T10" s="654"/>
      <c r="U10" s="654"/>
      <c r="V10" s="628"/>
      <c r="W10" s="803" t="s">
        <v>552</v>
      </c>
      <c r="X10" s="803"/>
      <c r="Y10" s="803"/>
      <c r="Z10" s="209">
        <v>1</v>
      </c>
      <c r="AA10" s="209" t="s">
        <v>553</v>
      </c>
      <c r="AB10" s="296">
        <v>43738</v>
      </c>
      <c r="AC10" s="286">
        <v>44119</v>
      </c>
      <c r="AD10" s="114">
        <v>0</v>
      </c>
      <c r="AE10" s="169"/>
      <c r="AF10" s="304"/>
    </row>
    <row r="11" spans="1:35" ht="86.25" customHeight="1">
      <c r="A11" s="797"/>
      <c r="B11" s="673"/>
      <c r="C11" s="673">
        <v>2</v>
      </c>
      <c r="D11" s="626" t="s">
        <v>555</v>
      </c>
      <c r="E11" s="626"/>
      <c r="F11" s="638" t="s">
        <v>556</v>
      </c>
      <c r="G11" s="612" t="s">
        <v>38</v>
      </c>
      <c r="H11" s="620" t="s">
        <v>23</v>
      </c>
      <c r="I11" s="652" t="s">
        <v>557</v>
      </c>
      <c r="J11" s="652"/>
      <c r="K11" s="652"/>
      <c r="L11" s="652"/>
      <c r="M11" s="652"/>
      <c r="N11" s="652"/>
      <c r="O11" s="652" t="s">
        <v>558</v>
      </c>
      <c r="P11" s="652"/>
      <c r="Q11" s="652"/>
      <c r="R11" s="652"/>
      <c r="S11" s="300"/>
      <c r="T11" s="805">
        <v>43768</v>
      </c>
      <c r="U11" s="652"/>
      <c r="V11" s="626" t="s">
        <v>559</v>
      </c>
      <c r="W11" s="806" t="s">
        <v>560</v>
      </c>
      <c r="X11" s="807"/>
      <c r="Y11" s="808"/>
      <c r="Z11" s="136">
        <v>1</v>
      </c>
      <c r="AA11" s="305" t="s">
        <v>561</v>
      </c>
      <c r="AB11" s="137">
        <v>43712</v>
      </c>
      <c r="AC11" s="101">
        <v>43830</v>
      </c>
      <c r="AD11" s="102">
        <v>1</v>
      </c>
      <c r="AE11" s="103" t="s">
        <v>17</v>
      </c>
      <c r="AF11" s="306" t="s">
        <v>562</v>
      </c>
    </row>
    <row r="12" spans="1:35" ht="87.75" customHeight="1">
      <c r="A12" s="798"/>
      <c r="B12" s="674"/>
      <c r="C12" s="674"/>
      <c r="D12" s="655"/>
      <c r="E12" s="655"/>
      <c r="F12" s="800"/>
      <c r="G12" s="804"/>
      <c r="H12" s="598"/>
      <c r="I12" s="653"/>
      <c r="J12" s="653"/>
      <c r="K12" s="653"/>
      <c r="L12" s="653"/>
      <c r="M12" s="653"/>
      <c r="N12" s="653"/>
      <c r="O12" s="653"/>
      <c r="P12" s="653"/>
      <c r="Q12" s="653"/>
      <c r="R12" s="653"/>
      <c r="S12" s="85"/>
      <c r="T12" s="653"/>
      <c r="U12" s="653"/>
      <c r="V12" s="655"/>
      <c r="W12" s="809" t="s">
        <v>563</v>
      </c>
      <c r="X12" s="810"/>
      <c r="Y12" s="811"/>
      <c r="Z12" s="140">
        <v>1</v>
      </c>
      <c r="AA12" s="241" t="s">
        <v>564</v>
      </c>
      <c r="AB12" s="307">
        <v>43712</v>
      </c>
      <c r="AC12" s="286">
        <v>44119</v>
      </c>
      <c r="AD12" s="5">
        <v>0</v>
      </c>
      <c r="AE12" s="91"/>
      <c r="AF12" s="308" t="s">
        <v>554</v>
      </c>
    </row>
    <row r="13" spans="1:35" ht="95.25" customHeight="1">
      <c r="A13" s="798"/>
      <c r="B13" s="674"/>
      <c r="C13" s="674"/>
      <c r="D13" s="655"/>
      <c r="E13" s="655"/>
      <c r="F13" s="800"/>
      <c r="G13" s="804"/>
      <c r="H13" s="598"/>
      <c r="I13" s="653"/>
      <c r="J13" s="653"/>
      <c r="K13" s="653"/>
      <c r="L13" s="653"/>
      <c r="M13" s="653"/>
      <c r="N13" s="653"/>
      <c r="O13" s="653"/>
      <c r="P13" s="653"/>
      <c r="Q13" s="653"/>
      <c r="R13" s="653"/>
      <c r="S13" s="85"/>
      <c r="T13" s="653"/>
      <c r="U13" s="653"/>
      <c r="V13" s="655"/>
      <c r="W13" s="809" t="s">
        <v>565</v>
      </c>
      <c r="X13" s="810"/>
      <c r="Y13" s="811"/>
      <c r="Z13" s="140">
        <v>1</v>
      </c>
      <c r="AA13" s="140" t="s">
        <v>566</v>
      </c>
      <c r="AB13" s="141">
        <v>43712</v>
      </c>
      <c r="AC13" s="141">
        <v>43806</v>
      </c>
      <c r="AD13" s="5">
        <v>1</v>
      </c>
      <c r="AE13" s="91" t="s">
        <v>17</v>
      </c>
      <c r="AF13" s="308" t="s">
        <v>567</v>
      </c>
    </row>
    <row r="14" spans="1:35" ht="61.5" customHeight="1" thickBot="1">
      <c r="A14" s="799"/>
      <c r="B14" s="675"/>
      <c r="C14" s="675"/>
      <c r="D14" s="628"/>
      <c r="E14" s="628"/>
      <c r="F14" s="640"/>
      <c r="G14" s="614"/>
      <c r="H14" s="622"/>
      <c r="I14" s="654"/>
      <c r="J14" s="654"/>
      <c r="K14" s="654"/>
      <c r="L14" s="654"/>
      <c r="M14" s="654"/>
      <c r="N14" s="654"/>
      <c r="O14" s="654"/>
      <c r="P14" s="654"/>
      <c r="Q14" s="654"/>
      <c r="R14" s="654"/>
      <c r="S14" s="292"/>
      <c r="T14" s="654"/>
      <c r="U14" s="654"/>
      <c r="V14" s="628"/>
      <c r="W14" s="812" t="s">
        <v>568</v>
      </c>
      <c r="X14" s="813"/>
      <c r="Y14" s="814"/>
      <c r="Z14" s="310">
        <v>1</v>
      </c>
      <c r="AA14" s="310" t="s">
        <v>569</v>
      </c>
      <c r="AB14" s="146">
        <v>43712</v>
      </c>
      <c r="AC14" s="146">
        <v>43806</v>
      </c>
      <c r="AD14" s="114">
        <v>1</v>
      </c>
      <c r="AE14" s="169" t="s">
        <v>17</v>
      </c>
      <c r="AF14" s="311" t="s">
        <v>570</v>
      </c>
    </row>
    <row r="15" spans="1:35" ht="97.5" customHeight="1">
      <c r="A15" s="797"/>
      <c r="B15" s="673"/>
      <c r="C15" s="673">
        <v>3</v>
      </c>
      <c r="D15" s="626" t="s">
        <v>571</v>
      </c>
      <c r="E15" s="626"/>
      <c r="F15" s="638" t="s">
        <v>556</v>
      </c>
      <c r="G15" s="612" t="s">
        <v>38</v>
      </c>
      <c r="H15" s="620" t="s">
        <v>23</v>
      </c>
      <c r="I15" s="652" t="s">
        <v>162</v>
      </c>
      <c r="J15" s="652"/>
      <c r="K15" s="652"/>
      <c r="L15" s="652"/>
      <c r="M15" s="652"/>
      <c r="N15" s="652"/>
      <c r="O15" s="652" t="s">
        <v>162</v>
      </c>
      <c r="P15" s="652"/>
      <c r="Q15" s="652"/>
      <c r="R15" s="652"/>
      <c r="S15" s="300"/>
      <c r="T15" s="652" t="s">
        <v>162</v>
      </c>
      <c r="U15" s="652"/>
      <c r="V15" s="626" t="s">
        <v>572</v>
      </c>
      <c r="W15" s="801" t="s">
        <v>573</v>
      </c>
      <c r="X15" s="801"/>
      <c r="Y15" s="801"/>
      <c r="Z15" s="100">
        <v>1</v>
      </c>
      <c r="AA15" s="100" t="s">
        <v>574</v>
      </c>
      <c r="AB15" s="101">
        <v>43712</v>
      </c>
      <c r="AC15" s="101">
        <v>43739</v>
      </c>
      <c r="AD15" s="102">
        <v>1</v>
      </c>
      <c r="AE15" s="103" t="s">
        <v>17</v>
      </c>
      <c r="AF15" s="309" t="s">
        <v>575</v>
      </c>
    </row>
    <row r="16" spans="1:35" ht="84.75" customHeight="1">
      <c r="A16" s="798"/>
      <c r="B16" s="674"/>
      <c r="C16" s="674"/>
      <c r="D16" s="655"/>
      <c r="E16" s="655"/>
      <c r="F16" s="800"/>
      <c r="G16" s="804"/>
      <c r="H16" s="598"/>
      <c r="I16" s="653"/>
      <c r="J16" s="653"/>
      <c r="K16" s="653"/>
      <c r="L16" s="653"/>
      <c r="M16" s="653"/>
      <c r="N16" s="653"/>
      <c r="O16" s="653"/>
      <c r="P16" s="653"/>
      <c r="Q16" s="653"/>
      <c r="R16" s="653"/>
      <c r="S16" s="85"/>
      <c r="T16" s="653"/>
      <c r="U16" s="653"/>
      <c r="V16" s="655"/>
      <c r="W16" s="815" t="s">
        <v>576</v>
      </c>
      <c r="X16" s="816"/>
      <c r="Y16" s="817"/>
      <c r="Z16" s="232">
        <v>1</v>
      </c>
      <c r="AA16" s="232" t="s">
        <v>577</v>
      </c>
      <c r="AB16" s="312">
        <v>43845</v>
      </c>
      <c r="AC16" s="312">
        <v>44139</v>
      </c>
      <c r="AD16" s="5"/>
      <c r="AE16" s="91" t="s">
        <v>16</v>
      </c>
      <c r="AF16" s="308" t="s">
        <v>578</v>
      </c>
    </row>
    <row r="17" spans="1:35" ht="108" customHeight="1" thickBot="1">
      <c r="A17" s="799"/>
      <c r="B17" s="675"/>
      <c r="C17" s="675"/>
      <c r="D17" s="628"/>
      <c r="E17" s="628"/>
      <c r="F17" s="640"/>
      <c r="G17" s="614"/>
      <c r="H17" s="622"/>
      <c r="I17" s="654"/>
      <c r="J17" s="654"/>
      <c r="K17" s="654"/>
      <c r="L17" s="654"/>
      <c r="M17" s="654"/>
      <c r="N17" s="654"/>
      <c r="O17" s="654"/>
      <c r="P17" s="654"/>
      <c r="Q17" s="654"/>
      <c r="R17" s="654"/>
      <c r="S17" s="292"/>
      <c r="T17" s="654"/>
      <c r="U17" s="654"/>
      <c r="V17" s="628"/>
      <c r="W17" s="812" t="s">
        <v>579</v>
      </c>
      <c r="X17" s="813"/>
      <c r="Y17" s="814"/>
      <c r="Z17" s="112">
        <v>1</v>
      </c>
      <c r="AA17" s="112" t="s">
        <v>580</v>
      </c>
      <c r="AB17" s="113">
        <v>43845</v>
      </c>
      <c r="AC17" s="113">
        <v>44139</v>
      </c>
      <c r="AD17" s="114"/>
      <c r="AE17" s="169" t="s">
        <v>16</v>
      </c>
      <c r="AF17" s="311" t="s">
        <v>578</v>
      </c>
    </row>
    <row r="18" spans="1:35" ht="6" customHeight="1">
      <c r="A18" s="643"/>
      <c r="B18" s="643"/>
      <c r="C18" s="643"/>
      <c r="D18" s="643"/>
      <c r="E18" s="643"/>
      <c r="F18" s="643"/>
      <c r="G18" s="643"/>
      <c r="H18" s="643"/>
      <c r="I18" s="643"/>
      <c r="J18" s="643"/>
      <c r="K18" s="643"/>
      <c r="L18" s="643"/>
      <c r="M18" s="643"/>
      <c r="N18" s="643"/>
      <c r="O18" s="643"/>
      <c r="P18" s="643"/>
      <c r="Q18" s="643"/>
      <c r="R18" s="643"/>
      <c r="S18" s="643"/>
      <c r="T18" s="643"/>
      <c r="U18" s="643"/>
      <c r="V18" s="643"/>
      <c r="W18" s="643"/>
      <c r="X18" s="643"/>
      <c r="Y18" s="643"/>
      <c r="Z18" s="643"/>
      <c r="AA18" s="643"/>
      <c r="AB18" s="643"/>
      <c r="AC18" s="643"/>
      <c r="AD18" s="643"/>
      <c r="AE18" s="643"/>
      <c r="AF18" s="643"/>
    </row>
    <row r="19" spans="1:35" ht="12.75" customHeight="1">
      <c r="A19" s="644" t="s">
        <v>22</v>
      </c>
      <c r="B19" s="644"/>
      <c r="C19" s="644"/>
      <c r="D19" s="644"/>
      <c r="E19" s="644"/>
      <c r="F19" s="644"/>
      <c r="G19" s="644"/>
      <c r="H19" s="644"/>
      <c r="I19" s="644"/>
      <c r="J19" s="644"/>
      <c r="K19" s="644"/>
      <c r="L19" s="4"/>
      <c r="M19" s="4"/>
      <c r="N19" s="645" t="s">
        <v>34</v>
      </c>
      <c r="O19" s="645"/>
      <c r="P19" s="645"/>
      <c r="Q19" s="645"/>
      <c r="R19" s="645"/>
      <c r="S19" s="645"/>
      <c r="T19" s="645"/>
      <c r="U19" s="645"/>
      <c r="V19" s="645"/>
      <c r="W19" s="645"/>
      <c r="X19" s="645"/>
      <c r="Y19" s="645"/>
      <c r="Z19" s="645"/>
      <c r="AA19" s="645"/>
      <c r="AB19" s="645"/>
      <c r="AC19" s="646" t="s">
        <v>35</v>
      </c>
      <c r="AD19" s="646"/>
      <c r="AE19" s="646"/>
      <c r="AF19" s="646"/>
    </row>
    <row r="20" spans="1:35">
      <c r="A20" s="644"/>
      <c r="B20" s="644"/>
      <c r="C20" s="644"/>
      <c r="D20" s="644"/>
      <c r="E20" s="644"/>
      <c r="F20" s="644"/>
      <c r="G20" s="644"/>
      <c r="H20" s="644"/>
      <c r="I20" s="644"/>
      <c r="J20" s="644"/>
      <c r="K20" s="644"/>
      <c r="L20" s="4"/>
      <c r="M20" s="4"/>
      <c r="N20" s="645"/>
      <c r="O20" s="645"/>
      <c r="P20" s="645"/>
      <c r="Q20" s="645"/>
      <c r="R20" s="645"/>
      <c r="S20" s="645"/>
      <c r="T20" s="645"/>
      <c r="U20" s="645"/>
      <c r="V20" s="645"/>
      <c r="W20" s="645"/>
      <c r="X20" s="645"/>
      <c r="Y20" s="645"/>
      <c r="Z20" s="645"/>
      <c r="AA20" s="645"/>
      <c r="AB20" s="645"/>
      <c r="AC20" s="646"/>
      <c r="AD20" s="646"/>
      <c r="AE20" s="646"/>
      <c r="AF20" s="646"/>
    </row>
    <row r="21" spans="1:35" ht="24.75" customHeight="1">
      <c r="A21" s="715" t="s">
        <v>581</v>
      </c>
      <c r="B21" s="648"/>
      <c r="C21" s="648"/>
      <c r="D21" s="648"/>
      <c r="E21" s="648"/>
      <c r="F21" s="648"/>
      <c r="G21" s="648"/>
      <c r="H21" s="648"/>
      <c r="I21" s="648"/>
      <c r="J21" s="648"/>
      <c r="K21" s="648"/>
      <c r="L21" s="4"/>
      <c r="M21" s="4"/>
      <c r="N21" s="650" t="s">
        <v>459</v>
      </c>
      <c r="O21" s="650"/>
      <c r="P21" s="650"/>
      <c r="Q21" s="650"/>
      <c r="R21" s="650"/>
      <c r="S21" s="650"/>
      <c r="T21" s="650"/>
      <c r="U21" s="650"/>
      <c r="V21" s="650"/>
      <c r="W21" s="650"/>
      <c r="X21" s="650"/>
      <c r="Y21" s="650"/>
      <c r="Z21" s="650"/>
      <c r="AA21" s="650"/>
      <c r="AB21" s="650"/>
      <c r="AC21" s="651" t="s">
        <v>460</v>
      </c>
      <c r="AD21" s="651"/>
      <c r="AE21" s="651"/>
      <c r="AF21" s="651"/>
    </row>
    <row r="22" spans="1:35" ht="15" customHeight="1">
      <c r="A22" s="641" t="s">
        <v>36</v>
      </c>
      <c r="B22" s="641"/>
      <c r="C22" s="641"/>
      <c r="D22" s="641"/>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5" ht="15.75" customHeight="1">
      <c r="A23" s="642"/>
      <c r="B23" s="642"/>
      <c r="C23" s="642"/>
      <c r="D23" s="642"/>
      <c r="E23" s="642"/>
      <c r="F23" s="642"/>
      <c r="G23" s="642"/>
      <c r="H23" s="642"/>
      <c r="I23" s="642"/>
      <c r="J23" s="642"/>
      <c r="K23" s="642"/>
      <c r="L23" s="642"/>
      <c r="M23" s="642"/>
      <c r="N23" s="642"/>
      <c r="O23" s="642"/>
      <c r="P23" s="642"/>
      <c r="Q23" s="642"/>
      <c r="R23" s="642"/>
      <c r="S23" s="642"/>
      <c r="T23" s="642"/>
      <c r="U23" s="642"/>
      <c r="V23" s="642"/>
      <c r="W23" s="642"/>
      <c r="X23" s="642"/>
      <c r="Y23" s="642"/>
      <c r="Z23" s="642"/>
      <c r="AA23" s="642"/>
      <c r="AB23" s="642"/>
      <c r="AC23" s="642"/>
      <c r="AD23" s="642"/>
      <c r="AE23" s="642"/>
      <c r="AF23" s="642"/>
      <c r="AG23" s="642"/>
    </row>
    <row r="24" spans="1:35" ht="22.5" customHeight="1">
      <c r="A24" s="642"/>
      <c r="B24" s="642"/>
      <c r="C24" s="642"/>
      <c r="D24" s="642"/>
      <c r="E24" s="642"/>
      <c r="F24" s="642"/>
      <c r="G24" s="642"/>
      <c r="H24" s="642"/>
      <c r="I24" s="642"/>
      <c r="J24" s="642"/>
      <c r="K24" s="642"/>
      <c r="L24" s="642"/>
      <c r="M24" s="642"/>
      <c r="N24" s="642"/>
      <c r="O24" s="642"/>
      <c r="P24" s="642"/>
      <c r="Q24" s="642"/>
      <c r="R24" s="642"/>
      <c r="S24" s="642"/>
      <c r="T24" s="642"/>
      <c r="U24" s="642"/>
      <c r="V24" s="642"/>
      <c r="W24" s="642"/>
      <c r="X24" s="642"/>
      <c r="Y24" s="642"/>
      <c r="Z24" s="642"/>
      <c r="AA24" s="642"/>
      <c r="AB24" s="642"/>
      <c r="AC24" s="642"/>
      <c r="AD24" s="642"/>
      <c r="AE24" s="642"/>
      <c r="AF24" s="642"/>
      <c r="AG24" s="8"/>
      <c r="AH24" s="8"/>
    </row>
    <row r="27" spans="1:35" ht="24.75" customHeight="1">
      <c r="AI27" s="6" t="s">
        <v>38</v>
      </c>
    </row>
    <row r="28" spans="1:35" ht="24.75" customHeight="1">
      <c r="AI28" s="6" t="s">
        <v>10</v>
      </c>
    </row>
    <row r="29" spans="1:35" ht="24.75" customHeight="1">
      <c r="AI29" s="6" t="s">
        <v>42</v>
      </c>
    </row>
    <row r="30" spans="1:35" ht="24.75" customHeight="1">
      <c r="AI30" s="6" t="s">
        <v>43</v>
      </c>
    </row>
    <row r="31" spans="1:35" ht="24.75" customHeight="1">
      <c r="AI31" s="6" t="s">
        <v>44</v>
      </c>
    </row>
    <row r="32" spans="1:35" ht="24.75" customHeight="1">
      <c r="AI32" s="6" t="s">
        <v>26</v>
      </c>
    </row>
    <row r="33" spans="35:35" ht="24.75" customHeight="1">
      <c r="AI33" s="6" t="s">
        <v>27</v>
      </c>
    </row>
    <row r="34" spans="35:35" ht="24.75" customHeight="1">
      <c r="AI34" s="6" t="s">
        <v>28</v>
      </c>
    </row>
    <row r="35" spans="35:35" ht="24.75" customHeight="1">
      <c r="AI35" s="6" t="s">
        <v>30</v>
      </c>
    </row>
    <row r="36" spans="35:35" ht="24.75" customHeight="1">
      <c r="AI36" s="6" t="s">
        <v>29</v>
      </c>
    </row>
    <row r="37" spans="35:35" ht="24.75" customHeight="1">
      <c r="AI37" s="6" t="s">
        <v>31</v>
      </c>
    </row>
    <row r="38" spans="35:35" ht="24.75" customHeight="1">
      <c r="AI38" s="6" t="s">
        <v>32</v>
      </c>
    </row>
    <row r="39" spans="35:35" ht="51">
      <c r="AI39" s="6" t="s">
        <v>33</v>
      </c>
    </row>
  </sheetData>
  <mergeCells count="82">
    <mergeCell ref="A22:AF22"/>
    <mergeCell ref="A23:AG23"/>
    <mergeCell ref="A24:AF24"/>
    <mergeCell ref="A18:AF18"/>
    <mergeCell ref="A19:K20"/>
    <mergeCell ref="N19:AB20"/>
    <mergeCell ref="AC19:AF20"/>
    <mergeCell ref="A21:K21"/>
    <mergeCell ref="N21:AB21"/>
    <mergeCell ref="AC21:AF21"/>
    <mergeCell ref="W16:Y16"/>
    <mergeCell ref="W17:Y17"/>
    <mergeCell ref="A15:A17"/>
    <mergeCell ref="B15:B17"/>
    <mergeCell ref="C15:C17"/>
    <mergeCell ref="D15:E17"/>
    <mergeCell ref="F15:F17"/>
    <mergeCell ref="G15:G17"/>
    <mergeCell ref="H15:H17"/>
    <mergeCell ref="I15:N17"/>
    <mergeCell ref="O15:R17"/>
    <mergeCell ref="T15:U17"/>
    <mergeCell ref="V15:V17"/>
    <mergeCell ref="W11:Y11"/>
    <mergeCell ref="W12:Y12"/>
    <mergeCell ref="W13:Y13"/>
    <mergeCell ref="W14:Y14"/>
    <mergeCell ref="W15:Y15"/>
    <mergeCell ref="A11:A14"/>
    <mergeCell ref="B11:B14"/>
    <mergeCell ref="C11:C14"/>
    <mergeCell ref="D11:E14"/>
    <mergeCell ref="F11:F14"/>
    <mergeCell ref="G11:G14"/>
    <mergeCell ref="I8:N10"/>
    <mergeCell ref="O8:R10"/>
    <mergeCell ref="T8:U10"/>
    <mergeCell ref="V8:V10"/>
    <mergeCell ref="G8:G10"/>
    <mergeCell ref="H8:H10"/>
    <mergeCell ref="H11:H14"/>
    <mergeCell ref="I11:N14"/>
    <mergeCell ref="O11:R14"/>
    <mergeCell ref="T11:U14"/>
    <mergeCell ref="V11:V14"/>
    <mergeCell ref="W8:Y8"/>
    <mergeCell ref="W9:Y9"/>
    <mergeCell ref="W10:Y10"/>
    <mergeCell ref="I7:N7"/>
    <mergeCell ref="O7:S7"/>
    <mergeCell ref="T7:U7"/>
    <mergeCell ref="A8:A10"/>
    <mergeCell ref="B8:B10"/>
    <mergeCell ref="C8:C10"/>
    <mergeCell ref="D8:E10"/>
    <mergeCell ref="F8:F10"/>
    <mergeCell ref="AF6:AF7"/>
    <mergeCell ref="A5:AF5"/>
    <mergeCell ref="A6:B6"/>
    <mergeCell ref="C6:C7"/>
    <mergeCell ref="D6:E7"/>
    <mergeCell ref="F6:F7"/>
    <mergeCell ref="G6:G7"/>
    <mergeCell ref="H6:H7"/>
    <mergeCell ref="I6:U6"/>
    <mergeCell ref="V6:V7"/>
    <mergeCell ref="W6:Y7"/>
    <mergeCell ref="Z6:Z7"/>
    <mergeCell ref="AA6:AA7"/>
    <mergeCell ref="AB6:AC6"/>
    <mergeCell ref="AD6:AD7"/>
    <mergeCell ref="AE6:AE7"/>
    <mergeCell ref="A1:B2"/>
    <mergeCell ref="C1:AE1"/>
    <mergeCell ref="AF1:AF2"/>
    <mergeCell ref="C2:AE2"/>
    <mergeCell ref="A3:AF3"/>
    <mergeCell ref="A4:D4"/>
    <mergeCell ref="E4:U4"/>
    <mergeCell ref="V4:W4"/>
    <mergeCell ref="X4:AC4"/>
    <mergeCell ref="AD4:AE4"/>
  </mergeCells>
  <conditionalFormatting sqref="AD8:AD14">
    <cfRule type="cellIs" dxfId="373" priority="19" operator="between">
      <formula>0.001</formula>
      <formula>0.99</formula>
    </cfRule>
    <cfRule type="cellIs" dxfId="372" priority="20" operator="equal">
      <formula>1</formula>
    </cfRule>
    <cfRule type="cellIs" dxfId="371" priority="21" operator="equal">
      <formula>0</formula>
    </cfRule>
  </conditionalFormatting>
  <conditionalFormatting sqref="AD8:AD14">
    <cfRule type="cellIs" dxfId="370" priority="22" operator="between">
      <formula>0.01</formula>
      <formula>0.99</formula>
    </cfRule>
    <cfRule type="cellIs" dxfId="369" priority="23" operator="equal">
      <formula>1</formula>
    </cfRule>
    <cfRule type="cellIs" dxfId="368" priority="24" operator="equal">
      <formula>0</formula>
    </cfRule>
  </conditionalFormatting>
  <conditionalFormatting sqref="AA8:AA10">
    <cfRule type="cellIs" dxfId="367" priority="17" stopIfTrue="1" operator="greaterThan">
      <formula>#REF!</formula>
    </cfRule>
    <cfRule type="cellIs" dxfId="366" priority="18" stopIfTrue="1" operator="lessThan">
      <formula>#REF!</formula>
    </cfRule>
  </conditionalFormatting>
  <conditionalFormatting sqref="AA11:AA14">
    <cfRule type="cellIs" dxfId="365" priority="9" stopIfTrue="1" operator="greaterThan">
      <formula>#REF!</formula>
    </cfRule>
    <cfRule type="cellIs" dxfId="364" priority="10" stopIfTrue="1" operator="lessThan">
      <formula>#REF!</formula>
    </cfRule>
  </conditionalFormatting>
  <conditionalFormatting sqref="AD15:AD17">
    <cfRule type="cellIs" dxfId="363" priority="3" operator="between">
      <formula>0.001</formula>
      <formula>0.99</formula>
    </cfRule>
    <cfRule type="cellIs" dxfId="362" priority="4" operator="equal">
      <formula>1</formula>
    </cfRule>
    <cfRule type="cellIs" dxfId="361" priority="5" operator="equal">
      <formula>0</formula>
    </cfRule>
  </conditionalFormatting>
  <conditionalFormatting sqref="AD15:AD17">
    <cfRule type="cellIs" dxfId="360" priority="6" operator="between">
      <formula>0.01</formula>
      <formula>0.99</formula>
    </cfRule>
    <cfRule type="cellIs" dxfId="359" priority="7" operator="equal">
      <formula>1</formula>
    </cfRule>
    <cfRule type="cellIs" dxfId="358" priority="8" operator="equal">
      <formula>0</formula>
    </cfRule>
  </conditionalFormatting>
  <conditionalFormatting sqref="AA15:AA17">
    <cfRule type="cellIs" dxfId="357" priority="1" stopIfTrue="1" operator="greaterThan">
      <formula>#REF!</formula>
    </cfRule>
    <cfRule type="cellIs" dxfId="356" priority="2" stopIfTrue="1" operator="lessThan">
      <formula>#REF!</formula>
    </cfRule>
  </conditionalFormatting>
  <dataValidations count="4">
    <dataValidation type="date" showInputMessage="1" showErrorMessage="1" error="Debe Digitar una Fecha Valida o Verificar la Fecha Inicial" sqref="AC8 JY8 TU8 ADQ8 ANM8 AXI8 BHE8 BRA8 CAW8 CKS8 CUO8 DEK8 DOG8 DYC8 EHY8 ERU8 FBQ8 FLM8 FVI8 GFE8 GPA8 GYW8 HIS8 HSO8 ICK8 IMG8 IWC8 JFY8 JPU8 JZQ8 KJM8 KTI8 LDE8 LNA8 LWW8 MGS8 MQO8 NAK8 NKG8 NUC8 ODY8 ONU8 OXQ8 PHM8 PRI8 QBE8 QLA8 QUW8 RES8 ROO8 RYK8 SIG8 SSC8 TBY8 TLU8 TVQ8 UFM8 UPI8 UZE8 VJA8 VSW8 WCS8 WMO8 WWK8 AC65551 JY65551 TU65551 ADQ65551 ANM65551 AXI65551 BHE65551 BRA65551 CAW65551 CKS65551 CUO65551 DEK65551 DOG65551 DYC65551 EHY65551 ERU65551 FBQ65551 FLM65551 FVI65551 GFE65551 GPA65551 GYW65551 HIS65551 HSO65551 ICK65551 IMG65551 IWC65551 JFY65551 JPU65551 JZQ65551 KJM65551 KTI65551 LDE65551 LNA65551 LWW65551 MGS65551 MQO65551 NAK65551 NKG65551 NUC65551 ODY65551 ONU65551 OXQ65551 PHM65551 PRI65551 QBE65551 QLA65551 QUW65551 RES65551 ROO65551 RYK65551 SIG65551 SSC65551 TBY65551 TLU65551 TVQ65551 UFM65551 UPI65551 UZE65551 VJA65551 VSW65551 WCS65551 WMO65551 WWK65551 AC131087 JY131087 TU131087 ADQ131087 ANM131087 AXI131087 BHE131087 BRA131087 CAW131087 CKS131087 CUO131087 DEK131087 DOG131087 DYC131087 EHY131087 ERU131087 FBQ131087 FLM131087 FVI131087 GFE131087 GPA131087 GYW131087 HIS131087 HSO131087 ICK131087 IMG131087 IWC131087 JFY131087 JPU131087 JZQ131087 KJM131087 KTI131087 LDE131087 LNA131087 LWW131087 MGS131087 MQO131087 NAK131087 NKG131087 NUC131087 ODY131087 ONU131087 OXQ131087 PHM131087 PRI131087 QBE131087 QLA131087 QUW131087 RES131087 ROO131087 RYK131087 SIG131087 SSC131087 TBY131087 TLU131087 TVQ131087 UFM131087 UPI131087 UZE131087 VJA131087 VSW131087 WCS131087 WMO131087 WWK131087 AC196623 JY196623 TU196623 ADQ196623 ANM196623 AXI196623 BHE196623 BRA196623 CAW196623 CKS196623 CUO196623 DEK196623 DOG196623 DYC196623 EHY196623 ERU196623 FBQ196623 FLM196623 FVI196623 GFE196623 GPA196623 GYW196623 HIS196623 HSO196623 ICK196623 IMG196623 IWC196623 JFY196623 JPU196623 JZQ196623 KJM196623 KTI196623 LDE196623 LNA196623 LWW196623 MGS196623 MQO196623 NAK196623 NKG196623 NUC196623 ODY196623 ONU196623 OXQ196623 PHM196623 PRI196623 QBE196623 QLA196623 QUW196623 RES196623 ROO196623 RYK196623 SIG196623 SSC196623 TBY196623 TLU196623 TVQ196623 UFM196623 UPI196623 UZE196623 VJA196623 VSW196623 WCS196623 WMO196623 WWK196623 AC262159 JY262159 TU262159 ADQ262159 ANM262159 AXI262159 BHE262159 BRA262159 CAW262159 CKS262159 CUO262159 DEK262159 DOG262159 DYC262159 EHY262159 ERU262159 FBQ262159 FLM262159 FVI262159 GFE262159 GPA262159 GYW262159 HIS262159 HSO262159 ICK262159 IMG262159 IWC262159 JFY262159 JPU262159 JZQ262159 KJM262159 KTI262159 LDE262159 LNA262159 LWW262159 MGS262159 MQO262159 NAK262159 NKG262159 NUC262159 ODY262159 ONU262159 OXQ262159 PHM262159 PRI262159 QBE262159 QLA262159 QUW262159 RES262159 ROO262159 RYK262159 SIG262159 SSC262159 TBY262159 TLU262159 TVQ262159 UFM262159 UPI262159 UZE262159 VJA262159 VSW262159 WCS262159 WMO262159 WWK262159 AC327695 JY327695 TU327695 ADQ327695 ANM327695 AXI327695 BHE327695 BRA327695 CAW327695 CKS327695 CUO327695 DEK327695 DOG327695 DYC327695 EHY327695 ERU327695 FBQ327695 FLM327695 FVI327695 GFE327695 GPA327695 GYW327695 HIS327695 HSO327695 ICK327695 IMG327695 IWC327695 JFY327695 JPU327695 JZQ327695 KJM327695 KTI327695 LDE327695 LNA327695 LWW327695 MGS327695 MQO327695 NAK327695 NKG327695 NUC327695 ODY327695 ONU327695 OXQ327695 PHM327695 PRI327695 QBE327695 QLA327695 QUW327695 RES327695 ROO327695 RYK327695 SIG327695 SSC327695 TBY327695 TLU327695 TVQ327695 UFM327695 UPI327695 UZE327695 VJA327695 VSW327695 WCS327695 WMO327695 WWK327695 AC393231 JY393231 TU393231 ADQ393231 ANM393231 AXI393231 BHE393231 BRA393231 CAW393231 CKS393231 CUO393231 DEK393231 DOG393231 DYC393231 EHY393231 ERU393231 FBQ393231 FLM393231 FVI393231 GFE393231 GPA393231 GYW393231 HIS393231 HSO393231 ICK393231 IMG393231 IWC393231 JFY393231 JPU393231 JZQ393231 KJM393231 KTI393231 LDE393231 LNA393231 LWW393231 MGS393231 MQO393231 NAK393231 NKG393231 NUC393231 ODY393231 ONU393231 OXQ393231 PHM393231 PRI393231 QBE393231 QLA393231 QUW393231 RES393231 ROO393231 RYK393231 SIG393231 SSC393231 TBY393231 TLU393231 TVQ393231 UFM393231 UPI393231 UZE393231 VJA393231 VSW393231 WCS393231 WMO393231 WWK393231 AC458767 JY458767 TU458767 ADQ458767 ANM458767 AXI458767 BHE458767 BRA458767 CAW458767 CKS458767 CUO458767 DEK458767 DOG458767 DYC458767 EHY458767 ERU458767 FBQ458767 FLM458767 FVI458767 GFE458767 GPA458767 GYW458767 HIS458767 HSO458767 ICK458767 IMG458767 IWC458767 JFY458767 JPU458767 JZQ458767 KJM458767 KTI458767 LDE458767 LNA458767 LWW458767 MGS458767 MQO458767 NAK458767 NKG458767 NUC458767 ODY458767 ONU458767 OXQ458767 PHM458767 PRI458767 QBE458767 QLA458767 QUW458767 RES458767 ROO458767 RYK458767 SIG458767 SSC458767 TBY458767 TLU458767 TVQ458767 UFM458767 UPI458767 UZE458767 VJA458767 VSW458767 WCS458767 WMO458767 WWK458767 AC524303 JY524303 TU524303 ADQ524303 ANM524303 AXI524303 BHE524303 BRA524303 CAW524303 CKS524303 CUO524303 DEK524303 DOG524303 DYC524303 EHY524303 ERU524303 FBQ524303 FLM524303 FVI524303 GFE524303 GPA524303 GYW524303 HIS524303 HSO524303 ICK524303 IMG524303 IWC524303 JFY524303 JPU524303 JZQ524303 KJM524303 KTI524303 LDE524303 LNA524303 LWW524303 MGS524303 MQO524303 NAK524303 NKG524303 NUC524303 ODY524303 ONU524303 OXQ524303 PHM524303 PRI524303 QBE524303 QLA524303 QUW524303 RES524303 ROO524303 RYK524303 SIG524303 SSC524303 TBY524303 TLU524303 TVQ524303 UFM524303 UPI524303 UZE524303 VJA524303 VSW524303 WCS524303 WMO524303 WWK524303 AC589839 JY589839 TU589839 ADQ589839 ANM589839 AXI589839 BHE589839 BRA589839 CAW589839 CKS589839 CUO589839 DEK589839 DOG589839 DYC589839 EHY589839 ERU589839 FBQ589839 FLM589839 FVI589839 GFE589839 GPA589839 GYW589839 HIS589839 HSO589839 ICK589839 IMG589839 IWC589839 JFY589839 JPU589839 JZQ589839 KJM589839 KTI589839 LDE589839 LNA589839 LWW589839 MGS589839 MQO589839 NAK589839 NKG589839 NUC589839 ODY589839 ONU589839 OXQ589839 PHM589839 PRI589839 QBE589839 QLA589839 QUW589839 RES589839 ROO589839 RYK589839 SIG589839 SSC589839 TBY589839 TLU589839 TVQ589839 UFM589839 UPI589839 UZE589839 VJA589839 VSW589839 WCS589839 WMO589839 WWK589839 AC655375 JY655375 TU655375 ADQ655375 ANM655375 AXI655375 BHE655375 BRA655375 CAW655375 CKS655375 CUO655375 DEK655375 DOG655375 DYC655375 EHY655375 ERU655375 FBQ655375 FLM655375 FVI655375 GFE655375 GPA655375 GYW655375 HIS655375 HSO655375 ICK655375 IMG655375 IWC655375 JFY655375 JPU655375 JZQ655375 KJM655375 KTI655375 LDE655375 LNA655375 LWW655375 MGS655375 MQO655375 NAK655375 NKG655375 NUC655375 ODY655375 ONU655375 OXQ655375 PHM655375 PRI655375 QBE655375 QLA655375 QUW655375 RES655375 ROO655375 RYK655375 SIG655375 SSC655375 TBY655375 TLU655375 TVQ655375 UFM655375 UPI655375 UZE655375 VJA655375 VSW655375 WCS655375 WMO655375 WWK655375 AC720911 JY720911 TU720911 ADQ720911 ANM720911 AXI720911 BHE720911 BRA720911 CAW720911 CKS720911 CUO720911 DEK720911 DOG720911 DYC720911 EHY720911 ERU720911 FBQ720911 FLM720911 FVI720911 GFE720911 GPA720911 GYW720911 HIS720911 HSO720911 ICK720911 IMG720911 IWC720911 JFY720911 JPU720911 JZQ720911 KJM720911 KTI720911 LDE720911 LNA720911 LWW720911 MGS720911 MQO720911 NAK720911 NKG720911 NUC720911 ODY720911 ONU720911 OXQ720911 PHM720911 PRI720911 QBE720911 QLA720911 QUW720911 RES720911 ROO720911 RYK720911 SIG720911 SSC720911 TBY720911 TLU720911 TVQ720911 UFM720911 UPI720911 UZE720911 VJA720911 VSW720911 WCS720911 WMO720911 WWK720911 AC786447 JY786447 TU786447 ADQ786447 ANM786447 AXI786447 BHE786447 BRA786447 CAW786447 CKS786447 CUO786447 DEK786447 DOG786447 DYC786447 EHY786447 ERU786447 FBQ786447 FLM786447 FVI786447 GFE786447 GPA786447 GYW786447 HIS786447 HSO786447 ICK786447 IMG786447 IWC786447 JFY786447 JPU786447 JZQ786447 KJM786447 KTI786447 LDE786447 LNA786447 LWW786447 MGS786447 MQO786447 NAK786447 NKG786447 NUC786447 ODY786447 ONU786447 OXQ786447 PHM786447 PRI786447 QBE786447 QLA786447 QUW786447 RES786447 ROO786447 RYK786447 SIG786447 SSC786447 TBY786447 TLU786447 TVQ786447 UFM786447 UPI786447 UZE786447 VJA786447 VSW786447 WCS786447 WMO786447 WWK786447 AC851983 JY851983 TU851983 ADQ851983 ANM851983 AXI851983 BHE851983 BRA851983 CAW851983 CKS851983 CUO851983 DEK851983 DOG851983 DYC851983 EHY851983 ERU851983 FBQ851983 FLM851983 FVI851983 GFE851983 GPA851983 GYW851983 HIS851983 HSO851983 ICK851983 IMG851983 IWC851983 JFY851983 JPU851983 JZQ851983 KJM851983 KTI851983 LDE851983 LNA851983 LWW851983 MGS851983 MQO851983 NAK851983 NKG851983 NUC851983 ODY851983 ONU851983 OXQ851983 PHM851983 PRI851983 QBE851983 QLA851983 QUW851983 RES851983 ROO851983 RYK851983 SIG851983 SSC851983 TBY851983 TLU851983 TVQ851983 UFM851983 UPI851983 UZE851983 VJA851983 VSW851983 WCS851983 WMO851983 WWK851983 AC917519 JY917519 TU917519 ADQ917519 ANM917519 AXI917519 BHE917519 BRA917519 CAW917519 CKS917519 CUO917519 DEK917519 DOG917519 DYC917519 EHY917519 ERU917519 FBQ917519 FLM917519 FVI917519 GFE917519 GPA917519 GYW917519 HIS917519 HSO917519 ICK917519 IMG917519 IWC917519 JFY917519 JPU917519 JZQ917519 KJM917519 KTI917519 LDE917519 LNA917519 LWW917519 MGS917519 MQO917519 NAK917519 NKG917519 NUC917519 ODY917519 ONU917519 OXQ917519 PHM917519 PRI917519 QBE917519 QLA917519 QUW917519 RES917519 ROO917519 RYK917519 SIG917519 SSC917519 TBY917519 TLU917519 TVQ917519 UFM917519 UPI917519 UZE917519 VJA917519 VSW917519 WCS917519 WMO917519 WWK917519 AC983055 JY983055 TU983055 ADQ983055 ANM983055 AXI983055 BHE983055 BRA983055 CAW983055 CKS983055 CUO983055 DEK983055 DOG983055 DYC983055 EHY983055 ERU983055 FBQ983055 FLM983055 FVI983055 GFE983055 GPA983055 GYW983055 HIS983055 HSO983055 ICK983055 IMG983055 IWC983055 JFY983055 JPU983055 JZQ983055 KJM983055 KTI983055 LDE983055 LNA983055 LWW983055 MGS983055 MQO983055 NAK983055 NKG983055 NUC983055 ODY983055 ONU983055 OXQ983055 PHM983055 PRI983055 QBE983055 QLA983055 QUW983055 RES983055 ROO983055 RYK983055 SIG983055 SSC983055 TBY983055 TLU983055 TVQ983055 UFM983055 UPI983055 UZE983055 VJA983055 VSW983055 WCS983055 WMO983055 WWK983055 WWK983057 AC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AC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AC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AC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AC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AC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AC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AC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AC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AC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AC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AC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AC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AC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AC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TU17 ADQ14:ADQ15 ANM14:ANM15 AXI14:AXI15 BHE14:BHE15 BRA14:BRA15 CAW14:CAW15 CKS14:CKS15 CUO14:CUO15 DEK14:DEK15 DOG14:DOG15 DYC14:DYC15 EHY14:EHY15 ERU14:ERU15 FBQ14:FBQ15 FLM14:FLM15 FVI14:FVI15 GFE14:GFE15 GPA14:GPA15 GYW14:GYW15 HIS14:HIS15 HSO14:HSO15 ICK14:ICK15 IMG14:IMG15 IWC14:IWC15 JFY14:JFY15 JPU14:JPU15 JZQ14:JZQ15 KJM14:KJM15 KTI14:KTI15 LDE14:LDE15 LNA14:LNA15 LWW14:LWW15 MGS14:MGS15 MQO14:MQO15 NAK14:NAK15 NKG14:NKG15 NUC14:NUC15 ODY14:ODY15 ONU14:ONU15 OXQ14:OXQ15 PHM14:PHM15 PRI14:PRI15 QBE14:QBE15 QLA14:QLA15 QUW14:QUW15 RES14:RES15 ROO14:ROO15 RYK14:RYK15 SIG14:SIG15 SSC14:SSC15 TBY14:TBY15 TLU14:TLU15 TVQ14:TVQ15 UFM14:UFM15 UPI14:UPI15 UZE14:UZE15 VJA14:VJA15 VSW14:VSW15 WCS14:WCS15 WMO14:WMO15 WWK14:WWK15 JY14:JY15 TU14:TU15 ADQ17 ANM17 AXI17 BHE17 BRA17 CAW17 CKS17 CUO17 DEK17 DOG17 DYC17 EHY17 ERU17 FBQ17 FLM17 FVI17 GFE17 GPA17 GYW17 HIS17 HSO17 ICK17 IMG17 IWC17 JFY17 JPU17 JZQ17 KJM17 KTI17 LDE17 LNA17 LWW17 MGS17 MQO17 NAK17 NKG17 NUC17 ODY17 ONU17 OXQ17 PHM17 PRI17 QBE17 QLA17 QUW17 RES17 ROO17 RYK17 SIG17 SSC17 TBY17 TLU17 TVQ17 UFM17 UPI17 UZE17 VJA17 VSW17 WCS17 WMO17 WWK17 JY17 AC15:AC17 AC11 TU10:TU12 ADQ10:ADQ12 ANM10:ANM12 AXI10:AXI12 BHE10:BHE12 BRA10:BRA12 CAW10:CAW12 CKS10:CKS12 CUO10:CUO12 DEK10:DEK12 DOG10:DOG12 DYC10:DYC12 EHY10:EHY12 ERU10:ERU12 FBQ10:FBQ12 FLM10:FLM12 FVI10:FVI12 GFE10:GFE12 GPA10:GPA12 GYW10:GYW12 HIS10:HIS12 HSO10:HSO12 ICK10:ICK12 IMG10:IMG12 IWC10:IWC12 JFY10:JFY12 JPU10:JPU12 JZQ10:JZQ12 KJM10:KJM12 KTI10:KTI12 LDE10:LDE12 LNA10:LNA12 LWW10:LWW12 MGS10:MGS12 MQO10:MQO12 NAK10:NAK12 NKG10:NKG12 NUC10:NUC12 ODY10:ODY12 ONU10:ONU12 OXQ10:OXQ12 PHM10:PHM12 PRI10:PRI12 QBE10:QBE12 QLA10:QLA12 QUW10:QUW12 RES10:RES12 ROO10:ROO12 RYK10:RYK12 SIG10:SIG12 SSC10:SSC12 TBY10:TBY12 TLU10:TLU12 TVQ10:TVQ12 UFM10:UFM12 UPI10:UPI12 UZE10:UZE12 VJA10:VJA12 VSW10:VSW12 WCS10:WCS12 WMO10:WMO12 WWK10:WWK12 JY10:JY12">
      <formula1>AB8</formula1>
      <formula2>IF(AB8&lt;&gt;0,IF(AC8-AB8&gt;=0,AC8,),)</formula2>
    </dataValidation>
    <dataValidation type="list" allowBlank="1" showInputMessage="1" showErrorMessage="1" sqref="WWM983055:WWM983057 AE65551:AE65553 KA65551:KA65553 TW65551:TW65553 ADS65551:ADS65553 ANO65551:ANO65553 AXK65551:AXK65553 BHG65551:BHG65553 BRC65551:BRC65553 CAY65551:CAY65553 CKU65551:CKU65553 CUQ65551:CUQ65553 DEM65551:DEM65553 DOI65551:DOI65553 DYE65551:DYE65553 EIA65551:EIA65553 ERW65551:ERW65553 FBS65551:FBS65553 FLO65551:FLO65553 FVK65551:FVK65553 GFG65551:GFG65553 GPC65551:GPC65553 GYY65551:GYY65553 HIU65551:HIU65553 HSQ65551:HSQ65553 ICM65551:ICM65553 IMI65551:IMI65553 IWE65551:IWE65553 JGA65551:JGA65553 JPW65551:JPW65553 JZS65551:JZS65553 KJO65551:KJO65553 KTK65551:KTK65553 LDG65551:LDG65553 LNC65551:LNC65553 LWY65551:LWY65553 MGU65551:MGU65553 MQQ65551:MQQ65553 NAM65551:NAM65553 NKI65551:NKI65553 NUE65551:NUE65553 OEA65551:OEA65553 ONW65551:ONW65553 OXS65551:OXS65553 PHO65551:PHO65553 PRK65551:PRK65553 QBG65551:QBG65553 QLC65551:QLC65553 QUY65551:QUY65553 REU65551:REU65553 ROQ65551:ROQ65553 RYM65551:RYM65553 SII65551:SII65553 SSE65551:SSE65553 TCA65551:TCA65553 TLW65551:TLW65553 TVS65551:TVS65553 UFO65551:UFO65553 UPK65551:UPK65553 UZG65551:UZG65553 VJC65551:VJC65553 VSY65551:VSY65553 WCU65551:WCU65553 WMQ65551:WMQ65553 WWM65551:WWM65553 AE131087:AE131089 KA131087:KA131089 TW131087:TW131089 ADS131087:ADS131089 ANO131087:ANO131089 AXK131087:AXK131089 BHG131087:BHG131089 BRC131087:BRC131089 CAY131087:CAY131089 CKU131087:CKU131089 CUQ131087:CUQ131089 DEM131087:DEM131089 DOI131087:DOI131089 DYE131087:DYE131089 EIA131087:EIA131089 ERW131087:ERW131089 FBS131087:FBS131089 FLO131087:FLO131089 FVK131087:FVK131089 GFG131087:GFG131089 GPC131087:GPC131089 GYY131087:GYY131089 HIU131087:HIU131089 HSQ131087:HSQ131089 ICM131087:ICM131089 IMI131087:IMI131089 IWE131087:IWE131089 JGA131087:JGA131089 JPW131087:JPW131089 JZS131087:JZS131089 KJO131087:KJO131089 KTK131087:KTK131089 LDG131087:LDG131089 LNC131087:LNC131089 LWY131087:LWY131089 MGU131087:MGU131089 MQQ131087:MQQ131089 NAM131087:NAM131089 NKI131087:NKI131089 NUE131087:NUE131089 OEA131087:OEA131089 ONW131087:ONW131089 OXS131087:OXS131089 PHO131087:PHO131089 PRK131087:PRK131089 QBG131087:QBG131089 QLC131087:QLC131089 QUY131087:QUY131089 REU131087:REU131089 ROQ131087:ROQ131089 RYM131087:RYM131089 SII131087:SII131089 SSE131087:SSE131089 TCA131087:TCA131089 TLW131087:TLW131089 TVS131087:TVS131089 UFO131087:UFO131089 UPK131087:UPK131089 UZG131087:UZG131089 VJC131087:VJC131089 VSY131087:VSY131089 WCU131087:WCU131089 WMQ131087:WMQ131089 WWM131087:WWM131089 AE196623:AE196625 KA196623:KA196625 TW196623:TW196625 ADS196623:ADS196625 ANO196623:ANO196625 AXK196623:AXK196625 BHG196623:BHG196625 BRC196623:BRC196625 CAY196623:CAY196625 CKU196623:CKU196625 CUQ196623:CUQ196625 DEM196623:DEM196625 DOI196623:DOI196625 DYE196623:DYE196625 EIA196623:EIA196625 ERW196623:ERW196625 FBS196623:FBS196625 FLO196623:FLO196625 FVK196623:FVK196625 GFG196623:GFG196625 GPC196623:GPC196625 GYY196623:GYY196625 HIU196623:HIU196625 HSQ196623:HSQ196625 ICM196623:ICM196625 IMI196623:IMI196625 IWE196623:IWE196625 JGA196623:JGA196625 JPW196623:JPW196625 JZS196623:JZS196625 KJO196623:KJO196625 KTK196623:KTK196625 LDG196623:LDG196625 LNC196623:LNC196625 LWY196623:LWY196625 MGU196623:MGU196625 MQQ196623:MQQ196625 NAM196623:NAM196625 NKI196623:NKI196625 NUE196623:NUE196625 OEA196623:OEA196625 ONW196623:ONW196625 OXS196623:OXS196625 PHO196623:PHO196625 PRK196623:PRK196625 QBG196623:QBG196625 QLC196623:QLC196625 QUY196623:QUY196625 REU196623:REU196625 ROQ196623:ROQ196625 RYM196623:RYM196625 SII196623:SII196625 SSE196623:SSE196625 TCA196623:TCA196625 TLW196623:TLW196625 TVS196623:TVS196625 UFO196623:UFO196625 UPK196623:UPK196625 UZG196623:UZG196625 VJC196623:VJC196625 VSY196623:VSY196625 WCU196623:WCU196625 WMQ196623:WMQ196625 WWM196623:WWM196625 AE262159:AE262161 KA262159:KA262161 TW262159:TW262161 ADS262159:ADS262161 ANO262159:ANO262161 AXK262159:AXK262161 BHG262159:BHG262161 BRC262159:BRC262161 CAY262159:CAY262161 CKU262159:CKU262161 CUQ262159:CUQ262161 DEM262159:DEM262161 DOI262159:DOI262161 DYE262159:DYE262161 EIA262159:EIA262161 ERW262159:ERW262161 FBS262159:FBS262161 FLO262159:FLO262161 FVK262159:FVK262161 GFG262159:GFG262161 GPC262159:GPC262161 GYY262159:GYY262161 HIU262159:HIU262161 HSQ262159:HSQ262161 ICM262159:ICM262161 IMI262159:IMI262161 IWE262159:IWE262161 JGA262159:JGA262161 JPW262159:JPW262161 JZS262159:JZS262161 KJO262159:KJO262161 KTK262159:KTK262161 LDG262159:LDG262161 LNC262159:LNC262161 LWY262159:LWY262161 MGU262159:MGU262161 MQQ262159:MQQ262161 NAM262159:NAM262161 NKI262159:NKI262161 NUE262159:NUE262161 OEA262159:OEA262161 ONW262159:ONW262161 OXS262159:OXS262161 PHO262159:PHO262161 PRK262159:PRK262161 QBG262159:QBG262161 QLC262159:QLC262161 QUY262159:QUY262161 REU262159:REU262161 ROQ262159:ROQ262161 RYM262159:RYM262161 SII262159:SII262161 SSE262159:SSE262161 TCA262159:TCA262161 TLW262159:TLW262161 TVS262159:TVS262161 UFO262159:UFO262161 UPK262159:UPK262161 UZG262159:UZG262161 VJC262159:VJC262161 VSY262159:VSY262161 WCU262159:WCU262161 WMQ262159:WMQ262161 WWM262159:WWM262161 AE327695:AE327697 KA327695:KA327697 TW327695:TW327697 ADS327695:ADS327697 ANO327695:ANO327697 AXK327695:AXK327697 BHG327695:BHG327697 BRC327695:BRC327697 CAY327695:CAY327697 CKU327695:CKU327697 CUQ327695:CUQ327697 DEM327695:DEM327697 DOI327695:DOI327697 DYE327695:DYE327697 EIA327695:EIA327697 ERW327695:ERW327697 FBS327695:FBS327697 FLO327695:FLO327697 FVK327695:FVK327697 GFG327695:GFG327697 GPC327695:GPC327697 GYY327695:GYY327697 HIU327695:HIU327697 HSQ327695:HSQ327697 ICM327695:ICM327697 IMI327695:IMI327697 IWE327695:IWE327697 JGA327695:JGA327697 JPW327695:JPW327697 JZS327695:JZS327697 KJO327695:KJO327697 KTK327695:KTK327697 LDG327695:LDG327697 LNC327695:LNC327697 LWY327695:LWY327697 MGU327695:MGU327697 MQQ327695:MQQ327697 NAM327695:NAM327697 NKI327695:NKI327697 NUE327695:NUE327697 OEA327695:OEA327697 ONW327695:ONW327697 OXS327695:OXS327697 PHO327695:PHO327697 PRK327695:PRK327697 QBG327695:QBG327697 QLC327695:QLC327697 QUY327695:QUY327697 REU327695:REU327697 ROQ327695:ROQ327697 RYM327695:RYM327697 SII327695:SII327697 SSE327695:SSE327697 TCA327695:TCA327697 TLW327695:TLW327697 TVS327695:TVS327697 UFO327695:UFO327697 UPK327695:UPK327697 UZG327695:UZG327697 VJC327695:VJC327697 VSY327695:VSY327697 WCU327695:WCU327697 WMQ327695:WMQ327697 WWM327695:WWM327697 AE393231:AE393233 KA393231:KA393233 TW393231:TW393233 ADS393231:ADS393233 ANO393231:ANO393233 AXK393231:AXK393233 BHG393231:BHG393233 BRC393231:BRC393233 CAY393231:CAY393233 CKU393231:CKU393233 CUQ393231:CUQ393233 DEM393231:DEM393233 DOI393231:DOI393233 DYE393231:DYE393233 EIA393231:EIA393233 ERW393231:ERW393233 FBS393231:FBS393233 FLO393231:FLO393233 FVK393231:FVK393233 GFG393231:GFG393233 GPC393231:GPC393233 GYY393231:GYY393233 HIU393231:HIU393233 HSQ393231:HSQ393233 ICM393231:ICM393233 IMI393231:IMI393233 IWE393231:IWE393233 JGA393231:JGA393233 JPW393231:JPW393233 JZS393231:JZS393233 KJO393231:KJO393233 KTK393231:KTK393233 LDG393231:LDG393233 LNC393231:LNC393233 LWY393231:LWY393233 MGU393231:MGU393233 MQQ393231:MQQ393233 NAM393231:NAM393233 NKI393231:NKI393233 NUE393231:NUE393233 OEA393231:OEA393233 ONW393231:ONW393233 OXS393231:OXS393233 PHO393231:PHO393233 PRK393231:PRK393233 QBG393231:QBG393233 QLC393231:QLC393233 QUY393231:QUY393233 REU393231:REU393233 ROQ393231:ROQ393233 RYM393231:RYM393233 SII393231:SII393233 SSE393231:SSE393233 TCA393231:TCA393233 TLW393231:TLW393233 TVS393231:TVS393233 UFO393231:UFO393233 UPK393231:UPK393233 UZG393231:UZG393233 VJC393231:VJC393233 VSY393231:VSY393233 WCU393231:WCU393233 WMQ393231:WMQ393233 WWM393231:WWM393233 AE458767:AE458769 KA458767:KA458769 TW458767:TW458769 ADS458767:ADS458769 ANO458767:ANO458769 AXK458767:AXK458769 BHG458767:BHG458769 BRC458767:BRC458769 CAY458767:CAY458769 CKU458767:CKU458769 CUQ458767:CUQ458769 DEM458767:DEM458769 DOI458767:DOI458769 DYE458767:DYE458769 EIA458767:EIA458769 ERW458767:ERW458769 FBS458767:FBS458769 FLO458767:FLO458769 FVK458767:FVK458769 GFG458767:GFG458769 GPC458767:GPC458769 GYY458767:GYY458769 HIU458767:HIU458769 HSQ458767:HSQ458769 ICM458767:ICM458769 IMI458767:IMI458769 IWE458767:IWE458769 JGA458767:JGA458769 JPW458767:JPW458769 JZS458767:JZS458769 KJO458767:KJO458769 KTK458767:KTK458769 LDG458767:LDG458769 LNC458767:LNC458769 LWY458767:LWY458769 MGU458767:MGU458769 MQQ458767:MQQ458769 NAM458767:NAM458769 NKI458767:NKI458769 NUE458767:NUE458769 OEA458767:OEA458769 ONW458767:ONW458769 OXS458767:OXS458769 PHO458767:PHO458769 PRK458767:PRK458769 QBG458767:QBG458769 QLC458767:QLC458769 QUY458767:QUY458769 REU458767:REU458769 ROQ458767:ROQ458769 RYM458767:RYM458769 SII458767:SII458769 SSE458767:SSE458769 TCA458767:TCA458769 TLW458767:TLW458769 TVS458767:TVS458769 UFO458767:UFO458769 UPK458767:UPK458769 UZG458767:UZG458769 VJC458767:VJC458769 VSY458767:VSY458769 WCU458767:WCU458769 WMQ458767:WMQ458769 WWM458767:WWM458769 AE524303:AE524305 KA524303:KA524305 TW524303:TW524305 ADS524303:ADS524305 ANO524303:ANO524305 AXK524303:AXK524305 BHG524303:BHG524305 BRC524303:BRC524305 CAY524303:CAY524305 CKU524303:CKU524305 CUQ524303:CUQ524305 DEM524303:DEM524305 DOI524303:DOI524305 DYE524303:DYE524305 EIA524303:EIA524305 ERW524303:ERW524305 FBS524303:FBS524305 FLO524303:FLO524305 FVK524303:FVK524305 GFG524303:GFG524305 GPC524303:GPC524305 GYY524303:GYY524305 HIU524303:HIU524305 HSQ524303:HSQ524305 ICM524303:ICM524305 IMI524303:IMI524305 IWE524303:IWE524305 JGA524303:JGA524305 JPW524303:JPW524305 JZS524303:JZS524305 KJO524303:KJO524305 KTK524303:KTK524305 LDG524303:LDG524305 LNC524303:LNC524305 LWY524303:LWY524305 MGU524303:MGU524305 MQQ524303:MQQ524305 NAM524303:NAM524305 NKI524303:NKI524305 NUE524303:NUE524305 OEA524303:OEA524305 ONW524303:ONW524305 OXS524303:OXS524305 PHO524303:PHO524305 PRK524303:PRK524305 QBG524303:QBG524305 QLC524303:QLC524305 QUY524303:QUY524305 REU524303:REU524305 ROQ524303:ROQ524305 RYM524303:RYM524305 SII524303:SII524305 SSE524303:SSE524305 TCA524303:TCA524305 TLW524303:TLW524305 TVS524303:TVS524305 UFO524303:UFO524305 UPK524303:UPK524305 UZG524303:UZG524305 VJC524303:VJC524305 VSY524303:VSY524305 WCU524303:WCU524305 WMQ524303:WMQ524305 WWM524303:WWM524305 AE589839:AE589841 KA589839:KA589841 TW589839:TW589841 ADS589839:ADS589841 ANO589839:ANO589841 AXK589839:AXK589841 BHG589839:BHG589841 BRC589839:BRC589841 CAY589839:CAY589841 CKU589839:CKU589841 CUQ589839:CUQ589841 DEM589839:DEM589841 DOI589839:DOI589841 DYE589839:DYE589841 EIA589839:EIA589841 ERW589839:ERW589841 FBS589839:FBS589841 FLO589839:FLO589841 FVK589839:FVK589841 GFG589839:GFG589841 GPC589839:GPC589841 GYY589839:GYY589841 HIU589839:HIU589841 HSQ589839:HSQ589841 ICM589839:ICM589841 IMI589839:IMI589841 IWE589839:IWE589841 JGA589839:JGA589841 JPW589839:JPW589841 JZS589839:JZS589841 KJO589839:KJO589841 KTK589839:KTK589841 LDG589839:LDG589841 LNC589839:LNC589841 LWY589839:LWY589841 MGU589839:MGU589841 MQQ589839:MQQ589841 NAM589839:NAM589841 NKI589839:NKI589841 NUE589839:NUE589841 OEA589839:OEA589841 ONW589839:ONW589841 OXS589839:OXS589841 PHO589839:PHO589841 PRK589839:PRK589841 QBG589839:QBG589841 QLC589839:QLC589841 QUY589839:QUY589841 REU589839:REU589841 ROQ589839:ROQ589841 RYM589839:RYM589841 SII589839:SII589841 SSE589839:SSE589841 TCA589839:TCA589841 TLW589839:TLW589841 TVS589839:TVS589841 UFO589839:UFO589841 UPK589839:UPK589841 UZG589839:UZG589841 VJC589839:VJC589841 VSY589839:VSY589841 WCU589839:WCU589841 WMQ589839:WMQ589841 WWM589839:WWM589841 AE655375:AE655377 KA655375:KA655377 TW655375:TW655377 ADS655375:ADS655377 ANO655375:ANO655377 AXK655375:AXK655377 BHG655375:BHG655377 BRC655375:BRC655377 CAY655375:CAY655377 CKU655375:CKU655377 CUQ655375:CUQ655377 DEM655375:DEM655377 DOI655375:DOI655377 DYE655375:DYE655377 EIA655375:EIA655377 ERW655375:ERW655377 FBS655375:FBS655377 FLO655375:FLO655377 FVK655375:FVK655377 GFG655375:GFG655377 GPC655375:GPC655377 GYY655375:GYY655377 HIU655375:HIU655377 HSQ655375:HSQ655377 ICM655375:ICM655377 IMI655375:IMI655377 IWE655375:IWE655377 JGA655375:JGA655377 JPW655375:JPW655377 JZS655375:JZS655377 KJO655375:KJO655377 KTK655375:KTK655377 LDG655375:LDG655377 LNC655375:LNC655377 LWY655375:LWY655377 MGU655375:MGU655377 MQQ655375:MQQ655377 NAM655375:NAM655377 NKI655375:NKI655377 NUE655375:NUE655377 OEA655375:OEA655377 ONW655375:ONW655377 OXS655375:OXS655377 PHO655375:PHO655377 PRK655375:PRK655377 QBG655375:QBG655377 QLC655375:QLC655377 QUY655375:QUY655377 REU655375:REU655377 ROQ655375:ROQ655377 RYM655375:RYM655377 SII655375:SII655377 SSE655375:SSE655377 TCA655375:TCA655377 TLW655375:TLW655377 TVS655375:TVS655377 UFO655375:UFO655377 UPK655375:UPK655377 UZG655375:UZG655377 VJC655375:VJC655377 VSY655375:VSY655377 WCU655375:WCU655377 WMQ655375:WMQ655377 WWM655375:WWM655377 AE720911:AE720913 KA720911:KA720913 TW720911:TW720913 ADS720911:ADS720913 ANO720911:ANO720913 AXK720911:AXK720913 BHG720911:BHG720913 BRC720911:BRC720913 CAY720911:CAY720913 CKU720911:CKU720913 CUQ720911:CUQ720913 DEM720911:DEM720913 DOI720911:DOI720913 DYE720911:DYE720913 EIA720911:EIA720913 ERW720911:ERW720913 FBS720911:FBS720913 FLO720911:FLO720913 FVK720911:FVK720913 GFG720911:GFG720913 GPC720911:GPC720913 GYY720911:GYY720913 HIU720911:HIU720913 HSQ720911:HSQ720913 ICM720911:ICM720913 IMI720911:IMI720913 IWE720911:IWE720913 JGA720911:JGA720913 JPW720911:JPW720913 JZS720911:JZS720913 KJO720911:KJO720913 KTK720911:KTK720913 LDG720911:LDG720913 LNC720911:LNC720913 LWY720911:LWY720913 MGU720911:MGU720913 MQQ720911:MQQ720913 NAM720911:NAM720913 NKI720911:NKI720913 NUE720911:NUE720913 OEA720911:OEA720913 ONW720911:ONW720913 OXS720911:OXS720913 PHO720911:PHO720913 PRK720911:PRK720913 QBG720911:QBG720913 QLC720911:QLC720913 QUY720911:QUY720913 REU720911:REU720913 ROQ720911:ROQ720913 RYM720911:RYM720913 SII720911:SII720913 SSE720911:SSE720913 TCA720911:TCA720913 TLW720911:TLW720913 TVS720911:TVS720913 UFO720911:UFO720913 UPK720911:UPK720913 UZG720911:UZG720913 VJC720911:VJC720913 VSY720911:VSY720913 WCU720911:WCU720913 WMQ720911:WMQ720913 WWM720911:WWM720913 AE786447:AE786449 KA786447:KA786449 TW786447:TW786449 ADS786447:ADS786449 ANO786447:ANO786449 AXK786447:AXK786449 BHG786447:BHG786449 BRC786447:BRC786449 CAY786447:CAY786449 CKU786447:CKU786449 CUQ786447:CUQ786449 DEM786447:DEM786449 DOI786447:DOI786449 DYE786447:DYE786449 EIA786447:EIA786449 ERW786447:ERW786449 FBS786447:FBS786449 FLO786447:FLO786449 FVK786447:FVK786449 GFG786447:GFG786449 GPC786447:GPC786449 GYY786447:GYY786449 HIU786447:HIU786449 HSQ786447:HSQ786449 ICM786447:ICM786449 IMI786447:IMI786449 IWE786447:IWE786449 JGA786447:JGA786449 JPW786447:JPW786449 JZS786447:JZS786449 KJO786447:KJO786449 KTK786447:KTK786449 LDG786447:LDG786449 LNC786447:LNC786449 LWY786447:LWY786449 MGU786447:MGU786449 MQQ786447:MQQ786449 NAM786447:NAM786449 NKI786447:NKI786449 NUE786447:NUE786449 OEA786447:OEA786449 ONW786447:ONW786449 OXS786447:OXS786449 PHO786447:PHO786449 PRK786447:PRK786449 QBG786447:QBG786449 QLC786447:QLC786449 QUY786447:QUY786449 REU786447:REU786449 ROQ786447:ROQ786449 RYM786447:RYM786449 SII786447:SII786449 SSE786447:SSE786449 TCA786447:TCA786449 TLW786447:TLW786449 TVS786447:TVS786449 UFO786447:UFO786449 UPK786447:UPK786449 UZG786447:UZG786449 VJC786447:VJC786449 VSY786447:VSY786449 WCU786447:WCU786449 WMQ786447:WMQ786449 WWM786447:WWM786449 AE851983:AE851985 KA851983:KA851985 TW851983:TW851985 ADS851983:ADS851985 ANO851983:ANO851985 AXK851983:AXK851985 BHG851983:BHG851985 BRC851983:BRC851985 CAY851983:CAY851985 CKU851983:CKU851985 CUQ851983:CUQ851985 DEM851983:DEM851985 DOI851983:DOI851985 DYE851983:DYE851985 EIA851983:EIA851985 ERW851983:ERW851985 FBS851983:FBS851985 FLO851983:FLO851985 FVK851983:FVK851985 GFG851983:GFG851985 GPC851983:GPC851985 GYY851983:GYY851985 HIU851983:HIU851985 HSQ851983:HSQ851985 ICM851983:ICM851985 IMI851983:IMI851985 IWE851983:IWE851985 JGA851983:JGA851985 JPW851983:JPW851985 JZS851983:JZS851985 KJO851983:KJO851985 KTK851983:KTK851985 LDG851983:LDG851985 LNC851983:LNC851985 LWY851983:LWY851985 MGU851983:MGU851985 MQQ851983:MQQ851985 NAM851983:NAM851985 NKI851983:NKI851985 NUE851983:NUE851985 OEA851983:OEA851985 ONW851983:ONW851985 OXS851983:OXS851985 PHO851983:PHO851985 PRK851983:PRK851985 QBG851983:QBG851985 QLC851983:QLC851985 QUY851983:QUY851985 REU851983:REU851985 ROQ851983:ROQ851985 RYM851983:RYM851985 SII851983:SII851985 SSE851983:SSE851985 TCA851983:TCA851985 TLW851983:TLW851985 TVS851983:TVS851985 UFO851983:UFO851985 UPK851983:UPK851985 UZG851983:UZG851985 VJC851983:VJC851985 VSY851983:VSY851985 WCU851983:WCU851985 WMQ851983:WMQ851985 WWM851983:WWM851985 AE917519:AE917521 KA917519:KA917521 TW917519:TW917521 ADS917519:ADS917521 ANO917519:ANO917521 AXK917519:AXK917521 BHG917519:BHG917521 BRC917519:BRC917521 CAY917519:CAY917521 CKU917519:CKU917521 CUQ917519:CUQ917521 DEM917519:DEM917521 DOI917519:DOI917521 DYE917519:DYE917521 EIA917519:EIA917521 ERW917519:ERW917521 FBS917519:FBS917521 FLO917519:FLO917521 FVK917519:FVK917521 GFG917519:GFG917521 GPC917519:GPC917521 GYY917519:GYY917521 HIU917519:HIU917521 HSQ917519:HSQ917521 ICM917519:ICM917521 IMI917519:IMI917521 IWE917519:IWE917521 JGA917519:JGA917521 JPW917519:JPW917521 JZS917519:JZS917521 KJO917519:KJO917521 KTK917519:KTK917521 LDG917519:LDG917521 LNC917519:LNC917521 LWY917519:LWY917521 MGU917519:MGU917521 MQQ917519:MQQ917521 NAM917519:NAM917521 NKI917519:NKI917521 NUE917519:NUE917521 OEA917519:OEA917521 ONW917519:ONW917521 OXS917519:OXS917521 PHO917519:PHO917521 PRK917519:PRK917521 QBG917519:QBG917521 QLC917519:QLC917521 QUY917519:QUY917521 REU917519:REU917521 ROQ917519:ROQ917521 RYM917519:RYM917521 SII917519:SII917521 SSE917519:SSE917521 TCA917519:TCA917521 TLW917519:TLW917521 TVS917519:TVS917521 UFO917519:UFO917521 UPK917519:UPK917521 UZG917519:UZG917521 VJC917519:VJC917521 VSY917519:VSY917521 WCU917519:WCU917521 WMQ917519:WMQ917521 WWM917519:WWM917521 AE983055:AE983057 KA983055:KA983057 TW983055:TW983057 ADS983055:ADS983057 ANO983055:ANO983057 AXK983055:AXK983057 BHG983055:BHG983057 BRC983055:BRC983057 CAY983055:CAY983057 CKU983055:CKU983057 CUQ983055:CUQ983057 DEM983055:DEM983057 DOI983055:DOI983057 DYE983055:DYE983057 EIA983055:EIA983057 ERW983055:ERW983057 FBS983055:FBS983057 FLO983055:FLO983057 FVK983055:FVK983057 GFG983055:GFG983057 GPC983055:GPC983057 GYY983055:GYY983057 HIU983055:HIU983057 HSQ983055:HSQ983057 ICM983055:ICM983057 IMI983055:IMI983057 IWE983055:IWE983057 JGA983055:JGA983057 JPW983055:JPW983057 JZS983055:JZS983057 KJO983055:KJO983057 KTK983055:KTK983057 LDG983055:LDG983057 LNC983055:LNC983057 LWY983055:LWY983057 MGU983055:MGU983057 MQQ983055:MQQ983057 NAM983055:NAM983057 NKI983055:NKI983057 NUE983055:NUE983057 OEA983055:OEA983057 ONW983055:ONW983057 OXS983055:OXS983057 PHO983055:PHO983057 PRK983055:PRK983057 QBG983055:QBG983057 QLC983055:QLC983057 QUY983055:QUY983057 REU983055:REU983057 ROQ983055:ROQ983057 RYM983055:RYM983057 SII983055:SII983057 SSE983055:SSE983057 TCA983055:TCA983057 TLW983055:TLW983057 TVS983055:TVS983057 UFO983055:UFO983057 UPK983055:UPK983057 UZG983055:UZG983057 VJC983055:VJC983057 VSY983055:VSY983057 WCU983055:WCU983057 WMQ983055:WMQ983057 ADS8:ADS17 ANO8:ANO17 AXK8:AXK17 BHG8:BHG17 BRC8:BRC17 CAY8:CAY17 CKU8:CKU17 CUQ8:CUQ17 DEM8:DEM17 DOI8:DOI17 DYE8:DYE17 EIA8:EIA17 ERW8:ERW17 FBS8:FBS17 FLO8:FLO17 FVK8:FVK17 GFG8:GFG17 GPC8:GPC17 GYY8:GYY17 HIU8:HIU17 HSQ8:HSQ17 ICM8:ICM17 IMI8:IMI17 IWE8:IWE17 JGA8:JGA17 JPW8:JPW17 JZS8:JZS17 KJO8:KJO17 KTK8:KTK17 LDG8:LDG17 LNC8:LNC17 LWY8:LWY17 MGU8:MGU17 MQQ8:MQQ17 NAM8:NAM17 NKI8:NKI17 NUE8:NUE17 OEA8:OEA17 ONW8:ONW17 OXS8:OXS17 PHO8:PHO17 PRK8:PRK17 QBG8:QBG17 QLC8:QLC17 QUY8:QUY17 REU8:REU17 ROQ8:ROQ17 RYM8:RYM17 SII8:SII17 SSE8:SSE17 TCA8:TCA17 TLW8:TLW17 TVS8:TVS17 UFO8:UFO17 UPK8:UPK17 UZG8:UZG17 VJC8:VJC17 VSY8:VSY17 WCU8:WCU17 WMQ8:WMQ17 WWM8:WWM17 AE8:AE17 KA8:KA17 TW8:TW17">
      <formula1>$AH$1:$AH$4</formula1>
    </dataValidation>
    <dataValidation type="list" allowBlank="1" showInputMessage="1" showErrorMessage="1" sqref="WVP983055:WVP983057 H65551:H65553 JD65551:JD65553 SZ65551:SZ65553 ACV65551:ACV65553 AMR65551:AMR65553 AWN65551:AWN65553 BGJ65551:BGJ65553 BQF65551:BQF65553 CAB65551:CAB65553 CJX65551:CJX65553 CTT65551:CTT65553 DDP65551:DDP65553 DNL65551:DNL65553 DXH65551:DXH65553 EHD65551:EHD65553 EQZ65551:EQZ65553 FAV65551:FAV65553 FKR65551:FKR65553 FUN65551:FUN65553 GEJ65551:GEJ65553 GOF65551:GOF65553 GYB65551:GYB65553 HHX65551:HHX65553 HRT65551:HRT65553 IBP65551:IBP65553 ILL65551:ILL65553 IVH65551:IVH65553 JFD65551:JFD65553 JOZ65551:JOZ65553 JYV65551:JYV65553 KIR65551:KIR65553 KSN65551:KSN65553 LCJ65551:LCJ65553 LMF65551:LMF65553 LWB65551:LWB65553 MFX65551:MFX65553 MPT65551:MPT65553 MZP65551:MZP65553 NJL65551:NJL65553 NTH65551:NTH65553 ODD65551:ODD65553 OMZ65551:OMZ65553 OWV65551:OWV65553 PGR65551:PGR65553 PQN65551:PQN65553 QAJ65551:QAJ65553 QKF65551:QKF65553 QUB65551:QUB65553 RDX65551:RDX65553 RNT65551:RNT65553 RXP65551:RXP65553 SHL65551:SHL65553 SRH65551:SRH65553 TBD65551:TBD65553 TKZ65551:TKZ65553 TUV65551:TUV65553 UER65551:UER65553 UON65551:UON65553 UYJ65551:UYJ65553 VIF65551:VIF65553 VSB65551:VSB65553 WBX65551:WBX65553 WLT65551:WLT65553 WVP65551:WVP65553 H131087:H131089 JD131087:JD131089 SZ131087:SZ131089 ACV131087:ACV131089 AMR131087:AMR131089 AWN131087:AWN131089 BGJ131087:BGJ131089 BQF131087:BQF131089 CAB131087:CAB131089 CJX131087:CJX131089 CTT131087:CTT131089 DDP131087:DDP131089 DNL131087:DNL131089 DXH131087:DXH131089 EHD131087:EHD131089 EQZ131087:EQZ131089 FAV131087:FAV131089 FKR131087:FKR131089 FUN131087:FUN131089 GEJ131087:GEJ131089 GOF131087:GOF131089 GYB131087:GYB131089 HHX131087:HHX131089 HRT131087:HRT131089 IBP131087:IBP131089 ILL131087:ILL131089 IVH131087:IVH131089 JFD131087:JFD131089 JOZ131087:JOZ131089 JYV131087:JYV131089 KIR131087:KIR131089 KSN131087:KSN131089 LCJ131087:LCJ131089 LMF131087:LMF131089 LWB131087:LWB131089 MFX131087:MFX131089 MPT131087:MPT131089 MZP131087:MZP131089 NJL131087:NJL131089 NTH131087:NTH131089 ODD131087:ODD131089 OMZ131087:OMZ131089 OWV131087:OWV131089 PGR131087:PGR131089 PQN131087:PQN131089 QAJ131087:QAJ131089 QKF131087:QKF131089 QUB131087:QUB131089 RDX131087:RDX131089 RNT131087:RNT131089 RXP131087:RXP131089 SHL131087:SHL131089 SRH131087:SRH131089 TBD131087:TBD131089 TKZ131087:TKZ131089 TUV131087:TUV131089 UER131087:UER131089 UON131087:UON131089 UYJ131087:UYJ131089 VIF131087:VIF131089 VSB131087:VSB131089 WBX131087:WBX131089 WLT131087:WLT131089 WVP131087:WVP131089 H196623:H196625 JD196623:JD196625 SZ196623:SZ196625 ACV196623:ACV196625 AMR196623:AMR196625 AWN196623:AWN196625 BGJ196623:BGJ196625 BQF196623:BQF196625 CAB196623:CAB196625 CJX196623:CJX196625 CTT196623:CTT196625 DDP196623:DDP196625 DNL196623:DNL196625 DXH196623:DXH196625 EHD196623:EHD196625 EQZ196623:EQZ196625 FAV196623:FAV196625 FKR196623:FKR196625 FUN196623:FUN196625 GEJ196623:GEJ196625 GOF196623:GOF196625 GYB196623:GYB196625 HHX196623:HHX196625 HRT196623:HRT196625 IBP196623:IBP196625 ILL196623:ILL196625 IVH196623:IVH196625 JFD196623:JFD196625 JOZ196623:JOZ196625 JYV196623:JYV196625 KIR196623:KIR196625 KSN196623:KSN196625 LCJ196623:LCJ196625 LMF196623:LMF196625 LWB196623:LWB196625 MFX196623:MFX196625 MPT196623:MPT196625 MZP196623:MZP196625 NJL196623:NJL196625 NTH196623:NTH196625 ODD196623:ODD196625 OMZ196623:OMZ196625 OWV196623:OWV196625 PGR196623:PGR196625 PQN196623:PQN196625 QAJ196623:QAJ196625 QKF196623:QKF196625 QUB196623:QUB196625 RDX196623:RDX196625 RNT196623:RNT196625 RXP196623:RXP196625 SHL196623:SHL196625 SRH196623:SRH196625 TBD196623:TBD196625 TKZ196623:TKZ196625 TUV196623:TUV196625 UER196623:UER196625 UON196623:UON196625 UYJ196623:UYJ196625 VIF196623:VIF196625 VSB196623:VSB196625 WBX196623:WBX196625 WLT196623:WLT196625 WVP196623:WVP196625 H262159:H262161 JD262159:JD262161 SZ262159:SZ262161 ACV262159:ACV262161 AMR262159:AMR262161 AWN262159:AWN262161 BGJ262159:BGJ262161 BQF262159:BQF262161 CAB262159:CAB262161 CJX262159:CJX262161 CTT262159:CTT262161 DDP262159:DDP262161 DNL262159:DNL262161 DXH262159:DXH262161 EHD262159:EHD262161 EQZ262159:EQZ262161 FAV262159:FAV262161 FKR262159:FKR262161 FUN262159:FUN262161 GEJ262159:GEJ262161 GOF262159:GOF262161 GYB262159:GYB262161 HHX262159:HHX262161 HRT262159:HRT262161 IBP262159:IBP262161 ILL262159:ILL262161 IVH262159:IVH262161 JFD262159:JFD262161 JOZ262159:JOZ262161 JYV262159:JYV262161 KIR262159:KIR262161 KSN262159:KSN262161 LCJ262159:LCJ262161 LMF262159:LMF262161 LWB262159:LWB262161 MFX262159:MFX262161 MPT262159:MPT262161 MZP262159:MZP262161 NJL262159:NJL262161 NTH262159:NTH262161 ODD262159:ODD262161 OMZ262159:OMZ262161 OWV262159:OWV262161 PGR262159:PGR262161 PQN262159:PQN262161 QAJ262159:QAJ262161 QKF262159:QKF262161 QUB262159:QUB262161 RDX262159:RDX262161 RNT262159:RNT262161 RXP262159:RXP262161 SHL262159:SHL262161 SRH262159:SRH262161 TBD262159:TBD262161 TKZ262159:TKZ262161 TUV262159:TUV262161 UER262159:UER262161 UON262159:UON262161 UYJ262159:UYJ262161 VIF262159:VIF262161 VSB262159:VSB262161 WBX262159:WBX262161 WLT262159:WLT262161 WVP262159:WVP262161 H327695:H327697 JD327695:JD327697 SZ327695:SZ327697 ACV327695:ACV327697 AMR327695:AMR327697 AWN327695:AWN327697 BGJ327695:BGJ327697 BQF327695:BQF327697 CAB327695:CAB327697 CJX327695:CJX327697 CTT327695:CTT327697 DDP327695:DDP327697 DNL327695:DNL327697 DXH327695:DXH327697 EHD327695:EHD327697 EQZ327695:EQZ327697 FAV327695:FAV327697 FKR327695:FKR327697 FUN327695:FUN327697 GEJ327695:GEJ327697 GOF327695:GOF327697 GYB327695:GYB327697 HHX327695:HHX327697 HRT327695:HRT327697 IBP327695:IBP327697 ILL327695:ILL327697 IVH327695:IVH327697 JFD327695:JFD327697 JOZ327695:JOZ327697 JYV327695:JYV327697 KIR327695:KIR327697 KSN327695:KSN327697 LCJ327695:LCJ327697 LMF327695:LMF327697 LWB327695:LWB327697 MFX327695:MFX327697 MPT327695:MPT327697 MZP327695:MZP327697 NJL327695:NJL327697 NTH327695:NTH327697 ODD327695:ODD327697 OMZ327695:OMZ327697 OWV327695:OWV327697 PGR327695:PGR327697 PQN327695:PQN327697 QAJ327695:QAJ327697 QKF327695:QKF327697 QUB327695:QUB327697 RDX327695:RDX327697 RNT327695:RNT327697 RXP327695:RXP327697 SHL327695:SHL327697 SRH327695:SRH327697 TBD327695:TBD327697 TKZ327695:TKZ327697 TUV327695:TUV327697 UER327695:UER327697 UON327695:UON327697 UYJ327695:UYJ327697 VIF327695:VIF327697 VSB327695:VSB327697 WBX327695:WBX327697 WLT327695:WLT327697 WVP327695:WVP327697 H393231:H393233 JD393231:JD393233 SZ393231:SZ393233 ACV393231:ACV393233 AMR393231:AMR393233 AWN393231:AWN393233 BGJ393231:BGJ393233 BQF393231:BQF393233 CAB393231:CAB393233 CJX393231:CJX393233 CTT393231:CTT393233 DDP393231:DDP393233 DNL393231:DNL393233 DXH393231:DXH393233 EHD393231:EHD393233 EQZ393231:EQZ393233 FAV393231:FAV393233 FKR393231:FKR393233 FUN393231:FUN393233 GEJ393231:GEJ393233 GOF393231:GOF393233 GYB393231:GYB393233 HHX393231:HHX393233 HRT393231:HRT393233 IBP393231:IBP393233 ILL393231:ILL393233 IVH393231:IVH393233 JFD393231:JFD393233 JOZ393231:JOZ393233 JYV393231:JYV393233 KIR393231:KIR393233 KSN393231:KSN393233 LCJ393231:LCJ393233 LMF393231:LMF393233 LWB393231:LWB393233 MFX393231:MFX393233 MPT393231:MPT393233 MZP393231:MZP393233 NJL393231:NJL393233 NTH393231:NTH393233 ODD393231:ODD393233 OMZ393231:OMZ393233 OWV393231:OWV393233 PGR393231:PGR393233 PQN393231:PQN393233 QAJ393231:QAJ393233 QKF393231:QKF393233 QUB393231:QUB393233 RDX393231:RDX393233 RNT393231:RNT393233 RXP393231:RXP393233 SHL393231:SHL393233 SRH393231:SRH393233 TBD393231:TBD393233 TKZ393231:TKZ393233 TUV393231:TUV393233 UER393231:UER393233 UON393231:UON393233 UYJ393231:UYJ393233 VIF393231:VIF393233 VSB393231:VSB393233 WBX393231:WBX393233 WLT393231:WLT393233 WVP393231:WVP393233 H458767:H458769 JD458767:JD458769 SZ458767:SZ458769 ACV458767:ACV458769 AMR458767:AMR458769 AWN458767:AWN458769 BGJ458767:BGJ458769 BQF458767:BQF458769 CAB458767:CAB458769 CJX458767:CJX458769 CTT458767:CTT458769 DDP458767:DDP458769 DNL458767:DNL458769 DXH458767:DXH458769 EHD458767:EHD458769 EQZ458767:EQZ458769 FAV458767:FAV458769 FKR458767:FKR458769 FUN458767:FUN458769 GEJ458767:GEJ458769 GOF458767:GOF458769 GYB458767:GYB458769 HHX458767:HHX458769 HRT458767:HRT458769 IBP458767:IBP458769 ILL458767:ILL458769 IVH458767:IVH458769 JFD458767:JFD458769 JOZ458767:JOZ458769 JYV458767:JYV458769 KIR458767:KIR458769 KSN458767:KSN458769 LCJ458767:LCJ458769 LMF458767:LMF458769 LWB458767:LWB458769 MFX458767:MFX458769 MPT458767:MPT458769 MZP458767:MZP458769 NJL458767:NJL458769 NTH458767:NTH458769 ODD458767:ODD458769 OMZ458767:OMZ458769 OWV458767:OWV458769 PGR458767:PGR458769 PQN458767:PQN458769 QAJ458767:QAJ458769 QKF458767:QKF458769 QUB458767:QUB458769 RDX458767:RDX458769 RNT458767:RNT458769 RXP458767:RXP458769 SHL458767:SHL458769 SRH458767:SRH458769 TBD458767:TBD458769 TKZ458767:TKZ458769 TUV458767:TUV458769 UER458767:UER458769 UON458767:UON458769 UYJ458767:UYJ458769 VIF458767:VIF458769 VSB458767:VSB458769 WBX458767:WBX458769 WLT458767:WLT458769 WVP458767:WVP458769 H524303:H524305 JD524303:JD524305 SZ524303:SZ524305 ACV524303:ACV524305 AMR524303:AMR524305 AWN524303:AWN524305 BGJ524303:BGJ524305 BQF524303:BQF524305 CAB524303:CAB524305 CJX524303:CJX524305 CTT524303:CTT524305 DDP524303:DDP524305 DNL524303:DNL524305 DXH524303:DXH524305 EHD524303:EHD524305 EQZ524303:EQZ524305 FAV524303:FAV524305 FKR524303:FKR524305 FUN524303:FUN524305 GEJ524303:GEJ524305 GOF524303:GOF524305 GYB524303:GYB524305 HHX524303:HHX524305 HRT524303:HRT524305 IBP524303:IBP524305 ILL524303:ILL524305 IVH524303:IVH524305 JFD524303:JFD524305 JOZ524303:JOZ524305 JYV524303:JYV524305 KIR524303:KIR524305 KSN524303:KSN524305 LCJ524303:LCJ524305 LMF524303:LMF524305 LWB524303:LWB524305 MFX524303:MFX524305 MPT524303:MPT524305 MZP524303:MZP524305 NJL524303:NJL524305 NTH524303:NTH524305 ODD524303:ODD524305 OMZ524303:OMZ524305 OWV524303:OWV524305 PGR524303:PGR524305 PQN524303:PQN524305 QAJ524303:QAJ524305 QKF524303:QKF524305 QUB524303:QUB524305 RDX524303:RDX524305 RNT524303:RNT524305 RXP524303:RXP524305 SHL524303:SHL524305 SRH524303:SRH524305 TBD524303:TBD524305 TKZ524303:TKZ524305 TUV524303:TUV524305 UER524303:UER524305 UON524303:UON524305 UYJ524303:UYJ524305 VIF524303:VIF524305 VSB524303:VSB524305 WBX524303:WBX524305 WLT524303:WLT524305 WVP524303:WVP524305 H589839:H589841 JD589839:JD589841 SZ589839:SZ589841 ACV589839:ACV589841 AMR589839:AMR589841 AWN589839:AWN589841 BGJ589839:BGJ589841 BQF589839:BQF589841 CAB589839:CAB589841 CJX589839:CJX589841 CTT589839:CTT589841 DDP589839:DDP589841 DNL589839:DNL589841 DXH589839:DXH589841 EHD589839:EHD589841 EQZ589839:EQZ589841 FAV589839:FAV589841 FKR589839:FKR589841 FUN589839:FUN589841 GEJ589839:GEJ589841 GOF589839:GOF589841 GYB589839:GYB589841 HHX589839:HHX589841 HRT589839:HRT589841 IBP589839:IBP589841 ILL589839:ILL589841 IVH589839:IVH589841 JFD589839:JFD589841 JOZ589839:JOZ589841 JYV589839:JYV589841 KIR589839:KIR589841 KSN589839:KSN589841 LCJ589839:LCJ589841 LMF589839:LMF589841 LWB589839:LWB589841 MFX589839:MFX589841 MPT589839:MPT589841 MZP589839:MZP589841 NJL589839:NJL589841 NTH589839:NTH589841 ODD589839:ODD589841 OMZ589839:OMZ589841 OWV589839:OWV589841 PGR589839:PGR589841 PQN589839:PQN589841 QAJ589839:QAJ589841 QKF589839:QKF589841 QUB589839:QUB589841 RDX589839:RDX589841 RNT589839:RNT589841 RXP589839:RXP589841 SHL589839:SHL589841 SRH589839:SRH589841 TBD589839:TBD589841 TKZ589839:TKZ589841 TUV589839:TUV589841 UER589839:UER589841 UON589839:UON589841 UYJ589839:UYJ589841 VIF589839:VIF589841 VSB589839:VSB589841 WBX589839:WBX589841 WLT589839:WLT589841 WVP589839:WVP589841 H655375:H655377 JD655375:JD655377 SZ655375:SZ655377 ACV655375:ACV655377 AMR655375:AMR655377 AWN655375:AWN655377 BGJ655375:BGJ655377 BQF655375:BQF655377 CAB655375:CAB655377 CJX655375:CJX655377 CTT655375:CTT655377 DDP655375:DDP655377 DNL655375:DNL655377 DXH655375:DXH655377 EHD655375:EHD655377 EQZ655375:EQZ655377 FAV655375:FAV655377 FKR655375:FKR655377 FUN655375:FUN655377 GEJ655375:GEJ655377 GOF655375:GOF655377 GYB655375:GYB655377 HHX655375:HHX655377 HRT655375:HRT655377 IBP655375:IBP655377 ILL655375:ILL655377 IVH655375:IVH655377 JFD655375:JFD655377 JOZ655375:JOZ655377 JYV655375:JYV655377 KIR655375:KIR655377 KSN655375:KSN655377 LCJ655375:LCJ655377 LMF655375:LMF655377 LWB655375:LWB655377 MFX655375:MFX655377 MPT655375:MPT655377 MZP655375:MZP655377 NJL655375:NJL655377 NTH655375:NTH655377 ODD655375:ODD655377 OMZ655375:OMZ655377 OWV655375:OWV655377 PGR655375:PGR655377 PQN655375:PQN655377 QAJ655375:QAJ655377 QKF655375:QKF655377 QUB655375:QUB655377 RDX655375:RDX655377 RNT655375:RNT655377 RXP655375:RXP655377 SHL655375:SHL655377 SRH655375:SRH655377 TBD655375:TBD655377 TKZ655375:TKZ655377 TUV655375:TUV655377 UER655375:UER655377 UON655375:UON655377 UYJ655375:UYJ655377 VIF655375:VIF655377 VSB655375:VSB655377 WBX655375:WBX655377 WLT655375:WLT655377 WVP655375:WVP655377 H720911:H720913 JD720911:JD720913 SZ720911:SZ720913 ACV720911:ACV720913 AMR720911:AMR720913 AWN720911:AWN720913 BGJ720911:BGJ720913 BQF720911:BQF720913 CAB720911:CAB720913 CJX720911:CJX720913 CTT720911:CTT720913 DDP720911:DDP720913 DNL720911:DNL720913 DXH720911:DXH720913 EHD720911:EHD720913 EQZ720911:EQZ720913 FAV720911:FAV720913 FKR720911:FKR720913 FUN720911:FUN720913 GEJ720911:GEJ720913 GOF720911:GOF720913 GYB720911:GYB720913 HHX720911:HHX720913 HRT720911:HRT720913 IBP720911:IBP720913 ILL720911:ILL720913 IVH720911:IVH720913 JFD720911:JFD720913 JOZ720911:JOZ720913 JYV720911:JYV720913 KIR720911:KIR720913 KSN720911:KSN720913 LCJ720911:LCJ720913 LMF720911:LMF720913 LWB720911:LWB720913 MFX720911:MFX720913 MPT720911:MPT720913 MZP720911:MZP720913 NJL720911:NJL720913 NTH720911:NTH720913 ODD720911:ODD720913 OMZ720911:OMZ720913 OWV720911:OWV720913 PGR720911:PGR720913 PQN720911:PQN720913 QAJ720911:QAJ720913 QKF720911:QKF720913 QUB720911:QUB720913 RDX720911:RDX720913 RNT720911:RNT720913 RXP720911:RXP720913 SHL720911:SHL720913 SRH720911:SRH720913 TBD720911:TBD720913 TKZ720911:TKZ720913 TUV720911:TUV720913 UER720911:UER720913 UON720911:UON720913 UYJ720911:UYJ720913 VIF720911:VIF720913 VSB720911:VSB720913 WBX720911:WBX720913 WLT720911:WLT720913 WVP720911:WVP720913 H786447:H786449 JD786447:JD786449 SZ786447:SZ786449 ACV786447:ACV786449 AMR786447:AMR786449 AWN786447:AWN786449 BGJ786447:BGJ786449 BQF786447:BQF786449 CAB786447:CAB786449 CJX786447:CJX786449 CTT786447:CTT786449 DDP786447:DDP786449 DNL786447:DNL786449 DXH786447:DXH786449 EHD786447:EHD786449 EQZ786447:EQZ786449 FAV786447:FAV786449 FKR786447:FKR786449 FUN786447:FUN786449 GEJ786447:GEJ786449 GOF786447:GOF786449 GYB786447:GYB786449 HHX786447:HHX786449 HRT786447:HRT786449 IBP786447:IBP786449 ILL786447:ILL786449 IVH786447:IVH786449 JFD786447:JFD786449 JOZ786447:JOZ786449 JYV786447:JYV786449 KIR786447:KIR786449 KSN786447:KSN786449 LCJ786447:LCJ786449 LMF786447:LMF786449 LWB786447:LWB786449 MFX786447:MFX786449 MPT786447:MPT786449 MZP786447:MZP786449 NJL786447:NJL786449 NTH786447:NTH786449 ODD786447:ODD786449 OMZ786447:OMZ786449 OWV786447:OWV786449 PGR786447:PGR786449 PQN786447:PQN786449 QAJ786447:QAJ786449 QKF786447:QKF786449 QUB786447:QUB786449 RDX786447:RDX786449 RNT786447:RNT786449 RXP786447:RXP786449 SHL786447:SHL786449 SRH786447:SRH786449 TBD786447:TBD786449 TKZ786447:TKZ786449 TUV786447:TUV786449 UER786447:UER786449 UON786447:UON786449 UYJ786447:UYJ786449 VIF786447:VIF786449 VSB786447:VSB786449 WBX786447:WBX786449 WLT786447:WLT786449 WVP786447:WVP786449 H851983:H851985 JD851983:JD851985 SZ851983:SZ851985 ACV851983:ACV851985 AMR851983:AMR851985 AWN851983:AWN851985 BGJ851983:BGJ851985 BQF851983:BQF851985 CAB851983:CAB851985 CJX851983:CJX851985 CTT851983:CTT851985 DDP851983:DDP851985 DNL851983:DNL851985 DXH851983:DXH851985 EHD851983:EHD851985 EQZ851983:EQZ851985 FAV851983:FAV851985 FKR851983:FKR851985 FUN851983:FUN851985 GEJ851983:GEJ851985 GOF851983:GOF851985 GYB851983:GYB851985 HHX851983:HHX851985 HRT851983:HRT851985 IBP851983:IBP851985 ILL851983:ILL851985 IVH851983:IVH851985 JFD851983:JFD851985 JOZ851983:JOZ851985 JYV851983:JYV851985 KIR851983:KIR851985 KSN851983:KSN851985 LCJ851983:LCJ851985 LMF851983:LMF851985 LWB851983:LWB851985 MFX851983:MFX851985 MPT851983:MPT851985 MZP851983:MZP851985 NJL851983:NJL851985 NTH851983:NTH851985 ODD851983:ODD851985 OMZ851983:OMZ851985 OWV851983:OWV851985 PGR851983:PGR851985 PQN851983:PQN851985 QAJ851983:QAJ851985 QKF851983:QKF851985 QUB851983:QUB851985 RDX851983:RDX851985 RNT851983:RNT851985 RXP851983:RXP851985 SHL851983:SHL851985 SRH851983:SRH851985 TBD851983:TBD851985 TKZ851983:TKZ851985 TUV851983:TUV851985 UER851983:UER851985 UON851983:UON851985 UYJ851983:UYJ851985 VIF851983:VIF851985 VSB851983:VSB851985 WBX851983:WBX851985 WLT851983:WLT851985 WVP851983:WVP851985 H917519:H917521 JD917519:JD917521 SZ917519:SZ917521 ACV917519:ACV917521 AMR917519:AMR917521 AWN917519:AWN917521 BGJ917519:BGJ917521 BQF917519:BQF917521 CAB917519:CAB917521 CJX917519:CJX917521 CTT917519:CTT917521 DDP917519:DDP917521 DNL917519:DNL917521 DXH917519:DXH917521 EHD917519:EHD917521 EQZ917519:EQZ917521 FAV917519:FAV917521 FKR917519:FKR917521 FUN917519:FUN917521 GEJ917519:GEJ917521 GOF917519:GOF917521 GYB917519:GYB917521 HHX917519:HHX917521 HRT917519:HRT917521 IBP917519:IBP917521 ILL917519:ILL917521 IVH917519:IVH917521 JFD917519:JFD917521 JOZ917519:JOZ917521 JYV917519:JYV917521 KIR917519:KIR917521 KSN917519:KSN917521 LCJ917519:LCJ917521 LMF917519:LMF917521 LWB917519:LWB917521 MFX917519:MFX917521 MPT917519:MPT917521 MZP917519:MZP917521 NJL917519:NJL917521 NTH917519:NTH917521 ODD917519:ODD917521 OMZ917519:OMZ917521 OWV917519:OWV917521 PGR917519:PGR917521 PQN917519:PQN917521 QAJ917519:QAJ917521 QKF917519:QKF917521 QUB917519:QUB917521 RDX917519:RDX917521 RNT917519:RNT917521 RXP917519:RXP917521 SHL917519:SHL917521 SRH917519:SRH917521 TBD917519:TBD917521 TKZ917519:TKZ917521 TUV917519:TUV917521 UER917519:UER917521 UON917519:UON917521 UYJ917519:UYJ917521 VIF917519:VIF917521 VSB917519:VSB917521 WBX917519:WBX917521 WLT917519:WLT917521 WVP917519:WVP917521 H983055:H983057 JD983055:JD983057 SZ983055:SZ983057 ACV983055:ACV983057 AMR983055:AMR983057 AWN983055:AWN983057 BGJ983055:BGJ983057 BQF983055:BQF983057 CAB983055:CAB983057 CJX983055:CJX983057 CTT983055:CTT983057 DDP983055:DDP983057 DNL983055:DNL983057 DXH983055:DXH983057 EHD983055:EHD983057 EQZ983055:EQZ983057 FAV983055:FAV983057 FKR983055:FKR983057 FUN983055:FUN983057 GEJ983055:GEJ983057 GOF983055:GOF983057 GYB983055:GYB983057 HHX983055:HHX983057 HRT983055:HRT983057 IBP983055:IBP983057 ILL983055:ILL983057 IVH983055:IVH983057 JFD983055:JFD983057 JOZ983055:JOZ983057 JYV983055:JYV983057 KIR983055:KIR983057 KSN983055:KSN983057 LCJ983055:LCJ983057 LMF983055:LMF983057 LWB983055:LWB983057 MFX983055:MFX983057 MPT983055:MPT983057 MZP983055:MZP983057 NJL983055:NJL983057 NTH983055:NTH983057 ODD983055:ODD983057 OMZ983055:OMZ983057 OWV983055:OWV983057 PGR983055:PGR983057 PQN983055:PQN983057 QAJ983055:QAJ983057 QKF983055:QKF983057 QUB983055:QUB983057 RDX983055:RDX983057 RNT983055:RNT983057 RXP983055:RXP983057 SHL983055:SHL983057 SRH983055:SRH983057 TBD983055:TBD983057 TKZ983055:TKZ983057 TUV983055:TUV983057 UER983055:UER983057 UON983055:UON983057 UYJ983055:UYJ983057 VIF983055:VIF983057 VSB983055:VSB983057 WBX983055:WBX983057 WLT983055:WLT983057 ACV8:ACV17 AMR8:AMR17 AWN8:AWN17 BGJ8:BGJ17 BQF8:BQF17 CAB8:CAB17 CJX8:CJX17 CTT8:CTT17 DDP8:DDP17 DNL8:DNL17 DXH8:DXH17 EHD8:EHD17 EQZ8:EQZ17 FAV8:FAV17 FKR8:FKR17 FUN8:FUN17 GEJ8:GEJ17 GOF8:GOF17 GYB8:GYB17 HHX8:HHX17 HRT8:HRT17 IBP8:IBP17 ILL8:ILL17 IVH8:IVH17 JFD8:JFD17 JOZ8:JOZ17 JYV8:JYV17 KIR8:KIR17 KSN8:KSN17 LCJ8:LCJ17 LMF8:LMF17 LWB8:LWB17 MFX8:MFX17 MPT8:MPT17 MZP8:MZP17 NJL8:NJL17 NTH8:NTH17 ODD8:ODD17 OMZ8:OMZ17 OWV8:OWV17 PGR8:PGR17 PQN8:PQN17 QAJ8:QAJ17 QKF8:QKF17 QUB8:QUB17 RDX8:RDX17 RNT8:RNT17 RXP8:RXP17 SHL8:SHL17 SRH8:SRH17 TBD8:TBD17 TKZ8:TKZ17 TUV8:TUV17 UER8:UER17 UON8:UON17 UYJ8:UYJ17 VIF8:VIF17 VSB8:VSB17 WBX8:WBX17 WLT8:WLT17 WVP8:WVP17 H8:H17 JD8:JD17 SZ8:SZ17">
      <formula1>$AI$1:$AI$3</formula1>
    </dataValidation>
    <dataValidation type="list" allowBlank="1" showInputMessage="1" showErrorMessage="1" sqref="WLS983055:WLS983057 WVO8:WVO17 WLS8:WLS17 WBW983055:WBW983057 VSA983055:VSA983057 VIE983055:VIE983057 UYI983055:UYI983057 UOM983055:UOM983057 UEQ983055:UEQ983057 TUU983055:TUU983057 TKY983055:TKY983057 TBC983055:TBC983057 SRG983055:SRG983057 SHK983055:SHK983057 RXO983055:RXO983057 RNS983055:RNS983057 RDW983055:RDW983057 QUA983055:QUA983057 QKE983055:QKE983057 QAI983055:QAI983057 PQM983055:PQM983057 PGQ983055:PGQ983057 OWU983055:OWU983057 OMY983055:OMY983057 ODC983055:ODC983057 NTG983055:NTG983057 NJK983055:NJK983057 MZO983055:MZO983057 MPS983055:MPS983057 MFW983055:MFW983057 LWA983055:LWA983057 LME983055:LME983057 LCI983055:LCI983057 KSM983055:KSM983057 KIQ983055:KIQ983057 JYU983055:JYU983057 JOY983055:JOY983057 JFC983055:JFC983057 IVG983055:IVG983057 ILK983055:ILK983057 IBO983055:IBO983057 HRS983055:HRS983057 HHW983055:HHW983057 GYA983055:GYA983057 GOE983055:GOE983057 GEI983055:GEI983057 FUM983055:FUM983057 FKQ983055:FKQ983057 FAU983055:FAU983057 EQY983055:EQY983057 EHC983055:EHC983057 DXG983055:DXG983057 DNK983055:DNK983057 DDO983055:DDO983057 CTS983055:CTS983057 CJW983055:CJW983057 CAA983055:CAA983057 BQE983055:BQE983057 BGI983055:BGI983057 AWM983055:AWM983057 AMQ983055:AMQ983057 ACU983055:ACU983057 SY983055:SY983057 JC983055:JC983057 G983055:G983057 WVO917519:WVO917521 WLS917519:WLS917521 WBW917519:WBW917521 VSA917519:VSA917521 VIE917519:VIE917521 UYI917519:UYI917521 UOM917519:UOM917521 UEQ917519:UEQ917521 TUU917519:TUU917521 TKY917519:TKY917521 TBC917519:TBC917521 SRG917519:SRG917521 SHK917519:SHK917521 RXO917519:RXO917521 RNS917519:RNS917521 RDW917519:RDW917521 QUA917519:QUA917521 QKE917519:QKE917521 QAI917519:QAI917521 PQM917519:PQM917521 PGQ917519:PGQ917521 OWU917519:OWU917521 OMY917519:OMY917521 ODC917519:ODC917521 NTG917519:NTG917521 NJK917519:NJK917521 MZO917519:MZO917521 MPS917519:MPS917521 MFW917519:MFW917521 LWA917519:LWA917521 LME917519:LME917521 LCI917519:LCI917521 KSM917519:KSM917521 KIQ917519:KIQ917521 JYU917519:JYU917521 JOY917519:JOY917521 JFC917519:JFC917521 IVG917519:IVG917521 ILK917519:ILK917521 IBO917519:IBO917521 HRS917519:HRS917521 HHW917519:HHW917521 GYA917519:GYA917521 GOE917519:GOE917521 GEI917519:GEI917521 FUM917519:FUM917521 FKQ917519:FKQ917521 FAU917519:FAU917521 EQY917519:EQY917521 EHC917519:EHC917521 DXG917519:DXG917521 DNK917519:DNK917521 DDO917519:DDO917521 CTS917519:CTS917521 CJW917519:CJW917521 CAA917519:CAA917521 BQE917519:BQE917521 BGI917519:BGI917521 AWM917519:AWM917521 AMQ917519:AMQ917521 ACU917519:ACU917521 SY917519:SY917521 JC917519:JC917521 G917519:G917521 WVO851983:WVO851985 WLS851983:WLS851985 WBW851983:WBW851985 VSA851983:VSA851985 VIE851983:VIE851985 UYI851983:UYI851985 UOM851983:UOM851985 UEQ851983:UEQ851985 TUU851983:TUU851985 TKY851983:TKY851985 TBC851983:TBC851985 SRG851983:SRG851985 SHK851983:SHK851985 RXO851983:RXO851985 RNS851983:RNS851985 RDW851983:RDW851985 QUA851983:QUA851985 QKE851983:QKE851985 QAI851983:QAI851985 PQM851983:PQM851985 PGQ851983:PGQ851985 OWU851983:OWU851985 OMY851983:OMY851985 ODC851983:ODC851985 NTG851983:NTG851985 NJK851983:NJK851985 MZO851983:MZO851985 MPS851983:MPS851985 MFW851983:MFW851985 LWA851983:LWA851985 LME851983:LME851985 LCI851983:LCI851985 KSM851983:KSM851985 KIQ851983:KIQ851985 JYU851983:JYU851985 JOY851983:JOY851985 JFC851983:JFC851985 IVG851983:IVG851985 ILK851983:ILK851985 IBO851983:IBO851985 HRS851983:HRS851985 HHW851983:HHW851985 GYA851983:GYA851985 GOE851983:GOE851985 GEI851983:GEI851985 FUM851983:FUM851985 FKQ851983:FKQ851985 FAU851983:FAU851985 EQY851983:EQY851985 EHC851983:EHC851985 DXG851983:DXG851985 DNK851983:DNK851985 DDO851983:DDO851985 CTS851983:CTS851985 CJW851983:CJW851985 CAA851983:CAA851985 BQE851983:BQE851985 BGI851983:BGI851985 AWM851983:AWM851985 AMQ851983:AMQ851985 ACU851983:ACU851985 SY851983:SY851985 JC851983:JC851985 G851983:G851985 WVO786447:WVO786449 WLS786447:WLS786449 WBW786447:WBW786449 VSA786447:VSA786449 VIE786447:VIE786449 UYI786447:UYI786449 UOM786447:UOM786449 UEQ786447:UEQ786449 TUU786447:TUU786449 TKY786447:TKY786449 TBC786447:TBC786449 SRG786447:SRG786449 SHK786447:SHK786449 RXO786447:RXO786449 RNS786447:RNS786449 RDW786447:RDW786449 QUA786447:QUA786449 QKE786447:QKE786449 QAI786447:QAI786449 PQM786447:PQM786449 PGQ786447:PGQ786449 OWU786447:OWU786449 OMY786447:OMY786449 ODC786447:ODC786449 NTG786447:NTG786449 NJK786447:NJK786449 MZO786447:MZO786449 MPS786447:MPS786449 MFW786447:MFW786449 LWA786447:LWA786449 LME786447:LME786449 LCI786447:LCI786449 KSM786447:KSM786449 KIQ786447:KIQ786449 JYU786447:JYU786449 JOY786447:JOY786449 JFC786447:JFC786449 IVG786447:IVG786449 ILK786447:ILK786449 IBO786447:IBO786449 HRS786447:HRS786449 HHW786447:HHW786449 GYA786447:GYA786449 GOE786447:GOE786449 GEI786447:GEI786449 FUM786447:FUM786449 FKQ786447:FKQ786449 FAU786447:FAU786449 EQY786447:EQY786449 EHC786447:EHC786449 DXG786447:DXG786449 DNK786447:DNK786449 DDO786447:DDO786449 CTS786447:CTS786449 CJW786447:CJW786449 CAA786447:CAA786449 BQE786447:BQE786449 BGI786447:BGI786449 AWM786447:AWM786449 AMQ786447:AMQ786449 ACU786447:ACU786449 SY786447:SY786449 JC786447:JC786449 G786447:G786449 WVO720911:WVO720913 WLS720911:WLS720913 WBW720911:WBW720913 VSA720911:VSA720913 VIE720911:VIE720913 UYI720911:UYI720913 UOM720911:UOM720913 UEQ720911:UEQ720913 TUU720911:TUU720913 TKY720911:TKY720913 TBC720911:TBC720913 SRG720911:SRG720913 SHK720911:SHK720913 RXO720911:RXO720913 RNS720911:RNS720913 RDW720911:RDW720913 QUA720911:QUA720913 QKE720911:QKE720913 QAI720911:QAI720913 PQM720911:PQM720913 PGQ720911:PGQ720913 OWU720911:OWU720913 OMY720911:OMY720913 ODC720911:ODC720913 NTG720911:NTG720913 NJK720911:NJK720913 MZO720911:MZO720913 MPS720911:MPS720913 MFW720911:MFW720913 LWA720911:LWA720913 LME720911:LME720913 LCI720911:LCI720913 KSM720911:KSM720913 KIQ720911:KIQ720913 JYU720911:JYU720913 JOY720911:JOY720913 JFC720911:JFC720913 IVG720911:IVG720913 ILK720911:ILK720913 IBO720911:IBO720913 HRS720911:HRS720913 HHW720911:HHW720913 GYA720911:GYA720913 GOE720911:GOE720913 GEI720911:GEI720913 FUM720911:FUM720913 FKQ720911:FKQ720913 FAU720911:FAU720913 EQY720911:EQY720913 EHC720911:EHC720913 DXG720911:DXG720913 DNK720911:DNK720913 DDO720911:DDO720913 CTS720911:CTS720913 CJW720911:CJW720913 CAA720911:CAA720913 BQE720911:BQE720913 BGI720911:BGI720913 AWM720911:AWM720913 AMQ720911:AMQ720913 ACU720911:ACU720913 SY720911:SY720913 JC720911:JC720913 G720911:G720913 WVO655375:WVO655377 WLS655375:WLS655377 WBW655375:WBW655377 VSA655375:VSA655377 VIE655375:VIE655377 UYI655375:UYI655377 UOM655375:UOM655377 UEQ655375:UEQ655377 TUU655375:TUU655377 TKY655375:TKY655377 TBC655375:TBC655377 SRG655375:SRG655377 SHK655375:SHK655377 RXO655375:RXO655377 RNS655375:RNS655377 RDW655375:RDW655377 QUA655375:QUA655377 QKE655375:QKE655377 QAI655375:QAI655377 PQM655375:PQM655377 PGQ655375:PGQ655377 OWU655375:OWU655377 OMY655375:OMY655377 ODC655375:ODC655377 NTG655375:NTG655377 NJK655375:NJK655377 MZO655375:MZO655377 MPS655375:MPS655377 MFW655375:MFW655377 LWA655375:LWA655377 LME655375:LME655377 LCI655375:LCI655377 KSM655375:KSM655377 KIQ655375:KIQ655377 JYU655375:JYU655377 JOY655375:JOY655377 JFC655375:JFC655377 IVG655375:IVG655377 ILK655375:ILK655377 IBO655375:IBO655377 HRS655375:HRS655377 HHW655375:HHW655377 GYA655375:GYA655377 GOE655375:GOE655377 GEI655375:GEI655377 FUM655375:FUM655377 FKQ655375:FKQ655377 FAU655375:FAU655377 EQY655375:EQY655377 EHC655375:EHC655377 DXG655375:DXG655377 DNK655375:DNK655377 DDO655375:DDO655377 CTS655375:CTS655377 CJW655375:CJW655377 CAA655375:CAA655377 BQE655375:BQE655377 BGI655375:BGI655377 AWM655375:AWM655377 AMQ655375:AMQ655377 ACU655375:ACU655377 SY655375:SY655377 JC655375:JC655377 G655375:G655377 WVO589839:WVO589841 WLS589839:WLS589841 WBW589839:WBW589841 VSA589839:VSA589841 VIE589839:VIE589841 UYI589839:UYI589841 UOM589839:UOM589841 UEQ589839:UEQ589841 TUU589839:TUU589841 TKY589839:TKY589841 TBC589839:TBC589841 SRG589839:SRG589841 SHK589839:SHK589841 RXO589839:RXO589841 RNS589839:RNS589841 RDW589839:RDW589841 QUA589839:QUA589841 QKE589839:QKE589841 QAI589839:QAI589841 PQM589839:PQM589841 PGQ589839:PGQ589841 OWU589839:OWU589841 OMY589839:OMY589841 ODC589839:ODC589841 NTG589839:NTG589841 NJK589839:NJK589841 MZO589839:MZO589841 MPS589839:MPS589841 MFW589839:MFW589841 LWA589839:LWA589841 LME589839:LME589841 LCI589839:LCI589841 KSM589839:KSM589841 KIQ589839:KIQ589841 JYU589839:JYU589841 JOY589839:JOY589841 JFC589839:JFC589841 IVG589839:IVG589841 ILK589839:ILK589841 IBO589839:IBO589841 HRS589839:HRS589841 HHW589839:HHW589841 GYA589839:GYA589841 GOE589839:GOE589841 GEI589839:GEI589841 FUM589839:FUM589841 FKQ589839:FKQ589841 FAU589839:FAU589841 EQY589839:EQY589841 EHC589839:EHC589841 DXG589839:DXG589841 DNK589839:DNK589841 DDO589839:DDO589841 CTS589839:CTS589841 CJW589839:CJW589841 CAA589839:CAA589841 BQE589839:BQE589841 BGI589839:BGI589841 AWM589839:AWM589841 AMQ589839:AMQ589841 ACU589839:ACU589841 SY589839:SY589841 JC589839:JC589841 G589839:G589841 WVO524303:WVO524305 WLS524303:WLS524305 WBW524303:WBW524305 VSA524303:VSA524305 VIE524303:VIE524305 UYI524303:UYI524305 UOM524303:UOM524305 UEQ524303:UEQ524305 TUU524303:TUU524305 TKY524303:TKY524305 TBC524303:TBC524305 SRG524303:SRG524305 SHK524303:SHK524305 RXO524303:RXO524305 RNS524303:RNS524305 RDW524303:RDW524305 QUA524303:QUA524305 QKE524303:QKE524305 QAI524303:QAI524305 PQM524303:PQM524305 PGQ524303:PGQ524305 OWU524303:OWU524305 OMY524303:OMY524305 ODC524303:ODC524305 NTG524303:NTG524305 NJK524303:NJK524305 MZO524303:MZO524305 MPS524303:MPS524305 MFW524303:MFW524305 LWA524303:LWA524305 LME524303:LME524305 LCI524303:LCI524305 KSM524303:KSM524305 KIQ524303:KIQ524305 JYU524303:JYU524305 JOY524303:JOY524305 JFC524303:JFC524305 IVG524303:IVG524305 ILK524303:ILK524305 IBO524303:IBO524305 HRS524303:HRS524305 HHW524303:HHW524305 GYA524303:GYA524305 GOE524303:GOE524305 GEI524303:GEI524305 FUM524303:FUM524305 FKQ524303:FKQ524305 FAU524303:FAU524305 EQY524303:EQY524305 EHC524303:EHC524305 DXG524303:DXG524305 DNK524303:DNK524305 DDO524303:DDO524305 CTS524303:CTS524305 CJW524303:CJW524305 CAA524303:CAA524305 BQE524303:BQE524305 BGI524303:BGI524305 AWM524303:AWM524305 AMQ524303:AMQ524305 ACU524303:ACU524305 SY524303:SY524305 JC524303:JC524305 G524303:G524305 WVO458767:WVO458769 WLS458767:WLS458769 WBW458767:WBW458769 VSA458767:VSA458769 VIE458767:VIE458769 UYI458767:UYI458769 UOM458767:UOM458769 UEQ458767:UEQ458769 TUU458767:TUU458769 TKY458767:TKY458769 TBC458767:TBC458769 SRG458767:SRG458769 SHK458767:SHK458769 RXO458767:RXO458769 RNS458767:RNS458769 RDW458767:RDW458769 QUA458767:QUA458769 QKE458767:QKE458769 QAI458767:QAI458769 PQM458767:PQM458769 PGQ458767:PGQ458769 OWU458767:OWU458769 OMY458767:OMY458769 ODC458767:ODC458769 NTG458767:NTG458769 NJK458767:NJK458769 MZO458767:MZO458769 MPS458767:MPS458769 MFW458767:MFW458769 LWA458767:LWA458769 LME458767:LME458769 LCI458767:LCI458769 KSM458767:KSM458769 KIQ458767:KIQ458769 JYU458767:JYU458769 JOY458767:JOY458769 JFC458767:JFC458769 IVG458767:IVG458769 ILK458767:ILK458769 IBO458767:IBO458769 HRS458767:HRS458769 HHW458767:HHW458769 GYA458767:GYA458769 GOE458767:GOE458769 GEI458767:GEI458769 FUM458767:FUM458769 FKQ458767:FKQ458769 FAU458767:FAU458769 EQY458767:EQY458769 EHC458767:EHC458769 DXG458767:DXG458769 DNK458767:DNK458769 DDO458767:DDO458769 CTS458767:CTS458769 CJW458767:CJW458769 CAA458767:CAA458769 BQE458767:BQE458769 BGI458767:BGI458769 AWM458767:AWM458769 AMQ458767:AMQ458769 ACU458767:ACU458769 SY458767:SY458769 JC458767:JC458769 G458767:G458769 WVO393231:WVO393233 WLS393231:WLS393233 WBW393231:WBW393233 VSA393231:VSA393233 VIE393231:VIE393233 UYI393231:UYI393233 UOM393231:UOM393233 UEQ393231:UEQ393233 TUU393231:TUU393233 TKY393231:TKY393233 TBC393231:TBC393233 SRG393231:SRG393233 SHK393231:SHK393233 RXO393231:RXO393233 RNS393231:RNS393233 RDW393231:RDW393233 QUA393231:QUA393233 QKE393231:QKE393233 QAI393231:QAI393233 PQM393231:PQM393233 PGQ393231:PGQ393233 OWU393231:OWU393233 OMY393231:OMY393233 ODC393231:ODC393233 NTG393231:NTG393233 NJK393231:NJK393233 MZO393231:MZO393233 MPS393231:MPS393233 MFW393231:MFW393233 LWA393231:LWA393233 LME393231:LME393233 LCI393231:LCI393233 KSM393231:KSM393233 KIQ393231:KIQ393233 JYU393231:JYU393233 JOY393231:JOY393233 JFC393231:JFC393233 IVG393231:IVG393233 ILK393231:ILK393233 IBO393231:IBO393233 HRS393231:HRS393233 HHW393231:HHW393233 GYA393231:GYA393233 GOE393231:GOE393233 GEI393231:GEI393233 FUM393231:FUM393233 FKQ393231:FKQ393233 FAU393231:FAU393233 EQY393231:EQY393233 EHC393231:EHC393233 DXG393231:DXG393233 DNK393231:DNK393233 DDO393231:DDO393233 CTS393231:CTS393233 CJW393231:CJW393233 CAA393231:CAA393233 BQE393231:BQE393233 BGI393231:BGI393233 AWM393231:AWM393233 AMQ393231:AMQ393233 ACU393231:ACU393233 SY393231:SY393233 JC393231:JC393233 G393231:G393233 WVO327695:WVO327697 WLS327695:WLS327697 WBW327695:WBW327697 VSA327695:VSA327697 VIE327695:VIE327697 UYI327695:UYI327697 UOM327695:UOM327697 UEQ327695:UEQ327697 TUU327695:TUU327697 TKY327695:TKY327697 TBC327695:TBC327697 SRG327695:SRG327697 SHK327695:SHK327697 RXO327695:RXO327697 RNS327695:RNS327697 RDW327695:RDW327697 QUA327695:QUA327697 QKE327695:QKE327697 QAI327695:QAI327697 PQM327695:PQM327697 PGQ327695:PGQ327697 OWU327695:OWU327697 OMY327695:OMY327697 ODC327695:ODC327697 NTG327695:NTG327697 NJK327695:NJK327697 MZO327695:MZO327697 MPS327695:MPS327697 MFW327695:MFW327697 LWA327695:LWA327697 LME327695:LME327697 LCI327695:LCI327697 KSM327695:KSM327697 KIQ327695:KIQ327697 JYU327695:JYU327697 JOY327695:JOY327697 JFC327695:JFC327697 IVG327695:IVG327697 ILK327695:ILK327697 IBO327695:IBO327697 HRS327695:HRS327697 HHW327695:HHW327697 GYA327695:GYA327697 GOE327695:GOE327697 GEI327695:GEI327697 FUM327695:FUM327697 FKQ327695:FKQ327697 FAU327695:FAU327697 EQY327695:EQY327697 EHC327695:EHC327697 DXG327695:DXG327697 DNK327695:DNK327697 DDO327695:DDO327697 CTS327695:CTS327697 CJW327695:CJW327697 CAA327695:CAA327697 BQE327695:BQE327697 BGI327695:BGI327697 AWM327695:AWM327697 AMQ327695:AMQ327697 ACU327695:ACU327697 SY327695:SY327697 JC327695:JC327697 G327695:G327697 WVO262159:WVO262161 WLS262159:WLS262161 WBW262159:WBW262161 VSA262159:VSA262161 VIE262159:VIE262161 UYI262159:UYI262161 UOM262159:UOM262161 UEQ262159:UEQ262161 TUU262159:TUU262161 TKY262159:TKY262161 TBC262159:TBC262161 SRG262159:SRG262161 SHK262159:SHK262161 RXO262159:RXO262161 RNS262159:RNS262161 RDW262159:RDW262161 QUA262159:QUA262161 QKE262159:QKE262161 QAI262159:QAI262161 PQM262159:PQM262161 PGQ262159:PGQ262161 OWU262159:OWU262161 OMY262159:OMY262161 ODC262159:ODC262161 NTG262159:NTG262161 NJK262159:NJK262161 MZO262159:MZO262161 MPS262159:MPS262161 MFW262159:MFW262161 LWA262159:LWA262161 LME262159:LME262161 LCI262159:LCI262161 KSM262159:KSM262161 KIQ262159:KIQ262161 JYU262159:JYU262161 JOY262159:JOY262161 JFC262159:JFC262161 IVG262159:IVG262161 ILK262159:ILK262161 IBO262159:IBO262161 HRS262159:HRS262161 HHW262159:HHW262161 GYA262159:GYA262161 GOE262159:GOE262161 GEI262159:GEI262161 FUM262159:FUM262161 FKQ262159:FKQ262161 FAU262159:FAU262161 EQY262159:EQY262161 EHC262159:EHC262161 DXG262159:DXG262161 DNK262159:DNK262161 DDO262159:DDO262161 CTS262159:CTS262161 CJW262159:CJW262161 CAA262159:CAA262161 BQE262159:BQE262161 BGI262159:BGI262161 AWM262159:AWM262161 AMQ262159:AMQ262161 ACU262159:ACU262161 SY262159:SY262161 JC262159:JC262161 G262159:G262161 WVO196623:WVO196625 WLS196623:WLS196625 WBW196623:WBW196625 VSA196623:VSA196625 VIE196623:VIE196625 UYI196623:UYI196625 UOM196623:UOM196625 UEQ196623:UEQ196625 TUU196623:TUU196625 TKY196623:TKY196625 TBC196623:TBC196625 SRG196623:SRG196625 SHK196623:SHK196625 RXO196623:RXO196625 RNS196623:RNS196625 RDW196623:RDW196625 QUA196623:QUA196625 QKE196623:QKE196625 QAI196623:QAI196625 PQM196623:PQM196625 PGQ196623:PGQ196625 OWU196623:OWU196625 OMY196623:OMY196625 ODC196623:ODC196625 NTG196623:NTG196625 NJK196623:NJK196625 MZO196623:MZO196625 MPS196623:MPS196625 MFW196623:MFW196625 LWA196623:LWA196625 LME196623:LME196625 LCI196623:LCI196625 KSM196623:KSM196625 KIQ196623:KIQ196625 JYU196623:JYU196625 JOY196623:JOY196625 JFC196623:JFC196625 IVG196623:IVG196625 ILK196623:ILK196625 IBO196623:IBO196625 HRS196623:HRS196625 HHW196623:HHW196625 GYA196623:GYA196625 GOE196623:GOE196625 GEI196623:GEI196625 FUM196623:FUM196625 FKQ196623:FKQ196625 FAU196623:FAU196625 EQY196623:EQY196625 EHC196623:EHC196625 DXG196623:DXG196625 DNK196623:DNK196625 DDO196623:DDO196625 CTS196623:CTS196625 CJW196623:CJW196625 CAA196623:CAA196625 BQE196623:BQE196625 BGI196623:BGI196625 AWM196623:AWM196625 AMQ196623:AMQ196625 ACU196623:ACU196625 SY196623:SY196625 JC196623:JC196625 G196623:G196625 WVO131087:WVO131089 WLS131087:WLS131089 WBW131087:WBW131089 VSA131087:VSA131089 VIE131087:VIE131089 UYI131087:UYI131089 UOM131087:UOM131089 UEQ131087:UEQ131089 TUU131087:TUU131089 TKY131087:TKY131089 TBC131087:TBC131089 SRG131087:SRG131089 SHK131087:SHK131089 RXO131087:RXO131089 RNS131087:RNS131089 RDW131087:RDW131089 QUA131087:QUA131089 QKE131087:QKE131089 QAI131087:QAI131089 PQM131087:PQM131089 PGQ131087:PGQ131089 OWU131087:OWU131089 OMY131087:OMY131089 ODC131087:ODC131089 NTG131087:NTG131089 NJK131087:NJK131089 MZO131087:MZO131089 MPS131087:MPS131089 MFW131087:MFW131089 LWA131087:LWA131089 LME131087:LME131089 LCI131087:LCI131089 KSM131087:KSM131089 KIQ131087:KIQ131089 JYU131087:JYU131089 JOY131087:JOY131089 JFC131087:JFC131089 IVG131087:IVG131089 ILK131087:ILK131089 IBO131087:IBO131089 HRS131087:HRS131089 HHW131087:HHW131089 GYA131087:GYA131089 GOE131087:GOE131089 GEI131087:GEI131089 FUM131087:FUM131089 FKQ131087:FKQ131089 FAU131087:FAU131089 EQY131087:EQY131089 EHC131087:EHC131089 DXG131087:DXG131089 DNK131087:DNK131089 DDO131087:DDO131089 CTS131087:CTS131089 CJW131087:CJW131089 CAA131087:CAA131089 BQE131087:BQE131089 BGI131087:BGI131089 AWM131087:AWM131089 AMQ131087:AMQ131089 ACU131087:ACU131089 SY131087:SY131089 JC131087:JC131089 G131087:G131089 WVO65551:WVO65553 WLS65551:WLS65553 WBW65551:WBW65553 VSA65551:VSA65553 VIE65551:VIE65553 UYI65551:UYI65553 UOM65551:UOM65553 UEQ65551:UEQ65553 TUU65551:TUU65553 TKY65551:TKY65553 TBC65551:TBC65553 SRG65551:SRG65553 SHK65551:SHK65553 RXO65551:RXO65553 RNS65551:RNS65553 RDW65551:RDW65553 QUA65551:QUA65553 QKE65551:QKE65553 QAI65551:QAI65553 PQM65551:PQM65553 PGQ65551:PGQ65553 OWU65551:OWU65553 OMY65551:OMY65553 ODC65551:ODC65553 NTG65551:NTG65553 NJK65551:NJK65553 MZO65551:MZO65553 MPS65551:MPS65553 MFW65551:MFW65553 LWA65551:LWA65553 LME65551:LME65553 LCI65551:LCI65553 KSM65551:KSM65553 KIQ65551:KIQ65553 JYU65551:JYU65553 JOY65551:JOY65553 JFC65551:JFC65553 IVG65551:IVG65553 ILK65551:ILK65553 IBO65551:IBO65553 HRS65551:HRS65553 HHW65551:HHW65553 GYA65551:GYA65553 GOE65551:GOE65553 GEI65551:GEI65553 FUM65551:FUM65553 FKQ65551:FKQ65553 FAU65551:FAU65553 EQY65551:EQY65553 EHC65551:EHC65553 DXG65551:DXG65553 DNK65551:DNK65553 DDO65551:DDO65553 CTS65551:CTS65553 CJW65551:CJW65553 CAA65551:CAA65553 BQE65551:BQE65553 BGI65551:BGI65553 AWM65551:AWM65553 AMQ65551:AMQ65553 ACU65551:ACU65553 SY65551:SY65553 JC65551:JC65553 G65551:G65553 WVO983055:WVO983057 WBW8:WBW17 VSA8:VSA17 VIE8:VIE17 UYI8:UYI17 UOM8:UOM17 UEQ8:UEQ17 TUU8:TUU17 TKY8:TKY17 TBC8:TBC17 SRG8:SRG17 SHK8:SHK17 RXO8:RXO17 RNS8:RNS17 RDW8:RDW17 QUA8:QUA17 QKE8:QKE17 QAI8:QAI17 PQM8:PQM17 PGQ8:PGQ17 OWU8:OWU17 OMY8:OMY17 ODC8:ODC17 NTG8:NTG17 NJK8:NJK17 MZO8:MZO17 MPS8:MPS17 MFW8:MFW17 LWA8:LWA17 LME8:LME17 LCI8:LCI17 KSM8:KSM17 KIQ8:KIQ17 JYU8:JYU17 JOY8:JOY17 JFC8:JFC17 IVG8:IVG17 ILK8:ILK17 IBO8:IBO17 HRS8:HRS17 HHW8:HHW17 GYA8:GYA17 GOE8:GOE17 GEI8:GEI17 FUM8:FUM17 FKQ8:FKQ17 FAU8:FAU17 EQY8:EQY17 EHC8:EHC17 DXG8:DXG17 DNK8:DNK17 DDO8:DDO17 CTS8:CTS17 CJW8:CJW17 CAA8:CAA17 BQE8:BQE17 BGI8:BGI17 AWM8:AWM17 AMQ8:AMQ17 ACU8:ACU17 SY8:SY17 JC8:JC17 G8:G17">
      <formula1>$AI$27:$AI$39</formula1>
    </dataValidation>
  </dataValidations>
  <printOptions horizontalCentered="1"/>
  <pageMargins left="0.11811023622047245" right="0.39370078740157483" top="0.59055118110236227" bottom="0.59055118110236227" header="0.31496062992125984" footer="0.31496062992125984"/>
  <pageSetup paperSize="345" scale="45" orientation="landscape" r:id="rId1"/>
  <headerFooter>
    <oddFooter>&amp;C&amp;"Tahoma,Cursiva"&amp;K365F91Si usted ha accedido a este formato a través de un medio diferente al sitio http://www.unicordoba.edu.co/index.php/documentossigec/documentos-calidad asegúrese que ésta es la versión vigente</oddFooter>
  </headerFooter>
  <rowBreaks count="1" manualBreakCount="1">
    <brk id="10" max="31"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37"/>
  <sheetViews>
    <sheetView view="pageBreakPreview" topLeftCell="G12" zoomScale="80" zoomScaleNormal="100" zoomScaleSheetLayoutView="80" workbookViewId="0">
      <selection activeCell="AF15" sqref="AF15"/>
    </sheetView>
  </sheetViews>
  <sheetFormatPr baseColWidth="10" defaultRowHeight="12.75"/>
  <cols>
    <col min="1" max="1" width="16.42578125" style="2" customWidth="1"/>
    <col min="2" max="2" width="11.140625" style="2" customWidth="1"/>
    <col min="3" max="3" width="4.28515625" style="2" customWidth="1"/>
    <col min="4" max="4" width="6.7109375" style="2" customWidth="1"/>
    <col min="5" max="5" width="27.85546875" style="2" customWidth="1"/>
    <col min="6" max="6" width="5.42578125" style="2" customWidth="1"/>
    <col min="7" max="7" width="11.28515625" style="2" customWidth="1"/>
    <col min="8" max="8" width="11.42578125" style="2" customWidth="1"/>
    <col min="9" max="10" width="2.140625" style="2" customWidth="1"/>
    <col min="11" max="11" width="3.28515625" style="2" customWidth="1"/>
    <col min="12" max="12" width="0.28515625" style="2" hidden="1" customWidth="1"/>
    <col min="13" max="13" width="0.42578125" style="2" hidden="1" customWidth="1"/>
    <col min="14" max="14" width="2.85546875" style="2" customWidth="1"/>
    <col min="15" max="15" width="3.28515625" style="2" customWidth="1"/>
    <col min="16" max="16" width="1.42578125" style="2" customWidth="1"/>
    <col min="17" max="17" width="1.85546875" style="2" hidden="1" customWidth="1"/>
    <col min="18" max="18" width="6.85546875" style="2" customWidth="1"/>
    <col min="19" max="19" width="3" style="2" hidden="1" customWidth="1"/>
    <col min="20" max="20" width="6.28515625" style="2" customWidth="1"/>
    <col min="21" max="21" width="4.85546875" style="2" customWidth="1"/>
    <col min="22" max="22" width="17.7109375" style="2" customWidth="1"/>
    <col min="23" max="23" width="10.85546875" style="2" customWidth="1"/>
    <col min="24" max="24" width="19.7109375" style="2" customWidth="1"/>
    <col min="25" max="25" width="0.42578125" style="2" hidden="1" customWidth="1"/>
    <col min="26" max="26" width="13" style="2" customWidth="1"/>
    <col min="27" max="27" width="16.140625" style="2" customWidth="1"/>
    <col min="28" max="28" width="11.85546875" style="2" customWidth="1"/>
    <col min="29" max="29" width="12.42578125" style="2" customWidth="1"/>
    <col min="30" max="30" width="8.140625" style="2" customWidth="1"/>
    <col min="31" max="31" width="13.85546875" style="2" customWidth="1"/>
    <col min="32" max="32" width="54.42578125" style="2" customWidth="1"/>
    <col min="33" max="33" width="12" style="2" customWidth="1"/>
    <col min="34" max="35" width="0.28515625" style="2" customWidth="1"/>
    <col min="36" max="36" width="1.42578125" style="2" customWidth="1"/>
    <col min="37" max="37" width="1.28515625" style="2" hidden="1" customWidth="1"/>
    <col min="38" max="256" width="11.42578125" style="2"/>
    <col min="257" max="257" width="8" style="2" customWidth="1"/>
    <col min="258" max="258" width="13.42578125" style="2" customWidth="1"/>
    <col min="259" max="259" width="4.28515625" style="2" customWidth="1"/>
    <col min="260" max="260" width="4" style="2" customWidth="1"/>
    <col min="261" max="261" width="17" style="2" customWidth="1"/>
    <col min="262" max="262" width="4.140625" style="2" customWidth="1"/>
    <col min="263" max="263" width="11.28515625" style="2" customWidth="1"/>
    <col min="264" max="264" width="11" style="2" customWidth="1"/>
    <col min="265" max="266" width="2.140625" style="2" customWidth="1"/>
    <col min="267" max="267" width="3.28515625" style="2" customWidth="1"/>
    <col min="268" max="269" width="0" style="2" hidden="1" customWidth="1"/>
    <col min="270" max="270" width="2.85546875" style="2" customWidth="1"/>
    <col min="271" max="271" width="3.28515625" style="2" customWidth="1"/>
    <col min="272" max="272" width="1.42578125" style="2" customWidth="1"/>
    <col min="273" max="273" width="0" style="2" hidden="1" customWidth="1"/>
    <col min="274" max="274" width="6.85546875" style="2" customWidth="1"/>
    <col min="275" max="275" width="0" style="2" hidden="1" customWidth="1"/>
    <col min="276" max="277" width="6.28515625" style="2" customWidth="1"/>
    <col min="278" max="278" width="13.85546875" style="2" customWidth="1"/>
    <col min="279" max="279" width="10.85546875" style="2" customWidth="1"/>
    <col min="280" max="280" width="14.7109375" style="2" customWidth="1"/>
    <col min="281" max="281" width="0" style="2" hidden="1" customWidth="1"/>
    <col min="282" max="282" width="13" style="2" customWidth="1"/>
    <col min="283" max="283" width="12.7109375" style="2" customWidth="1"/>
    <col min="284" max="284" width="13.140625" style="2" customWidth="1"/>
    <col min="285" max="285" width="14" style="2" customWidth="1"/>
    <col min="286" max="286" width="8.140625" style="2" customWidth="1"/>
    <col min="287" max="287" width="11.42578125" style="2" customWidth="1"/>
    <col min="288" max="288" width="24.7109375" style="2" customWidth="1"/>
    <col min="289" max="289" width="12" style="2" customWidth="1"/>
    <col min="290" max="291" width="0.28515625" style="2" customWidth="1"/>
    <col min="292" max="292" width="1.42578125" style="2" customWidth="1"/>
    <col min="293" max="293" width="0" style="2" hidden="1" customWidth="1"/>
    <col min="294" max="512" width="11.42578125" style="2"/>
    <col min="513" max="513" width="8" style="2" customWidth="1"/>
    <col min="514" max="514" width="13.42578125" style="2" customWidth="1"/>
    <col min="515" max="515" width="4.28515625" style="2" customWidth="1"/>
    <col min="516" max="516" width="4" style="2" customWidth="1"/>
    <col min="517" max="517" width="17" style="2" customWidth="1"/>
    <col min="518" max="518" width="4.140625" style="2" customWidth="1"/>
    <col min="519" max="519" width="11.28515625" style="2" customWidth="1"/>
    <col min="520" max="520" width="11" style="2" customWidth="1"/>
    <col min="521" max="522" width="2.140625" style="2" customWidth="1"/>
    <col min="523" max="523" width="3.28515625" style="2" customWidth="1"/>
    <col min="524" max="525" width="0" style="2" hidden="1" customWidth="1"/>
    <col min="526" max="526" width="2.85546875" style="2" customWidth="1"/>
    <col min="527" max="527" width="3.28515625" style="2" customWidth="1"/>
    <col min="528" max="528" width="1.42578125" style="2" customWidth="1"/>
    <col min="529" max="529" width="0" style="2" hidden="1" customWidth="1"/>
    <col min="530" max="530" width="6.85546875" style="2" customWidth="1"/>
    <col min="531" max="531" width="0" style="2" hidden="1" customWidth="1"/>
    <col min="532" max="533" width="6.28515625" style="2" customWidth="1"/>
    <col min="534" max="534" width="13.85546875" style="2" customWidth="1"/>
    <col min="535" max="535" width="10.85546875" style="2" customWidth="1"/>
    <col min="536" max="536" width="14.7109375" style="2" customWidth="1"/>
    <col min="537" max="537" width="0" style="2" hidden="1" customWidth="1"/>
    <col min="538" max="538" width="13" style="2" customWidth="1"/>
    <col min="539" max="539" width="12.7109375" style="2" customWidth="1"/>
    <col min="540" max="540" width="13.140625" style="2" customWidth="1"/>
    <col min="541" max="541" width="14" style="2" customWidth="1"/>
    <col min="542" max="542" width="8.140625" style="2" customWidth="1"/>
    <col min="543" max="543" width="11.42578125" style="2" customWidth="1"/>
    <col min="544" max="544" width="24.7109375" style="2" customWidth="1"/>
    <col min="545" max="545" width="12" style="2" customWidth="1"/>
    <col min="546" max="547" width="0.28515625" style="2" customWidth="1"/>
    <col min="548" max="548" width="1.42578125" style="2" customWidth="1"/>
    <col min="549" max="549" width="0" style="2" hidden="1" customWidth="1"/>
    <col min="550" max="768" width="11.42578125" style="2"/>
    <col min="769" max="769" width="8" style="2" customWidth="1"/>
    <col min="770" max="770" width="13.42578125" style="2" customWidth="1"/>
    <col min="771" max="771" width="4.28515625" style="2" customWidth="1"/>
    <col min="772" max="772" width="4" style="2" customWidth="1"/>
    <col min="773" max="773" width="17" style="2" customWidth="1"/>
    <col min="774" max="774" width="4.140625" style="2" customWidth="1"/>
    <col min="775" max="775" width="11.28515625" style="2" customWidth="1"/>
    <col min="776" max="776" width="11" style="2" customWidth="1"/>
    <col min="777" max="778" width="2.140625" style="2" customWidth="1"/>
    <col min="779" max="779" width="3.28515625" style="2" customWidth="1"/>
    <col min="780" max="781" width="0" style="2" hidden="1" customWidth="1"/>
    <col min="782" max="782" width="2.85546875" style="2" customWidth="1"/>
    <col min="783" max="783" width="3.28515625" style="2" customWidth="1"/>
    <col min="784" max="784" width="1.42578125" style="2" customWidth="1"/>
    <col min="785" max="785" width="0" style="2" hidden="1" customWidth="1"/>
    <col min="786" max="786" width="6.85546875" style="2" customWidth="1"/>
    <col min="787" max="787" width="0" style="2" hidden="1" customWidth="1"/>
    <col min="788" max="789" width="6.28515625" style="2" customWidth="1"/>
    <col min="790" max="790" width="13.85546875" style="2" customWidth="1"/>
    <col min="791" max="791" width="10.85546875" style="2" customWidth="1"/>
    <col min="792" max="792" width="14.7109375" style="2" customWidth="1"/>
    <col min="793" max="793" width="0" style="2" hidden="1" customWidth="1"/>
    <col min="794" max="794" width="13" style="2" customWidth="1"/>
    <col min="795" max="795" width="12.7109375" style="2" customWidth="1"/>
    <col min="796" max="796" width="13.140625" style="2" customWidth="1"/>
    <col min="797" max="797" width="14" style="2" customWidth="1"/>
    <col min="798" max="798" width="8.140625" style="2" customWidth="1"/>
    <col min="799" max="799" width="11.42578125" style="2" customWidth="1"/>
    <col min="800" max="800" width="24.7109375" style="2" customWidth="1"/>
    <col min="801" max="801" width="12" style="2" customWidth="1"/>
    <col min="802" max="803" width="0.28515625" style="2" customWidth="1"/>
    <col min="804" max="804" width="1.42578125" style="2" customWidth="1"/>
    <col min="805" max="805" width="0" style="2" hidden="1" customWidth="1"/>
    <col min="806" max="1024" width="11.42578125" style="2"/>
    <col min="1025" max="1025" width="8" style="2" customWidth="1"/>
    <col min="1026" max="1026" width="13.42578125" style="2" customWidth="1"/>
    <col min="1027" max="1027" width="4.28515625" style="2" customWidth="1"/>
    <col min="1028" max="1028" width="4" style="2" customWidth="1"/>
    <col min="1029" max="1029" width="17" style="2" customWidth="1"/>
    <col min="1030" max="1030" width="4.140625" style="2" customWidth="1"/>
    <col min="1031" max="1031" width="11.28515625" style="2" customWidth="1"/>
    <col min="1032" max="1032" width="11" style="2" customWidth="1"/>
    <col min="1033" max="1034" width="2.140625" style="2" customWidth="1"/>
    <col min="1035" max="1035" width="3.28515625" style="2" customWidth="1"/>
    <col min="1036" max="1037" width="0" style="2" hidden="1" customWidth="1"/>
    <col min="1038" max="1038" width="2.85546875" style="2" customWidth="1"/>
    <col min="1039" max="1039" width="3.28515625" style="2" customWidth="1"/>
    <col min="1040" max="1040" width="1.42578125" style="2" customWidth="1"/>
    <col min="1041" max="1041" width="0" style="2" hidden="1" customWidth="1"/>
    <col min="1042" max="1042" width="6.85546875" style="2" customWidth="1"/>
    <col min="1043" max="1043" width="0" style="2" hidden="1" customWidth="1"/>
    <col min="1044" max="1045" width="6.28515625" style="2" customWidth="1"/>
    <col min="1046" max="1046" width="13.85546875" style="2" customWidth="1"/>
    <col min="1047" max="1047" width="10.85546875" style="2" customWidth="1"/>
    <col min="1048" max="1048" width="14.7109375" style="2" customWidth="1"/>
    <col min="1049" max="1049" width="0" style="2" hidden="1" customWidth="1"/>
    <col min="1050" max="1050" width="13" style="2" customWidth="1"/>
    <col min="1051" max="1051" width="12.7109375" style="2" customWidth="1"/>
    <col min="1052" max="1052" width="13.140625" style="2" customWidth="1"/>
    <col min="1053" max="1053" width="14" style="2" customWidth="1"/>
    <col min="1054" max="1054" width="8.140625" style="2" customWidth="1"/>
    <col min="1055" max="1055" width="11.42578125" style="2" customWidth="1"/>
    <col min="1056" max="1056" width="24.7109375" style="2" customWidth="1"/>
    <col min="1057" max="1057" width="12" style="2" customWidth="1"/>
    <col min="1058" max="1059" width="0.28515625" style="2" customWidth="1"/>
    <col min="1060" max="1060" width="1.42578125" style="2" customWidth="1"/>
    <col min="1061" max="1061" width="0" style="2" hidden="1" customWidth="1"/>
    <col min="1062" max="1280" width="11.42578125" style="2"/>
    <col min="1281" max="1281" width="8" style="2" customWidth="1"/>
    <col min="1282" max="1282" width="13.42578125" style="2" customWidth="1"/>
    <col min="1283" max="1283" width="4.28515625" style="2" customWidth="1"/>
    <col min="1284" max="1284" width="4" style="2" customWidth="1"/>
    <col min="1285" max="1285" width="17" style="2" customWidth="1"/>
    <col min="1286" max="1286" width="4.140625" style="2" customWidth="1"/>
    <col min="1287" max="1287" width="11.28515625" style="2" customWidth="1"/>
    <col min="1288" max="1288" width="11" style="2" customWidth="1"/>
    <col min="1289" max="1290" width="2.140625" style="2" customWidth="1"/>
    <col min="1291" max="1291" width="3.28515625" style="2" customWidth="1"/>
    <col min="1292" max="1293" width="0" style="2" hidden="1" customWidth="1"/>
    <col min="1294" max="1294" width="2.85546875" style="2" customWidth="1"/>
    <col min="1295" max="1295" width="3.28515625" style="2" customWidth="1"/>
    <col min="1296" max="1296" width="1.42578125" style="2" customWidth="1"/>
    <col min="1297" max="1297" width="0" style="2" hidden="1" customWidth="1"/>
    <col min="1298" max="1298" width="6.85546875" style="2" customWidth="1"/>
    <col min="1299" max="1299" width="0" style="2" hidden="1" customWidth="1"/>
    <col min="1300" max="1301" width="6.28515625" style="2" customWidth="1"/>
    <col min="1302" max="1302" width="13.85546875" style="2" customWidth="1"/>
    <col min="1303" max="1303" width="10.85546875" style="2" customWidth="1"/>
    <col min="1304" max="1304" width="14.7109375" style="2" customWidth="1"/>
    <col min="1305" max="1305" width="0" style="2" hidden="1" customWidth="1"/>
    <col min="1306" max="1306" width="13" style="2" customWidth="1"/>
    <col min="1307" max="1307" width="12.7109375" style="2" customWidth="1"/>
    <col min="1308" max="1308" width="13.140625" style="2" customWidth="1"/>
    <col min="1309" max="1309" width="14" style="2" customWidth="1"/>
    <col min="1310" max="1310" width="8.140625" style="2" customWidth="1"/>
    <col min="1311" max="1311" width="11.42578125" style="2" customWidth="1"/>
    <col min="1312" max="1312" width="24.7109375" style="2" customWidth="1"/>
    <col min="1313" max="1313" width="12" style="2" customWidth="1"/>
    <col min="1314" max="1315" width="0.28515625" style="2" customWidth="1"/>
    <col min="1316" max="1316" width="1.42578125" style="2" customWidth="1"/>
    <col min="1317" max="1317" width="0" style="2" hidden="1" customWidth="1"/>
    <col min="1318" max="1536" width="11.42578125" style="2"/>
    <col min="1537" max="1537" width="8" style="2" customWidth="1"/>
    <col min="1538" max="1538" width="13.42578125" style="2" customWidth="1"/>
    <col min="1539" max="1539" width="4.28515625" style="2" customWidth="1"/>
    <col min="1540" max="1540" width="4" style="2" customWidth="1"/>
    <col min="1541" max="1541" width="17" style="2" customWidth="1"/>
    <col min="1542" max="1542" width="4.140625" style="2" customWidth="1"/>
    <col min="1543" max="1543" width="11.28515625" style="2" customWidth="1"/>
    <col min="1544" max="1544" width="11" style="2" customWidth="1"/>
    <col min="1545" max="1546" width="2.140625" style="2" customWidth="1"/>
    <col min="1547" max="1547" width="3.28515625" style="2" customWidth="1"/>
    <col min="1548" max="1549" width="0" style="2" hidden="1" customWidth="1"/>
    <col min="1550" max="1550" width="2.85546875" style="2" customWidth="1"/>
    <col min="1551" max="1551" width="3.28515625" style="2" customWidth="1"/>
    <col min="1552" max="1552" width="1.42578125" style="2" customWidth="1"/>
    <col min="1553" max="1553" width="0" style="2" hidden="1" customWidth="1"/>
    <col min="1554" max="1554" width="6.85546875" style="2" customWidth="1"/>
    <col min="1555" max="1555" width="0" style="2" hidden="1" customWidth="1"/>
    <col min="1556" max="1557" width="6.28515625" style="2" customWidth="1"/>
    <col min="1558" max="1558" width="13.85546875" style="2" customWidth="1"/>
    <col min="1559" max="1559" width="10.85546875" style="2" customWidth="1"/>
    <col min="1560" max="1560" width="14.7109375" style="2" customWidth="1"/>
    <col min="1561" max="1561" width="0" style="2" hidden="1" customWidth="1"/>
    <col min="1562" max="1562" width="13" style="2" customWidth="1"/>
    <col min="1563" max="1563" width="12.7109375" style="2" customWidth="1"/>
    <col min="1564" max="1564" width="13.140625" style="2" customWidth="1"/>
    <col min="1565" max="1565" width="14" style="2" customWidth="1"/>
    <col min="1566" max="1566" width="8.140625" style="2" customWidth="1"/>
    <col min="1567" max="1567" width="11.42578125" style="2" customWidth="1"/>
    <col min="1568" max="1568" width="24.7109375" style="2" customWidth="1"/>
    <col min="1569" max="1569" width="12" style="2" customWidth="1"/>
    <col min="1570" max="1571" width="0.28515625" style="2" customWidth="1"/>
    <col min="1572" max="1572" width="1.42578125" style="2" customWidth="1"/>
    <col min="1573" max="1573" width="0" style="2" hidden="1" customWidth="1"/>
    <col min="1574" max="1792" width="11.42578125" style="2"/>
    <col min="1793" max="1793" width="8" style="2" customWidth="1"/>
    <col min="1794" max="1794" width="13.42578125" style="2" customWidth="1"/>
    <col min="1795" max="1795" width="4.28515625" style="2" customWidth="1"/>
    <col min="1796" max="1796" width="4" style="2" customWidth="1"/>
    <col min="1797" max="1797" width="17" style="2" customWidth="1"/>
    <col min="1798" max="1798" width="4.140625" style="2" customWidth="1"/>
    <col min="1799" max="1799" width="11.28515625" style="2" customWidth="1"/>
    <col min="1800" max="1800" width="11" style="2" customWidth="1"/>
    <col min="1801" max="1802" width="2.140625" style="2" customWidth="1"/>
    <col min="1803" max="1803" width="3.28515625" style="2" customWidth="1"/>
    <col min="1804" max="1805" width="0" style="2" hidden="1" customWidth="1"/>
    <col min="1806" max="1806" width="2.85546875" style="2" customWidth="1"/>
    <col min="1807" max="1807" width="3.28515625" style="2" customWidth="1"/>
    <col min="1808" max="1808" width="1.42578125" style="2" customWidth="1"/>
    <col min="1809" max="1809" width="0" style="2" hidden="1" customWidth="1"/>
    <col min="1810" max="1810" width="6.85546875" style="2" customWidth="1"/>
    <col min="1811" max="1811" width="0" style="2" hidden="1" customWidth="1"/>
    <col min="1812" max="1813" width="6.28515625" style="2" customWidth="1"/>
    <col min="1814" max="1814" width="13.85546875" style="2" customWidth="1"/>
    <col min="1815" max="1815" width="10.85546875" style="2" customWidth="1"/>
    <col min="1816" max="1816" width="14.7109375" style="2" customWidth="1"/>
    <col min="1817" max="1817" width="0" style="2" hidden="1" customWidth="1"/>
    <col min="1818" max="1818" width="13" style="2" customWidth="1"/>
    <col min="1819" max="1819" width="12.7109375" style="2" customWidth="1"/>
    <col min="1820" max="1820" width="13.140625" style="2" customWidth="1"/>
    <col min="1821" max="1821" width="14" style="2" customWidth="1"/>
    <col min="1822" max="1822" width="8.140625" style="2" customWidth="1"/>
    <col min="1823" max="1823" width="11.42578125" style="2" customWidth="1"/>
    <col min="1824" max="1824" width="24.7109375" style="2" customWidth="1"/>
    <col min="1825" max="1825" width="12" style="2" customWidth="1"/>
    <col min="1826" max="1827" width="0.28515625" style="2" customWidth="1"/>
    <col min="1828" max="1828" width="1.42578125" style="2" customWidth="1"/>
    <col min="1829" max="1829" width="0" style="2" hidden="1" customWidth="1"/>
    <col min="1830" max="2048" width="11.42578125" style="2"/>
    <col min="2049" max="2049" width="8" style="2" customWidth="1"/>
    <col min="2050" max="2050" width="13.42578125" style="2" customWidth="1"/>
    <col min="2051" max="2051" width="4.28515625" style="2" customWidth="1"/>
    <col min="2052" max="2052" width="4" style="2" customWidth="1"/>
    <col min="2053" max="2053" width="17" style="2" customWidth="1"/>
    <col min="2054" max="2054" width="4.140625" style="2" customWidth="1"/>
    <col min="2055" max="2055" width="11.28515625" style="2" customWidth="1"/>
    <col min="2056" max="2056" width="11" style="2" customWidth="1"/>
    <col min="2057" max="2058" width="2.140625" style="2" customWidth="1"/>
    <col min="2059" max="2059" width="3.28515625" style="2" customWidth="1"/>
    <col min="2060" max="2061" width="0" style="2" hidden="1" customWidth="1"/>
    <col min="2062" max="2062" width="2.85546875" style="2" customWidth="1"/>
    <col min="2063" max="2063" width="3.28515625" style="2" customWidth="1"/>
    <col min="2064" max="2064" width="1.42578125" style="2" customWidth="1"/>
    <col min="2065" max="2065" width="0" style="2" hidden="1" customWidth="1"/>
    <col min="2066" max="2066" width="6.85546875" style="2" customWidth="1"/>
    <col min="2067" max="2067" width="0" style="2" hidden="1" customWidth="1"/>
    <col min="2068" max="2069" width="6.28515625" style="2" customWidth="1"/>
    <col min="2070" max="2070" width="13.85546875" style="2" customWidth="1"/>
    <col min="2071" max="2071" width="10.85546875" style="2" customWidth="1"/>
    <col min="2072" max="2072" width="14.7109375" style="2" customWidth="1"/>
    <col min="2073" max="2073" width="0" style="2" hidden="1" customWidth="1"/>
    <col min="2074" max="2074" width="13" style="2" customWidth="1"/>
    <col min="2075" max="2075" width="12.7109375" style="2" customWidth="1"/>
    <col min="2076" max="2076" width="13.140625" style="2" customWidth="1"/>
    <col min="2077" max="2077" width="14" style="2" customWidth="1"/>
    <col min="2078" max="2078" width="8.140625" style="2" customWidth="1"/>
    <col min="2079" max="2079" width="11.42578125" style="2" customWidth="1"/>
    <col min="2080" max="2080" width="24.7109375" style="2" customWidth="1"/>
    <col min="2081" max="2081" width="12" style="2" customWidth="1"/>
    <col min="2082" max="2083" width="0.28515625" style="2" customWidth="1"/>
    <col min="2084" max="2084" width="1.42578125" style="2" customWidth="1"/>
    <col min="2085" max="2085" width="0" style="2" hidden="1" customWidth="1"/>
    <col min="2086" max="2304" width="11.42578125" style="2"/>
    <col min="2305" max="2305" width="8" style="2" customWidth="1"/>
    <col min="2306" max="2306" width="13.42578125" style="2" customWidth="1"/>
    <col min="2307" max="2307" width="4.28515625" style="2" customWidth="1"/>
    <col min="2308" max="2308" width="4" style="2" customWidth="1"/>
    <col min="2309" max="2309" width="17" style="2" customWidth="1"/>
    <col min="2310" max="2310" width="4.140625" style="2" customWidth="1"/>
    <col min="2311" max="2311" width="11.28515625" style="2" customWidth="1"/>
    <col min="2312" max="2312" width="11" style="2" customWidth="1"/>
    <col min="2313" max="2314" width="2.140625" style="2" customWidth="1"/>
    <col min="2315" max="2315" width="3.28515625" style="2" customWidth="1"/>
    <col min="2316" max="2317" width="0" style="2" hidden="1" customWidth="1"/>
    <col min="2318" max="2318" width="2.85546875" style="2" customWidth="1"/>
    <col min="2319" max="2319" width="3.28515625" style="2" customWidth="1"/>
    <col min="2320" max="2320" width="1.42578125" style="2" customWidth="1"/>
    <col min="2321" max="2321" width="0" style="2" hidden="1" customWidth="1"/>
    <col min="2322" max="2322" width="6.85546875" style="2" customWidth="1"/>
    <col min="2323" max="2323" width="0" style="2" hidden="1" customWidth="1"/>
    <col min="2324" max="2325" width="6.28515625" style="2" customWidth="1"/>
    <col min="2326" max="2326" width="13.85546875" style="2" customWidth="1"/>
    <col min="2327" max="2327" width="10.85546875" style="2" customWidth="1"/>
    <col min="2328" max="2328" width="14.7109375" style="2" customWidth="1"/>
    <col min="2329" max="2329" width="0" style="2" hidden="1" customWidth="1"/>
    <col min="2330" max="2330" width="13" style="2" customWidth="1"/>
    <col min="2331" max="2331" width="12.7109375" style="2" customWidth="1"/>
    <col min="2332" max="2332" width="13.140625" style="2" customWidth="1"/>
    <col min="2333" max="2333" width="14" style="2" customWidth="1"/>
    <col min="2334" max="2334" width="8.140625" style="2" customWidth="1"/>
    <col min="2335" max="2335" width="11.42578125" style="2" customWidth="1"/>
    <col min="2336" max="2336" width="24.7109375" style="2" customWidth="1"/>
    <col min="2337" max="2337" width="12" style="2" customWidth="1"/>
    <col min="2338" max="2339" width="0.28515625" style="2" customWidth="1"/>
    <col min="2340" max="2340" width="1.42578125" style="2" customWidth="1"/>
    <col min="2341" max="2341" width="0" style="2" hidden="1" customWidth="1"/>
    <col min="2342" max="2560" width="11.42578125" style="2"/>
    <col min="2561" max="2561" width="8" style="2" customWidth="1"/>
    <col min="2562" max="2562" width="13.42578125" style="2" customWidth="1"/>
    <col min="2563" max="2563" width="4.28515625" style="2" customWidth="1"/>
    <col min="2564" max="2564" width="4" style="2" customWidth="1"/>
    <col min="2565" max="2565" width="17" style="2" customWidth="1"/>
    <col min="2566" max="2566" width="4.140625" style="2" customWidth="1"/>
    <col min="2567" max="2567" width="11.28515625" style="2" customWidth="1"/>
    <col min="2568" max="2568" width="11" style="2" customWidth="1"/>
    <col min="2569" max="2570" width="2.140625" style="2" customWidth="1"/>
    <col min="2571" max="2571" width="3.28515625" style="2" customWidth="1"/>
    <col min="2572" max="2573" width="0" style="2" hidden="1" customWidth="1"/>
    <col min="2574" max="2574" width="2.85546875" style="2" customWidth="1"/>
    <col min="2575" max="2575" width="3.28515625" style="2" customWidth="1"/>
    <col min="2576" max="2576" width="1.42578125" style="2" customWidth="1"/>
    <col min="2577" max="2577" width="0" style="2" hidden="1" customWidth="1"/>
    <col min="2578" max="2578" width="6.85546875" style="2" customWidth="1"/>
    <col min="2579" max="2579" width="0" style="2" hidden="1" customWidth="1"/>
    <col min="2580" max="2581" width="6.28515625" style="2" customWidth="1"/>
    <col min="2582" max="2582" width="13.85546875" style="2" customWidth="1"/>
    <col min="2583" max="2583" width="10.85546875" style="2" customWidth="1"/>
    <col min="2584" max="2584" width="14.7109375" style="2" customWidth="1"/>
    <col min="2585" max="2585" width="0" style="2" hidden="1" customWidth="1"/>
    <col min="2586" max="2586" width="13" style="2" customWidth="1"/>
    <col min="2587" max="2587" width="12.7109375" style="2" customWidth="1"/>
    <col min="2588" max="2588" width="13.140625" style="2" customWidth="1"/>
    <col min="2589" max="2589" width="14" style="2" customWidth="1"/>
    <col min="2590" max="2590" width="8.140625" style="2" customWidth="1"/>
    <col min="2591" max="2591" width="11.42578125" style="2" customWidth="1"/>
    <col min="2592" max="2592" width="24.7109375" style="2" customWidth="1"/>
    <col min="2593" max="2593" width="12" style="2" customWidth="1"/>
    <col min="2594" max="2595" width="0.28515625" style="2" customWidth="1"/>
    <col min="2596" max="2596" width="1.42578125" style="2" customWidth="1"/>
    <col min="2597" max="2597" width="0" style="2" hidden="1" customWidth="1"/>
    <col min="2598" max="2816" width="11.42578125" style="2"/>
    <col min="2817" max="2817" width="8" style="2" customWidth="1"/>
    <col min="2818" max="2818" width="13.42578125" style="2" customWidth="1"/>
    <col min="2819" max="2819" width="4.28515625" style="2" customWidth="1"/>
    <col min="2820" max="2820" width="4" style="2" customWidth="1"/>
    <col min="2821" max="2821" width="17" style="2" customWidth="1"/>
    <col min="2822" max="2822" width="4.140625" style="2" customWidth="1"/>
    <col min="2823" max="2823" width="11.28515625" style="2" customWidth="1"/>
    <col min="2824" max="2824" width="11" style="2" customWidth="1"/>
    <col min="2825" max="2826" width="2.140625" style="2" customWidth="1"/>
    <col min="2827" max="2827" width="3.28515625" style="2" customWidth="1"/>
    <col min="2828" max="2829" width="0" style="2" hidden="1" customWidth="1"/>
    <col min="2830" max="2830" width="2.85546875" style="2" customWidth="1"/>
    <col min="2831" max="2831" width="3.28515625" style="2" customWidth="1"/>
    <col min="2832" max="2832" width="1.42578125" style="2" customWidth="1"/>
    <col min="2833" max="2833" width="0" style="2" hidden="1" customWidth="1"/>
    <col min="2834" max="2834" width="6.85546875" style="2" customWidth="1"/>
    <col min="2835" max="2835" width="0" style="2" hidden="1" customWidth="1"/>
    <col min="2836" max="2837" width="6.28515625" style="2" customWidth="1"/>
    <col min="2838" max="2838" width="13.85546875" style="2" customWidth="1"/>
    <col min="2839" max="2839" width="10.85546875" style="2" customWidth="1"/>
    <col min="2840" max="2840" width="14.7109375" style="2" customWidth="1"/>
    <col min="2841" max="2841" width="0" style="2" hidden="1" customWidth="1"/>
    <col min="2842" max="2842" width="13" style="2" customWidth="1"/>
    <col min="2843" max="2843" width="12.7109375" style="2" customWidth="1"/>
    <col min="2844" max="2844" width="13.140625" style="2" customWidth="1"/>
    <col min="2845" max="2845" width="14" style="2" customWidth="1"/>
    <col min="2846" max="2846" width="8.140625" style="2" customWidth="1"/>
    <col min="2847" max="2847" width="11.42578125" style="2" customWidth="1"/>
    <col min="2848" max="2848" width="24.7109375" style="2" customWidth="1"/>
    <col min="2849" max="2849" width="12" style="2" customWidth="1"/>
    <col min="2850" max="2851" width="0.28515625" style="2" customWidth="1"/>
    <col min="2852" max="2852" width="1.42578125" style="2" customWidth="1"/>
    <col min="2853" max="2853" width="0" style="2" hidden="1" customWidth="1"/>
    <col min="2854" max="3072" width="11.42578125" style="2"/>
    <col min="3073" max="3073" width="8" style="2" customWidth="1"/>
    <col min="3074" max="3074" width="13.42578125" style="2" customWidth="1"/>
    <col min="3075" max="3075" width="4.28515625" style="2" customWidth="1"/>
    <col min="3076" max="3076" width="4" style="2" customWidth="1"/>
    <col min="3077" max="3077" width="17" style="2" customWidth="1"/>
    <col min="3078" max="3078" width="4.140625" style="2" customWidth="1"/>
    <col min="3079" max="3079" width="11.28515625" style="2" customWidth="1"/>
    <col min="3080" max="3080" width="11" style="2" customWidth="1"/>
    <col min="3081" max="3082" width="2.140625" style="2" customWidth="1"/>
    <col min="3083" max="3083" width="3.28515625" style="2" customWidth="1"/>
    <col min="3084" max="3085" width="0" style="2" hidden="1" customWidth="1"/>
    <col min="3086" max="3086" width="2.85546875" style="2" customWidth="1"/>
    <col min="3087" max="3087" width="3.28515625" style="2" customWidth="1"/>
    <col min="3088" max="3088" width="1.42578125" style="2" customWidth="1"/>
    <col min="3089" max="3089" width="0" style="2" hidden="1" customWidth="1"/>
    <col min="3090" max="3090" width="6.85546875" style="2" customWidth="1"/>
    <col min="3091" max="3091" width="0" style="2" hidden="1" customWidth="1"/>
    <col min="3092" max="3093" width="6.28515625" style="2" customWidth="1"/>
    <col min="3094" max="3094" width="13.85546875" style="2" customWidth="1"/>
    <col min="3095" max="3095" width="10.85546875" style="2" customWidth="1"/>
    <col min="3096" max="3096" width="14.7109375" style="2" customWidth="1"/>
    <col min="3097" max="3097" width="0" style="2" hidden="1" customWidth="1"/>
    <col min="3098" max="3098" width="13" style="2" customWidth="1"/>
    <col min="3099" max="3099" width="12.7109375" style="2" customWidth="1"/>
    <col min="3100" max="3100" width="13.140625" style="2" customWidth="1"/>
    <col min="3101" max="3101" width="14" style="2" customWidth="1"/>
    <col min="3102" max="3102" width="8.140625" style="2" customWidth="1"/>
    <col min="3103" max="3103" width="11.42578125" style="2" customWidth="1"/>
    <col min="3104" max="3104" width="24.7109375" style="2" customWidth="1"/>
    <col min="3105" max="3105" width="12" style="2" customWidth="1"/>
    <col min="3106" max="3107" width="0.28515625" style="2" customWidth="1"/>
    <col min="3108" max="3108" width="1.42578125" style="2" customWidth="1"/>
    <col min="3109" max="3109" width="0" style="2" hidden="1" customWidth="1"/>
    <col min="3110" max="3328" width="11.42578125" style="2"/>
    <col min="3329" max="3329" width="8" style="2" customWidth="1"/>
    <col min="3330" max="3330" width="13.42578125" style="2" customWidth="1"/>
    <col min="3331" max="3331" width="4.28515625" style="2" customWidth="1"/>
    <col min="3332" max="3332" width="4" style="2" customWidth="1"/>
    <col min="3333" max="3333" width="17" style="2" customWidth="1"/>
    <col min="3334" max="3334" width="4.140625" style="2" customWidth="1"/>
    <col min="3335" max="3335" width="11.28515625" style="2" customWidth="1"/>
    <col min="3336" max="3336" width="11" style="2" customWidth="1"/>
    <col min="3337" max="3338" width="2.140625" style="2" customWidth="1"/>
    <col min="3339" max="3339" width="3.28515625" style="2" customWidth="1"/>
    <col min="3340" max="3341" width="0" style="2" hidden="1" customWidth="1"/>
    <col min="3342" max="3342" width="2.85546875" style="2" customWidth="1"/>
    <col min="3343" max="3343" width="3.28515625" style="2" customWidth="1"/>
    <col min="3344" max="3344" width="1.42578125" style="2" customWidth="1"/>
    <col min="3345" max="3345" width="0" style="2" hidden="1" customWidth="1"/>
    <col min="3346" max="3346" width="6.85546875" style="2" customWidth="1"/>
    <col min="3347" max="3347" width="0" style="2" hidden="1" customWidth="1"/>
    <col min="3348" max="3349" width="6.28515625" style="2" customWidth="1"/>
    <col min="3350" max="3350" width="13.85546875" style="2" customWidth="1"/>
    <col min="3351" max="3351" width="10.85546875" style="2" customWidth="1"/>
    <col min="3352" max="3352" width="14.7109375" style="2" customWidth="1"/>
    <col min="3353" max="3353" width="0" style="2" hidden="1" customWidth="1"/>
    <col min="3354" max="3354" width="13" style="2" customWidth="1"/>
    <col min="3355" max="3355" width="12.7109375" style="2" customWidth="1"/>
    <col min="3356" max="3356" width="13.140625" style="2" customWidth="1"/>
    <col min="3357" max="3357" width="14" style="2" customWidth="1"/>
    <col min="3358" max="3358" width="8.140625" style="2" customWidth="1"/>
    <col min="3359" max="3359" width="11.42578125" style="2" customWidth="1"/>
    <col min="3360" max="3360" width="24.7109375" style="2" customWidth="1"/>
    <col min="3361" max="3361" width="12" style="2" customWidth="1"/>
    <col min="3362" max="3363" width="0.28515625" style="2" customWidth="1"/>
    <col min="3364" max="3364" width="1.42578125" style="2" customWidth="1"/>
    <col min="3365" max="3365" width="0" style="2" hidden="1" customWidth="1"/>
    <col min="3366" max="3584" width="11.42578125" style="2"/>
    <col min="3585" max="3585" width="8" style="2" customWidth="1"/>
    <col min="3586" max="3586" width="13.42578125" style="2" customWidth="1"/>
    <col min="3587" max="3587" width="4.28515625" style="2" customWidth="1"/>
    <col min="3588" max="3588" width="4" style="2" customWidth="1"/>
    <col min="3589" max="3589" width="17" style="2" customWidth="1"/>
    <col min="3590" max="3590" width="4.140625" style="2" customWidth="1"/>
    <col min="3591" max="3591" width="11.28515625" style="2" customWidth="1"/>
    <col min="3592" max="3592" width="11" style="2" customWidth="1"/>
    <col min="3593" max="3594" width="2.140625" style="2" customWidth="1"/>
    <col min="3595" max="3595" width="3.28515625" style="2" customWidth="1"/>
    <col min="3596" max="3597" width="0" style="2" hidden="1" customWidth="1"/>
    <col min="3598" max="3598" width="2.85546875" style="2" customWidth="1"/>
    <col min="3599" max="3599" width="3.28515625" style="2" customWidth="1"/>
    <col min="3600" max="3600" width="1.42578125" style="2" customWidth="1"/>
    <col min="3601" max="3601" width="0" style="2" hidden="1" customWidth="1"/>
    <col min="3602" max="3602" width="6.85546875" style="2" customWidth="1"/>
    <col min="3603" max="3603" width="0" style="2" hidden="1" customWidth="1"/>
    <col min="3604" max="3605" width="6.28515625" style="2" customWidth="1"/>
    <col min="3606" max="3606" width="13.85546875" style="2" customWidth="1"/>
    <col min="3607" max="3607" width="10.85546875" style="2" customWidth="1"/>
    <col min="3608" max="3608" width="14.7109375" style="2" customWidth="1"/>
    <col min="3609" max="3609" width="0" style="2" hidden="1" customWidth="1"/>
    <col min="3610" max="3610" width="13" style="2" customWidth="1"/>
    <col min="3611" max="3611" width="12.7109375" style="2" customWidth="1"/>
    <col min="3612" max="3612" width="13.140625" style="2" customWidth="1"/>
    <col min="3613" max="3613" width="14" style="2" customWidth="1"/>
    <col min="3614" max="3614" width="8.140625" style="2" customWidth="1"/>
    <col min="3615" max="3615" width="11.42578125" style="2" customWidth="1"/>
    <col min="3616" max="3616" width="24.7109375" style="2" customWidth="1"/>
    <col min="3617" max="3617" width="12" style="2" customWidth="1"/>
    <col min="3618" max="3619" width="0.28515625" style="2" customWidth="1"/>
    <col min="3620" max="3620" width="1.42578125" style="2" customWidth="1"/>
    <col min="3621" max="3621" width="0" style="2" hidden="1" customWidth="1"/>
    <col min="3622" max="3840" width="11.42578125" style="2"/>
    <col min="3841" max="3841" width="8" style="2" customWidth="1"/>
    <col min="3842" max="3842" width="13.42578125" style="2" customWidth="1"/>
    <col min="3843" max="3843" width="4.28515625" style="2" customWidth="1"/>
    <col min="3844" max="3844" width="4" style="2" customWidth="1"/>
    <col min="3845" max="3845" width="17" style="2" customWidth="1"/>
    <col min="3846" max="3846" width="4.140625" style="2" customWidth="1"/>
    <col min="3847" max="3847" width="11.28515625" style="2" customWidth="1"/>
    <col min="3848" max="3848" width="11" style="2" customWidth="1"/>
    <col min="3849" max="3850" width="2.140625" style="2" customWidth="1"/>
    <col min="3851" max="3851" width="3.28515625" style="2" customWidth="1"/>
    <col min="3852" max="3853" width="0" style="2" hidden="1" customWidth="1"/>
    <col min="3854" max="3854" width="2.85546875" style="2" customWidth="1"/>
    <col min="3855" max="3855" width="3.28515625" style="2" customWidth="1"/>
    <col min="3856" max="3856" width="1.42578125" style="2" customWidth="1"/>
    <col min="3857" max="3857" width="0" style="2" hidden="1" customWidth="1"/>
    <col min="3858" max="3858" width="6.85546875" style="2" customWidth="1"/>
    <col min="3859" max="3859" width="0" style="2" hidden="1" customWidth="1"/>
    <col min="3860" max="3861" width="6.28515625" style="2" customWidth="1"/>
    <col min="3862" max="3862" width="13.85546875" style="2" customWidth="1"/>
    <col min="3863" max="3863" width="10.85546875" style="2" customWidth="1"/>
    <col min="3864" max="3864" width="14.7109375" style="2" customWidth="1"/>
    <col min="3865" max="3865" width="0" style="2" hidden="1" customWidth="1"/>
    <col min="3866" max="3866" width="13" style="2" customWidth="1"/>
    <col min="3867" max="3867" width="12.7109375" style="2" customWidth="1"/>
    <col min="3868" max="3868" width="13.140625" style="2" customWidth="1"/>
    <col min="3869" max="3869" width="14" style="2" customWidth="1"/>
    <col min="3870" max="3870" width="8.140625" style="2" customWidth="1"/>
    <col min="3871" max="3871" width="11.42578125" style="2" customWidth="1"/>
    <col min="3872" max="3872" width="24.7109375" style="2" customWidth="1"/>
    <col min="3873" max="3873" width="12" style="2" customWidth="1"/>
    <col min="3874" max="3875" width="0.28515625" style="2" customWidth="1"/>
    <col min="3876" max="3876" width="1.42578125" style="2" customWidth="1"/>
    <col min="3877" max="3877" width="0" style="2" hidden="1" customWidth="1"/>
    <col min="3878" max="4096" width="11.42578125" style="2"/>
    <col min="4097" max="4097" width="8" style="2" customWidth="1"/>
    <col min="4098" max="4098" width="13.42578125" style="2" customWidth="1"/>
    <col min="4099" max="4099" width="4.28515625" style="2" customWidth="1"/>
    <col min="4100" max="4100" width="4" style="2" customWidth="1"/>
    <col min="4101" max="4101" width="17" style="2" customWidth="1"/>
    <col min="4102" max="4102" width="4.140625" style="2" customWidth="1"/>
    <col min="4103" max="4103" width="11.28515625" style="2" customWidth="1"/>
    <col min="4104" max="4104" width="11" style="2" customWidth="1"/>
    <col min="4105" max="4106" width="2.140625" style="2" customWidth="1"/>
    <col min="4107" max="4107" width="3.28515625" style="2" customWidth="1"/>
    <col min="4108" max="4109" width="0" style="2" hidden="1" customWidth="1"/>
    <col min="4110" max="4110" width="2.85546875" style="2" customWidth="1"/>
    <col min="4111" max="4111" width="3.28515625" style="2" customWidth="1"/>
    <col min="4112" max="4112" width="1.42578125" style="2" customWidth="1"/>
    <col min="4113" max="4113" width="0" style="2" hidden="1" customWidth="1"/>
    <col min="4114" max="4114" width="6.85546875" style="2" customWidth="1"/>
    <col min="4115" max="4115" width="0" style="2" hidden="1" customWidth="1"/>
    <col min="4116" max="4117" width="6.28515625" style="2" customWidth="1"/>
    <col min="4118" max="4118" width="13.85546875" style="2" customWidth="1"/>
    <col min="4119" max="4119" width="10.85546875" style="2" customWidth="1"/>
    <col min="4120" max="4120" width="14.7109375" style="2" customWidth="1"/>
    <col min="4121" max="4121" width="0" style="2" hidden="1" customWidth="1"/>
    <col min="4122" max="4122" width="13" style="2" customWidth="1"/>
    <col min="4123" max="4123" width="12.7109375" style="2" customWidth="1"/>
    <col min="4124" max="4124" width="13.140625" style="2" customWidth="1"/>
    <col min="4125" max="4125" width="14" style="2" customWidth="1"/>
    <col min="4126" max="4126" width="8.140625" style="2" customWidth="1"/>
    <col min="4127" max="4127" width="11.42578125" style="2" customWidth="1"/>
    <col min="4128" max="4128" width="24.7109375" style="2" customWidth="1"/>
    <col min="4129" max="4129" width="12" style="2" customWidth="1"/>
    <col min="4130" max="4131" width="0.28515625" style="2" customWidth="1"/>
    <col min="4132" max="4132" width="1.42578125" style="2" customWidth="1"/>
    <col min="4133" max="4133" width="0" style="2" hidden="1" customWidth="1"/>
    <col min="4134" max="4352" width="11.42578125" style="2"/>
    <col min="4353" max="4353" width="8" style="2" customWidth="1"/>
    <col min="4354" max="4354" width="13.42578125" style="2" customWidth="1"/>
    <col min="4355" max="4355" width="4.28515625" style="2" customWidth="1"/>
    <col min="4356" max="4356" width="4" style="2" customWidth="1"/>
    <col min="4357" max="4357" width="17" style="2" customWidth="1"/>
    <col min="4358" max="4358" width="4.140625" style="2" customWidth="1"/>
    <col min="4359" max="4359" width="11.28515625" style="2" customWidth="1"/>
    <col min="4360" max="4360" width="11" style="2" customWidth="1"/>
    <col min="4361" max="4362" width="2.140625" style="2" customWidth="1"/>
    <col min="4363" max="4363" width="3.28515625" style="2" customWidth="1"/>
    <col min="4364" max="4365" width="0" style="2" hidden="1" customWidth="1"/>
    <col min="4366" max="4366" width="2.85546875" style="2" customWidth="1"/>
    <col min="4367" max="4367" width="3.28515625" style="2" customWidth="1"/>
    <col min="4368" max="4368" width="1.42578125" style="2" customWidth="1"/>
    <col min="4369" max="4369" width="0" style="2" hidden="1" customWidth="1"/>
    <col min="4370" max="4370" width="6.85546875" style="2" customWidth="1"/>
    <col min="4371" max="4371" width="0" style="2" hidden="1" customWidth="1"/>
    <col min="4372" max="4373" width="6.28515625" style="2" customWidth="1"/>
    <col min="4374" max="4374" width="13.85546875" style="2" customWidth="1"/>
    <col min="4375" max="4375" width="10.85546875" style="2" customWidth="1"/>
    <col min="4376" max="4376" width="14.7109375" style="2" customWidth="1"/>
    <col min="4377" max="4377" width="0" style="2" hidden="1" customWidth="1"/>
    <col min="4378" max="4378" width="13" style="2" customWidth="1"/>
    <col min="4379" max="4379" width="12.7109375" style="2" customWidth="1"/>
    <col min="4380" max="4380" width="13.140625" style="2" customWidth="1"/>
    <col min="4381" max="4381" width="14" style="2" customWidth="1"/>
    <col min="4382" max="4382" width="8.140625" style="2" customWidth="1"/>
    <col min="4383" max="4383" width="11.42578125" style="2" customWidth="1"/>
    <col min="4384" max="4384" width="24.7109375" style="2" customWidth="1"/>
    <col min="4385" max="4385" width="12" style="2" customWidth="1"/>
    <col min="4386" max="4387" width="0.28515625" style="2" customWidth="1"/>
    <col min="4388" max="4388" width="1.42578125" style="2" customWidth="1"/>
    <col min="4389" max="4389" width="0" style="2" hidden="1" customWidth="1"/>
    <col min="4390" max="4608" width="11.42578125" style="2"/>
    <col min="4609" max="4609" width="8" style="2" customWidth="1"/>
    <col min="4610" max="4610" width="13.42578125" style="2" customWidth="1"/>
    <col min="4611" max="4611" width="4.28515625" style="2" customWidth="1"/>
    <col min="4612" max="4612" width="4" style="2" customWidth="1"/>
    <col min="4613" max="4613" width="17" style="2" customWidth="1"/>
    <col min="4614" max="4614" width="4.140625" style="2" customWidth="1"/>
    <col min="4615" max="4615" width="11.28515625" style="2" customWidth="1"/>
    <col min="4616" max="4616" width="11" style="2" customWidth="1"/>
    <col min="4617" max="4618" width="2.140625" style="2" customWidth="1"/>
    <col min="4619" max="4619" width="3.28515625" style="2" customWidth="1"/>
    <col min="4620" max="4621" width="0" style="2" hidden="1" customWidth="1"/>
    <col min="4622" max="4622" width="2.85546875" style="2" customWidth="1"/>
    <col min="4623" max="4623" width="3.28515625" style="2" customWidth="1"/>
    <col min="4624" max="4624" width="1.42578125" style="2" customWidth="1"/>
    <col min="4625" max="4625" width="0" style="2" hidden="1" customWidth="1"/>
    <col min="4626" max="4626" width="6.85546875" style="2" customWidth="1"/>
    <col min="4627" max="4627" width="0" style="2" hidden="1" customWidth="1"/>
    <col min="4628" max="4629" width="6.28515625" style="2" customWidth="1"/>
    <col min="4630" max="4630" width="13.85546875" style="2" customWidth="1"/>
    <col min="4631" max="4631" width="10.85546875" style="2" customWidth="1"/>
    <col min="4632" max="4632" width="14.7109375" style="2" customWidth="1"/>
    <col min="4633" max="4633" width="0" style="2" hidden="1" customWidth="1"/>
    <col min="4634" max="4634" width="13" style="2" customWidth="1"/>
    <col min="4635" max="4635" width="12.7109375" style="2" customWidth="1"/>
    <col min="4636" max="4636" width="13.140625" style="2" customWidth="1"/>
    <col min="4637" max="4637" width="14" style="2" customWidth="1"/>
    <col min="4638" max="4638" width="8.140625" style="2" customWidth="1"/>
    <col min="4639" max="4639" width="11.42578125" style="2" customWidth="1"/>
    <col min="4640" max="4640" width="24.7109375" style="2" customWidth="1"/>
    <col min="4641" max="4641" width="12" style="2" customWidth="1"/>
    <col min="4642" max="4643" width="0.28515625" style="2" customWidth="1"/>
    <col min="4644" max="4644" width="1.42578125" style="2" customWidth="1"/>
    <col min="4645" max="4645" width="0" style="2" hidden="1" customWidth="1"/>
    <col min="4646" max="4864" width="11.42578125" style="2"/>
    <col min="4865" max="4865" width="8" style="2" customWidth="1"/>
    <col min="4866" max="4866" width="13.42578125" style="2" customWidth="1"/>
    <col min="4867" max="4867" width="4.28515625" style="2" customWidth="1"/>
    <col min="4868" max="4868" width="4" style="2" customWidth="1"/>
    <col min="4869" max="4869" width="17" style="2" customWidth="1"/>
    <col min="4870" max="4870" width="4.140625" style="2" customWidth="1"/>
    <col min="4871" max="4871" width="11.28515625" style="2" customWidth="1"/>
    <col min="4872" max="4872" width="11" style="2" customWidth="1"/>
    <col min="4873" max="4874" width="2.140625" style="2" customWidth="1"/>
    <col min="4875" max="4875" width="3.28515625" style="2" customWidth="1"/>
    <col min="4876" max="4877" width="0" style="2" hidden="1" customWidth="1"/>
    <col min="4878" max="4878" width="2.85546875" style="2" customWidth="1"/>
    <col min="4879" max="4879" width="3.28515625" style="2" customWidth="1"/>
    <col min="4880" max="4880" width="1.42578125" style="2" customWidth="1"/>
    <col min="4881" max="4881" width="0" style="2" hidden="1" customWidth="1"/>
    <col min="4882" max="4882" width="6.85546875" style="2" customWidth="1"/>
    <col min="4883" max="4883" width="0" style="2" hidden="1" customWidth="1"/>
    <col min="4884" max="4885" width="6.28515625" style="2" customWidth="1"/>
    <col min="4886" max="4886" width="13.85546875" style="2" customWidth="1"/>
    <col min="4887" max="4887" width="10.85546875" style="2" customWidth="1"/>
    <col min="4888" max="4888" width="14.7109375" style="2" customWidth="1"/>
    <col min="4889" max="4889" width="0" style="2" hidden="1" customWidth="1"/>
    <col min="4890" max="4890" width="13" style="2" customWidth="1"/>
    <col min="4891" max="4891" width="12.7109375" style="2" customWidth="1"/>
    <col min="4892" max="4892" width="13.140625" style="2" customWidth="1"/>
    <col min="4893" max="4893" width="14" style="2" customWidth="1"/>
    <col min="4894" max="4894" width="8.140625" style="2" customWidth="1"/>
    <col min="4895" max="4895" width="11.42578125" style="2" customWidth="1"/>
    <col min="4896" max="4896" width="24.7109375" style="2" customWidth="1"/>
    <col min="4897" max="4897" width="12" style="2" customWidth="1"/>
    <col min="4898" max="4899" width="0.28515625" style="2" customWidth="1"/>
    <col min="4900" max="4900" width="1.42578125" style="2" customWidth="1"/>
    <col min="4901" max="4901" width="0" style="2" hidden="1" customWidth="1"/>
    <col min="4902" max="5120" width="11.42578125" style="2"/>
    <col min="5121" max="5121" width="8" style="2" customWidth="1"/>
    <col min="5122" max="5122" width="13.42578125" style="2" customWidth="1"/>
    <col min="5123" max="5123" width="4.28515625" style="2" customWidth="1"/>
    <col min="5124" max="5124" width="4" style="2" customWidth="1"/>
    <col min="5125" max="5125" width="17" style="2" customWidth="1"/>
    <col min="5126" max="5126" width="4.140625" style="2" customWidth="1"/>
    <col min="5127" max="5127" width="11.28515625" style="2" customWidth="1"/>
    <col min="5128" max="5128" width="11" style="2" customWidth="1"/>
    <col min="5129" max="5130" width="2.140625" style="2" customWidth="1"/>
    <col min="5131" max="5131" width="3.28515625" style="2" customWidth="1"/>
    <col min="5132" max="5133" width="0" style="2" hidden="1" customWidth="1"/>
    <col min="5134" max="5134" width="2.85546875" style="2" customWidth="1"/>
    <col min="5135" max="5135" width="3.28515625" style="2" customWidth="1"/>
    <col min="5136" max="5136" width="1.42578125" style="2" customWidth="1"/>
    <col min="5137" max="5137" width="0" style="2" hidden="1" customWidth="1"/>
    <col min="5138" max="5138" width="6.85546875" style="2" customWidth="1"/>
    <col min="5139" max="5139" width="0" style="2" hidden="1" customWidth="1"/>
    <col min="5140" max="5141" width="6.28515625" style="2" customWidth="1"/>
    <col min="5142" max="5142" width="13.85546875" style="2" customWidth="1"/>
    <col min="5143" max="5143" width="10.85546875" style="2" customWidth="1"/>
    <col min="5144" max="5144" width="14.7109375" style="2" customWidth="1"/>
    <col min="5145" max="5145" width="0" style="2" hidden="1" customWidth="1"/>
    <col min="5146" max="5146" width="13" style="2" customWidth="1"/>
    <col min="5147" max="5147" width="12.7109375" style="2" customWidth="1"/>
    <col min="5148" max="5148" width="13.140625" style="2" customWidth="1"/>
    <col min="5149" max="5149" width="14" style="2" customWidth="1"/>
    <col min="5150" max="5150" width="8.140625" style="2" customWidth="1"/>
    <col min="5151" max="5151" width="11.42578125" style="2" customWidth="1"/>
    <col min="5152" max="5152" width="24.7109375" style="2" customWidth="1"/>
    <col min="5153" max="5153" width="12" style="2" customWidth="1"/>
    <col min="5154" max="5155" width="0.28515625" style="2" customWidth="1"/>
    <col min="5156" max="5156" width="1.42578125" style="2" customWidth="1"/>
    <col min="5157" max="5157" width="0" style="2" hidden="1" customWidth="1"/>
    <col min="5158" max="5376" width="11.42578125" style="2"/>
    <col min="5377" max="5377" width="8" style="2" customWidth="1"/>
    <col min="5378" max="5378" width="13.42578125" style="2" customWidth="1"/>
    <col min="5379" max="5379" width="4.28515625" style="2" customWidth="1"/>
    <col min="5380" max="5380" width="4" style="2" customWidth="1"/>
    <col min="5381" max="5381" width="17" style="2" customWidth="1"/>
    <col min="5382" max="5382" width="4.140625" style="2" customWidth="1"/>
    <col min="5383" max="5383" width="11.28515625" style="2" customWidth="1"/>
    <col min="5384" max="5384" width="11" style="2" customWidth="1"/>
    <col min="5385" max="5386" width="2.140625" style="2" customWidth="1"/>
    <col min="5387" max="5387" width="3.28515625" style="2" customWidth="1"/>
    <col min="5388" max="5389" width="0" style="2" hidden="1" customWidth="1"/>
    <col min="5390" max="5390" width="2.85546875" style="2" customWidth="1"/>
    <col min="5391" max="5391" width="3.28515625" style="2" customWidth="1"/>
    <col min="5392" max="5392" width="1.42578125" style="2" customWidth="1"/>
    <col min="5393" max="5393" width="0" style="2" hidden="1" customWidth="1"/>
    <col min="5394" max="5394" width="6.85546875" style="2" customWidth="1"/>
    <col min="5395" max="5395" width="0" style="2" hidden="1" customWidth="1"/>
    <col min="5396" max="5397" width="6.28515625" style="2" customWidth="1"/>
    <col min="5398" max="5398" width="13.85546875" style="2" customWidth="1"/>
    <col min="5399" max="5399" width="10.85546875" style="2" customWidth="1"/>
    <col min="5400" max="5400" width="14.7109375" style="2" customWidth="1"/>
    <col min="5401" max="5401" width="0" style="2" hidden="1" customWidth="1"/>
    <col min="5402" max="5402" width="13" style="2" customWidth="1"/>
    <col min="5403" max="5403" width="12.7109375" style="2" customWidth="1"/>
    <col min="5404" max="5404" width="13.140625" style="2" customWidth="1"/>
    <col min="5405" max="5405" width="14" style="2" customWidth="1"/>
    <col min="5406" max="5406" width="8.140625" style="2" customWidth="1"/>
    <col min="5407" max="5407" width="11.42578125" style="2" customWidth="1"/>
    <col min="5408" max="5408" width="24.7109375" style="2" customWidth="1"/>
    <col min="5409" max="5409" width="12" style="2" customWidth="1"/>
    <col min="5410" max="5411" width="0.28515625" style="2" customWidth="1"/>
    <col min="5412" max="5412" width="1.42578125" style="2" customWidth="1"/>
    <col min="5413" max="5413" width="0" style="2" hidden="1" customWidth="1"/>
    <col min="5414" max="5632" width="11.42578125" style="2"/>
    <col min="5633" max="5633" width="8" style="2" customWidth="1"/>
    <col min="5634" max="5634" width="13.42578125" style="2" customWidth="1"/>
    <col min="5635" max="5635" width="4.28515625" style="2" customWidth="1"/>
    <col min="5636" max="5636" width="4" style="2" customWidth="1"/>
    <col min="5637" max="5637" width="17" style="2" customWidth="1"/>
    <col min="5638" max="5638" width="4.140625" style="2" customWidth="1"/>
    <col min="5639" max="5639" width="11.28515625" style="2" customWidth="1"/>
    <col min="5640" max="5640" width="11" style="2" customWidth="1"/>
    <col min="5641" max="5642" width="2.140625" style="2" customWidth="1"/>
    <col min="5643" max="5643" width="3.28515625" style="2" customWidth="1"/>
    <col min="5644" max="5645" width="0" style="2" hidden="1" customWidth="1"/>
    <col min="5646" max="5646" width="2.85546875" style="2" customWidth="1"/>
    <col min="5647" max="5647" width="3.28515625" style="2" customWidth="1"/>
    <col min="5648" max="5648" width="1.42578125" style="2" customWidth="1"/>
    <col min="5649" max="5649" width="0" style="2" hidden="1" customWidth="1"/>
    <col min="5650" max="5650" width="6.85546875" style="2" customWidth="1"/>
    <col min="5651" max="5651" width="0" style="2" hidden="1" customWidth="1"/>
    <col min="5652" max="5653" width="6.28515625" style="2" customWidth="1"/>
    <col min="5654" max="5654" width="13.85546875" style="2" customWidth="1"/>
    <col min="5655" max="5655" width="10.85546875" style="2" customWidth="1"/>
    <col min="5656" max="5656" width="14.7109375" style="2" customWidth="1"/>
    <col min="5657" max="5657" width="0" style="2" hidden="1" customWidth="1"/>
    <col min="5658" max="5658" width="13" style="2" customWidth="1"/>
    <col min="5659" max="5659" width="12.7109375" style="2" customWidth="1"/>
    <col min="5660" max="5660" width="13.140625" style="2" customWidth="1"/>
    <col min="5661" max="5661" width="14" style="2" customWidth="1"/>
    <col min="5662" max="5662" width="8.140625" style="2" customWidth="1"/>
    <col min="5663" max="5663" width="11.42578125" style="2" customWidth="1"/>
    <col min="5664" max="5664" width="24.7109375" style="2" customWidth="1"/>
    <col min="5665" max="5665" width="12" style="2" customWidth="1"/>
    <col min="5666" max="5667" width="0.28515625" style="2" customWidth="1"/>
    <col min="5668" max="5668" width="1.42578125" style="2" customWidth="1"/>
    <col min="5669" max="5669" width="0" style="2" hidden="1" customWidth="1"/>
    <col min="5670" max="5888" width="11.42578125" style="2"/>
    <col min="5889" max="5889" width="8" style="2" customWidth="1"/>
    <col min="5890" max="5890" width="13.42578125" style="2" customWidth="1"/>
    <col min="5891" max="5891" width="4.28515625" style="2" customWidth="1"/>
    <col min="5892" max="5892" width="4" style="2" customWidth="1"/>
    <col min="5893" max="5893" width="17" style="2" customWidth="1"/>
    <col min="5894" max="5894" width="4.140625" style="2" customWidth="1"/>
    <col min="5895" max="5895" width="11.28515625" style="2" customWidth="1"/>
    <col min="5896" max="5896" width="11" style="2" customWidth="1"/>
    <col min="5897" max="5898" width="2.140625" style="2" customWidth="1"/>
    <col min="5899" max="5899" width="3.28515625" style="2" customWidth="1"/>
    <col min="5900" max="5901" width="0" style="2" hidden="1" customWidth="1"/>
    <col min="5902" max="5902" width="2.85546875" style="2" customWidth="1"/>
    <col min="5903" max="5903" width="3.28515625" style="2" customWidth="1"/>
    <col min="5904" max="5904" width="1.42578125" style="2" customWidth="1"/>
    <col min="5905" max="5905" width="0" style="2" hidden="1" customWidth="1"/>
    <col min="5906" max="5906" width="6.85546875" style="2" customWidth="1"/>
    <col min="5907" max="5907" width="0" style="2" hidden="1" customWidth="1"/>
    <col min="5908" max="5909" width="6.28515625" style="2" customWidth="1"/>
    <col min="5910" max="5910" width="13.85546875" style="2" customWidth="1"/>
    <col min="5911" max="5911" width="10.85546875" style="2" customWidth="1"/>
    <col min="5912" max="5912" width="14.7109375" style="2" customWidth="1"/>
    <col min="5913" max="5913" width="0" style="2" hidden="1" customWidth="1"/>
    <col min="5914" max="5914" width="13" style="2" customWidth="1"/>
    <col min="5915" max="5915" width="12.7109375" style="2" customWidth="1"/>
    <col min="5916" max="5916" width="13.140625" style="2" customWidth="1"/>
    <col min="5917" max="5917" width="14" style="2" customWidth="1"/>
    <col min="5918" max="5918" width="8.140625" style="2" customWidth="1"/>
    <col min="5919" max="5919" width="11.42578125" style="2" customWidth="1"/>
    <col min="5920" max="5920" width="24.7109375" style="2" customWidth="1"/>
    <col min="5921" max="5921" width="12" style="2" customWidth="1"/>
    <col min="5922" max="5923" width="0.28515625" style="2" customWidth="1"/>
    <col min="5924" max="5924" width="1.42578125" style="2" customWidth="1"/>
    <col min="5925" max="5925" width="0" style="2" hidden="1" customWidth="1"/>
    <col min="5926" max="6144" width="11.42578125" style="2"/>
    <col min="6145" max="6145" width="8" style="2" customWidth="1"/>
    <col min="6146" max="6146" width="13.42578125" style="2" customWidth="1"/>
    <col min="6147" max="6147" width="4.28515625" style="2" customWidth="1"/>
    <col min="6148" max="6148" width="4" style="2" customWidth="1"/>
    <col min="6149" max="6149" width="17" style="2" customWidth="1"/>
    <col min="6150" max="6150" width="4.140625" style="2" customWidth="1"/>
    <col min="6151" max="6151" width="11.28515625" style="2" customWidth="1"/>
    <col min="6152" max="6152" width="11" style="2" customWidth="1"/>
    <col min="6153" max="6154" width="2.140625" style="2" customWidth="1"/>
    <col min="6155" max="6155" width="3.28515625" style="2" customWidth="1"/>
    <col min="6156" max="6157" width="0" style="2" hidden="1" customWidth="1"/>
    <col min="6158" max="6158" width="2.85546875" style="2" customWidth="1"/>
    <col min="6159" max="6159" width="3.28515625" style="2" customWidth="1"/>
    <col min="6160" max="6160" width="1.42578125" style="2" customWidth="1"/>
    <col min="6161" max="6161" width="0" style="2" hidden="1" customWidth="1"/>
    <col min="6162" max="6162" width="6.85546875" style="2" customWidth="1"/>
    <col min="6163" max="6163" width="0" style="2" hidden="1" customWidth="1"/>
    <col min="6164" max="6165" width="6.28515625" style="2" customWidth="1"/>
    <col min="6166" max="6166" width="13.85546875" style="2" customWidth="1"/>
    <col min="6167" max="6167" width="10.85546875" style="2" customWidth="1"/>
    <col min="6168" max="6168" width="14.7109375" style="2" customWidth="1"/>
    <col min="6169" max="6169" width="0" style="2" hidden="1" customWidth="1"/>
    <col min="6170" max="6170" width="13" style="2" customWidth="1"/>
    <col min="6171" max="6171" width="12.7109375" style="2" customWidth="1"/>
    <col min="6172" max="6172" width="13.140625" style="2" customWidth="1"/>
    <col min="6173" max="6173" width="14" style="2" customWidth="1"/>
    <col min="6174" max="6174" width="8.140625" style="2" customWidth="1"/>
    <col min="6175" max="6175" width="11.42578125" style="2" customWidth="1"/>
    <col min="6176" max="6176" width="24.7109375" style="2" customWidth="1"/>
    <col min="6177" max="6177" width="12" style="2" customWidth="1"/>
    <col min="6178" max="6179" width="0.28515625" style="2" customWidth="1"/>
    <col min="6180" max="6180" width="1.42578125" style="2" customWidth="1"/>
    <col min="6181" max="6181" width="0" style="2" hidden="1" customWidth="1"/>
    <col min="6182" max="6400" width="11.42578125" style="2"/>
    <col min="6401" max="6401" width="8" style="2" customWidth="1"/>
    <col min="6402" max="6402" width="13.42578125" style="2" customWidth="1"/>
    <col min="6403" max="6403" width="4.28515625" style="2" customWidth="1"/>
    <col min="6404" max="6404" width="4" style="2" customWidth="1"/>
    <col min="6405" max="6405" width="17" style="2" customWidth="1"/>
    <col min="6406" max="6406" width="4.140625" style="2" customWidth="1"/>
    <col min="6407" max="6407" width="11.28515625" style="2" customWidth="1"/>
    <col min="6408" max="6408" width="11" style="2" customWidth="1"/>
    <col min="6409" max="6410" width="2.140625" style="2" customWidth="1"/>
    <col min="6411" max="6411" width="3.28515625" style="2" customWidth="1"/>
    <col min="6412" max="6413" width="0" style="2" hidden="1" customWidth="1"/>
    <col min="6414" max="6414" width="2.85546875" style="2" customWidth="1"/>
    <col min="6415" max="6415" width="3.28515625" style="2" customWidth="1"/>
    <col min="6416" max="6416" width="1.42578125" style="2" customWidth="1"/>
    <col min="6417" max="6417" width="0" style="2" hidden="1" customWidth="1"/>
    <col min="6418" max="6418" width="6.85546875" style="2" customWidth="1"/>
    <col min="6419" max="6419" width="0" style="2" hidden="1" customWidth="1"/>
    <col min="6420" max="6421" width="6.28515625" style="2" customWidth="1"/>
    <col min="6422" max="6422" width="13.85546875" style="2" customWidth="1"/>
    <col min="6423" max="6423" width="10.85546875" style="2" customWidth="1"/>
    <col min="6424" max="6424" width="14.7109375" style="2" customWidth="1"/>
    <col min="6425" max="6425" width="0" style="2" hidden="1" customWidth="1"/>
    <col min="6426" max="6426" width="13" style="2" customWidth="1"/>
    <col min="6427" max="6427" width="12.7109375" style="2" customWidth="1"/>
    <col min="6428" max="6428" width="13.140625" style="2" customWidth="1"/>
    <col min="6429" max="6429" width="14" style="2" customWidth="1"/>
    <col min="6430" max="6430" width="8.140625" style="2" customWidth="1"/>
    <col min="6431" max="6431" width="11.42578125" style="2" customWidth="1"/>
    <col min="6432" max="6432" width="24.7109375" style="2" customWidth="1"/>
    <col min="6433" max="6433" width="12" style="2" customWidth="1"/>
    <col min="6434" max="6435" width="0.28515625" style="2" customWidth="1"/>
    <col min="6436" max="6436" width="1.42578125" style="2" customWidth="1"/>
    <col min="6437" max="6437" width="0" style="2" hidden="1" customWidth="1"/>
    <col min="6438" max="6656" width="11.42578125" style="2"/>
    <col min="6657" max="6657" width="8" style="2" customWidth="1"/>
    <col min="6658" max="6658" width="13.42578125" style="2" customWidth="1"/>
    <col min="6659" max="6659" width="4.28515625" style="2" customWidth="1"/>
    <col min="6660" max="6660" width="4" style="2" customWidth="1"/>
    <col min="6661" max="6661" width="17" style="2" customWidth="1"/>
    <col min="6662" max="6662" width="4.140625" style="2" customWidth="1"/>
    <col min="6663" max="6663" width="11.28515625" style="2" customWidth="1"/>
    <col min="6664" max="6664" width="11" style="2" customWidth="1"/>
    <col min="6665" max="6666" width="2.140625" style="2" customWidth="1"/>
    <col min="6667" max="6667" width="3.28515625" style="2" customWidth="1"/>
    <col min="6668" max="6669" width="0" style="2" hidden="1" customWidth="1"/>
    <col min="6670" max="6670" width="2.85546875" style="2" customWidth="1"/>
    <col min="6671" max="6671" width="3.28515625" style="2" customWidth="1"/>
    <col min="6672" max="6672" width="1.42578125" style="2" customWidth="1"/>
    <col min="6673" max="6673" width="0" style="2" hidden="1" customWidth="1"/>
    <col min="6674" max="6674" width="6.85546875" style="2" customWidth="1"/>
    <col min="6675" max="6675" width="0" style="2" hidden="1" customWidth="1"/>
    <col min="6676" max="6677" width="6.28515625" style="2" customWidth="1"/>
    <col min="6678" max="6678" width="13.85546875" style="2" customWidth="1"/>
    <col min="6679" max="6679" width="10.85546875" style="2" customWidth="1"/>
    <col min="6680" max="6680" width="14.7109375" style="2" customWidth="1"/>
    <col min="6681" max="6681" width="0" style="2" hidden="1" customWidth="1"/>
    <col min="6682" max="6682" width="13" style="2" customWidth="1"/>
    <col min="6683" max="6683" width="12.7109375" style="2" customWidth="1"/>
    <col min="6684" max="6684" width="13.140625" style="2" customWidth="1"/>
    <col min="6685" max="6685" width="14" style="2" customWidth="1"/>
    <col min="6686" max="6686" width="8.140625" style="2" customWidth="1"/>
    <col min="6687" max="6687" width="11.42578125" style="2" customWidth="1"/>
    <col min="6688" max="6688" width="24.7109375" style="2" customWidth="1"/>
    <col min="6689" max="6689" width="12" style="2" customWidth="1"/>
    <col min="6690" max="6691" width="0.28515625" style="2" customWidth="1"/>
    <col min="6692" max="6692" width="1.42578125" style="2" customWidth="1"/>
    <col min="6693" max="6693" width="0" style="2" hidden="1" customWidth="1"/>
    <col min="6694" max="6912" width="11.42578125" style="2"/>
    <col min="6913" max="6913" width="8" style="2" customWidth="1"/>
    <col min="6914" max="6914" width="13.42578125" style="2" customWidth="1"/>
    <col min="6915" max="6915" width="4.28515625" style="2" customWidth="1"/>
    <col min="6916" max="6916" width="4" style="2" customWidth="1"/>
    <col min="6917" max="6917" width="17" style="2" customWidth="1"/>
    <col min="6918" max="6918" width="4.140625" style="2" customWidth="1"/>
    <col min="6919" max="6919" width="11.28515625" style="2" customWidth="1"/>
    <col min="6920" max="6920" width="11" style="2" customWidth="1"/>
    <col min="6921" max="6922" width="2.140625" style="2" customWidth="1"/>
    <col min="6923" max="6923" width="3.28515625" style="2" customWidth="1"/>
    <col min="6924" max="6925" width="0" style="2" hidden="1" customWidth="1"/>
    <col min="6926" max="6926" width="2.85546875" style="2" customWidth="1"/>
    <col min="6927" max="6927" width="3.28515625" style="2" customWidth="1"/>
    <col min="6928" max="6928" width="1.42578125" style="2" customWidth="1"/>
    <col min="6929" max="6929" width="0" style="2" hidden="1" customWidth="1"/>
    <col min="6930" max="6930" width="6.85546875" style="2" customWidth="1"/>
    <col min="6931" max="6931" width="0" style="2" hidden="1" customWidth="1"/>
    <col min="6932" max="6933" width="6.28515625" style="2" customWidth="1"/>
    <col min="6934" max="6934" width="13.85546875" style="2" customWidth="1"/>
    <col min="6935" max="6935" width="10.85546875" style="2" customWidth="1"/>
    <col min="6936" max="6936" width="14.7109375" style="2" customWidth="1"/>
    <col min="6937" max="6937" width="0" style="2" hidden="1" customWidth="1"/>
    <col min="6938" max="6938" width="13" style="2" customWidth="1"/>
    <col min="6939" max="6939" width="12.7109375" style="2" customWidth="1"/>
    <col min="6940" max="6940" width="13.140625" style="2" customWidth="1"/>
    <col min="6941" max="6941" width="14" style="2" customWidth="1"/>
    <col min="6942" max="6942" width="8.140625" style="2" customWidth="1"/>
    <col min="6943" max="6943" width="11.42578125" style="2" customWidth="1"/>
    <col min="6944" max="6944" width="24.7109375" style="2" customWidth="1"/>
    <col min="6945" max="6945" width="12" style="2" customWidth="1"/>
    <col min="6946" max="6947" width="0.28515625" style="2" customWidth="1"/>
    <col min="6948" max="6948" width="1.42578125" style="2" customWidth="1"/>
    <col min="6949" max="6949" width="0" style="2" hidden="1" customWidth="1"/>
    <col min="6950" max="7168" width="11.42578125" style="2"/>
    <col min="7169" max="7169" width="8" style="2" customWidth="1"/>
    <col min="7170" max="7170" width="13.42578125" style="2" customWidth="1"/>
    <col min="7171" max="7171" width="4.28515625" style="2" customWidth="1"/>
    <col min="7172" max="7172" width="4" style="2" customWidth="1"/>
    <col min="7173" max="7173" width="17" style="2" customWidth="1"/>
    <col min="7174" max="7174" width="4.140625" style="2" customWidth="1"/>
    <col min="7175" max="7175" width="11.28515625" style="2" customWidth="1"/>
    <col min="7176" max="7176" width="11" style="2" customWidth="1"/>
    <col min="7177" max="7178" width="2.140625" style="2" customWidth="1"/>
    <col min="7179" max="7179" width="3.28515625" style="2" customWidth="1"/>
    <col min="7180" max="7181" width="0" style="2" hidden="1" customWidth="1"/>
    <col min="7182" max="7182" width="2.85546875" style="2" customWidth="1"/>
    <col min="7183" max="7183" width="3.28515625" style="2" customWidth="1"/>
    <col min="7184" max="7184" width="1.42578125" style="2" customWidth="1"/>
    <col min="7185" max="7185" width="0" style="2" hidden="1" customWidth="1"/>
    <col min="7186" max="7186" width="6.85546875" style="2" customWidth="1"/>
    <col min="7187" max="7187" width="0" style="2" hidden="1" customWidth="1"/>
    <col min="7188" max="7189" width="6.28515625" style="2" customWidth="1"/>
    <col min="7190" max="7190" width="13.85546875" style="2" customWidth="1"/>
    <col min="7191" max="7191" width="10.85546875" style="2" customWidth="1"/>
    <col min="7192" max="7192" width="14.7109375" style="2" customWidth="1"/>
    <col min="7193" max="7193" width="0" style="2" hidden="1" customWidth="1"/>
    <col min="7194" max="7194" width="13" style="2" customWidth="1"/>
    <col min="7195" max="7195" width="12.7109375" style="2" customWidth="1"/>
    <col min="7196" max="7196" width="13.140625" style="2" customWidth="1"/>
    <col min="7197" max="7197" width="14" style="2" customWidth="1"/>
    <col min="7198" max="7198" width="8.140625" style="2" customWidth="1"/>
    <col min="7199" max="7199" width="11.42578125" style="2" customWidth="1"/>
    <col min="7200" max="7200" width="24.7109375" style="2" customWidth="1"/>
    <col min="7201" max="7201" width="12" style="2" customWidth="1"/>
    <col min="7202" max="7203" width="0.28515625" style="2" customWidth="1"/>
    <col min="7204" max="7204" width="1.42578125" style="2" customWidth="1"/>
    <col min="7205" max="7205" width="0" style="2" hidden="1" customWidth="1"/>
    <col min="7206" max="7424" width="11.42578125" style="2"/>
    <col min="7425" max="7425" width="8" style="2" customWidth="1"/>
    <col min="7426" max="7426" width="13.42578125" style="2" customWidth="1"/>
    <col min="7427" max="7427" width="4.28515625" style="2" customWidth="1"/>
    <col min="7428" max="7428" width="4" style="2" customWidth="1"/>
    <col min="7429" max="7429" width="17" style="2" customWidth="1"/>
    <col min="7430" max="7430" width="4.140625" style="2" customWidth="1"/>
    <col min="7431" max="7431" width="11.28515625" style="2" customWidth="1"/>
    <col min="7432" max="7432" width="11" style="2" customWidth="1"/>
    <col min="7433" max="7434" width="2.140625" style="2" customWidth="1"/>
    <col min="7435" max="7435" width="3.28515625" style="2" customWidth="1"/>
    <col min="7436" max="7437" width="0" style="2" hidden="1" customWidth="1"/>
    <col min="7438" max="7438" width="2.85546875" style="2" customWidth="1"/>
    <col min="7439" max="7439" width="3.28515625" style="2" customWidth="1"/>
    <col min="7440" max="7440" width="1.42578125" style="2" customWidth="1"/>
    <col min="7441" max="7441" width="0" style="2" hidden="1" customWidth="1"/>
    <col min="7442" max="7442" width="6.85546875" style="2" customWidth="1"/>
    <col min="7443" max="7443" width="0" style="2" hidden="1" customWidth="1"/>
    <col min="7444" max="7445" width="6.28515625" style="2" customWidth="1"/>
    <col min="7446" max="7446" width="13.85546875" style="2" customWidth="1"/>
    <col min="7447" max="7447" width="10.85546875" style="2" customWidth="1"/>
    <col min="7448" max="7448" width="14.7109375" style="2" customWidth="1"/>
    <col min="7449" max="7449" width="0" style="2" hidden="1" customWidth="1"/>
    <col min="7450" max="7450" width="13" style="2" customWidth="1"/>
    <col min="7451" max="7451" width="12.7109375" style="2" customWidth="1"/>
    <col min="7452" max="7452" width="13.140625" style="2" customWidth="1"/>
    <col min="7453" max="7453" width="14" style="2" customWidth="1"/>
    <col min="7454" max="7454" width="8.140625" style="2" customWidth="1"/>
    <col min="7455" max="7455" width="11.42578125" style="2" customWidth="1"/>
    <col min="7456" max="7456" width="24.7109375" style="2" customWidth="1"/>
    <col min="7457" max="7457" width="12" style="2" customWidth="1"/>
    <col min="7458" max="7459" width="0.28515625" style="2" customWidth="1"/>
    <col min="7460" max="7460" width="1.42578125" style="2" customWidth="1"/>
    <col min="7461" max="7461" width="0" style="2" hidden="1" customWidth="1"/>
    <col min="7462" max="7680" width="11.42578125" style="2"/>
    <col min="7681" max="7681" width="8" style="2" customWidth="1"/>
    <col min="7682" max="7682" width="13.42578125" style="2" customWidth="1"/>
    <col min="7683" max="7683" width="4.28515625" style="2" customWidth="1"/>
    <col min="7684" max="7684" width="4" style="2" customWidth="1"/>
    <col min="7685" max="7685" width="17" style="2" customWidth="1"/>
    <col min="7686" max="7686" width="4.140625" style="2" customWidth="1"/>
    <col min="7687" max="7687" width="11.28515625" style="2" customWidth="1"/>
    <col min="7688" max="7688" width="11" style="2" customWidth="1"/>
    <col min="7689" max="7690" width="2.140625" style="2" customWidth="1"/>
    <col min="7691" max="7691" width="3.28515625" style="2" customWidth="1"/>
    <col min="7692" max="7693" width="0" style="2" hidden="1" customWidth="1"/>
    <col min="7694" max="7694" width="2.85546875" style="2" customWidth="1"/>
    <col min="7695" max="7695" width="3.28515625" style="2" customWidth="1"/>
    <col min="7696" max="7696" width="1.42578125" style="2" customWidth="1"/>
    <col min="7697" max="7697" width="0" style="2" hidden="1" customWidth="1"/>
    <col min="7698" max="7698" width="6.85546875" style="2" customWidth="1"/>
    <col min="7699" max="7699" width="0" style="2" hidden="1" customWidth="1"/>
    <col min="7700" max="7701" width="6.28515625" style="2" customWidth="1"/>
    <col min="7702" max="7702" width="13.85546875" style="2" customWidth="1"/>
    <col min="7703" max="7703" width="10.85546875" style="2" customWidth="1"/>
    <col min="7704" max="7704" width="14.7109375" style="2" customWidth="1"/>
    <col min="7705" max="7705" width="0" style="2" hidden="1" customWidth="1"/>
    <col min="7706" max="7706" width="13" style="2" customWidth="1"/>
    <col min="7707" max="7707" width="12.7109375" style="2" customWidth="1"/>
    <col min="7708" max="7708" width="13.140625" style="2" customWidth="1"/>
    <col min="7709" max="7709" width="14" style="2" customWidth="1"/>
    <col min="7710" max="7710" width="8.140625" style="2" customWidth="1"/>
    <col min="7711" max="7711" width="11.42578125" style="2" customWidth="1"/>
    <col min="7712" max="7712" width="24.7109375" style="2" customWidth="1"/>
    <col min="7713" max="7713" width="12" style="2" customWidth="1"/>
    <col min="7714" max="7715" width="0.28515625" style="2" customWidth="1"/>
    <col min="7716" max="7716" width="1.42578125" style="2" customWidth="1"/>
    <col min="7717" max="7717" width="0" style="2" hidden="1" customWidth="1"/>
    <col min="7718" max="7936" width="11.42578125" style="2"/>
    <col min="7937" max="7937" width="8" style="2" customWidth="1"/>
    <col min="7938" max="7938" width="13.42578125" style="2" customWidth="1"/>
    <col min="7939" max="7939" width="4.28515625" style="2" customWidth="1"/>
    <col min="7940" max="7940" width="4" style="2" customWidth="1"/>
    <col min="7941" max="7941" width="17" style="2" customWidth="1"/>
    <col min="7942" max="7942" width="4.140625" style="2" customWidth="1"/>
    <col min="7943" max="7943" width="11.28515625" style="2" customWidth="1"/>
    <col min="7944" max="7944" width="11" style="2" customWidth="1"/>
    <col min="7945" max="7946" width="2.140625" style="2" customWidth="1"/>
    <col min="7947" max="7947" width="3.28515625" style="2" customWidth="1"/>
    <col min="7948" max="7949" width="0" style="2" hidden="1" customWidth="1"/>
    <col min="7950" max="7950" width="2.85546875" style="2" customWidth="1"/>
    <col min="7951" max="7951" width="3.28515625" style="2" customWidth="1"/>
    <col min="7952" max="7952" width="1.42578125" style="2" customWidth="1"/>
    <col min="7953" max="7953" width="0" style="2" hidden="1" customWidth="1"/>
    <col min="7954" max="7954" width="6.85546875" style="2" customWidth="1"/>
    <col min="7955" max="7955" width="0" style="2" hidden="1" customWidth="1"/>
    <col min="7956" max="7957" width="6.28515625" style="2" customWidth="1"/>
    <col min="7958" max="7958" width="13.85546875" style="2" customWidth="1"/>
    <col min="7959" max="7959" width="10.85546875" style="2" customWidth="1"/>
    <col min="7960" max="7960" width="14.7109375" style="2" customWidth="1"/>
    <col min="7961" max="7961" width="0" style="2" hidden="1" customWidth="1"/>
    <col min="7962" max="7962" width="13" style="2" customWidth="1"/>
    <col min="7963" max="7963" width="12.7109375" style="2" customWidth="1"/>
    <col min="7964" max="7964" width="13.140625" style="2" customWidth="1"/>
    <col min="7965" max="7965" width="14" style="2" customWidth="1"/>
    <col min="7966" max="7966" width="8.140625" style="2" customWidth="1"/>
    <col min="7967" max="7967" width="11.42578125" style="2" customWidth="1"/>
    <col min="7968" max="7968" width="24.7109375" style="2" customWidth="1"/>
    <col min="7969" max="7969" width="12" style="2" customWidth="1"/>
    <col min="7970" max="7971" width="0.28515625" style="2" customWidth="1"/>
    <col min="7972" max="7972" width="1.42578125" style="2" customWidth="1"/>
    <col min="7973" max="7973" width="0" style="2" hidden="1" customWidth="1"/>
    <col min="7974" max="8192" width="11.42578125" style="2"/>
    <col min="8193" max="8193" width="8" style="2" customWidth="1"/>
    <col min="8194" max="8194" width="13.42578125" style="2" customWidth="1"/>
    <col min="8195" max="8195" width="4.28515625" style="2" customWidth="1"/>
    <col min="8196" max="8196" width="4" style="2" customWidth="1"/>
    <col min="8197" max="8197" width="17" style="2" customWidth="1"/>
    <col min="8198" max="8198" width="4.140625" style="2" customWidth="1"/>
    <col min="8199" max="8199" width="11.28515625" style="2" customWidth="1"/>
    <col min="8200" max="8200" width="11" style="2" customWidth="1"/>
    <col min="8201" max="8202" width="2.140625" style="2" customWidth="1"/>
    <col min="8203" max="8203" width="3.28515625" style="2" customWidth="1"/>
    <col min="8204" max="8205" width="0" style="2" hidden="1" customWidth="1"/>
    <col min="8206" max="8206" width="2.85546875" style="2" customWidth="1"/>
    <col min="8207" max="8207" width="3.28515625" style="2" customWidth="1"/>
    <col min="8208" max="8208" width="1.42578125" style="2" customWidth="1"/>
    <col min="8209" max="8209" width="0" style="2" hidden="1" customWidth="1"/>
    <col min="8210" max="8210" width="6.85546875" style="2" customWidth="1"/>
    <col min="8211" max="8211" width="0" style="2" hidden="1" customWidth="1"/>
    <col min="8212" max="8213" width="6.28515625" style="2" customWidth="1"/>
    <col min="8214" max="8214" width="13.85546875" style="2" customWidth="1"/>
    <col min="8215" max="8215" width="10.85546875" style="2" customWidth="1"/>
    <col min="8216" max="8216" width="14.7109375" style="2" customWidth="1"/>
    <col min="8217" max="8217" width="0" style="2" hidden="1" customWidth="1"/>
    <col min="8218" max="8218" width="13" style="2" customWidth="1"/>
    <col min="8219" max="8219" width="12.7109375" style="2" customWidth="1"/>
    <col min="8220" max="8220" width="13.140625" style="2" customWidth="1"/>
    <col min="8221" max="8221" width="14" style="2" customWidth="1"/>
    <col min="8222" max="8222" width="8.140625" style="2" customWidth="1"/>
    <col min="8223" max="8223" width="11.42578125" style="2" customWidth="1"/>
    <col min="8224" max="8224" width="24.7109375" style="2" customWidth="1"/>
    <col min="8225" max="8225" width="12" style="2" customWidth="1"/>
    <col min="8226" max="8227" width="0.28515625" style="2" customWidth="1"/>
    <col min="8228" max="8228" width="1.42578125" style="2" customWidth="1"/>
    <col min="8229" max="8229" width="0" style="2" hidden="1" customWidth="1"/>
    <col min="8230" max="8448" width="11.42578125" style="2"/>
    <col min="8449" max="8449" width="8" style="2" customWidth="1"/>
    <col min="8450" max="8450" width="13.42578125" style="2" customWidth="1"/>
    <col min="8451" max="8451" width="4.28515625" style="2" customWidth="1"/>
    <col min="8452" max="8452" width="4" style="2" customWidth="1"/>
    <col min="8453" max="8453" width="17" style="2" customWidth="1"/>
    <col min="8454" max="8454" width="4.140625" style="2" customWidth="1"/>
    <col min="8455" max="8455" width="11.28515625" style="2" customWidth="1"/>
    <col min="8456" max="8456" width="11" style="2" customWidth="1"/>
    <col min="8457" max="8458" width="2.140625" style="2" customWidth="1"/>
    <col min="8459" max="8459" width="3.28515625" style="2" customWidth="1"/>
    <col min="8460" max="8461" width="0" style="2" hidden="1" customWidth="1"/>
    <col min="8462" max="8462" width="2.85546875" style="2" customWidth="1"/>
    <col min="8463" max="8463" width="3.28515625" style="2" customWidth="1"/>
    <col min="8464" max="8464" width="1.42578125" style="2" customWidth="1"/>
    <col min="8465" max="8465" width="0" style="2" hidden="1" customWidth="1"/>
    <col min="8466" max="8466" width="6.85546875" style="2" customWidth="1"/>
    <col min="8467" max="8467" width="0" style="2" hidden="1" customWidth="1"/>
    <col min="8468" max="8469" width="6.28515625" style="2" customWidth="1"/>
    <col min="8470" max="8470" width="13.85546875" style="2" customWidth="1"/>
    <col min="8471" max="8471" width="10.85546875" style="2" customWidth="1"/>
    <col min="8472" max="8472" width="14.7109375" style="2" customWidth="1"/>
    <col min="8473" max="8473" width="0" style="2" hidden="1" customWidth="1"/>
    <col min="8474" max="8474" width="13" style="2" customWidth="1"/>
    <col min="8475" max="8475" width="12.7109375" style="2" customWidth="1"/>
    <col min="8476" max="8476" width="13.140625" style="2" customWidth="1"/>
    <col min="8477" max="8477" width="14" style="2" customWidth="1"/>
    <col min="8478" max="8478" width="8.140625" style="2" customWidth="1"/>
    <col min="8479" max="8479" width="11.42578125" style="2" customWidth="1"/>
    <col min="8480" max="8480" width="24.7109375" style="2" customWidth="1"/>
    <col min="8481" max="8481" width="12" style="2" customWidth="1"/>
    <col min="8482" max="8483" width="0.28515625" style="2" customWidth="1"/>
    <col min="8484" max="8484" width="1.42578125" style="2" customWidth="1"/>
    <col min="8485" max="8485" width="0" style="2" hidden="1" customWidth="1"/>
    <col min="8486" max="8704" width="11.42578125" style="2"/>
    <col min="8705" max="8705" width="8" style="2" customWidth="1"/>
    <col min="8706" max="8706" width="13.42578125" style="2" customWidth="1"/>
    <col min="8707" max="8707" width="4.28515625" style="2" customWidth="1"/>
    <col min="8708" max="8708" width="4" style="2" customWidth="1"/>
    <col min="8709" max="8709" width="17" style="2" customWidth="1"/>
    <col min="8710" max="8710" width="4.140625" style="2" customWidth="1"/>
    <col min="8711" max="8711" width="11.28515625" style="2" customWidth="1"/>
    <col min="8712" max="8712" width="11" style="2" customWidth="1"/>
    <col min="8713" max="8714" width="2.140625" style="2" customWidth="1"/>
    <col min="8715" max="8715" width="3.28515625" style="2" customWidth="1"/>
    <col min="8716" max="8717" width="0" style="2" hidden="1" customWidth="1"/>
    <col min="8718" max="8718" width="2.85546875" style="2" customWidth="1"/>
    <col min="8719" max="8719" width="3.28515625" style="2" customWidth="1"/>
    <col min="8720" max="8720" width="1.42578125" style="2" customWidth="1"/>
    <col min="8721" max="8721" width="0" style="2" hidden="1" customWidth="1"/>
    <col min="8722" max="8722" width="6.85546875" style="2" customWidth="1"/>
    <col min="8723" max="8723" width="0" style="2" hidden="1" customWidth="1"/>
    <col min="8724" max="8725" width="6.28515625" style="2" customWidth="1"/>
    <col min="8726" max="8726" width="13.85546875" style="2" customWidth="1"/>
    <col min="8727" max="8727" width="10.85546875" style="2" customWidth="1"/>
    <col min="8728" max="8728" width="14.7109375" style="2" customWidth="1"/>
    <col min="8729" max="8729" width="0" style="2" hidden="1" customWidth="1"/>
    <col min="8730" max="8730" width="13" style="2" customWidth="1"/>
    <col min="8731" max="8731" width="12.7109375" style="2" customWidth="1"/>
    <col min="8732" max="8732" width="13.140625" style="2" customWidth="1"/>
    <col min="8733" max="8733" width="14" style="2" customWidth="1"/>
    <col min="8734" max="8734" width="8.140625" style="2" customWidth="1"/>
    <col min="8735" max="8735" width="11.42578125" style="2" customWidth="1"/>
    <col min="8736" max="8736" width="24.7109375" style="2" customWidth="1"/>
    <col min="8737" max="8737" width="12" style="2" customWidth="1"/>
    <col min="8738" max="8739" width="0.28515625" style="2" customWidth="1"/>
    <col min="8740" max="8740" width="1.42578125" style="2" customWidth="1"/>
    <col min="8741" max="8741" width="0" style="2" hidden="1" customWidth="1"/>
    <col min="8742" max="8960" width="11.42578125" style="2"/>
    <col min="8961" max="8961" width="8" style="2" customWidth="1"/>
    <col min="8962" max="8962" width="13.42578125" style="2" customWidth="1"/>
    <col min="8963" max="8963" width="4.28515625" style="2" customWidth="1"/>
    <col min="8964" max="8964" width="4" style="2" customWidth="1"/>
    <col min="8965" max="8965" width="17" style="2" customWidth="1"/>
    <col min="8966" max="8966" width="4.140625" style="2" customWidth="1"/>
    <col min="8967" max="8967" width="11.28515625" style="2" customWidth="1"/>
    <col min="8968" max="8968" width="11" style="2" customWidth="1"/>
    <col min="8969" max="8970" width="2.140625" style="2" customWidth="1"/>
    <col min="8971" max="8971" width="3.28515625" style="2" customWidth="1"/>
    <col min="8972" max="8973" width="0" style="2" hidden="1" customWidth="1"/>
    <col min="8974" max="8974" width="2.85546875" style="2" customWidth="1"/>
    <col min="8975" max="8975" width="3.28515625" style="2" customWidth="1"/>
    <col min="8976" max="8976" width="1.42578125" style="2" customWidth="1"/>
    <col min="8977" max="8977" width="0" style="2" hidden="1" customWidth="1"/>
    <col min="8978" max="8978" width="6.85546875" style="2" customWidth="1"/>
    <col min="8979" max="8979" width="0" style="2" hidden="1" customWidth="1"/>
    <col min="8980" max="8981" width="6.28515625" style="2" customWidth="1"/>
    <col min="8982" max="8982" width="13.85546875" style="2" customWidth="1"/>
    <col min="8983" max="8983" width="10.85546875" style="2" customWidth="1"/>
    <col min="8984" max="8984" width="14.7109375" style="2" customWidth="1"/>
    <col min="8985" max="8985" width="0" style="2" hidden="1" customWidth="1"/>
    <col min="8986" max="8986" width="13" style="2" customWidth="1"/>
    <col min="8987" max="8987" width="12.7109375" style="2" customWidth="1"/>
    <col min="8988" max="8988" width="13.140625" style="2" customWidth="1"/>
    <col min="8989" max="8989" width="14" style="2" customWidth="1"/>
    <col min="8990" max="8990" width="8.140625" style="2" customWidth="1"/>
    <col min="8991" max="8991" width="11.42578125" style="2" customWidth="1"/>
    <col min="8992" max="8992" width="24.7109375" style="2" customWidth="1"/>
    <col min="8993" max="8993" width="12" style="2" customWidth="1"/>
    <col min="8994" max="8995" width="0.28515625" style="2" customWidth="1"/>
    <col min="8996" max="8996" width="1.42578125" style="2" customWidth="1"/>
    <col min="8997" max="8997" width="0" style="2" hidden="1" customWidth="1"/>
    <col min="8998" max="9216" width="11.42578125" style="2"/>
    <col min="9217" max="9217" width="8" style="2" customWidth="1"/>
    <col min="9218" max="9218" width="13.42578125" style="2" customWidth="1"/>
    <col min="9219" max="9219" width="4.28515625" style="2" customWidth="1"/>
    <col min="9220" max="9220" width="4" style="2" customWidth="1"/>
    <col min="9221" max="9221" width="17" style="2" customWidth="1"/>
    <col min="9222" max="9222" width="4.140625" style="2" customWidth="1"/>
    <col min="9223" max="9223" width="11.28515625" style="2" customWidth="1"/>
    <col min="9224" max="9224" width="11" style="2" customWidth="1"/>
    <col min="9225" max="9226" width="2.140625" style="2" customWidth="1"/>
    <col min="9227" max="9227" width="3.28515625" style="2" customWidth="1"/>
    <col min="9228" max="9229" width="0" style="2" hidden="1" customWidth="1"/>
    <col min="9230" max="9230" width="2.85546875" style="2" customWidth="1"/>
    <col min="9231" max="9231" width="3.28515625" style="2" customWidth="1"/>
    <col min="9232" max="9232" width="1.42578125" style="2" customWidth="1"/>
    <col min="9233" max="9233" width="0" style="2" hidden="1" customWidth="1"/>
    <col min="9234" max="9234" width="6.85546875" style="2" customWidth="1"/>
    <col min="9235" max="9235" width="0" style="2" hidden="1" customWidth="1"/>
    <col min="9236" max="9237" width="6.28515625" style="2" customWidth="1"/>
    <col min="9238" max="9238" width="13.85546875" style="2" customWidth="1"/>
    <col min="9239" max="9239" width="10.85546875" style="2" customWidth="1"/>
    <col min="9240" max="9240" width="14.7109375" style="2" customWidth="1"/>
    <col min="9241" max="9241" width="0" style="2" hidden="1" customWidth="1"/>
    <col min="9242" max="9242" width="13" style="2" customWidth="1"/>
    <col min="9243" max="9243" width="12.7109375" style="2" customWidth="1"/>
    <col min="9244" max="9244" width="13.140625" style="2" customWidth="1"/>
    <col min="9245" max="9245" width="14" style="2" customWidth="1"/>
    <col min="9246" max="9246" width="8.140625" style="2" customWidth="1"/>
    <col min="9247" max="9247" width="11.42578125" style="2" customWidth="1"/>
    <col min="9248" max="9248" width="24.7109375" style="2" customWidth="1"/>
    <col min="9249" max="9249" width="12" style="2" customWidth="1"/>
    <col min="9250" max="9251" width="0.28515625" style="2" customWidth="1"/>
    <col min="9252" max="9252" width="1.42578125" style="2" customWidth="1"/>
    <col min="9253" max="9253" width="0" style="2" hidden="1" customWidth="1"/>
    <col min="9254" max="9472" width="11.42578125" style="2"/>
    <col min="9473" max="9473" width="8" style="2" customWidth="1"/>
    <col min="9474" max="9474" width="13.42578125" style="2" customWidth="1"/>
    <col min="9475" max="9475" width="4.28515625" style="2" customWidth="1"/>
    <col min="9476" max="9476" width="4" style="2" customWidth="1"/>
    <col min="9477" max="9477" width="17" style="2" customWidth="1"/>
    <col min="9478" max="9478" width="4.140625" style="2" customWidth="1"/>
    <col min="9479" max="9479" width="11.28515625" style="2" customWidth="1"/>
    <col min="9480" max="9480" width="11" style="2" customWidth="1"/>
    <col min="9481" max="9482" width="2.140625" style="2" customWidth="1"/>
    <col min="9483" max="9483" width="3.28515625" style="2" customWidth="1"/>
    <col min="9484" max="9485" width="0" style="2" hidden="1" customWidth="1"/>
    <col min="9486" max="9486" width="2.85546875" style="2" customWidth="1"/>
    <col min="9487" max="9487" width="3.28515625" style="2" customWidth="1"/>
    <col min="9488" max="9488" width="1.42578125" style="2" customWidth="1"/>
    <col min="9489" max="9489" width="0" style="2" hidden="1" customWidth="1"/>
    <col min="9490" max="9490" width="6.85546875" style="2" customWidth="1"/>
    <col min="9491" max="9491" width="0" style="2" hidden="1" customWidth="1"/>
    <col min="9492" max="9493" width="6.28515625" style="2" customWidth="1"/>
    <col min="9494" max="9494" width="13.85546875" style="2" customWidth="1"/>
    <col min="9495" max="9495" width="10.85546875" style="2" customWidth="1"/>
    <col min="9496" max="9496" width="14.7109375" style="2" customWidth="1"/>
    <col min="9497" max="9497" width="0" style="2" hidden="1" customWidth="1"/>
    <col min="9498" max="9498" width="13" style="2" customWidth="1"/>
    <col min="9499" max="9499" width="12.7109375" style="2" customWidth="1"/>
    <col min="9500" max="9500" width="13.140625" style="2" customWidth="1"/>
    <col min="9501" max="9501" width="14" style="2" customWidth="1"/>
    <col min="9502" max="9502" width="8.140625" style="2" customWidth="1"/>
    <col min="9503" max="9503" width="11.42578125" style="2" customWidth="1"/>
    <col min="9504" max="9504" width="24.7109375" style="2" customWidth="1"/>
    <col min="9505" max="9505" width="12" style="2" customWidth="1"/>
    <col min="9506" max="9507" width="0.28515625" style="2" customWidth="1"/>
    <col min="9508" max="9508" width="1.42578125" style="2" customWidth="1"/>
    <col min="9509" max="9509" width="0" style="2" hidden="1" customWidth="1"/>
    <col min="9510" max="9728" width="11.42578125" style="2"/>
    <col min="9729" max="9729" width="8" style="2" customWidth="1"/>
    <col min="9730" max="9730" width="13.42578125" style="2" customWidth="1"/>
    <col min="9731" max="9731" width="4.28515625" style="2" customWidth="1"/>
    <col min="9732" max="9732" width="4" style="2" customWidth="1"/>
    <col min="9733" max="9733" width="17" style="2" customWidth="1"/>
    <col min="9734" max="9734" width="4.140625" style="2" customWidth="1"/>
    <col min="9735" max="9735" width="11.28515625" style="2" customWidth="1"/>
    <col min="9736" max="9736" width="11" style="2" customWidth="1"/>
    <col min="9737" max="9738" width="2.140625" style="2" customWidth="1"/>
    <col min="9739" max="9739" width="3.28515625" style="2" customWidth="1"/>
    <col min="9740" max="9741" width="0" style="2" hidden="1" customWidth="1"/>
    <col min="9742" max="9742" width="2.85546875" style="2" customWidth="1"/>
    <col min="9743" max="9743" width="3.28515625" style="2" customWidth="1"/>
    <col min="9744" max="9744" width="1.42578125" style="2" customWidth="1"/>
    <col min="9745" max="9745" width="0" style="2" hidden="1" customWidth="1"/>
    <col min="9746" max="9746" width="6.85546875" style="2" customWidth="1"/>
    <col min="9747" max="9747" width="0" style="2" hidden="1" customWidth="1"/>
    <col min="9748" max="9749" width="6.28515625" style="2" customWidth="1"/>
    <col min="9750" max="9750" width="13.85546875" style="2" customWidth="1"/>
    <col min="9751" max="9751" width="10.85546875" style="2" customWidth="1"/>
    <col min="9752" max="9752" width="14.7109375" style="2" customWidth="1"/>
    <col min="9753" max="9753" width="0" style="2" hidden="1" customWidth="1"/>
    <col min="9754" max="9754" width="13" style="2" customWidth="1"/>
    <col min="9755" max="9755" width="12.7109375" style="2" customWidth="1"/>
    <col min="9756" max="9756" width="13.140625" style="2" customWidth="1"/>
    <col min="9757" max="9757" width="14" style="2" customWidth="1"/>
    <col min="9758" max="9758" width="8.140625" style="2" customWidth="1"/>
    <col min="9759" max="9759" width="11.42578125" style="2" customWidth="1"/>
    <col min="9760" max="9760" width="24.7109375" style="2" customWidth="1"/>
    <col min="9761" max="9761" width="12" style="2" customWidth="1"/>
    <col min="9762" max="9763" width="0.28515625" style="2" customWidth="1"/>
    <col min="9764" max="9764" width="1.42578125" style="2" customWidth="1"/>
    <col min="9765" max="9765" width="0" style="2" hidden="1" customWidth="1"/>
    <col min="9766" max="9984" width="11.42578125" style="2"/>
    <col min="9985" max="9985" width="8" style="2" customWidth="1"/>
    <col min="9986" max="9986" width="13.42578125" style="2" customWidth="1"/>
    <col min="9987" max="9987" width="4.28515625" style="2" customWidth="1"/>
    <col min="9988" max="9988" width="4" style="2" customWidth="1"/>
    <col min="9989" max="9989" width="17" style="2" customWidth="1"/>
    <col min="9990" max="9990" width="4.140625" style="2" customWidth="1"/>
    <col min="9991" max="9991" width="11.28515625" style="2" customWidth="1"/>
    <col min="9992" max="9992" width="11" style="2" customWidth="1"/>
    <col min="9993" max="9994" width="2.140625" style="2" customWidth="1"/>
    <col min="9995" max="9995" width="3.28515625" style="2" customWidth="1"/>
    <col min="9996" max="9997" width="0" style="2" hidden="1" customWidth="1"/>
    <col min="9998" max="9998" width="2.85546875" style="2" customWidth="1"/>
    <col min="9999" max="9999" width="3.28515625" style="2" customWidth="1"/>
    <col min="10000" max="10000" width="1.42578125" style="2" customWidth="1"/>
    <col min="10001" max="10001" width="0" style="2" hidden="1" customWidth="1"/>
    <col min="10002" max="10002" width="6.85546875" style="2" customWidth="1"/>
    <col min="10003" max="10003" width="0" style="2" hidden="1" customWidth="1"/>
    <col min="10004" max="10005" width="6.28515625" style="2" customWidth="1"/>
    <col min="10006" max="10006" width="13.85546875" style="2" customWidth="1"/>
    <col min="10007" max="10007" width="10.85546875" style="2" customWidth="1"/>
    <col min="10008" max="10008" width="14.7109375" style="2" customWidth="1"/>
    <col min="10009" max="10009" width="0" style="2" hidden="1" customWidth="1"/>
    <col min="10010" max="10010" width="13" style="2" customWidth="1"/>
    <col min="10011" max="10011" width="12.7109375" style="2" customWidth="1"/>
    <col min="10012" max="10012" width="13.140625" style="2" customWidth="1"/>
    <col min="10013" max="10013" width="14" style="2" customWidth="1"/>
    <col min="10014" max="10014" width="8.140625" style="2" customWidth="1"/>
    <col min="10015" max="10015" width="11.42578125" style="2" customWidth="1"/>
    <col min="10016" max="10016" width="24.7109375" style="2" customWidth="1"/>
    <col min="10017" max="10017" width="12" style="2" customWidth="1"/>
    <col min="10018" max="10019" width="0.28515625" style="2" customWidth="1"/>
    <col min="10020" max="10020" width="1.42578125" style="2" customWidth="1"/>
    <col min="10021" max="10021" width="0" style="2" hidden="1" customWidth="1"/>
    <col min="10022" max="10240" width="11.42578125" style="2"/>
    <col min="10241" max="10241" width="8" style="2" customWidth="1"/>
    <col min="10242" max="10242" width="13.42578125" style="2" customWidth="1"/>
    <col min="10243" max="10243" width="4.28515625" style="2" customWidth="1"/>
    <col min="10244" max="10244" width="4" style="2" customWidth="1"/>
    <col min="10245" max="10245" width="17" style="2" customWidth="1"/>
    <col min="10246" max="10246" width="4.140625" style="2" customWidth="1"/>
    <col min="10247" max="10247" width="11.28515625" style="2" customWidth="1"/>
    <col min="10248" max="10248" width="11" style="2" customWidth="1"/>
    <col min="10249" max="10250" width="2.140625" style="2" customWidth="1"/>
    <col min="10251" max="10251" width="3.28515625" style="2" customWidth="1"/>
    <col min="10252" max="10253" width="0" style="2" hidden="1" customWidth="1"/>
    <col min="10254" max="10254" width="2.85546875" style="2" customWidth="1"/>
    <col min="10255" max="10255" width="3.28515625" style="2" customWidth="1"/>
    <col min="10256" max="10256" width="1.42578125" style="2" customWidth="1"/>
    <col min="10257" max="10257" width="0" style="2" hidden="1" customWidth="1"/>
    <col min="10258" max="10258" width="6.85546875" style="2" customWidth="1"/>
    <col min="10259" max="10259" width="0" style="2" hidden="1" customWidth="1"/>
    <col min="10260" max="10261" width="6.28515625" style="2" customWidth="1"/>
    <col min="10262" max="10262" width="13.85546875" style="2" customWidth="1"/>
    <col min="10263" max="10263" width="10.85546875" style="2" customWidth="1"/>
    <col min="10264" max="10264" width="14.7109375" style="2" customWidth="1"/>
    <col min="10265" max="10265" width="0" style="2" hidden="1" customWidth="1"/>
    <col min="10266" max="10266" width="13" style="2" customWidth="1"/>
    <col min="10267" max="10267" width="12.7109375" style="2" customWidth="1"/>
    <col min="10268" max="10268" width="13.140625" style="2" customWidth="1"/>
    <col min="10269" max="10269" width="14" style="2" customWidth="1"/>
    <col min="10270" max="10270" width="8.140625" style="2" customWidth="1"/>
    <col min="10271" max="10271" width="11.42578125" style="2" customWidth="1"/>
    <col min="10272" max="10272" width="24.7109375" style="2" customWidth="1"/>
    <col min="10273" max="10273" width="12" style="2" customWidth="1"/>
    <col min="10274" max="10275" width="0.28515625" style="2" customWidth="1"/>
    <col min="10276" max="10276" width="1.42578125" style="2" customWidth="1"/>
    <col min="10277" max="10277" width="0" style="2" hidden="1" customWidth="1"/>
    <col min="10278" max="10496" width="11.42578125" style="2"/>
    <col min="10497" max="10497" width="8" style="2" customWidth="1"/>
    <col min="10498" max="10498" width="13.42578125" style="2" customWidth="1"/>
    <col min="10499" max="10499" width="4.28515625" style="2" customWidth="1"/>
    <col min="10500" max="10500" width="4" style="2" customWidth="1"/>
    <col min="10501" max="10501" width="17" style="2" customWidth="1"/>
    <col min="10502" max="10502" width="4.140625" style="2" customWidth="1"/>
    <col min="10503" max="10503" width="11.28515625" style="2" customWidth="1"/>
    <col min="10504" max="10504" width="11" style="2" customWidth="1"/>
    <col min="10505" max="10506" width="2.140625" style="2" customWidth="1"/>
    <col min="10507" max="10507" width="3.28515625" style="2" customWidth="1"/>
    <col min="10508" max="10509" width="0" style="2" hidden="1" customWidth="1"/>
    <col min="10510" max="10510" width="2.85546875" style="2" customWidth="1"/>
    <col min="10511" max="10511" width="3.28515625" style="2" customWidth="1"/>
    <col min="10512" max="10512" width="1.42578125" style="2" customWidth="1"/>
    <col min="10513" max="10513" width="0" style="2" hidden="1" customWidth="1"/>
    <col min="10514" max="10514" width="6.85546875" style="2" customWidth="1"/>
    <col min="10515" max="10515" width="0" style="2" hidden="1" customWidth="1"/>
    <col min="10516" max="10517" width="6.28515625" style="2" customWidth="1"/>
    <col min="10518" max="10518" width="13.85546875" style="2" customWidth="1"/>
    <col min="10519" max="10519" width="10.85546875" style="2" customWidth="1"/>
    <col min="10520" max="10520" width="14.7109375" style="2" customWidth="1"/>
    <col min="10521" max="10521" width="0" style="2" hidden="1" customWidth="1"/>
    <col min="10522" max="10522" width="13" style="2" customWidth="1"/>
    <col min="10523" max="10523" width="12.7109375" style="2" customWidth="1"/>
    <col min="10524" max="10524" width="13.140625" style="2" customWidth="1"/>
    <col min="10525" max="10525" width="14" style="2" customWidth="1"/>
    <col min="10526" max="10526" width="8.140625" style="2" customWidth="1"/>
    <col min="10527" max="10527" width="11.42578125" style="2" customWidth="1"/>
    <col min="10528" max="10528" width="24.7109375" style="2" customWidth="1"/>
    <col min="10529" max="10529" width="12" style="2" customWidth="1"/>
    <col min="10530" max="10531" width="0.28515625" style="2" customWidth="1"/>
    <col min="10532" max="10532" width="1.42578125" style="2" customWidth="1"/>
    <col min="10533" max="10533" width="0" style="2" hidden="1" customWidth="1"/>
    <col min="10534" max="10752" width="11.42578125" style="2"/>
    <col min="10753" max="10753" width="8" style="2" customWidth="1"/>
    <col min="10754" max="10754" width="13.42578125" style="2" customWidth="1"/>
    <col min="10755" max="10755" width="4.28515625" style="2" customWidth="1"/>
    <col min="10756" max="10756" width="4" style="2" customWidth="1"/>
    <col min="10757" max="10757" width="17" style="2" customWidth="1"/>
    <col min="10758" max="10758" width="4.140625" style="2" customWidth="1"/>
    <col min="10759" max="10759" width="11.28515625" style="2" customWidth="1"/>
    <col min="10760" max="10760" width="11" style="2" customWidth="1"/>
    <col min="10761" max="10762" width="2.140625" style="2" customWidth="1"/>
    <col min="10763" max="10763" width="3.28515625" style="2" customWidth="1"/>
    <col min="10764" max="10765" width="0" style="2" hidden="1" customWidth="1"/>
    <col min="10766" max="10766" width="2.85546875" style="2" customWidth="1"/>
    <col min="10767" max="10767" width="3.28515625" style="2" customWidth="1"/>
    <col min="10768" max="10768" width="1.42578125" style="2" customWidth="1"/>
    <col min="10769" max="10769" width="0" style="2" hidden="1" customWidth="1"/>
    <col min="10770" max="10770" width="6.85546875" style="2" customWidth="1"/>
    <col min="10771" max="10771" width="0" style="2" hidden="1" customWidth="1"/>
    <col min="10772" max="10773" width="6.28515625" style="2" customWidth="1"/>
    <col min="10774" max="10774" width="13.85546875" style="2" customWidth="1"/>
    <col min="10775" max="10775" width="10.85546875" style="2" customWidth="1"/>
    <col min="10776" max="10776" width="14.7109375" style="2" customWidth="1"/>
    <col min="10777" max="10777" width="0" style="2" hidden="1" customWidth="1"/>
    <col min="10778" max="10778" width="13" style="2" customWidth="1"/>
    <col min="10779" max="10779" width="12.7109375" style="2" customWidth="1"/>
    <col min="10780" max="10780" width="13.140625" style="2" customWidth="1"/>
    <col min="10781" max="10781" width="14" style="2" customWidth="1"/>
    <col min="10782" max="10782" width="8.140625" style="2" customWidth="1"/>
    <col min="10783" max="10783" width="11.42578125" style="2" customWidth="1"/>
    <col min="10784" max="10784" width="24.7109375" style="2" customWidth="1"/>
    <col min="10785" max="10785" width="12" style="2" customWidth="1"/>
    <col min="10786" max="10787" width="0.28515625" style="2" customWidth="1"/>
    <col min="10788" max="10788" width="1.42578125" style="2" customWidth="1"/>
    <col min="10789" max="10789" width="0" style="2" hidden="1" customWidth="1"/>
    <col min="10790" max="11008" width="11.42578125" style="2"/>
    <col min="11009" max="11009" width="8" style="2" customWidth="1"/>
    <col min="11010" max="11010" width="13.42578125" style="2" customWidth="1"/>
    <col min="11011" max="11011" width="4.28515625" style="2" customWidth="1"/>
    <col min="11012" max="11012" width="4" style="2" customWidth="1"/>
    <col min="11013" max="11013" width="17" style="2" customWidth="1"/>
    <col min="11014" max="11014" width="4.140625" style="2" customWidth="1"/>
    <col min="11015" max="11015" width="11.28515625" style="2" customWidth="1"/>
    <col min="11016" max="11016" width="11" style="2" customWidth="1"/>
    <col min="11017" max="11018" width="2.140625" style="2" customWidth="1"/>
    <col min="11019" max="11019" width="3.28515625" style="2" customWidth="1"/>
    <col min="11020" max="11021" width="0" style="2" hidden="1" customWidth="1"/>
    <col min="11022" max="11022" width="2.85546875" style="2" customWidth="1"/>
    <col min="11023" max="11023" width="3.28515625" style="2" customWidth="1"/>
    <col min="11024" max="11024" width="1.42578125" style="2" customWidth="1"/>
    <col min="11025" max="11025" width="0" style="2" hidden="1" customWidth="1"/>
    <col min="11026" max="11026" width="6.85546875" style="2" customWidth="1"/>
    <col min="11027" max="11027" width="0" style="2" hidden="1" customWidth="1"/>
    <col min="11028" max="11029" width="6.28515625" style="2" customWidth="1"/>
    <col min="11030" max="11030" width="13.85546875" style="2" customWidth="1"/>
    <col min="11031" max="11031" width="10.85546875" style="2" customWidth="1"/>
    <col min="11032" max="11032" width="14.7109375" style="2" customWidth="1"/>
    <col min="11033" max="11033" width="0" style="2" hidden="1" customWidth="1"/>
    <col min="11034" max="11034" width="13" style="2" customWidth="1"/>
    <col min="11035" max="11035" width="12.7109375" style="2" customWidth="1"/>
    <col min="11036" max="11036" width="13.140625" style="2" customWidth="1"/>
    <col min="11037" max="11037" width="14" style="2" customWidth="1"/>
    <col min="11038" max="11038" width="8.140625" style="2" customWidth="1"/>
    <col min="11039" max="11039" width="11.42578125" style="2" customWidth="1"/>
    <col min="11040" max="11040" width="24.7109375" style="2" customWidth="1"/>
    <col min="11041" max="11041" width="12" style="2" customWidth="1"/>
    <col min="11042" max="11043" width="0.28515625" style="2" customWidth="1"/>
    <col min="11044" max="11044" width="1.42578125" style="2" customWidth="1"/>
    <col min="11045" max="11045" width="0" style="2" hidden="1" customWidth="1"/>
    <col min="11046" max="11264" width="11.42578125" style="2"/>
    <col min="11265" max="11265" width="8" style="2" customWidth="1"/>
    <col min="11266" max="11266" width="13.42578125" style="2" customWidth="1"/>
    <col min="11267" max="11267" width="4.28515625" style="2" customWidth="1"/>
    <col min="11268" max="11268" width="4" style="2" customWidth="1"/>
    <col min="11269" max="11269" width="17" style="2" customWidth="1"/>
    <col min="11270" max="11270" width="4.140625" style="2" customWidth="1"/>
    <col min="11271" max="11271" width="11.28515625" style="2" customWidth="1"/>
    <col min="11272" max="11272" width="11" style="2" customWidth="1"/>
    <col min="11273" max="11274" width="2.140625" style="2" customWidth="1"/>
    <col min="11275" max="11275" width="3.28515625" style="2" customWidth="1"/>
    <col min="11276" max="11277" width="0" style="2" hidden="1" customWidth="1"/>
    <col min="11278" max="11278" width="2.85546875" style="2" customWidth="1"/>
    <col min="11279" max="11279" width="3.28515625" style="2" customWidth="1"/>
    <col min="11280" max="11280" width="1.42578125" style="2" customWidth="1"/>
    <col min="11281" max="11281" width="0" style="2" hidden="1" customWidth="1"/>
    <col min="11282" max="11282" width="6.85546875" style="2" customWidth="1"/>
    <col min="11283" max="11283" width="0" style="2" hidden="1" customWidth="1"/>
    <col min="11284" max="11285" width="6.28515625" style="2" customWidth="1"/>
    <col min="11286" max="11286" width="13.85546875" style="2" customWidth="1"/>
    <col min="11287" max="11287" width="10.85546875" style="2" customWidth="1"/>
    <col min="11288" max="11288" width="14.7109375" style="2" customWidth="1"/>
    <col min="11289" max="11289" width="0" style="2" hidden="1" customWidth="1"/>
    <col min="11290" max="11290" width="13" style="2" customWidth="1"/>
    <col min="11291" max="11291" width="12.7109375" style="2" customWidth="1"/>
    <col min="11292" max="11292" width="13.140625" style="2" customWidth="1"/>
    <col min="11293" max="11293" width="14" style="2" customWidth="1"/>
    <col min="11294" max="11294" width="8.140625" style="2" customWidth="1"/>
    <col min="11295" max="11295" width="11.42578125" style="2" customWidth="1"/>
    <col min="11296" max="11296" width="24.7109375" style="2" customWidth="1"/>
    <col min="11297" max="11297" width="12" style="2" customWidth="1"/>
    <col min="11298" max="11299" width="0.28515625" style="2" customWidth="1"/>
    <col min="11300" max="11300" width="1.42578125" style="2" customWidth="1"/>
    <col min="11301" max="11301" width="0" style="2" hidden="1" customWidth="1"/>
    <col min="11302" max="11520" width="11.42578125" style="2"/>
    <col min="11521" max="11521" width="8" style="2" customWidth="1"/>
    <col min="11522" max="11522" width="13.42578125" style="2" customWidth="1"/>
    <col min="11523" max="11523" width="4.28515625" style="2" customWidth="1"/>
    <col min="11524" max="11524" width="4" style="2" customWidth="1"/>
    <col min="11525" max="11525" width="17" style="2" customWidth="1"/>
    <col min="11526" max="11526" width="4.140625" style="2" customWidth="1"/>
    <col min="11527" max="11527" width="11.28515625" style="2" customWidth="1"/>
    <col min="11528" max="11528" width="11" style="2" customWidth="1"/>
    <col min="11529" max="11530" width="2.140625" style="2" customWidth="1"/>
    <col min="11531" max="11531" width="3.28515625" style="2" customWidth="1"/>
    <col min="11532" max="11533" width="0" style="2" hidden="1" customWidth="1"/>
    <col min="11534" max="11534" width="2.85546875" style="2" customWidth="1"/>
    <col min="11535" max="11535" width="3.28515625" style="2" customWidth="1"/>
    <col min="11536" max="11536" width="1.42578125" style="2" customWidth="1"/>
    <col min="11537" max="11537" width="0" style="2" hidden="1" customWidth="1"/>
    <col min="11538" max="11538" width="6.85546875" style="2" customWidth="1"/>
    <col min="11539" max="11539" width="0" style="2" hidden="1" customWidth="1"/>
    <col min="11540" max="11541" width="6.28515625" style="2" customWidth="1"/>
    <col min="11542" max="11542" width="13.85546875" style="2" customWidth="1"/>
    <col min="11543" max="11543" width="10.85546875" style="2" customWidth="1"/>
    <col min="11544" max="11544" width="14.7109375" style="2" customWidth="1"/>
    <col min="11545" max="11545" width="0" style="2" hidden="1" customWidth="1"/>
    <col min="11546" max="11546" width="13" style="2" customWidth="1"/>
    <col min="11547" max="11547" width="12.7109375" style="2" customWidth="1"/>
    <col min="11548" max="11548" width="13.140625" style="2" customWidth="1"/>
    <col min="11549" max="11549" width="14" style="2" customWidth="1"/>
    <col min="11550" max="11550" width="8.140625" style="2" customWidth="1"/>
    <col min="11551" max="11551" width="11.42578125" style="2" customWidth="1"/>
    <col min="11552" max="11552" width="24.7109375" style="2" customWidth="1"/>
    <col min="11553" max="11553" width="12" style="2" customWidth="1"/>
    <col min="11554" max="11555" width="0.28515625" style="2" customWidth="1"/>
    <col min="11556" max="11556" width="1.42578125" style="2" customWidth="1"/>
    <col min="11557" max="11557" width="0" style="2" hidden="1" customWidth="1"/>
    <col min="11558" max="11776" width="11.42578125" style="2"/>
    <col min="11777" max="11777" width="8" style="2" customWidth="1"/>
    <col min="11778" max="11778" width="13.42578125" style="2" customWidth="1"/>
    <col min="11779" max="11779" width="4.28515625" style="2" customWidth="1"/>
    <col min="11780" max="11780" width="4" style="2" customWidth="1"/>
    <col min="11781" max="11781" width="17" style="2" customWidth="1"/>
    <col min="11782" max="11782" width="4.140625" style="2" customWidth="1"/>
    <col min="11783" max="11783" width="11.28515625" style="2" customWidth="1"/>
    <col min="11784" max="11784" width="11" style="2" customWidth="1"/>
    <col min="11785" max="11786" width="2.140625" style="2" customWidth="1"/>
    <col min="11787" max="11787" width="3.28515625" style="2" customWidth="1"/>
    <col min="11788" max="11789" width="0" style="2" hidden="1" customWidth="1"/>
    <col min="11790" max="11790" width="2.85546875" style="2" customWidth="1"/>
    <col min="11791" max="11791" width="3.28515625" style="2" customWidth="1"/>
    <col min="11792" max="11792" width="1.42578125" style="2" customWidth="1"/>
    <col min="11793" max="11793" width="0" style="2" hidden="1" customWidth="1"/>
    <col min="11794" max="11794" width="6.85546875" style="2" customWidth="1"/>
    <col min="11795" max="11795" width="0" style="2" hidden="1" customWidth="1"/>
    <col min="11796" max="11797" width="6.28515625" style="2" customWidth="1"/>
    <col min="11798" max="11798" width="13.85546875" style="2" customWidth="1"/>
    <col min="11799" max="11799" width="10.85546875" style="2" customWidth="1"/>
    <col min="11800" max="11800" width="14.7109375" style="2" customWidth="1"/>
    <col min="11801" max="11801" width="0" style="2" hidden="1" customWidth="1"/>
    <col min="11802" max="11802" width="13" style="2" customWidth="1"/>
    <col min="11803" max="11803" width="12.7109375" style="2" customWidth="1"/>
    <col min="11804" max="11804" width="13.140625" style="2" customWidth="1"/>
    <col min="11805" max="11805" width="14" style="2" customWidth="1"/>
    <col min="11806" max="11806" width="8.140625" style="2" customWidth="1"/>
    <col min="11807" max="11807" width="11.42578125" style="2" customWidth="1"/>
    <col min="11808" max="11808" width="24.7109375" style="2" customWidth="1"/>
    <col min="11809" max="11809" width="12" style="2" customWidth="1"/>
    <col min="11810" max="11811" width="0.28515625" style="2" customWidth="1"/>
    <col min="11812" max="11812" width="1.42578125" style="2" customWidth="1"/>
    <col min="11813" max="11813" width="0" style="2" hidden="1" customWidth="1"/>
    <col min="11814" max="12032" width="11.42578125" style="2"/>
    <col min="12033" max="12033" width="8" style="2" customWidth="1"/>
    <col min="12034" max="12034" width="13.42578125" style="2" customWidth="1"/>
    <col min="12035" max="12035" width="4.28515625" style="2" customWidth="1"/>
    <col min="12036" max="12036" width="4" style="2" customWidth="1"/>
    <col min="12037" max="12037" width="17" style="2" customWidth="1"/>
    <col min="12038" max="12038" width="4.140625" style="2" customWidth="1"/>
    <col min="12039" max="12039" width="11.28515625" style="2" customWidth="1"/>
    <col min="12040" max="12040" width="11" style="2" customWidth="1"/>
    <col min="12041" max="12042" width="2.140625" style="2" customWidth="1"/>
    <col min="12043" max="12043" width="3.28515625" style="2" customWidth="1"/>
    <col min="12044" max="12045" width="0" style="2" hidden="1" customWidth="1"/>
    <col min="12046" max="12046" width="2.85546875" style="2" customWidth="1"/>
    <col min="12047" max="12047" width="3.28515625" style="2" customWidth="1"/>
    <col min="12048" max="12048" width="1.42578125" style="2" customWidth="1"/>
    <col min="12049" max="12049" width="0" style="2" hidden="1" customWidth="1"/>
    <col min="12050" max="12050" width="6.85546875" style="2" customWidth="1"/>
    <col min="12051" max="12051" width="0" style="2" hidden="1" customWidth="1"/>
    <col min="12052" max="12053" width="6.28515625" style="2" customWidth="1"/>
    <col min="12054" max="12054" width="13.85546875" style="2" customWidth="1"/>
    <col min="12055" max="12055" width="10.85546875" style="2" customWidth="1"/>
    <col min="12056" max="12056" width="14.7109375" style="2" customWidth="1"/>
    <col min="12057" max="12057" width="0" style="2" hidden="1" customWidth="1"/>
    <col min="12058" max="12058" width="13" style="2" customWidth="1"/>
    <col min="12059" max="12059" width="12.7109375" style="2" customWidth="1"/>
    <col min="12060" max="12060" width="13.140625" style="2" customWidth="1"/>
    <col min="12061" max="12061" width="14" style="2" customWidth="1"/>
    <col min="12062" max="12062" width="8.140625" style="2" customWidth="1"/>
    <col min="12063" max="12063" width="11.42578125" style="2" customWidth="1"/>
    <col min="12064" max="12064" width="24.7109375" style="2" customWidth="1"/>
    <col min="12065" max="12065" width="12" style="2" customWidth="1"/>
    <col min="12066" max="12067" width="0.28515625" style="2" customWidth="1"/>
    <col min="12068" max="12068" width="1.42578125" style="2" customWidth="1"/>
    <col min="12069" max="12069" width="0" style="2" hidden="1" customWidth="1"/>
    <col min="12070" max="12288" width="11.42578125" style="2"/>
    <col min="12289" max="12289" width="8" style="2" customWidth="1"/>
    <col min="12290" max="12290" width="13.42578125" style="2" customWidth="1"/>
    <col min="12291" max="12291" width="4.28515625" style="2" customWidth="1"/>
    <col min="12292" max="12292" width="4" style="2" customWidth="1"/>
    <col min="12293" max="12293" width="17" style="2" customWidth="1"/>
    <col min="12294" max="12294" width="4.140625" style="2" customWidth="1"/>
    <col min="12295" max="12295" width="11.28515625" style="2" customWidth="1"/>
    <col min="12296" max="12296" width="11" style="2" customWidth="1"/>
    <col min="12297" max="12298" width="2.140625" style="2" customWidth="1"/>
    <col min="12299" max="12299" width="3.28515625" style="2" customWidth="1"/>
    <col min="12300" max="12301" width="0" style="2" hidden="1" customWidth="1"/>
    <col min="12302" max="12302" width="2.85546875" style="2" customWidth="1"/>
    <col min="12303" max="12303" width="3.28515625" style="2" customWidth="1"/>
    <col min="12304" max="12304" width="1.42578125" style="2" customWidth="1"/>
    <col min="12305" max="12305" width="0" style="2" hidden="1" customWidth="1"/>
    <col min="12306" max="12306" width="6.85546875" style="2" customWidth="1"/>
    <col min="12307" max="12307" width="0" style="2" hidden="1" customWidth="1"/>
    <col min="12308" max="12309" width="6.28515625" style="2" customWidth="1"/>
    <col min="12310" max="12310" width="13.85546875" style="2" customWidth="1"/>
    <col min="12311" max="12311" width="10.85546875" style="2" customWidth="1"/>
    <col min="12312" max="12312" width="14.7109375" style="2" customWidth="1"/>
    <col min="12313" max="12313" width="0" style="2" hidden="1" customWidth="1"/>
    <col min="12314" max="12314" width="13" style="2" customWidth="1"/>
    <col min="12315" max="12315" width="12.7109375" style="2" customWidth="1"/>
    <col min="12316" max="12316" width="13.140625" style="2" customWidth="1"/>
    <col min="12317" max="12317" width="14" style="2" customWidth="1"/>
    <col min="12318" max="12318" width="8.140625" style="2" customWidth="1"/>
    <col min="12319" max="12319" width="11.42578125" style="2" customWidth="1"/>
    <col min="12320" max="12320" width="24.7109375" style="2" customWidth="1"/>
    <col min="12321" max="12321" width="12" style="2" customWidth="1"/>
    <col min="12322" max="12323" width="0.28515625" style="2" customWidth="1"/>
    <col min="12324" max="12324" width="1.42578125" style="2" customWidth="1"/>
    <col min="12325" max="12325" width="0" style="2" hidden="1" customWidth="1"/>
    <col min="12326" max="12544" width="11.42578125" style="2"/>
    <col min="12545" max="12545" width="8" style="2" customWidth="1"/>
    <col min="12546" max="12546" width="13.42578125" style="2" customWidth="1"/>
    <col min="12547" max="12547" width="4.28515625" style="2" customWidth="1"/>
    <col min="12548" max="12548" width="4" style="2" customWidth="1"/>
    <col min="12549" max="12549" width="17" style="2" customWidth="1"/>
    <col min="12550" max="12550" width="4.140625" style="2" customWidth="1"/>
    <col min="12551" max="12551" width="11.28515625" style="2" customWidth="1"/>
    <col min="12552" max="12552" width="11" style="2" customWidth="1"/>
    <col min="12553" max="12554" width="2.140625" style="2" customWidth="1"/>
    <col min="12555" max="12555" width="3.28515625" style="2" customWidth="1"/>
    <col min="12556" max="12557" width="0" style="2" hidden="1" customWidth="1"/>
    <col min="12558" max="12558" width="2.85546875" style="2" customWidth="1"/>
    <col min="12559" max="12559" width="3.28515625" style="2" customWidth="1"/>
    <col min="12560" max="12560" width="1.42578125" style="2" customWidth="1"/>
    <col min="12561" max="12561" width="0" style="2" hidden="1" customWidth="1"/>
    <col min="12562" max="12562" width="6.85546875" style="2" customWidth="1"/>
    <col min="12563" max="12563" width="0" style="2" hidden="1" customWidth="1"/>
    <col min="12564" max="12565" width="6.28515625" style="2" customWidth="1"/>
    <col min="12566" max="12566" width="13.85546875" style="2" customWidth="1"/>
    <col min="12567" max="12567" width="10.85546875" style="2" customWidth="1"/>
    <col min="12568" max="12568" width="14.7109375" style="2" customWidth="1"/>
    <col min="12569" max="12569" width="0" style="2" hidden="1" customWidth="1"/>
    <col min="12570" max="12570" width="13" style="2" customWidth="1"/>
    <col min="12571" max="12571" width="12.7109375" style="2" customWidth="1"/>
    <col min="12572" max="12572" width="13.140625" style="2" customWidth="1"/>
    <col min="12573" max="12573" width="14" style="2" customWidth="1"/>
    <col min="12574" max="12574" width="8.140625" style="2" customWidth="1"/>
    <col min="12575" max="12575" width="11.42578125" style="2" customWidth="1"/>
    <col min="12576" max="12576" width="24.7109375" style="2" customWidth="1"/>
    <col min="12577" max="12577" width="12" style="2" customWidth="1"/>
    <col min="12578" max="12579" width="0.28515625" style="2" customWidth="1"/>
    <col min="12580" max="12580" width="1.42578125" style="2" customWidth="1"/>
    <col min="12581" max="12581" width="0" style="2" hidden="1" customWidth="1"/>
    <col min="12582" max="12800" width="11.42578125" style="2"/>
    <col min="12801" max="12801" width="8" style="2" customWidth="1"/>
    <col min="12802" max="12802" width="13.42578125" style="2" customWidth="1"/>
    <col min="12803" max="12803" width="4.28515625" style="2" customWidth="1"/>
    <col min="12804" max="12804" width="4" style="2" customWidth="1"/>
    <col min="12805" max="12805" width="17" style="2" customWidth="1"/>
    <col min="12806" max="12806" width="4.140625" style="2" customWidth="1"/>
    <col min="12807" max="12807" width="11.28515625" style="2" customWidth="1"/>
    <col min="12808" max="12808" width="11" style="2" customWidth="1"/>
    <col min="12809" max="12810" width="2.140625" style="2" customWidth="1"/>
    <col min="12811" max="12811" width="3.28515625" style="2" customWidth="1"/>
    <col min="12812" max="12813" width="0" style="2" hidden="1" customWidth="1"/>
    <col min="12814" max="12814" width="2.85546875" style="2" customWidth="1"/>
    <col min="12815" max="12815" width="3.28515625" style="2" customWidth="1"/>
    <col min="12816" max="12816" width="1.42578125" style="2" customWidth="1"/>
    <col min="12817" max="12817" width="0" style="2" hidden="1" customWidth="1"/>
    <col min="12818" max="12818" width="6.85546875" style="2" customWidth="1"/>
    <col min="12819" max="12819" width="0" style="2" hidden="1" customWidth="1"/>
    <col min="12820" max="12821" width="6.28515625" style="2" customWidth="1"/>
    <col min="12822" max="12822" width="13.85546875" style="2" customWidth="1"/>
    <col min="12823" max="12823" width="10.85546875" style="2" customWidth="1"/>
    <col min="12824" max="12824" width="14.7109375" style="2" customWidth="1"/>
    <col min="12825" max="12825" width="0" style="2" hidden="1" customWidth="1"/>
    <col min="12826" max="12826" width="13" style="2" customWidth="1"/>
    <col min="12827" max="12827" width="12.7109375" style="2" customWidth="1"/>
    <col min="12828" max="12828" width="13.140625" style="2" customWidth="1"/>
    <col min="12829" max="12829" width="14" style="2" customWidth="1"/>
    <col min="12830" max="12830" width="8.140625" style="2" customWidth="1"/>
    <col min="12831" max="12831" width="11.42578125" style="2" customWidth="1"/>
    <col min="12832" max="12832" width="24.7109375" style="2" customWidth="1"/>
    <col min="12833" max="12833" width="12" style="2" customWidth="1"/>
    <col min="12834" max="12835" width="0.28515625" style="2" customWidth="1"/>
    <col min="12836" max="12836" width="1.42578125" style="2" customWidth="1"/>
    <col min="12837" max="12837" width="0" style="2" hidden="1" customWidth="1"/>
    <col min="12838" max="13056" width="11.42578125" style="2"/>
    <col min="13057" max="13057" width="8" style="2" customWidth="1"/>
    <col min="13058" max="13058" width="13.42578125" style="2" customWidth="1"/>
    <col min="13059" max="13059" width="4.28515625" style="2" customWidth="1"/>
    <col min="13060" max="13060" width="4" style="2" customWidth="1"/>
    <col min="13061" max="13061" width="17" style="2" customWidth="1"/>
    <col min="13062" max="13062" width="4.140625" style="2" customWidth="1"/>
    <col min="13063" max="13063" width="11.28515625" style="2" customWidth="1"/>
    <col min="13064" max="13064" width="11" style="2" customWidth="1"/>
    <col min="13065" max="13066" width="2.140625" style="2" customWidth="1"/>
    <col min="13067" max="13067" width="3.28515625" style="2" customWidth="1"/>
    <col min="13068" max="13069" width="0" style="2" hidden="1" customWidth="1"/>
    <col min="13070" max="13070" width="2.85546875" style="2" customWidth="1"/>
    <col min="13071" max="13071" width="3.28515625" style="2" customWidth="1"/>
    <col min="13072" max="13072" width="1.42578125" style="2" customWidth="1"/>
    <col min="13073" max="13073" width="0" style="2" hidden="1" customWidth="1"/>
    <col min="13074" max="13074" width="6.85546875" style="2" customWidth="1"/>
    <col min="13075" max="13075" width="0" style="2" hidden="1" customWidth="1"/>
    <col min="13076" max="13077" width="6.28515625" style="2" customWidth="1"/>
    <col min="13078" max="13078" width="13.85546875" style="2" customWidth="1"/>
    <col min="13079" max="13079" width="10.85546875" style="2" customWidth="1"/>
    <col min="13080" max="13080" width="14.7109375" style="2" customWidth="1"/>
    <col min="13081" max="13081" width="0" style="2" hidden="1" customWidth="1"/>
    <col min="13082" max="13082" width="13" style="2" customWidth="1"/>
    <col min="13083" max="13083" width="12.7109375" style="2" customWidth="1"/>
    <col min="13084" max="13084" width="13.140625" style="2" customWidth="1"/>
    <col min="13085" max="13085" width="14" style="2" customWidth="1"/>
    <col min="13086" max="13086" width="8.140625" style="2" customWidth="1"/>
    <col min="13087" max="13087" width="11.42578125" style="2" customWidth="1"/>
    <col min="13088" max="13088" width="24.7109375" style="2" customWidth="1"/>
    <col min="13089" max="13089" width="12" style="2" customWidth="1"/>
    <col min="13090" max="13091" width="0.28515625" style="2" customWidth="1"/>
    <col min="13092" max="13092" width="1.42578125" style="2" customWidth="1"/>
    <col min="13093" max="13093" width="0" style="2" hidden="1" customWidth="1"/>
    <col min="13094" max="13312" width="11.42578125" style="2"/>
    <col min="13313" max="13313" width="8" style="2" customWidth="1"/>
    <col min="13314" max="13314" width="13.42578125" style="2" customWidth="1"/>
    <col min="13315" max="13315" width="4.28515625" style="2" customWidth="1"/>
    <col min="13316" max="13316" width="4" style="2" customWidth="1"/>
    <col min="13317" max="13317" width="17" style="2" customWidth="1"/>
    <col min="13318" max="13318" width="4.140625" style="2" customWidth="1"/>
    <col min="13319" max="13319" width="11.28515625" style="2" customWidth="1"/>
    <col min="13320" max="13320" width="11" style="2" customWidth="1"/>
    <col min="13321" max="13322" width="2.140625" style="2" customWidth="1"/>
    <col min="13323" max="13323" width="3.28515625" style="2" customWidth="1"/>
    <col min="13324" max="13325" width="0" style="2" hidden="1" customWidth="1"/>
    <col min="13326" max="13326" width="2.85546875" style="2" customWidth="1"/>
    <col min="13327" max="13327" width="3.28515625" style="2" customWidth="1"/>
    <col min="13328" max="13328" width="1.42578125" style="2" customWidth="1"/>
    <col min="13329" max="13329" width="0" style="2" hidden="1" customWidth="1"/>
    <col min="13330" max="13330" width="6.85546875" style="2" customWidth="1"/>
    <col min="13331" max="13331" width="0" style="2" hidden="1" customWidth="1"/>
    <col min="13332" max="13333" width="6.28515625" style="2" customWidth="1"/>
    <col min="13334" max="13334" width="13.85546875" style="2" customWidth="1"/>
    <col min="13335" max="13335" width="10.85546875" style="2" customWidth="1"/>
    <col min="13336" max="13336" width="14.7109375" style="2" customWidth="1"/>
    <col min="13337" max="13337" width="0" style="2" hidden="1" customWidth="1"/>
    <col min="13338" max="13338" width="13" style="2" customWidth="1"/>
    <col min="13339" max="13339" width="12.7109375" style="2" customWidth="1"/>
    <col min="13340" max="13340" width="13.140625" style="2" customWidth="1"/>
    <col min="13341" max="13341" width="14" style="2" customWidth="1"/>
    <col min="13342" max="13342" width="8.140625" style="2" customWidth="1"/>
    <col min="13343" max="13343" width="11.42578125" style="2" customWidth="1"/>
    <col min="13344" max="13344" width="24.7109375" style="2" customWidth="1"/>
    <col min="13345" max="13345" width="12" style="2" customWidth="1"/>
    <col min="13346" max="13347" width="0.28515625" style="2" customWidth="1"/>
    <col min="13348" max="13348" width="1.42578125" style="2" customWidth="1"/>
    <col min="13349" max="13349" width="0" style="2" hidden="1" customWidth="1"/>
    <col min="13350" max="13568" width="11.42578125" style="2"/>
    <col min="13569" max="13569" width="8" style="2" customWidth="1"/>
    <col min="13570" max="13570" width="13.42578125" style="2" customWidth="1"/>
    <col min="13571" max="13571" width="4.28515625" style="2" customWidth="1"/>
    <col min="13572" max="13572" width="4" style="2" customWidth="1"/>
    <col min="13573" max="13573" width="17" style="2" customWidth="1"/>
    <col min="13574" max="13574" width="4.140625" style="2" customWidth="1"/>
    <col min="13575" max="13575" width="11.28515625" style="2" customWidth="1"/>
    <col min="13576" max="13576" width="11" style="2" customWidth="1"/>
    <col min="13577" max="13578" width="2.140625" style="2" customWidth="1"/>
    <col min="13579" max="13579" width="3.28515625" style="2" customWidth="1"/>
    <col min="13580" max="13581" width="0" style="2" hidden="1" customWidth="1"/>
    <col min="13582" max="13582" width="2.85546875" style="2" customWidth="1"/>
    <col min="13583" max="13583" width="3.28515625" style="2" customWidth="1"/>
    <col min="13584" max="13584" width="1.42578125" style="2" customWidth="1"/>
    <col min="13585" max="13585" width="0" style="2" hidden="1" customWidth="1"/>
    <col min="13586" max="13586" width="6.85546875" style="2" customWidth="1"/>
    <col min="13587" max="13587" width="0" style="2" hidden="1" customWidth="1"/>
    <col min="13588" max="13589" width="6.28515625" style="2" customWidth="1"/>
    <col min="13590" max="13590" width="13.85546875" style="2" customWidth="1"/>
    <col min="13591" max="13591" width="10.85546875" style="2" customWidth="1"/>
    <col min="13592" max="13592" width="14.7109375" style="2" customWidth="1"/>
    <col min="13593" max="13593" width="0" style="2" hidden="1" customWidth="1"/>
    <col min="13594" max="13594" width="13" style="2" customWidth="1"/>
    <col min="13595" max="13595" width="12.7109375" style="2" customWidth="1"/>
    <col min="13596" max="13596" width="13.140625" style="2" customWidth="1"/>
    <col min="13597" max="13597" width="14" style="2" customWidth="1"/>
    <col min="13598" max="13598" width="8.140625" style="2" customWidth="1"/>
    <col min="13599" max="13599" width="11.42578125" style="2" customWidth="1"/>
    <col min="13600" max="13600" width="24.7109375" style="2" customWidth="1"/>
    <col min="13601" max="13601" width="12" style="2" customWidth="1"/>
    <col min="13602" max="13603" width="0.28515625" style="2" customWidth="1"/>
    <col min="13604" max="13604" width="1.42578125" style="2" customWidth="1"/>
    <col min="13605" max="13605" width="0" style="2" hidden="1" customWidth="1"/>
    <col min="13606" max="13824" width="11.42578125" style="2"/>
    <col min="13825" max="13825" width="8" style="2" customWidth="1"/>
    <col min="13826" max="13826" width="13.42578125" style="2" customWidth="1"/>
    <col min="13827" max="13827" width="4.28515625" style="2" customWidth="1"/>
    <col min="13828" max="13828" width="4" style="2" customWidth="1"/>
    <col min="13829" max="13829" width="17" style="2" customWidth="1"/>
    <col min="13830" max="13830" width="4.140625" style="2" customWidth="1"/>
    <col min="13831" max="13831" width="11.28515625" style="2" customWidth="1"/>
    <col min="13832" max="13832" width="11" style="2" customWidth="1"/>
    <col min="13833" max="13834" width="2.140625" style="2" customWidth="1"/>
    <col min="13835" max="13835" width="3.28515625" style="2" customWidth="1"/>
    <col min="13836" max="13837" width="0" style="2" hidden="1" customWidth="1"/>
    <col min="13838" max="13838" width="2.85546875" style="2" customWidth="1"/>
    <col min="13839" max="13839" width="3.28515625" style="2" customWidth="1"/>
    <col min="13840" max="13840" width="1.42578125" style="2" customWidth="1"/>
    <col min="13841" max="13841" width="0" style="2" hidden="1" customWidth="1"/>
    <col min="13842" max="13842" width="6.85546875" style="2" customWidth="1"/>
    <col min="13843" max="13843" width="0" style="2" hidden="1" customWidth="1"/>
    <col min="13844" max="13845" width="6.28515625" style="2" customWidth="1"/>
    <col min="13846" max="13846" width="13.85546875" style="2" customWidth="1"/>
    <col min="13847" max="13847" width="10.85546875" style="2" customWidth="1"/>
    <col min="13848" max="13848" width="14.7109375" style="2" customWidth="1"/>
    <col min="13849" max="13849" width="0" style="2" hidden="1" customWidth="1"/>
    <col min="13850" max="13850" width="13" style="2" customWidth="1"/>
    <col min="13851" max="13851" width="12.7109375" style="2" customWidth="1"/>
    <col min="13852" max="13852" width="13.140625" style="2" customWidth="1"/>
    <col min="13853" max="13853" width="14" style="2" customWidth="1"/>
    <col min="13854" max="13854" width="8.140625" style="2" customWidth="1"/>
    <col min="13855" max="13855" width="11.42578125" style="2" customWidth="1"/>
    <col min="13856" max="13856" width="24.7109375" style="2" customWidth="1"/>
    <col min="13857" max="13857" width="12" style="2" customWidth="1"/>
    <col min="13858" max="13859" width="0.28515625" style="2" customWidth="1"/>
    <col min="13860" max="13860" width="1.42578125" style="2" customWidth="1"/>
    <col min="13861" max="13861" width="0" style="2" hidden="1" customWidth="1"/>
    <col min="13862" max="14080" width="11.42578125" style="2"/>
    <col min="14081" max="14081" width="8" style="2" customWidth="1"/>
    <col min="14082" max="14082" width="13.42578125" style="2" customWidth="1"/>
    <col min="14083" max="14083" width="4.28515625" style="2" customWidth="1"/>
    <col min="14084" max="14084" width="4" style="2" customWidth="1"/>
    <col min="14085" max="14085" width="17" style="2" customWidth="1"/>
    <col min="14086" max="14086" width="4.140625" style="2" customWidth="1"/>
    <col min="14087" max="14087" width="11.28515625" style="2" customWidth="1"/>
    <col min="14088" max="14088" width="11" style="2" customWidth="1"/>
    <col min="14089" max="14090" width="2.140625" style="2" customWidth="1"/>
    <col min="14091" max="14091" width="3.28515625" style="2" customWidth="1"/>
    <col min="14092" max="14093" width="0" style="2" hidden="1" customWidth="1"/>
    <col min="14094" max="14094" width="2.85546875" style="2" customWidth="1"/>
    <col min="14095" max="14095" width="3.28515625" style="2" customWidth="1"/>
    <col min="14096" max="14096" width="1.42578125" style="2" customWidth="1"/>
    <col min="14097" max="14097" width="0" style="2" hidden="1" customWidth="1"/>
    <col min="14098" max="14098" width="6.85546875" style="2" customWidth="1"/>
    <col min="14099" max="14099" width="0" style="2" hidden="1" customWidth="1"/>
    <col min="14100" max="14101" width="6.28515625" style="2" customWidth="1"/>
    <col min="14102" max="14102" width="13.85546875" style="2" customWidth="1"/>
    <col min="14103" max="14103" width="10.85546875" style="2" customWidth="1"/>
    <col min="14104" max="14104" width="14.7109375" style="2" customWidth="1"/>
    <col min="14105" max="14105" width="0" style="2" hidden="1" customWidth="1"/>
    <col min="14106" max="14106" width="13" style="2" customWidth="1"/>
    <col min="14107" max="14107" width="12.7109375" style="2" customWidth="1"/>
    <col min="14108" max="14108" width="13.140625" style="2" customWidth="1"/>
    <col min="14109" max="14109" width="14" style="2" customWidth="1"/>
    <col min="14110" max="14110" width="8.140625" style="2" customWidth="1"/>
    <col min="14111" max="14111" width="11.42578125" style="2" customWidth="1"/>
    <col min="14112" max="14112" width="24.7109375" style="2" customWidth="1"/>
    <col min="14113" max="14113" width="12" style="2" customWidth="1"/>
    <col min="14114" max="14115" width="0.28515625" style="2" customWidth="1"/>
    <col min="14116" max="14116" width="1.42578125" style="2" customWidth="1"/>
    <col min="14117" max="14117" width="0" style="2" hidden="1" customWidth="1"/>
    <col min="14118" max="14336" width="11.42578125" style="2"/>
    <col min="14337" max="14337" width="8" style="2" customWidth="1"/>
    <col min="14338" max="14338" width="13.42578125" style="2" customWidth="1"/>
    <col min="14339" max="14339" width="4.28515625" style="2" customWidth="1"/>
    <col min="14340" max="14340" width="4" style="2" customWidth="1"/>
    <col min="14341" max="14341" width="17" style="2" customWidth="1"/>
    <col min="14342" max="14342" width="4.140625" style="2" customWidth="1"/>
    <col min="14343" max="14343" width="11.28515625" style="2" customWidth="1"/>
    <col min="14344" max="14344" width="11" style="2" customWidth="1"/>
    <col min="14345" max="14346" width="2.140625" style="2" customWidth="1"/>
    <col min="14347" max="14347" width="3.28515625" style="2" customWidth="1"/>
    <col min="14348" max="14349" width="0" style="2" hidden="1" customWidth="1"/>
    <col min="14350" max="14350" width="2.85546875" style="2" customWidth="1"/>
    <col min="14351" max="14351" width="3.28515625" style="2" customWidth="1"/>
    <col min="14352" max="14352" width="1.42578125" style="2" customWidth="1"/>
    <col min="14353" max="14353" width="0" style="2" hidden="1" customWidth="1"/>
    <col min="14354" max="14354" width="6.85546875" style="2" customWidth="1"/>
    <col min="14355" max="14355" width="0" style="2" hidden="1" customWidth="1"/>
    <col min="14356" max="14357" width="6.28515625" style="2" customWidth="1"/>
    <col min="14358" max="14358" width="13.85546875" style="2" customWidth="1"/>
    <col min="14359" max="14359" width="10.85546875" style="2" customWidth="1"/>
    <col min="14360" max="14360" width="14.7109375" style="2" customWidth="1"/>
    <col min="14361" max="14361" width="0" style="2" hidden="1" customWidth="1"/>
    <col min="14362" max="14362" width="13" style="2" customWidth="1"/>
    <col min="14363" max="14363" width="12.7109375" style="2" customWidth="1"/>
    <col min="14364" max="14364" width="13.140625" style="2" customWidth="1"/>
    <col min="14365" max="14365" width="14" style="2" customWidth="1"/>
    <col min="14366" max="14366" width="8.140625" style="2" customWidth="1"/>
    <col min="14367" max="14367" width="11.42578125" style="2" customWidth="1"/>
    <col min="14368" max="14368" width="24.7109375" style="2" customWidth="1"/>
    <col min="14369" max="14369" width="12" style="2" customWidth="1"/>
    <col min="14370" max="14371" width="0.28515625" style="2" customWidth="1"/>
    <col min="14372" max="14372" width="1.42578125" style="2" customWidth="1"/>
    <col min="14373" max="14373" width="0" style="2" hidden="1" customWidth="1"/>
    <col min="14374" max="14592" width="11.42578125" style="2"/>
    <col min="14593" max="14593" width="8" style="2" customWidth="1"/>
    <col min="14594" max="14594" width="13.42578125" style="2" customWidth="1"/>
    <col min="14595" max="14595" width="4.28515625" style="2" customWidth="1"/>
    <col min="14596" max="14596" width="4" style="2" customWidth="1"/>
    <col min="14597" max="14597" width="17" style="2" customWidth="1"/>
    <col min="14598" max="14598" width="4.140625" style="2" customWidth="1"/>
    <col min="14599" max="14599" width="11.28515625" style="2" customWidth="1"/>
    <col min="14600" max="14600" width="11" style="2" customWidth="1"/>
    <col min="14601" max="14602" width="2.140625" style="2" customWidth="1"/>
    <col min="14603" max="14603" width="3.28515625" style="2" customWidth="1"/>
    <col min="14604" max="14605" width="0" style="2" hidden="1" customWidth="1"/>
    <col min="14606" max="14606" width="2.85546875" style="2" customWidth="1"/>
    <col min="14607" max="14607" width="3.28515625" style="2" customWidth="1"/>
    <col min="14608" max="14608" width="1.42578125" style="2" customWidth="1"/>
    <col min="14609" max="14609" width="0" style="2" hidden="1" customWidth="1"/>
    <col min="14610" max="14610" width="6.85546875" style="2" customWidth="1"/>
    <col min="14611" max="14611" width="0" style="2" hidden="1" customWidth="1"/>
    <col min="14612" max="14613" width="6.28515625" style="2" customWidth="1"/>
    <col min="14614" max="14614" width="13.85546875" style="2" customWidth="1"/>
    <col min="14615" max="14615" width="10.85546875" style="2" customWidth="1"/>
    <col min="14616" max="14616" width="14.7109375" style="2" customWidth="1"/>
    <col min="14617" max="14617" width="0" style="2" hidden="1" customWidth="1"/>
    <col min="14618" max="14618" width="13" style="2" customWidth="1"/>
    <col min="14619" max="14619" width="12.7109375" style="2" customWidth="1"/>
    <col min="14620" max="14620" width="13.140625" style="2" customWidth="1"/>
    <col min="14621" max="14621" width="14" style="2" customWidth="1"/>
    <col min="14622" max="14622" width="8.140625" style="2" customWidth="1"/>
    <col min="14623" max="14623" width="11.42578125" style="2" customWidth="1"/>
    <col min="14624" max="14624" width="24.7109375" style="2" customWidth="1"/>
    <col min="14625" max="14625" width="12" style="2" customWidth="1"/>
    <col min="14626" max="14627" width="0.28515625" style="2" customWidth="1"/>
    <col min="14628" max="14628" width="1.42578125" style="2" customWidth="1"/>
    <col min="14629" max="14629" width="0" style="2" hidden="1" customWidth="1"/>
    <col min="14630" max="14848" width="11.42578125" style="2"/>
    <col min="14849" max="14849" width="8" style="2" customWidth="1"/>
    <col min="14850" max="14850" width="13.42578125" style="2" customWidth="1"/>
    <col min="14851" max="14851" width="4.28515625" style="2" customWidth="1"/>
    <col min="14852" max="14852" width="4" style="2" customWidth="1"/>
    <col min="14853" max="14853" width="17" style="2" customWidth="1"/>
    <col min="14854" max="14854" width="4.140625" style="2" customWidth="1"/>
    <col min="14855" max="14855" width="11.28515625" style="2" customWidth="1"/>
    <col min="14856" max="14856" width="11" style="2" customWidth="1"/>
    <col min="14857" max="14858" width="2.140625" style="2" customWidth="1"/>
    <col min="14859" max="14859" width="3.28515625" style="2" customWidth="1"/>
    <col min="14860" max="14861" width="0" style="2" hidden="1" customWidth="1"/>
    <col min="14862" max="14862" width="2.85546875" style="2" customWidth="1"/>
    <col min="14863" max="14863" width="3.28515625" style="2" customWidth="1"/>
    <col min="14864" max="14864" width="1.42578125" style="2" customWidth="1"/>
    <col min="14865" max="14865" width="0" style="2" hidden="1" customWidth="1"/>
    <col min="14866" max="14866" width="6.85546875" style="2" customWidth="1"/>
    <col min="14867" max="14867" width="0" style="2" hidden="1" customWidth="1"/>
    <col min="14868" max="14869" width="6.28515625" style="2" customWidth="1"/>
    <col min="14870" max="14870" width="13.85546875" style="2" customWidth="1"/>
    <col min="14871" max="14871" width="10.85546875" style="2" customWidth="1"/>
    <col min="14872" max="14872" width="14.7109375" style="2" customWidth="1"/>
    <col min="14873" max="14873" width="0" style="2" hidden="1" customWidth="1"/>
    <col min="14874" max="14874" width="13" style="2" customWidth="1"/>
    <col min="14875" max="14875" width="12.7109375" style="2" customWidth="1"/>
    <col min="14876" max="14876" width="13.140625" style="2" customWidth="1"/>
    <col min="14877" max="14877" width="14" style="2" customWidth="1"/>
    <col min="14878" max="14878" width="8.140625" style="2" customWidth="1"/>
    <col min="14879" max="14879" width="11.42578125" style="2" customWidth="1"/>
    <col min="14880" max="14880" width="24.7109375" style="2" customWidth="1"/>
    <col min="14881" max="14881" width="12" style="2" customWidth="1"/>
    <col min="14882" max="14883" width="0.28515625" style="2" customWidth="1"/>
    <col min="14884" max="14884" width="1.42578125" style="2" customWidth="1"/>
    <col min="14885" max="14885" width="0" style="2" hidden="1" customWidth="1"/>
    <col min="14886" max="15104" width="11.42578125" style="2"/>
    <col min="15105" max="15105" width="8" style="2" customWidth="1"/>
    <col min="15106" max="15106" width="13.42578125" style="2" customWidth="1"/>
    <col min="15107" max="15107" width="4.28515625" style="2" customWidth="1"/>
    <col min="15108" max="15108" width="4" style="2" customWidth="1"/>
    <col min="15109" max="15109" width="17" style="2" customWidth="1"/>
    <col min="15110" max="15110" width="4.140625" style="2" customWidth="1"/>
    <col min="15111" max="15111" width="11.28515625" style="2" customWidth="1"/>
    <col min="15112" max="15112" width="11" style="2" customWidth="1"/>
    <col min="15113" max="15114" width="2.140625" style="2" customWidth="1"/>
    <col min="15115" max="15115" width="3.28515625" style="2" customWidth="1"/>
    <col min="15116" max="15117" width="0" style="2" hidden="1" customWidth="1"/>
    <col min="15118" max="15118" width="2.85546875" style="2" customWidth="1"/>
    <col min="15119" max="15119" width="3.28515625" style="2" customWidth="1"/>
    <col min="15120" max="15120" width="1.42578125" style="2" customWidth="1"/>
    <col min="15121" max="15121" width="0" style="2" hidden="1" customWidth="1"/>
    <col min="15122" max="15122" width="6.85546875" style="2" customWidth="1"/>
    <col min="15123" max="15123" width="0" style="2" hidden="1" customWidth="1"/>
    <col min="15124" max="15125" width="6.28515625" style="2" customWidth="1"/>
    <col min="15126" max="15126" width="13.85546875" style="2" customWidth="1"/>
    <col min="15127" max="15127" width="10.85546875" style="2" customWidth="1"/>
    <col min="15128" max="15128" width="14.7109375" style="2" customWidth="1"/>
    <col min="15129" max="15129" width="0" style="2" hidden="1" customWidth="1"/>
    <col min="15130" max="15130" width="13" style="2" customWidth="1"/>
    <col min="15131" max="15131" width="12.7109375" style="2" customWidth="1"/>
    <col min="15132" max="15132" width="13.140625" style="2" customWidth="1"/>
    <col min="15133" max="15133" width="14" style="2" customWidth="1"/>
    <col min="15134" max="15134" width="8.140625" style="2" customWidth="1"/>
    <col min="15135" max="15135" width="11.42578125" style="2" customWidth="1"/>
    <col min="15136" max="15136" width="24.7109375" style="2" customWidth="1"/>
    <col min="15137" max="15137" width="12" style="2" customWidth="1"/>
    <col min="15138" max="15139" width="0.28515625" style="2" customWidth="1"/>
    <col min="15140" max="15140" width="1.42578125" style="2" customWidth="1"/>
    <col min="15141" max="15141" width="0" style="2" hidden="1" customWidth="1"/>
    <col min="15142" max="15360" width="11.42578125" style="2"/>
    <col min="15361" max="15361" width="8" style="2" customWidth="1"/>
    <col min="15362" max="15362" width="13.42578125" style="2" customWidth="1"/>
    <col min="15363" max="15363" width="4.28515625" style="2" customWidth="1"/>
    <col min="15364" max="15364" width="4" style="2" customWidth="1"/>
    <col min="15365" max="15365" width="17" style="2" customWidth="1"/>
    <col min="15366" max="15366" width="4.140625" style="2" customWidth="1"/>
    <col min="15367" max="15367" width="11.28515625" style="2" customWidth="1"/>
    <col min="15368" max="15368" width="11" style="2" customWidth="1"/>
    <col min="15369" max="15370" width="2.140625" style="2" customWidth="1"/>
    <col min="15371" max="15371" width="3.28515625" style="2" customWidth="1"/>
    <col min="15372" max="15373" width="0" style="2" hidden="1" customWidth="1"/>
    <col min="15374" max="15374" width="2.85546875" style="2" customWidth="1"/>
    <col min="15375" max="15375" width="3.28515625" style="2" customWidth="1"/>
    <col min="15376" max="15376" width="1.42578125" style="2" customWidth="1"/>
    <col min="15377" max="15377" width="0" style="2" hidden="1" customWidth="1"/>
    <col min="15378" max="15378" width="6.85546875" style="2" customWidth="1"/>
    <col min="15379" max="15379" width="0" style="2" hidden="1" customWidth="1"/>
    <col min="15380" max="15381" width="6.28515625" style="2" customWidth="1"/>
    <col min="15382" max="15382" width="13.85546875" style="2" customWidth="1"/>
    <col min="15383" max="15383" width="10.85546875" style="2" customWidth="1"/>
    <col min="15384" max="15384" width="14.7109375" style="2" customWidth="1"/>
    <col min="15385" max="15385" width="0" style="2" hidden="1" customWidth="1"/>
    <col min="15386" max="15386" width="13" style="2" customWidth="1"/>
    <col min="15387" max="15387" width="12.7109375" style="2" customWidth="1"/>
    <col min="15388" max="15388" width="13.140625" style="2" customWidth="1"/>
    <col min="15389" max="15389" width="14" style="2" customWidth="1"/>
    <col min="15390" max="15390" width="8.140625" style="2" customWidth="1"/>
    <col min="15391" max="15391" width="11.42578125" style="2" customWidth="1"/>
    <col min="15392" max="15392" width="24.7109375" style="2" customWidth="1"/>
    <col min="15393" max="15393" width="12" style="2" customWidth="1"/>
    <col min="15394" max="15395" width="0.28515625" style="2" customWidth="1"/>
    <col min="15396" max="15396" width="1.42578125" style="2" customWidth="1"/>
    <col min="15397" max="15397" width="0" style="2" hidden="1" customWidth="1"/>
    <col min="15398" max="15616" width="11.42578125" style="2"/>
    <col min="15617" max="15617" width="8" style="2" customWidth="1"/>
    <col min="15618" max="15618" width="13.42578125" style="2" customWidth="1"/>
    <col min="15619" max="15619" width="4.28515625" style="2" customWidth="1"/>
    <col min="15620" max="15620" width="4" style="2" customWidth="1"/>
    <col min="15621" max="15621" width="17" style="2" customWidth="1"/>
    <col min="15622" max="15622" width="4.140625" style="2" customWidth="1"/>
    <col min="15623" max="15623" width="11.28515625" style="2" customWidth="1"/>
    <col min="15624" max="15624" width="11" style="2" customWidth="1"/>
    <col min="15625" max="15626" width="2.140625" style="2" customWidth="1"/>
    <col min="15627" max="15627" width="3.28515625" style="2" customWidth="1"/>
    <col min="15628" max="15629" width="0" style="2" hidden="1" customWidth="1"/>
    <col min="15630" max="15630" width="2.85546875" style="2" customWidth="1"/>
    <col min="15631" max="15631" width="3.28515625" style="2" customWidth="1"/>
    <col min="15632" max="15632" width="1.42578125" style="2" customWidth="1"/>
    <col min="15633" max="15633" width="0" style="2" hidden="1" customWidth="1"/>
    <col min="15634" max="15634" width="6.85546875" style="2" customWidth="1"/>
    <col min="15635" max="15635" width="0" style="2" hidden="1" customWidth="1"/>
    <col min="15636" max="15637" width="6.28515625" style="2" customWidth="1"/>
    <col min="15638" max="15638" width="13.85546875" style="2" customWidth="1"/>
    <col min="15639" max="15639" width="10.85546875" style="2" customWidth="1"/>
    <col min="15640" max="15640" width="14.7109375" style="2" customWidth="1"/>
    <col min="15641" max="15641" width="0" style="2" hidden="1" customWidth="1"/>
    <col min="15642" max="15642" width="13" style="2" customWidth="1"/>
    <col min="15643" max="15643" width="12.7109375" style="2" customWidth="1"/>
    <col min="15644" max="15644" width="13.140625" style="2" customWidth="1"/>
    <col min="15645" max="15645" width="14" style="2" customWidth="1"/>
    <col min="15646" max="15646" width="8.140625" style="2" customWidth="1"/>
    <col min="15647" max="15647" width="11.42578125" style="2" customWidth="1"/>
    <col min="15648" max="15648" width="24.7109375" style="2" customWidth="1"/>
    <col min="15649" max="15649" width="12" style="2" customWidth="1"/>
    <col min="15650" max="15651" width="0.28515625" style="2" customWidth="1"/>
    <col min="15652" max="15652" width="1.42578125" style="2" customWidth="1"/>
    <col min="15653" max="15653" width="0" style="2" hidden="1" customWidth="1"/>
    <col min="15654" max="15872" width="11.42578125" style="2"/>
    <col min="15873" max="15873" width="8" style="2" customWidth="1"/>
    <col min="15874" max="15874" width="13.42578125" style="2" customWidth="1"/>
    <col min="15875" max="15875" width="4.28515625" style="2" customWidth="1"/>
    <col min="15876" max="15876" width="4" style="2" customWidth="1"/>
    <col min="15877" max="15877" width="17" style="2" customWidth="1"/>
    <col min="15878" max="15878" width="4.140625" style="2" customWidth="1"/>
    <col min="15879" max="15879" width="11.28515625" style="2" customWidth="1"/>
    <col min="15880" max="15880" width="11" style="2" customWidth="1"/>
    <col min="15881" max="15882" width="2.140625" style="2" customWidth="1"/>
    <col min="15883" max="15883" width="3.28515625" style="2" customWidth="1"/>
    <col min="15884" max="15885" width="0" style="2" hidden="1" customWidth="1"/>
    <col min="15886" max="15886" width="2.85546875" style="2" customWidth="1"/>
    <col min="15887" max="15887" width="3.28515625" style="2" customWidth="1"/>
    <col min="15888" max="15888" width="1.42578125" style="2" customWidth="1"/>
    <col min="15889" max="15889" width="0" style="2" hidden="1" customWidth="1"/>
    <col min="15890" max="15890" width="6.85546875" style="2" customWidth="1"/>
    <col min="15891" max="15891" width="0" style="2" hidden="1" customWidth="1"/>
    <col min="15892" max="15893" width="6.28515625" style="2" customWidth="1"/>
    <col min="15894" max="15894" width="13.85546875" style="2" customWidth="1"/>
    <col min="15895" max="15895" width="10.85546875" style="2" customWidth="1"/>
    <col min="15896" max="15896" width="14.7109375" style="2" customWidth="1"/>
    <col min="15897" max="15897" width="0" style="2" hidden="1" customWidth="1"/>
    <col min="15898" max="15898" width="13" style="2" customWidth="1"/>
    <col min="15899" max="15899" width="12.7109375" style="2" customWidth="1"/>
    <col min="15900" max="15900" width="13.140625" style="2" customWidth="1"/>
    <col min="15901" max="15901" width="14" style="2" customWidth="1"/>
    <col min="15902" max="15902" width="8.140625" style="2" customWidth="1"/>
    <col min="15903" max="15903" width="11.42578125" style="2" customWidth="1"/>
    <col min="15904" max="15904" width="24.7109375" style="2" customWidth="1"/>
    <col min="15905" max="15905" width="12" style="2" customWidth="1"/>
    <col min="15906" max="15907" width="0.28515625" style="2" customWidth="1"/>
    <col min="15908" max="15908" width="1.42578125" style="2" customWidth="1"/>
    <col min="15909" max="15909" width="0" style="2" hidden="1" customWidth="1"/>
    <col min="15910" max="16128" width="11.42578125" style="2"/>
    <col min="16129" max="16129" width="8" style="2" customWidth="1"/>
    <col min="16130" max="16130" width="13.42578125" style="2" customWidth="1"/>
    <col min="16131" max="16131" width="4.28515625" style="2" customWidth="1"/>
    <col min="16132" max="16132" width="4" style="2" customWidth="1"/>
    <col min="16133" max="16133" width="17" style="2" customWidth="1"/>
    <col min="16134" max="16134" width="4.140625" style="2" customWidth="1"/>
    <col min="16135" max="16135" width="11.28515625" style="2" customWidth="1"/>
    <col min="16136" max="16136" width="11" style="2" customWidth="1"/>
    <col min="16137" max="16138" width="2.140625" style="2" customWidth="1"/>
    <col min="16139" max="16139" width="3.28515625" style="2" customWidth="1"/>
    <col min="16140" max="16141" width="0" style="2" hidden="1" customWidth="1"/>
    <col min="16142" max="16142" width="2.85546875" style="2" customWidth="1"/>
    <col min="16143" max="16143" width="3.28515625" style="2" customWidth="1"/>
    <col min="16144" max="16144" width="1.42578125" style="2" customWidth="1"/>
    <col min="16145" max="16145" width="0" style="2" hidden="1" customWidth="1"/>
    <col min="16146" max="16146" width="6.85546875" style="2" customWidth="1"/>
    <col min="16147" max="16147" width="0" style="2" hidden="1" customWidth="1"/>
    <col min="16148" max="16149" width="6.28515625" style="2" customWidth="1"/>
    <col min="16150" max="16150" width="13.85546875" style="2" customWidth="1"/>
    <col min="16151" max="16151" width="10.85546875" style="2" customWidth="1"/>
    <col min="16152" max="16152" width="14.7109375" style="2" customWidth="1"/>
    <col min="16153" max="16153" width="0" style="2" hidden="1" customWidth="1"/>
    <col min="16154" max="16154" width="13" style="2" customWidth="1"/>
    <col min="16155" max="16155" width="12.7109375" style="2" customWidth="1"/>
    <col min="16156" max="16156" width="13.140625" style="2" customWidth="1"/>
    <col min="16157" max="16157" width="14" style="2" customWidth="1"/>
    <col min="16158" max="16158" width="8.140625" style="2" customWidth="1"/>
    <col min="16159" max="16159" width="11.42578125" style="2" customWidth="1"/>
    <col min="16160" max="16160" width="24.7109375" style="2" customWidth="1"/>
    <col min="16161" max="16161" width="12" style="2" customWidth="1"/>
    <col min="16162" max="16163" width="0.28515625" style="2" customWidth="1"/>
    <col min="16164" max="16164" width="1.42578125" style="2" customWidth="1"/>
    <col min="16165" max="16165" width="0" style="2" hidden="1" customWidth="1"/>
    <col min="16166" max="16384" width="11.42578125" style="2"/>
  </cols>
  <sheetData>
    <row r="1" spans="1:38" ht="45" customHeight="1">
      <c r="A1" s="600"/>
      <c r="B1" s="600"/>
      <c r="C1" s="601" t="s">
        <v>0</v>
      </c>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2" t="s">
        <v>95</v>
      </c>
      <c r="AH1" s="3" t="s">
        <v>17</v>
      </c>
      <c r="AI1" s="6" t="s">
        <v>23</v>
      </c>
    </row>
    <row r="2" spans="1:38" ht="45" customHeight="1">
      <c r="A2" s="600"/>
      <c r="B2" s="600"/>
      <c r="C2" s="603" t="s">
        <v>37</v>
      </c>
      <c r="D2" s="603"/>
      <c r="E2" s="603"/>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2"/>
      <c r="AH2" s="2" t="s">
        <v>18</v>
      </c>
      <c r="AI2" s="7" t="s">
        <v>24</v>
      </c>
    </row>
    <row r="3" spans="1:38"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H3" s="3" t="s">
        <v>16</v>
      </c>
      <c r="AI3" s="6" t="s">
        <v>25</v>
      </c>
    </row>
    <row r="4" spans="1:38" ht="30.75" customHeight="1">
      <c r="A4" s="597" t="s">
        <v>5</v>
      </c>
      <c r="B4" s="597"/>
      <c r="C4" s="597"/>
      <c r="D4" s="597"/>
      <c r="E4" s="598" t="s">
        <v>411</v>
      </c>
      <c r="F4" s="598"/>
      <c r="G4" s="598"/>
      <c r="H4" s="598"/>
      <c r="I4" s="598"/>
      <c r="J4" s="598"/>
      <c r="K4" s="598"/>
      <c r="L4" s="598"/>
      <c r="M4" s="598"/>
      <c r="N4" s="598"/>
      <c r="O4" s="598"/>
      <c r="P4" s="598"/>
      <c r="Q4" s="598"/>
      <c r="R4" s="598"/>
      <c r="S4" s="598"/>
      <c r="T4" s="598"/>
      <c r="U4" s="598"/>
      <c r="V4" s="599" t="s">
        <v>20</v>
      </c>
      <c r="W4" s="599"/>
      <c r="X4" s="671" t="s">
        <v>412</v>
      </c>
      <c r="Y4" s="671"/>
      <c r="Z4" s="671"/>
      <c r="AA4" s="671"/>
      <c r="AB4" s="671"/>
      <c r="AC4" s="671"/>
      <c r="AD4" s="599" t="s">
        <v>98</v>
      </c>
      <c r="AE4" s="599"/>
      <c r="AF4" s="242" t="s">
        <v>99</v>
      </c>
      <c r="AH4" s="6" t="s">
        <v>19</v>
      </c>
    </row>
    <row r="5" spans="1:38" ht="4.5" customHeight="1" thickBo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row>
    <row r="6" spans="1:38" ht="57" customHeight="1">
      <c r="A6" s="605" t="s">
        <v>39</v>
      </c>
      <c r="B6" s="606"/>
      <c r="C6" s="599" t="s">
        <v>1</v>
      </c>
      <c r="D6" s="599" t="s">
        <v>100</v>
      </c>
      <c r="E6" s="599"/>
      <c r="F6" s="608" t="s">
        <v>6</v>
      </c>
      <c r="G6" s="599" t="s">
        <v>9</v>
      </c>
      <c r="H6" s="599" t="s">
        <v>2</v>
      </c>
      <c r="I6" s="599" t="s">
        <v>21</v>
      </c>
      <c r="J6" s="599"/>
      <c r="K6" s="599"/>
      <c r="L6" s="599"/>
      <c r="M6" s="599"/>
      <c r="N6" s="599"/>
      <c r="O6" s="599"/>
      <c r="P6" s="599"/>
      <c r="Q6" s="599"/>
      <c r="R6" s="599"/>
      <c r="S6" s="599"/>
      <c r="T6" s="599"/>
      <c r="U6" s="599"/>
      <c r="V6" s="599" t="s">
        <v>101</v>
      </c>
      <c r="W6" s="599" t="s">
        <v>3</v>
      </c>
      <c r="X6" s="599"/>
      <c r="Y6" s="599"/>
      <c r="Z6" s="610" t="s">
        <v>102</v>
      </c>
      <c r="AA6" s="610" t="s">
        <v>103</v>
      </c>
      <c r="AB6" s="610" t="s">
        <v>4</v>
      </c>
      <c r="AC6" s="610"/>
      <c r="AD6" s="599" t="s">
        <v>104</v>
      </c>
      <c r="AE6" s="599" t="s">
        <v>105</v>
      </c>
      <c r="AF6" s="599" t="s">
        <v>106</v>
      </c>
    </row>
    <row r="7" spans="1:38" ht="37.5" customHeight="1" thickBot="1">
      <c r="A7" s="97" t="s">
        <v>40</v>
      </c>
      <c r="B7" s="98" t="s">
        <v>41</v>
      </c>
      <c r="C7" s="607"/>
      <c r="D7" s="607"/>
      <c r="E7" s="607"/>
      <c r="F7" s="609"/>
      <c r="G7" s="607"/>
      <c r="H7" s="607"/>
      <c r="I7" s="607" t="s">
        <v>11</v>
      </c>
      <c r="J7" s="607"/>
      <c r="K7" s="607"/>
      <c r="L7" s="607"/>
      <c r="M7" s="607"/>
      <c r="N7" s="607"/>
      <c r="O7" s="615" t="s">
        <v>12</v>
      </c>
      <c r="P7" s="615"/>
      <c r="Q7" s="615"/>
      <c r="R7" s="615"/>
      <c r="S7" s="615"/>
      <c r="T7" s="615" t="s">
        <v>13</v>
      </c>
      <c r="U7" s="615"/>
      <c r="V7" s="607"/>
      <c r="W7" s="836"/>
      <c r="X7" s="836"/>
      <c r="Y7" s="836"/>
      <c r="Z7" s="837"/>
      <c r="AA7" s="837"/>
      <c r="AB7" s="243" t="s">
        <v>14</v>
      </c>
      <c r="AC7" s="244" t="s">
        <v>15</v>
      </c>
      <c r="AD7" s="607"/>
      <c r="AE7" s="607"/>
      <c r="AF7" s="607"/>
    </row>
    <row r="8" spans="1:38" ht="133.5" customHeight="1" thickBot="1">
      <c r="A8" s="719"/>
      <c r="B8" s="632"/>
      <c r="C8" s="632">
        <v>1</v>
      </c>
      <c r="D8" s="821" t="s">
        <v>413</v>
      </c>
      <c r="E8" s="822"/>
      <c r="F8" s="790" t="s">
        <v>414</v>
      </c>
      <c r="G8" s="731" t="s">
        <v>38</v>
      </c>
      <c r="H8" s="632" t="s">
        <v>25</v>
      </c>
      <c r="I8" s="736" t="s">
        <v>162</v>
      </c>
      <c r="J8" s="737"/>
      <c r="K8" s="737"/>
      <c r="L8" s="737"/>
      <c r="M8" s="737"/>
      <c r="N8" s="738"/>
      <c r="O8" s="736" t="s">
        <v>162</v>
      </c>
      <c r="P8" s="737"/>
      <c r="Q8" s="737"/>
      <c r="R8" s="738"/>
      <c r="S8" s="99"/>
      <c r="T8" s="736" t="s">
        <v>162</v>
      </c>
      <c r="U8" s="738"/>
      <c r="V8" s="712" t="s">
        <v>162</v>
      </c>
      <c r="W8" s="825" t="s">
        <v>415</v>
      </c>
      <c r="X8" s="826"/>
      <c r="Y8" s="827"/>
      <c r="Z8" s="187">
        <v>1</v>
      </c>
      <c r="AA8" s="187" t="s">
        <v>416</v>
      </c>
      <c r="AB8" s="245" t="s">
        <v>417</v>
      </c>
      <c r="AC8" s="246" t="s">
        <v>282</v>
      </c>
      <c r="AD8" s="102">
        <v>1</v>
      </c>
      <c r="AE8" s="247" t="s">
        <v>17</v>
      </c>
      <c r="AF8" s="248" t="s">
        <v>918</v>
      </c>
      <c r="AG8" s="249">
        <v>86</v>
      </c>
      <c r="AH8" s="105"/>
      <c r="AI8" s="92"/>
      <c r="AJ8" s="92"/>
      <c r="AK8" s="92"/>
      <c r="AL8" s="92"/>
    </row>
    <row r="9" spans="1:38" ht="117.75" customHeight="1" thickBot="1">
      <c r="A9" s="720"/>
      <c r="B9" s="633"/>
      <c r="C9" s="633"/>
      <c r="D9" s="834"/>
      <c r="E9" s="835"/>
      <c r="F9" s="791"/>
      <c r="G9" s="732"/>
      <c r="H9" s="633"/>
      <c r="I9" s="739"/>
      <c r="J9" s="740"/>
      <c r="K9" s="740"/>
      <c r="L9" s="740"/>
      <c r="M9" s="740"/>
      <c r="N9" s="741"/>
      <c r="O9" s="739"/>
      <c r="P9" s="740"/>
      <c r="Q9" s="740"/>
      <c r="R9" s="741"/>
      <c r="S9" s="122"/>
      <c r="T9" s="739"/>
      <c r="U9" s="741"/>
      <c r="V9" s="713"/>
      <c r="W9" s="828" t="s">
        <v>917</v>
      </c>
      <c r="X9" s="829"/>
      <c r="Y9" s="830"/>
      <c r="Z9" s="107">
        <v>1</v>
      </c>
      <c r="AA9" s="189" t="s">
        <v>418</v>
      </c>
      <c r="AB9" s="188" t="s">
        <v>419</v>
      </c>
      <c r="AC9" s="188" t="s">
        <v>909</v>
      </c>
      <c r="AD9" s="5">
        <v>0</v>
      </c>
      <c r="AE9" s="250"/>
      <c r="AF9" s="107" t="s">
        <v>421</v>
      </c>
      <c r="AG9" s="249">
        <v>0</v>
      </c>
      <c r="AH9" s="105"/>
      <c r="AI9" s="92"/>
      <c r="AJ9" s="92"/>
      <c r="AK9" s="92"/>
      <c r="AL9" s="92"/>
    </row>
    <row r="10" spans="1:38" ht="60" customHeight="1" thickBot="1">
      <c r="A10" s="720"/>
      <c r="B10" s="633"/>
      <c r="C10" s="633"/>
      <c r="D10" s="834"/>
      <c r="E10" s="835"/>
      <c r="F10" s="791"/>
      <c r="G10" s="732"/>
      <c r="H10" s="633"/>
      <c r="I10" s="739"/>
      <c r="J10" s="740"/>
      <c r="K10" s="740"/>
      <c r="L10" s="740"/>
      <c r="M10" s="740"/>
      <c r="N10" s="741"/>
      <c r="O10" s="739"/>
      <c r="P10" s="740"/>
      <c r="Q10" s="740"/>
      <c r="R10" s="741"/>
      <c r="S10" s="122"/>
      <c r="T10" s="739"/>
      <c r="U10" s="741"/>
      <c r="V10" s="713"/>
      <c r="W10" s="828" t="s">
        <v>422</v>
      </c>
      <c r="X10" s="829"/>
      <c r="Y10" s="830"/>
      <c r="Z10" s="107">
        <v>1</v>
      </c>
      <c r="AA10" s="189" t="s">
        <v>423</v>
      </c>
      <c r="AB10" s="188" t="s">
        <v>424</v>
      </c>
      <c r="AC10" s="188" t="s">
        <v>909</v>
      </c>
      <c r="AD10" s="5"/>
      <c r="AE10" s="250"/>
      <c r="AF10" s="107" t="s">
        <v>421</v>
      </c>
      <c r="AG10" s="249">
        <v>0</v>
      </c>
      <c r="AH10" s="105"/>
      <c r="AI10" s="92"/>
      <c r="AJ10" s="92"/>
      <c r="AK10" s="92"/>
      <c r="AL10" s="92"/>
    </row>
    <row r="11" spans="1:38" ht="111" customHeight="1" thickBot="1">
      <c r="A11" s="720"/>
      <c r="B11" s="633"/>
      <c r="C11" s="633"/>
      <c r="D11" s="834"/>
      <c r="E11" s="835"/>
      <c r="F11" s="791"/>
      <c r="G11" s="732"/>
      <c r="H11" s="633"/>
      <c r="I11" s="739"/>
      <c r="J11" s="740"/>
      <c r="K11" s="740"/>
      <c r="L11" s="740"/>
      <c r="M11" s="740"/>
      <c r="N11" s="741"/>
      <c r="O11" s="739"/>
      <c r="P11" s="740"/>
      <c r="Q11" s="740"/>
      <c r="R11" s="741"/>
      <c r="S11" s="122"/>
      <c r="T11" s="739"/>
      <c r="U11" s="741"/>
      <c r="V11" s="713"/>
      <c r="W11" s="831" t="s">
        <v>426</v>
      </c>
      <c r="X11" s="832"/>
      <c r="Y11" s="833"/>
      <c r="Z11" s="251">
        <v>1</v>
      </c>
      <c r="AA11" s="251" t="s">
        <v>427</v>
      </c>
      <c r="AB11" s="252" t="s">
        <v>428</v>
      </c>
      <c r="AC11" s="188" t="s">
        <v>909</v>
      </c>
      <c r="AD11" s="5"/>
      <c r="AE11" s="250"/>
      <c r="AF11" s="107" t="s">
        <v>421</v>
      </c>
      <c r="AG11" s="249"/>
      <c r="AH11" s="105"/>
      <c r="AI11" s="92"/>
      <c r="AJ11" s="92"/>
      <c r="AK11" s="92"/>
      <c r="AL11" s="92"/>
    </row>
    <row r="12" spans="1:38" ht="63" customHeight="1" thickBot="1">
      <c r="A12" s="720"/>
      <c r="B12" s="633"/>
      <c r="C12" s="633"/>
      <c r="D12" s="834"/>
      <c r="E12" s="835"/>
      <c r="F12" s="791"/>
      <c r="G12" s="732"/>
      <c r="H12" s="633"/>
      <c r="I12" s="739"/>
      <c r="J12" s="740"/>
      <c r="K12" s="740"/>
      <c r="L12" s="740"/>
      <c r="M12" s="740"/>
      <c r="N12" s="741"/>
      <c r="O12" s="739"/>
      <c r="P12" s="740"/>
      <c r="Q12" s="740"/>
      <c r="R12" s="741"/>
      <c r="S12" s="122"/>
      <c r="T12" s="739"/>
      <c r="U12" s="741"/>
      <c r="V12" s="713"/>
      <c r="W12" s="831" t="s">
        <v>429</v>
      </c>
      <c r="X12" s="832"/>
      <c r="Y12" s="833"/>
      <c r="Z12" s="251">
        <v>1</v>
      </c>
      <c r="AA12" s="251" t="s">
        <v>430</v>
      </c>
      <c r="AB12" s="252" t="s">
        <v>431</v>
      </c>
      <c r="AC12" s="188" t="s">
        <v>909</v>
      </c>
      <c r="AD12" s="174"/>
      <c r="AE12" s="253"/>
      <c r="AF12" s="107" t="s">
        <v>432</v>
      </c>
      <c r="AG12" s="105"/>
      <c r="AH12" s="105"/>
      <c r="AI12" s="92"/>
      <c r="AJ12" s="92"/>
      <c r="AK12" s="92"/>
      <c r="AL12" s="92"/>
    </row>
    <row r="13" spans="1:38" ht="90.75" customHeight="1">
      <c r="A13" s="719"/>
      <c r="B13" s="632"/>
      <c r="C13" s="632">
        <v>2</v>
      </c>
      <c r="D13" s="821" t="s">
        <v>433</v>
      </c>
      <c r="E13" s="822"/>
      <c r="F13" s="728" t="s">
        <v>434</v>
      </c>
      <c r="G13" s="731" t="s">
        <v>28</v>
      </c>
      <c r="H13" s="632" t="s">
        <v>25</v>
      </c>
      <c r="I13" s="736" t="s">
        <v>162</v>
      </c>
      <c r="J13" s="737"/>
      <c r="K13" s="737"/>
      <c r="L13" s="737"/>
      <c r="M13" s="737"/>
      <c r="N13" s="738"/>
      <c r="O13" s="736" t="s">
        <v>162</v>
      </c>
      <c r="P13" s="737"/>
      <c r="Q13" s="737"/>
      <c r="R13" s="738"/>
      <c r="S13" s="99"/>
      <c r="T13" s="736" t="s">
        <v>162</v>
      </c>
      <c r="U13" s="738"/>
      <c r="V13" s="712" t="s">
        <v>162</v>
      </c>
      <c r="W13" s="818" t="s">
        <v>435</v>
      </c>
      <c r="X13" s="819"/>
      <c r="Y13" s="100"/>
      <c r="Z13" s="254">
        <v>1</v>
      </c>
      <c r="AA13" s="254" t="s">
        <v>436</v>
      </c>
      <c r="AB13" s="254" t="s">
        <v>437</v>
      </c>
      <c r="AC13" s="254" t="s">
        <v>919</v>
      </c>
      <c r="AD13" s="102">
        <v>0.5</v>
      </c>
      <c r="AE13" s="247" t="s">
        <v>16</v>
      </c>
      <c r="AF13" s="255" t="s">
        <v>920</v>
      </c>
    </row>
    <row r="14" spans="1:38" ht="67.5" customHeight="1" thickBot="1">
      <c r="A14" s="721"/>
      <c r="B14" s="634"/>
      <c r="C14" s="634"/>
      <c r="D14" s="823"/>
      <c r="E14" s="824"/>
      <c r="F14" s="730"/>
      <c r="G14" s="733"/>
      <c r="H14" s="634"/>
      <c r="I14" s="742"/>
      <c r="J14" s="743"/>
      <c r="K14" s="743"/>
      <c r="L14" s="743"/>
      <c r="M14" s="743"/>
      <c r="N14" s="744"/>
      <c r="O14" s="742"/>
      <c r="P14" s="743"/>
      <c r="Q14" s="743"/>
      <c r="R14" s="744"/>
      <c r="S14" s="110"/>
      <c r="T14" s="742"/>
      <c r="U14" s="744"/>
      <c r="V14" s="714"/>
      <c r="W14" s="820" t="s">
        <v>438</v>
      </c>
      <c r="X14" s="820"/>
      <c r="Y14" s="820"/>
      <c r="Z14" s="112">
        <v>1</v>
      </c>
      <c r="AA14" s="112" t="s">
        <v>439</v>
      </c>
      <c r="AB14" s="112" t="s">
        <v>419</v>
      </c>
      <c r="AC14" s="112" t="s">
        <v>919</v>
      </c>
      <c r="AD14" s="5"/>
      <c r="AE14" s="256"/>
      <c r="AF14" s="257" t="s">
        <v>440</v>
      </c>
      <c r="AG14" s="258">
        <v>0</v>
      </c>
    </row>
    <row r="15" spans="1:38" ht="146.25" customHeight="1" thickBot="1">
      <c r="A15" s="458"/>
      <c r="B15" s="148"/>
      <c r="C15" s="148">
        <v>3</v>
      </c>
      <c r="D15" s="843" t="s">
        <v>907</v>
      </c>
      <c r="E15" s="844"/>
      <c r="F15" s="149" t="s">
        <v>908</v>
      </c>
      <c r="G15" s="150" t="s">
        <v>44</v>
      </c>
      <c r="H15" s="148" t="s">
        <v>25</v>
      </c>
      <c r="I15" s="840" t="s">
        <v>162</v>
      </c>
      <c r="J15" s="841"/>
      <c r="K15" s="841"/>
      <c r="L15" s="841"/>
      <c r="M15" s="841"/>
      <c r="N15" s="842"/>
      <c r="O15" s="840" t="s">
        <v>162</v>
      </c>
      <c r="P15" s="841"/>
      <c r="Q15" s="841"/>
      <c r="R15" s="842"/>
      <c r="S15" s="346"/>
      <c r="T15" s="840" t="s">
        <v>162</v>
      </c>
      <c r="U15" s="842"/>
      <c r="V15" s="345" t="s">
        <v>162</v>
      </c>
      <c r="W15" s="838" t="s">
        <v>905</v>
      </c>
      <c r="X15" s="839"/>
      <c r="Y15" s="230"/>
      <c r="Z15" s="230">
        <v>1</v>
      </c>
      <c r="AA15" s="230" t="s">
        <v>906</v>
      </c>
      <c r="AB15" s="230" t="s">
        <v>437</v>
      </c>
      <c r="AC15" s="230" t="s">
        <v>282</v>
      </c>
      <c r="AD15" s="216">
        <v>0.5</v>
      </c>
      <c r="AE15" s="459" t="s">
        <v>19</v>
      </c>
      <c r="AF15" s="460" t="s">
        <v>921</v>
      </c>
    </row>
    <row r="16" spans="1:38" ht="6" customHeight="1">
      <c r="A16" s="643"/>
      <c r="B16" s="643"/>
      <c r="C16" s="643"/>
      <c r="D16" s="643"/>
      <c r="E16" s="643"/>
      <c r="F16" s="643"/>
      <c r="G16" s="643"/>
      <c r="H16" s="643"/>
      <c r="I16" s="643"/>
      <c r="J16" s="643"/>
      <c r="K16" s="643"/>
      <c r="L16" s="643"/>
      <c r="M16" s="643"/>
      <c r="N16" s="643"/>
      <c r="O16" s="643"/>
      <c r="P16" s="643"/>
      <c r="Q16" s="643"/>
      <c r="R16" s="643"/>
      <c r="S16" s="643"/>
      <c r="T16" s="643"/>
      <c r="U16" s="643"/>
      <c r="V16" s="643"/>
      <c r="W16" s="643"/>
      <c r="X16" s="643"/>
      <c r="Y16" s="643"/>
      <c r="Z16" s="643"/>
      <c r="AA16" s="643"/>
      <c r="AB16" s="643"/>
      <c r="AC16" s="643"/>
      <c r="AD16" s="643"/>
      <c r="AE16" s="643"/>
      <c r="AF16" s="643"/>
    </row>
    <row r="17" spans="1:35" ht="12.75" customHeight="1">
      <c r="A17" s="644" t="s">
        <v>22</v>
      </c>
      <c r="B17" s="644"/>
      <c r="C17" s="644"/>
      <c r="D17" s="644"/>
      <c r="E17" s="644"/>
      <c r="F17" s="644"/>
      <c r="G17" s="644"/>
      <c r="H17" s="644"/>
      <c r="I17" s="644"/>
      <c r="J17" s="644"/>
      <c r="K17" s="644"/>
      <c r="L17" s="4"/>
      <c r="M17" s="4"/>
      <c r="N17" s="645" t="s">
        <v>34</v>
      </c>
      <c r="O17" s="645"/>
      <c r="P17" s="645"/>
      <c r="Q17" s="645"/>
      <c r="R17" s="645"/>
      <c r="S17" s="645"/>
      <c r="T17" s="645"/>
      <c r="U17" s="645"/>
      <c r="V17" s="645"/>
      <c r="W17" s="645"/>
      <c r="X17" s="645"/>
      <c r="Y17" s="645"/>
      <c r="Z17" s="645"/>
      <c r="AA17" s="645"/>
      <c r="AB17" s="645"/>
      <c r="AC17" s="646" t="s">
        <v>35</v>
      </c>
      <c r="AD17" s="646"/>
      <c r="AE17" s="646"/>
      <c r="AF17" s="646"/>
    </row>
    <row r="18" spans="1:35">
      <c r="A18" s="644"/>
      <c r="B18" s="644"/>
      <c r="C18" s="644"/>
      <c r="D18" s="644"/>
      <c r="E18" s="644"/>
      <c r="F18" s="644"/>
      <c r="G18" s="644"/>
      <c r="H18" s="644"/>
      <c r="I18" s="644"/>
      <c r="J18" s="644"/>
      <c r="K18" s="644"/>
      <c r="L18" s="4"/>
      <c r="M18" s="4"/>
      <c r="N18" s="645"/>
      <c r="O18" s="645"/>
      <c r="P18" s="645"/>
      <c r="Q18" s="645"/>
      <c r="R18" s="645"/>
      <c r="S18" s="645"/>
      <c r="T18" s="645"/>
      <c r="U18" s="645"/>
      <c r="V18" s="645"/>
      <c r="W18" s="645"/>
      <c r="X18" s="645"/>
      <c r="Y18" s="645"/>
      <c r="Z18" s="645"/>
      <c r="AA18" s="645"/>
      <c r="AB18" s="645"/>
      <c r="AC18" s="646"/>
      <c r="AD18" s="646"/>
      <c r="AE18" s="646"/>
      <c r="AF18" s="646"/>
    </row>
    <row r="19" spans="1:35" ht="38.25" customHeight="1">
      <c r="A19" s="649" t="s">
        <v>443</v>
      </c>
      <c r="B19" s="648"/>
      <c r="C19" s="648"/>
      <c r="D19" s="648"/>
      <c r="E19" s="648"/>
      <c r="F19" s="648"/>
      <c r="G19" s="648"/>
      <c r="H19" s="648"/>
      <c r="I19" s="648"/>
      <c r="J19" s="648"/>
      <c r="K19" s="648"/>
      <c r="L19" s="4"/>
      <c r="M19" s="4"/>
      <c r="N19" s="649" t="s">
        <v>441</v>
      </c>
      <c r="O19" s="650"/>
      <c r="P19" s="650"/>
      <c r="Q19" s="650"/>
      <c r="R19" s="650"/>
      <c r="S19" s="650"/>
      <c r="T19" s="650"/>
      <c r="U19" s="650"/>
      <c r="V19" s="650"/>
      <c r="W19" s="650"/>
      <c r="X19" s="650"/>
      <c r="Y19" s="650"/>
      <c r="Z19" s="650"/>
      <c r="AA19" s="650"/>
      <c r="AB19" s="650"/>
      <c r="AC19" s="651" t="s">
        <v>442</v>
      </c>
      <c r="AD19" s="651"/>
      <c r="AE19" s="651"/>
      <c r="AF19" s="651"/>
    </row>
    <row r="20" spans="1:35" ht="15" customHeight="1">
      <c r="A20" s="641" t="s">
        <v>36</v>
      </c>
      <c r="B20" s="641"/>
      <c r="C20" s="641"/>
      <c r="D20" s="641"/>
      <c r="E20" s="641"/>
      <c r="F20" s="641"/>
      <c r="G20" s="641"/>
      <c r="H20" s="641"/>
      <c r="I20" s="641"/>
      <c r="J20" s="641"/>
      <c r="K20" s="641"/>
      <c r="L20" s="641"/>
      <c r="M20" s="641"/>
      <c r="N20" s="641"/>
      <c r="O20" s="641"/>
      <c r="P20" s="641"/>
      <c r="Q20" s="641"/>
      <c r="R20" s="641"/>
      <c r="S20" s="641"/>
      <c r="T20" s="641"/>
      <c r="U20" s="641"/>
      <c r="V20" s="641"/>
      <c r="W20" s="641"/>
      <c r="X20" s="641"/>
      <c r="Y20" s="641"/>
      <c r="Z20" s="641"/>
      <c r="AA20" s="641"/>
      <c r="AB20" s="641"/>
      <c r="AC20" s="641"/>
      <c r="AD20" s="641"/>
      <c r="AE20" s="641"/>
      <c r="AF20" s="641"/>
    </row>
    <row r="21" spans="1:35" ht="15.75" customHeight="1">
      <c r="A21" s="642"/>
      <c r="B21" s="642"/>
      <c r="C21" s="642"/>
      <c r="D21" s="642"/>
      <c r="E21" s="642"/>
      <c r="F21" s="642"/>
      <c r="G21" s="642"/>
      <c r="H21" s="642"/>
      <c r="I21" s="642"/>
      <c r="J21" s="642"/>
      <c r="K21" s="642"/>
      <c r="L21" s="642"/>
      <c r="M21" s="642"/>
      <c r="N21" s="642"/>
      <c r="O21" s="642"/>
      <c r="P21" s="642"/>
      <c r="Q21" s="642"/>
      <c r="R21" s="642"/>
      <c r="S21" s="642"/>
      <c r="T21" s="642"/>
      <c r="U21" s="642"/>
      <c r="V21" s="642"/>
      <c r="W21" s="642"/>
      <c r="X21" s="642"/>
      <c r="Y21" s="642"/>
      <c r="Z21" s="642"/>
      <c r="AA21" s="642"/>
      <c r="AB21" s="642"/>
      <c r="AC21" s="642"/>
      <c r="AD21" s="642"/>
      <c r="AE21" s="642"/>
      <c r="AF21" s="642"/>
      <c r="AG21" s="642"/>
    </row>
    <row r="22" spans="1:35" ht="22.5" customHeight="1">
      <c r="A22" s="642"/>
      <c r="B22" s="642"/>
      <c r="C22" s="642"/>
      <c r="D22" s="642"/>
      <c r="E22" s="642"/>
      <c r="F22" s="642"/>
      <c r="G22" s="642"/>
      <c r="H22" s="642"/>
      <c r="I22" s="642"/>
      <c r="J22" s="642"/>
      <c r="K22" s="642"/>
      <c r="L22" s="642"/>
      <c r="M22" s="642"/>
      <c r="N22" s="642"/>
      <c r="O22" s="642"/>
      <c r="P22" s="642"/>
      <c r="Q22" s="642"/>
      <c r="R22" s="642"/>
      <c r="S22" s="642"/>
      <c r="T22" s="642"/>
      <c r="U22" s="642"/>
      <c r="V22" s="642"/>
      <c r="W22" s="642"/>
      <c r="X22" s="642"/>
      <c r="Y22" s="642"/>
      <c r="Z22" s="642"/>
      <c r="AA22" s="642"/>
      <c r="AB22" s="642"/>
      <c r="AC22" s="642"/>
      <c r="AD22" s="642"/>
      <c r="AE22" s="642"/>
      <c r="AF22" s="642"/>
      <c r="AG22" s="8"/>
      <c r="AH22" s="8"/>
    </row>
    <row r="25" spans="1:35" ht="24.75" customHeight="1">
      <c r="AI25" s="6" t="s">
        <v>38</v>
      </c>
    </row>
    <row r="26" spans="1:35" ht="24.75" customHeight="1">
      <c r="AI26" s="6" t="s">
        <v>10</v>
      </c>
    </row>
    <row r="27" spans="1:35" ht="24.75" customHeight="1">
      <c r="AI27" s="6" t="s">
        <v>42</v>
      </c>
    </row>
    <row r="28" spans="1:35" ht="24.75" customHeight="1">
      <c r="AI28" s="6" t="s">
        <v>43</v>
      </c>
    </row>
    <row r="29" spans="1:35" ht="24.75" customHeight="1">
      <c r="AI29" s="6" t="s">
        <v>44</v>
      </c>
    </row>
    <row r="30" spans="1:35" ht="24.75" customHeight="1">
      <c r="AI30" s="6" t="s">
        <v>26</v>
      </c>
    </row>
    <row r="31" spans="1:35" ht="24.75" customHeight="1">
      <c r="AI31" s="6" t="s">
        <v>27</v>
      </c>
    </row>
    <row r="32" spans="1:35" ht="24.75" customHeight="1">
      <c r="AI32" s="6" t="s">
        <v>28</v>
      </c>
    </row>
    <row r="33" spans="35:35" ht="24.75" customHeight="1">
      <c r="AI33" s="6" t="s">
        <v>30</v>
      </c>
    </row>
    <row r="34" spans="35:35" ht="24.75" customHeight="1">
      <c r="AI34" s="6" t="s">
        <v>29</v>
      </c>
    </row>
    <row r="35" spans="35:35" ht="24.75" customHeight="1">
      <c r="AI35" s="6" t="s">
        <v>31</v>
      </c>
    </row>
    <row r="36" spans="35:35" ht="24.75" customHeight="1">
      <c r="AI36" s="6" t="s">
        <v>32</v>
      </c>
    </row>
    <row r="37" spans="35:35" ht="51">
      <c r="AI37" s="6" t="s">
        <v>33</v>
      </c>
    </row>
  </sheetData>
  <mergeCells count="73">
    <mergeCell ref="W15:X15"/>
    <mergeCell ref="I15:N15"/>
    <mergeCell ref="O15:R15"/>
    <mergeCell ref="T15:U15"/>
    <mergeCell ref="D15:E15"/>
    <mergeCell ref="A4:D4"/>
    <mergeCell ref="E4:U4"/>
    <mergeCell ref="V4:W4"/>
    <mergeCell ref="X4:AC4"/>
    <mergeCell ref="AD4:AE4"/>
    <mergeCell ref="A1:B2"/>
    <mergeCell ref="C1:AE1"/>
    <mergeCell ref="AF1:AF2"/>
    <mergeCell ref="C2:AE2"/>
    <mergeCell ref="A3:AF3"/>
    <mergeCell ref="AF6:AF7"/>
    <mergeCell ref="A5:AF5"/>
    <mergeCell ref="A6:B6"/>
    <mergeCell ref="C6:C7"/>
    <mergeCell ref="D6:E7"/>
    <mergeCell ref="F6:F7"/>
    <mergeCell ref="G6:G7"/>
    <mergeCell ref="H6:H7"/>
    <mergeCell ref="I6:U6"/>
    <mergeCell ref="V6:V7"/>
    <mergeCell ref="W6:Y7"/>
    <mergeCell ref="Z6:Z7"/>
    <mergeCell ref="AA6:AA7"/>
    <mergeCell ref="AB6:AC6"/>
    <mergeCell ref="AD6:AD7"/>
    <mergeCell ref="AE6:AE7"/>
    <mergeCell ref="I7:N7"/>
    <mergeCell ref="O7:S7"/>
    <mergeCell ref="T7:U7"/>
    <mergeCell ref="A8:A12"/>
    <mergeCell ref="B8:B12"/>
    <mergeCell ref="C8:C12"/>
    <mergeCell ref="D8:E12"/>
    <mergeCell ref="F8:F12"/>
    <mergeCell ref="G8:G12"/>
    <mergeCell ref="H8:H12"/>
    <mergeCell ref="I8:N12"/>
    <mergeCell ref="O8:R12"/>
    <mergeCell ref="T8:U12"/>
    <mergeCell ref="V8:V12"/>
    <mergeCell ref="W8:Y8"/>
    <mergeCell ref="W9:Y9"/>
    <mergeCell ref="W10:Y10"/>
    <mergeCell ref="W11:Y11"/>
    <mergeCell ref="W12:Y12"/>
    <mergeCell ref="W13:X13"/>
    <mergeCell ref="W14:Y14"/>
    <mergeCell ref="A13:A14"/>
    <mergeCell ref="B13:B14"/>
    <mergeCell ref="C13:C14"/>
    <mergeCell ref="D13:E14"/>
    <mergeCell ref="F13:F14"/>
    <mergeCell ref="G13:G14"/>
    <mergeCell ref="H13:H14"/>
    <mergeCell ref="I13:N14"/>
    <mergeCell ref="O13:R14"/>
    <mergeCell ref="T13:U14"/>
    <mergeCell ref="V13:V14"/>
    <mergeCell ref="A20:AF20"/>
    <mergeCell ref="A21:AG21"/>
    <mergeCell ref="A22:AF22"/>
    <mergeCell ref="A16:AF16"/>
    <mergeCell ref="A17:K18"/>
    <mergeCell ref="N17:AB18"/>
    <mergeCell ref="AC17:AF18"/>
    <mergeCell ref="A19:K19"/>
    <mergeCell ref="N19:AB19"/>
    <mergeCell ref="AC19:AF19"/>
  </mergeCells>
  <conditionalFormatting sqref="AD8:AD14">
    <cfRule type="cellIs" dxfId="355" priority="29" operator="between">
      <formula>0.001</formula>
      <formula>0.99</formula>
    </cfRule>
    <cfRule type="cellIs" dxfId="354" priority="30" operator="equal">
      <formula>1</formula>
    </cfRule>
    <cfRule type="cellIs" dxfId="353" priority="31" operator="equal">
      <formula>0</formula>
    </cfRule>
  </conditionalFormatting>
  <conditionalFormatting sqref="AD8:AD14">
    <cfRule type="cellIs" dxfId="352" priority="32" operator="between">
      <formula>0.01</formula>
      <formula>0.99</formula>
    </cfRule>
    <cfRule type="cellIs" dxfId="351" priority="33" operator="equal">
      <formula>1</formula>
    </cfRule>
    <cfRule type="cellIs" dxfId="350" priority="34" operator="equal">
      <formula>0</formula>
    </cfRule>
  </conditionalFormatting>
  <conditionalFormatting sqref="AA8:AA12">
    <cfRule type="cellIs" dxfId="349" priority="27" stopIfTrue="1" operator="greaterThan">
      <formula>#REF!</formula>
    </cfRule>
    <cfRule type="cellIs" dxfId="348" priority="28" stopIfTrue="1" operator="lessThan">
      <formula>#REF!</formula>
    </cfRule>
  </conditionalFormatting>
  <conditionalFormatting sqref="AA13:AA14">
    <cfRule type="cellIs" dxfId="347" priority="25" stopIfTrue="1" operator="greaterThan">
      <formula>#REF!</formula>
    </cfRule>
    <cfRule type="cellIs" dxfId="346" priority="26" stopIfTrue="1" operator="lessThan">
      <formula>#REF!</formula>
    </cfRule>
  </conditionalFormatting>
  <conditionalFormatting sqref="AD15">
    <cfRule type="cellIs" dxfId="345" priority="3" operator="between">
      <formula>0.001</formula>
      <formula>0.99</formula>
    </cfRule>
    <cfRule type="cellIs" dxfId="344" priority="4" operator="equal">
      <formula>1</formula>
    </cfRule>
    <cfRule type="cellIs" dxfId="343" priority="5" operator="equal">
      <formula>0</formula>
    </cfRule>
  </conditionalFormatting>
  <conditionalFormatting sqref="AD15">
    <cfRule type="cellIs" dxfId="342" priority="6" operator="between">
      <formula>0.01</formula>
      <formula>0.99</formula>
    </cfRule>
    <cfRule type="cellIs" dxfId="341" priority="7" operator="equal">
      <formula>1</formula>
    </cfRule>
    <cfRule type="cellIs" dxfId="340" priority="8" operator="equal">
      <formula>0</formula>
    </cfRule>
  </conditionalFormatting>
  <conditionalFormatting sqref="AA15">
    <cfRule type="cellIs" dxfId="339" priority="1" stopIfTrue="1" operator="greaterThan">
      <formula>#REF!</formula>
    </cfRule>
    <cfRule type="cellIs" dxfId="338" priority="2" stopIfTrue="1" operator="lessThan">
      <formula>#REF!</formula>
    </cfRule>
  </conditionalFormatting>
  <dataValidations count="5">
    <dataValidation type="date" showInputMessage="1" showErrorMessage="1" error="Debe Digitar una Fecha Valida o Verificar la Fecha Inicial" sqref="AC65545 JY65545 TU65545 ADQ65545 ANM65545 AXI65545 BHE65545 BRA65545 CAW65545 CKS65545 CUO65545 DEK65545 DOG65545 DYC65545 EHY65545 ERU65545 FBQ65545 FLM65545 FVI65545 GFE65545 GPA65545 GYW65545 HIS65545 HSO65545 ICK65545 IMG65545 IWC65545 JFY65545 JPU65545 JZQ65545 KJM65545 KTI65545 LDE65545 LNA65545 LWW65545 MGS65545 MQO65545 NAK65545 NKG65545 NUC65545 ODY65545 ONU65545 OXQ65545 PHM65545 PRI65545 QBE65545 QLA65545 QUW65545 RES65545 ROO65545 RYK65545 SIG65545 SSC65545 TBY65545 TLU65545 TVQ65545 UFM65545 UPI65545 UZE65545 VJA65545 VSW65545 WCS65545 WMO65545 WWK65545 AC131081 JY131081 TU131081 ADQ131081 ANM131081 AXI131081 BHE131081 BRA131081 CAW131081 CKS131081 CUO131081 DEK131081 DOG131081 DYC131081 EHY131081 ERU131081 FBQ131081 FLM131081 FVI131081 GFE131081 GPA131081 GYW131081 HIS131081 HSO131081 ICK131081 IMG131081 IWC131081 JFY131081 JPU131081 JZQ131081 KJM131081 KTI131081 LDE131081 LNA131081 LWW131081 MGS131081 MQO131081 NAK131081 NKG131081 NUC131081 ODY131081 ONU131081 OXQ131081 PHM131081 PRI131081 QBE131081 QLA131081 QUW131081 RES131081 ROO131081 RYK131081 SIG131081 SSC131081 TBY131081 TLU131081 TVQ131081 UFM131081 UPI131081 UZE131081 VJA131081 VSW131081 WCS131081 WMO131081 WWK131081 AC196617 JY196617 TU196617 ADQ196617 ANM196617 AXI196617 BHE196617 BRA196617 CAW196617 CKS196617 CUO196617 DEK196617 DOG196617 DYC196617 EHY196617 ERU196617 FBQ196617 FLM196617 FVI196617 GFE196617 GPA196617 GYW196617 HIS196617 HSO196617 ICK196617 IMG196617 IWC196617 JFY196617 JPU196617 JZQ196617 KJM196617 KTI196617 LDE196617 LNA196617 LWW196617 MGS196617 MQO196617 NAK196617 NKG196617 NUC196617 ODY196617 ONU196617 OXQ196617 PHM196617 PRI196617 QBE196617 QLA196617 QUW196617 RES196617 ROO196617 RYK196617 SIG196617 SSC196617 TBY196617 TLU196617 TVQ196617 UFM196617 UPI196617 UZE196617 VJA196617 VSW196617 WCS196617 WMO196617 WWK196617 AC262153 JY262153 TU262153 ADQ262153 ANM262153 AXI262153 BHE262153 BRA262153 CAW262153 CKS262153 CUO262153 DEK262153 DOG262153 DYC262153 EHY262153 ERU262153 FBQ262153 FLM262153 FVI262153 GFE262153 GPA262153 GYW262153 HIS262153 HSO262153 ICK262153 IMG262153 IWC262153 JFY262153 JPU262153 JZQ262153 KJM262153 KTI262153 LDE262153 LNA262153 LWW262153 MGS262153 MQO262153 NAK262153 NKG262153 NUC262153 ODY262153 ONU262153 OXQ262153 PHM262153 PRI262153 QBE262153 QLA262153 QUW262153 RES262153 ROO262153 RYK262153 SIG262153 SSC262153 TBY262153 TLU262153 TVQ262153 UFM262153 UPI262153 UZE262153 VJA262153 VSW262153 WCS262153 WMO262153 WWK262153 AC327689 JY327689 TU327689 ADQ327689 ANM327689 AXI327689 BHE327689 BRA327689 CAW327689 CKS327689 CUO327689 DEK327689 DOG327689 DYC327689 EHY327689 ERU327689 FBQ327689 FLM327689 FVI327689 GFE327689 GPA327689 GYW327689 HIS327689 HSO327689 ICK327689 IMG327689 IWC327689 JFY327689 JPU327689 JZQ327689 KJM327689 KTI327689 LDE327689 LNA327689 LWW327689 MGS327689 MQO327689 NAK327689 NKG327689 NUC327689 ODY327689 ONU327689 OXQ327689 PHM327689 PRI327689 QBE327689 QLA327689 QUW327689 RES327689 ROO327689 RYK327689 SIG327689 SSC327689 TBY327689 TLU327689 TVQ327689 UFM327689 UPI327689 UZE327689 VJA327689 VSW327689 WCS327689 WMO327689 WWK327689 AC393225 JY393225 TU393225 ADQ393225 ANM393225 AXI393225 BHE393225 BRA393225 CAW393225 CKS393225 CUO393225 DEK393225 DOG393225 DYC393225 EHY393225 ERU393225 FBQ393225 FLM393225 FVI393225 GFE393225 GPA393225 GYW393225 HIS393225 HSO393225 ICK393225 IMG393225 IWC393225 JFY393225 JPU393225 JZQ393225 KJM393225 KTI393225 LDE393225 LNA393225 LWW393225 MGS393225 MQO393225 NAK393225 NKG393225 NUC393225 ODY393225 ONU393225 OXQ393225 PHM393225 PRI393225 QBE393225 QLA393225 QUW393225 RES393225 ROO393225 RYK393225 SIG393225 SSC393225 TBY393225 TLU393225 TVQ393225 UFM393225 UPI393225 UZE393225 VJA393225 VSW393225 WCS393225 WMO393225 WWK393225 AC458761 JY458761 TU458761 ADQ458761 ANM458761 AXI458761 BHE458761 BRA458761 CAW458761 CKS458761 CUO458761 DEK458761 DOG458761 DYC458761 EHY458761 ERU458761 FBQ458761 FLM458761 FVI458761 GFE458761 GPA458761 GYW458761 HIS458761 HSO458761 ICK458761 IMG458761 IWC458761 JFY458761 JPU458761 JZQ458761 KJM458761 KTI458761 LDE458761 LNA458761 LWW458761 MGS458761 MQO458761 NAK458761 NKG458761 NUC458761 ODY458761 ONU458761 OXQ458761 PHM458761 PRI458761 QBE458761 QLA458761 QUW458761 RES458761 ROO458761 RYK458761 SIG458761 SSC458761 TBY458761 TLU458761 TVQ458761 UFM458761 UPI458761 UZE458761 VJA458761 VSW458761 WCS458761 WMO458761 WWK458761 AC524297 JY524297 TU524297 ADQ524297 ANM524297 AXI524297 BHE524297 BRA524297 CAW524297 CKS524297 CUO524297 DEK524297 DOG524297 DYC524297 EHY524297 ERU524297 FBQ524297 FLM524297 FVI524297 GFE524297 GPA524297 GYW524297 HIS524297 HSO524297 ICK524297 IMG524297 IWC524297 JFY524297 JPU524297 JZQ524297 KJM524297 KTI524297 LDE524297 LNA524297 LWW524297 MGS524297 MQO524297 NAK524297 NKG524297 NUC524297 ODY524297 ONU524297 OXQ524297 PHM524297 PRI524297 QBE524297 QLA524297 QUW524297 RES524297 ROO524297 RYK524297 SIG524297 SSC524297 TBY524297 TLU524297 TVQ524297 UFM524297 UPI524297 UZE524297 VJA524297 VSW524297 WCS524297 WMO524297 WWK524297 AC589833 JY589833 TU589833 ADQ589833 ANM589833 AXI589833 BHE589833 BRA589833 CAW589833 CKS589833 CUO589833 DEK589833 DOG589833 DYC589833 EHY589833 ERU589833 FBQ589833 FLM589833 FVI589833 GFE589833 GPA589833 GYW589833 HIS589833 HSO589833 ICK589833 IMG589833 IWC589833 JFY589833 JPU589833 JZQ589833 KJM589833 KTI589833 LDE589833 LNA589833 LWW589833 MGS589833 MQO589833 NAK589833 NKG589833 NUC589833 ODY589833 ONU589833 OXQ589833 PHM589833 PRI589833 QBE589833 QLA589833 QUW589833 RES589833 ROO589833 RYK589833 SIG589833 SSC589833 TBY589833 TLU589833 TVQ589833 UFM589833 UPI589833 UZE589833 VJA589833 VSW589833 WCS589833 WMO589833 WWK589833 AC655369 JY655369 TU655369 ADQ655369 ANM655369 AXI655369 BHE655369 BRA655369 CAW655369 CKS655369 CUO655369 DEK655369 DOG655369 DYC655369 EHY655369 ERU655369 FBQ655369 FLM655369 FVI655369 GFE655369 GPA655369 GYW655369 HIS655369 HSO655369 ICK655369 IMG655369 IWC655369 JFY655369 JPU655369 JZQ655369 KJM655369 KTI655369 LDE655369 LNA655369 LWW655369 MGS655369 MQO655369 NAK655369 NKG655369 NUC655369 ODY655369 ONU655369 OXQ655369 PHM655369 PRI655369 QBE655369 QLA655369 QUW655369 RES655369 ROO655369 RYK655369 SIG655369 SSC655369 TBY655369 TLU655369 TVQ655369 UFM655369 UPI655369 UZE655369 VJA655369 VSW655369 WCS655369 WMO655369 WWK655369 AC720905 JY720905 TU720905 ADQ720905 ANM720905 AXI720905 BHE720905 BRA720905 CAW720905 CKS720905 CUO720905 DEK720905 DOG720905 DYC720905 EHY720905 ERU720905 FBQ720905 FLM720905 FVI720905 GFE720905 GPA720905 GYW720905 HIS720905 HSO720905 ICK720905 IMG720905 IWC720905 JFY720905 JPU720905 JZQ720905 KJM720905 KTI720905 LDE720905 LNA720905 LWW720905 MGS720905 MQO720905 NAK720905 NKG720905 NUC720905 ODY720905 ONU720905 OXQ720905 PHM720905 PRI720905 QBE720905 QLA720905 QUW720905 RES720905 ROO720905 RYK720905 SIG720905 SSC720905 TBY720905 TLU720905 TVQ720905 UFM720905 UPI720905 UZE720905 VJA720905 VSW720905 WCS720905 WMO720905 WWK720905 AC786441 JY786441 TU786441 ADQ786441 ANM786441 AXI786441 BHE786441 BRA786441 CAW786441 CKS786441 CUO786441 DEK786441 DOG786441 DYC786441 EHY786441 ERU786441 FBQ786441 FLM786441 FVI786441 GFE786441 GPA786441 GYW786441 HIS786441 HSO786441 ICK786441 IMG786441 IWC786441 JFY786441 JPU786441 JZQ786441 KJM786441 KTI786441 LDE786441 LNA786441 LWW786441 MGS786441 MQO786441 NAK786441 NKG786441 NUC786441 ODY786441 ONU786441 OXQ786441 PHM786441 PRI786441 QBE786441 QLA786441 QUW786441 RES786441 ROO786441 RYK786441 SIG786441 SSC786441 TBY786441 TLU786441 TVQ786441 UFM786441 UPI786441 UZE786441 VJA786441 VSW786441 WCS786441 WMO786441 WWK786441 AC851977 JY851977 TU851977 ADQ851977 ANM851977 AXI851977 BHE851977 BRA851977 CAW851977 CKS851977 CUO851977 DEK851977 DOG851977 DYC851977 EHY851977 ERU851977 FBQ851977 FLM851977 FVI851977 GFE851977 GPA851977 GYW851977 HIS851977 HSO851977 ICK851977 IMG851977 IWC851977 JFY851977 JPU851977 JZQ851977 KJM851977 KTI851977 LDE851977 LNA851977 LWW851977 MGS851977 MQO851977 NAK851977 NKG851977 NUC851977 ODY851977 ONU851977 OXQ851977 PHM851977 PRI851977 QBE851977 QLA851977 QUW851977 RES851977 ROO851977 RYK851977 SIG851977 SSC851977 TBY851977 TLU851977 TVQ851977 UFM851977 UPI851977 UZE851977 VJA851977 VSW851977 WCS851977 WMO851977 WWK851977 AC917513 JY917513 TU917513 ADQ917513 ANM917513 AXI917513 BHE917513 BRA917513 CAW917513 CKS917513 CUO917513 DEK917513 DOG917513 DYC917513 EHY917513 ERU917513 FBQ917513 FLM917513 FVI917513 GFE917513 GPA917513 GYW917513 HIS917513 HSO917513 ICK917513 IMG917513 IWC917513 JFY917513 JPU917513 JZQ917513 KJM917513 KTI917513 LDE917513 LNA917513 LWW917513 MGS917513 MQO917513 NAK917513 NKG917513 NUC917513 ODY917513 ONU917513 OXQ917513 PHM917513 PRI917513 QBE917513 QLA917513 QUW917513 RES917513 ROO917513 RYK917513 SIG917513 SSC917513 TBY917513 TLU917513 TVQ917513 UFM917513 UPI917513 UZE917513 VJA917513 VSW917513 WCS917513 WMO917513 WWK917513 AC983049 JY983049 TU983049 ADQ983049 ANM983049 AXI983049 BHE983049 BRA983049 CAW983049 CKS983049 CUO983049 DEK983049 DOG983049 DYC983049 EHY983049 ERU983049 FBQ983049 FLM983049 FVI983049 GFE983049 GPA983049 GYW983049 HIS983049 HSO983049 ICK983049 IMG983049 IWC983049 JFY983049 JPU983049 JZQ983049 KJM983049 KTI983049 LDE983049 LNA983049 LWW983049 MGS983049 MQO983049 NAK983049 NKG983049 NUC983049 ODY983049 ONU983049 OXQ983049 PHM983049 PRI983049 QBE983049 QLA983049 QUW983049 RES983049 ROO983049 RYK983049 SIG983049 SSC983049 TBY983049 TLU983049 TVQ983049 UFM983049 UPI983049 UZE983049 VJA983049 VSW983049 WCS983049 WMO983049 WWK983049 AC65547:AC65551 JY65547:JY65551 TU65547:TU65551 ADQ65547:ADQ65551 ANM65547:ANM65551 AXI65547:AXI65551 BHE65547:BHE65551 BRA65547:BRA65551 CAW65547:CAW65551 CKS65547:CKS65551 CUO65547:CUO65551 DEK65547:DEK65551 DOG65547:DOG65551 DYC65547:DYC65551 EHY65547:EHY65551 ERU65547:ERU65551 FBQ65547:FBQ65551 FLM65547:FLM65551 FVI65547:FVI65551 GFE65547:GFE65551 GPA65547:GPA65551 GYW65547:GYW65551 HIS65547:HIS65551 HSO65547:HSO65551 ICK65547:ICK65551 IMG65547:IMG65551 IWC65547:IWC65551 JFY65547:JFY65551 JPU65547:JPU65551 JZQ65547:JZQ65551 KJM65547:KJM65551 KTI65547:KTI65551 LDE65547:LDE65551 LNA65547:LNA65551 LWW65547:LWW65551 MGS65547:MGS65551 MQO65547:MQO65551 NAK65547:NAK65551 NKG65547:NKG65551 NUC65547:NUC65551 ODY65547:ODY65551 ONU65547:ONU65551 OXQ65547:OXQ65551 PHM65547:PHM65551 PRI65547:PRI65551 QBE65547:QBE65551 QLA65547:QLA65551 QUW65547:QUW65551 RES65547:RES65551 ROO65547:ROO65551 RYK65547:RYK65551 SIG65547:SIG65551 SSC65547:SSC65551 TBY65547:TBY65551 TLU65547:TLU65551 TVQ65547:TVQ65551 UFM65547:UFM65551 UPI65547:UPI65551 UZE65547:UZE65551 VJA65547:VJA65551 VSW65547:VSW65551 WCS65547:WCS65551 WMO65547:WMO65551 WWK65547:WWK65551 AC131083:AC131087 JY131083:JY131087 TU131083:TU131087 ADQ131083:ADQ131087 ANM131083:ANM131087 AXI131083:AXI131087 BHE131083:BHE131087 BRA131083:BRA131087 CAW131083:CAW131087 CKS131083:CKS131087 CUO131083:CUO131087 DEK131083:DEK131087 DOG131083:DOG131087 DYC131083:DYC131087 EHY131083:EHY131087 ERU131083:ERU131087 FBQ131083:FBQ131087 FLM131083:FLM131087 FVI131083:FVI131087 GFE131083:GFE131087 GPA131083:GPA131087 GYW131083:GYW131087 HIS131083:HIS131087 HSO131083:HSO131087 ICK131083:ICK131087 IMG131083:IMG131087 IWC131083:IWC131087 JFY131083:JFY131087 JPU131083:JPU131087 JZQ131083:JZQ131087 KJM131083:KJM131087 KTI131083:KTI131087 LDE131083:LDE131087 LNA131083:LNA131087 LWW131083:LWW131087 MGS131083:MGS131087 MQO131083:MQO131087 NAK131083:NAK131087 NKG131083:NKG131087 NUC131083:NUC131087 ODY131083:ODY131087 ONU131083:ONU131087 OXQ131083:OXQ131087 PHM131083:PHM131087 PRI131083:PRI131087 QBE131083:QBE131087 QLA131083:QLA131087 QUW131083:QUW131087 RES131083:RES131087 ROO131083:ROO131087 RYK131083:RYK131087 SIG131083:SIG131087 SSC131083:SSC131087 TBY131083:TBY131087 TLU131083:TLU131087 TVQ131083:TVQ131087 UFM131083:UFM131087 UPI131083:UPI131087 UZE131083:UZE131087 VJA131083:VJA131087 VSW131083:VSW131087 WCS131083:WCS131087 WMO131083:WMO131087 WWK131083:WWK131087 AC196619:AC196623 JY196619:JY196623 TU196619:TU196623 ADQ196619:ADQ196623 ANM196619:ANM196623 AXI196619:AXI196623 BHE196619:BHE196623 BRA196619:BRA196623 CAW196619:CAW196623 CKS196619:CKS196623 CUO196619:CUO196623 DEK196619:DEK196623 DOG196619:DOG196623 DYC196619:DYC196623 EHY196619:EHY196623 ERU196619:ERU196623 FBQ196619:FBQ196623 FLM196619:FLM196623 FVI196619:FVI196623 GFE196619:GFE196623 GPA196619:GPA196623 GYW196619:GYW196623 HIS196619:HIS196623 HSO196619:HSO196623 ICK196619:ICK196623 IMG196619:IMG196623 IWC196619:IWC196623 JFY196619:JFY196623 JPU196619:JPU196623 JZQ196619:JZQ196623 KJM196619:KJM196623 KTI196619:KTI196623 LDE196619:LDE196623 LNA196619:LNA196623 LWW196619:LWW196623 MGS196619:MGS196623 MQO196619:MQO196623 NAK196619:NAK196623 NKG196619:NKG196623 NUC196619:NUC196623 ODY196619:ODY196623 ONU196619:ONU196623 OXQ196619:OXQ196623 PHM196619:PHM196623 PRI196619:PRI196623 QBE196619:QBE196623 QLA196619:QLA196623 QUW196619:QUW196623 RES196619:RES196623 ROO196619:ROO196623 RYK196619:RYK196623 SIG196619:SIG196623 SSC196619:SSC196623 TBY196619:TBY196623 TLU196619:TLU196623 TVQ196619:TVQ196623 UFM196619:UFM196623 UPI196619:UPI196623 UZE196619:UZE196623 VJA196619:VJA196623 VSW196619:VSW196623 WCS196619:WCS196623 WMO196619:WMO196623 WWK196619:WWK196623 AC262155:AC262159 JY262155:JY262159 TU262155:TU262159 ADQ262155:ADQ262159 ANM262155:ANM262159 AXI262155:AXI262159 BHE262155:BHE262159 BRA262155:BRA262159 CAW262155:CAW262159 CKS262155:CKS262159 CUO262155:CUO262159 DEK262155:DEK262159 DOG262155:DOG262159 DYC262155:DYC262159 EHY262155:EHY262159 ERU262155:ERU262159 FBQ262155:FBQ262159 FLM262155:FLM262159 FVI262155:FVI262159 GFE262155:GFE262159 GPA262155:GPA262159 GYW262155:GYW262159 HIS262155:HIS262159 HSO262155:HSO262159 ICK262155:ICK262159 IMG262155:IMG262159 IWC262155:IWC262159 JFY262155:JFY262159 JPU262155:JPU262159 JZQ262155:JZQ262159 KJM262155:KJM262159 KTI262155:KTI262159 LDE262155:LDE262159 LNA262155:LNA262159 LWW262155:LWW262159 MGS262155:MGS262159 MQO262155:MQO262159 NAK262155:NAK262159 NKG262155:NKG262159 NUC262155:NUC262159 ODY262155:ODY262159 ONU262155:ONU262159 OXQ262155:OXQ262159 PHM262155:PHM262159 PRI262155:PRI262159 QBE262155:QBE262159 QLA262155:QLA262159 QUW262155:QUW262159 RES262155:RES262159 ROO262155:ROO262159 RYK262155:RYK262159 SIG262155:SIG262159 SSC262155:SSC262159 TBY262155:TBY262159 TLU262155:TLU262159 TVQ262155:TVQ262159 UFM262155:UFM262159 UPI262155:UPI262159 UZE262155:UZE262159 VJA262155:VJA262159 VSW262155:VSW262159 WCS262155:WCS262159 WMO262155:WMO262159 WWK262155:WWK262159 AC327691:AC327695 JY327691:JY327695 TU327691:TU327695 ADQ327691:ADQ327695 ANM327691:ANM327695 AXI327691:AXI327695 BHE327691:BHE327695 BRA327691:BRA327695 CAW327691:CAW327695 CKS327691:CKS327695 CUO327691:CUO327695 DEK327691:DEK327695 DOG327691:DOG327695 DYC327691:DYC327695 EHY327691:EHY327695 ERU327691:ERU327695 FBQ327691:FBQ327695 FLM327691:FLM327695 FVI327691:FVI327695 GFE327691:GFE327695 GPA327691:GPA327695 GYW327691:GYW327695 HIS327691:HIS327695 HSO327691:HSO327695 ICK327691:ICK327695 IMG327691:IMG327695 IWC327691:IWC327695 JFY327691:JFY327695 JPU327691:JPU327695 JZQ327691:JZQ327695 KJM327691:KJM327695 KTI327691:KTI327695 LDE327691:LDE327695 LNA327691:LNA327695 LWW327691:LWW327695 MGS327691:MGS327695 MQO327691:MQO327695 NAK327691:NAK327695 NKG327691:NKG327695 NUC327691:NUC327695 ODY327691:ODY327695 ONU327691:ONU327695 OXQ327691:OXQ327695 PHM327691:PHM327695 PRI327691:PRI327695 QBE327691:QBE327695 QLA327691:QLA327695 QUW327691:QUW327695 RES327691:RES327695 ROO327691:ROO327695 RYK327691:RYK327695 SIG327691:SIG327695 SSC327691:SSC327695 TBY327691:TBY327695 TLU327691:TLU327695 TVQ327691:TVQ327695 UFM327691:UFM327695 UPI327691:UPI327695 UZE327691:UZE327695 VJA327691:VJA327695 VSW327691:VSW327695 WCS327691:WCS327695 WMO327691:WMO327695 WWK327691:WWK327695 AC393227:AC393231 JY393227:JY393231 TU393227:TU393231 ADQ393227:ADQ393231 ANM393227:ANM393231 AXI393227:AXI393231 BHE393227:BHE393231 BRA393227:BRA393231 CAW393227:CAW393231 CKS393227:CKS393231 CUO393227:CUO393231 DEK393227:DEK393231 DOG393227:DOG393231 DYC393227:DYC393231 EHY393227:EHY393231 ERU393227:ERU393231 FBQ393227:FBQ393231 FLM393227:FLM393231 FVI393227:FVI393231 GFE393227:GFE393231 GPA393227:GPA393231 GYW393227:GYW393231 HIS393227:HIS393231 HSO393227:HSO393231 ICK393227:ICK393231 IMG393227:IMG393231 IWC393227:IWC393231 JFY393227:JFY393231 JPU393227:JPU393231 JZQ393227:JZQ393231 KJM393227:KJM393231 KTI393227:KTI393231 LDE393227:LDE393231 LNA393227:LNA393231 LWW393227:LWW393231 MGS393227:MGS393231 MQO393227:MQO393231 NAK393227:NAK393231 NKG393227:NKG393231 NUC393227:NUC393231 ODY393227:ODY393231 ONU393227:ONU393231 OXQ393227:OXQ393231 PHM393227:PHM393231 PRI393227:PRI393231 QBE393227:QBE393231 QLA393227:QLA393231 QUW393227:QUW393231 RES393227:RES393231 ROO393227:ROO393231 RYK393227:RYK393231 SIG393227:SIG393231 SSC393227:SSC393231 TBY393227:TBY393231 TLU393227:TLU393231 TVQ393227:TVQ393231 UFM393227:UFM393231 UPI393227:UPI393231 UZE393227:UZE393231 VJA393227:VJA393231 VSW393227:VSW393231 WCS393227:WCS393231 WMO393227:WMO393231 WWK393227:WWK393231 AC458763:AC458767 JY458763:JY458767 TU458763:TU458767 ADQ458763:ADQ458767 ANM458763:ANM458767 AXI458763:AXI458767 BHE458763:BHE458767 BRA458763:BRA458767 CAW458763:CAW458767 CKS458763:CKS458767 CUO458763:CUO458767 DEK458763:DEK458767 DOG458763:DOG458767 DYC458763:DYC458767 EHY458763:EHY458767 ERU458763:ERU458767 FBQ458763:FBQ458767 FLM458763:FLM458767 FVI458763:FVI458767 GFE458763:GFE458767 GPA458763:GPA458767 GYW458763:GYW458767 HIS458763:HIS458767 HSO458763:HSO458767 ICK458763:ICK458767 IMG458763:IMG458767 IWC458763:IWC458767 JFY458763:JFY458767 JPU458763:JPU458767 JZQ458763:JZQ458767 KJM458763:KJM458767 KTI458763:KTI458767 LDE458763:LDE458767 LNA458763:LNA458767 LWW458763:LWW458767 MGS458763:MGS458767 MQO458763:MQO458767 NAK458763:NAK458767 NKG458763:NKG458767 NUC458763:NUC458767 ODY458763:ODY458767 ONU458763:ONU458767 OXQ458763:OXQ458767 PHM458763:PHM458767 PRI458763:PRI458767 QBE458763:QBE458767 QLA458763:QLA458767 QUW458763:QUW458767 RES458763:RES458767 ROO458763:ROO458767 RYK458763:RYK458767 SIG458763:SIG458767 SSC458763:SSC458767 TBY458763:TBY458767 TLU458763:TLU458767 TVQ458763:TVQ458767 UFM458763:UFM458767 UPI458763:UPI458767 UZE458763:UZE458767 VJA458763:VJA458767 VSW458763:VSW458767 WCS458763:WCS458767 WMO458763:WMO458767 WWK458763:WWK458767 AC524299:AC524303 JY524299:JY524303 TU524299:TU524303 ADQ524299:ADQ524303 ANM524299:ANM524303 AXI524299:AXI524303 BHE524299:BHE524303 BRA524299:BRA524303 CAW524299:CAW524303 CKS524299:CKS524303 CUO524299:CUO524303 DEK524299:DEK524303 DOG524299:DOG524303 DYC524299:DYC524303 EHY524299:EHY524303 ERU524299:ERU524303 FBQ524299:FBQ524303 FLM524299:FLM524303 FVI524299:FVI524303 GFE524299:GFE524303 GPA524299:GPA524303 GYW524299:GYW524303 HIS524299:HIS524303 HSO524299:HSO524303 ICK524299:ICK524303 IMG524299:IMG524303 IWC524299:IWC524303 JFY524299:JFY524303 JPU524299:JPU524303 JZQ524299:JZQ524303 KJM524299:KJM524303 KTI524299:KTI524303 LDE524299:LDE524303 LNA524299:LNA524303 LWW524299:LWW524303 MGS524299:MGS524303 MQO524299:MQO524303 NAK524299:NAK524303 NKG524299:NKG524303 NUC524299:NUC524303 ODY524299:ODY524303 ONU524299:ONU524303 OXQ524299:OXQ524303 PHM524299:PHM524303 PRI524299:PRI524303 QBE524299:QBE524303 QLA524299:QLA524303 QUW524299:QUW524303 RES524299:RES524303 ROO524299:ROO524303 RYK524299:RYK524303 SIG524299:SIG524303 SSC524299:SSC524303 TBY524299:TBY524303 TLU524299:TLU524303 TVQ524299:TVQ524303 UFM524299:UFM524303 UPI524299:UPI524303 UZE524299:UZE524303 VJA524299:VJA524303 VSW524299:VSW524303 WCS524299:WCS524303 WMO524299:WMO524303 WWK524299:WWK524303 AC589835:AC589839 JY589835:JY589839 TU589835:TU589839 ADQ589835:ADQ589839 ANM589835:ANM589839 AXI589835:AXI589839 BHE589835:BHE589839 BRA589835:BRA589839 CAW589835:CAW589839 CKS589835:CKS589839 CUO589835:CUO589839 DEK589835:DEK589839 DOG589835:DOG589839 DYC589835:DYC589839 EHY589835:EHY589839 ERU589835:ERU589839 FBQ589835:FBQ589839 FLM589835:FLM589839 FVI589835:FVI589839 GFE589835:GFE589839 GPA589835:GPA589839 GYW589835:GYW589839 HIS589835:HIS589839 HSO589835:HSO589839 ICK589835:ICK589839 IMG589835:IMG589839 IWC589835:IWC589839 JFY589835:JFY589839 JPU589835:JPU589839 JZQ589835:JZQ589839 KJM589835:KJM589839 KTI589835:KTI589839 LDE589835:LDE589839 LNA589835:LNA589839 LWW589835:LWW589839 MGS589835:MGS589839 MQO589835:MQO589839 NAK589835:NAK589839 NKG589835:NKG589839 NUC589835:NUC589839 ODY589835:ODY589839 ONU589835:ONU589839 OXQ589835:OXQ589839 PHM589835:PHM589839 PRI589835:PRI589839 QBE589835:QBE589839 QLA589835:QLA589839 QUW589835:QUW589839 RES589835:RES589839 ROO589835:ROO589839 RYK589835:RYK589839 SIG589835:SIG589839 SSC589835:SSC589839 TBY589835:TBY589839 TLU589835:TLU589839 TVQ589835:TVQ589839 UFM589835:UFM589839 UPI589835:UPI589839 UZE589835:UZE589839 VJA589835:VJA589839 VSW589835:VSW589839 WCS589835:WCS589839 WMO589835:WMO589839 WWK589835:WWK589839 AC655371:AC655375 JY655371:JY655375 TU655371:TU655375 ADQ655371:ADQ655375 ANM655371:ANM655375 AXI655371:AXI655375 BHE655371:BHE655375 BRA655371:BRA655375 CAW655371:CAW655375 CKS655371:CKS655375 CUO655371:CUO655375 DEK655371:DEK655375 DOG655371:DOG655375 DYC655371:DYC655375 EHY655371:EHY655375 ERU655371:ERU655375 FBQ655371:FBQ655375 FLM655371:FLM655375 FVI655371:FVI655375 GFE655371:GFE655375 GPA655371:GPA655375 GYW655371:GYW655375 HIS655371:HIS655375 HSO655371:HSO655375 ICK655371:ICK655375 IMG655371:IMG655375 IWC655371:IWC655375 JFY655371:JFY655375 JPU655371:JPU655375 JZQ655371:JZQ655375 KJM655371:KJM655375 KTI655371:KTI655375 LDE655371:LDE655375 LNA655371:LNA655375 LWW655371:LWW655375 MGS655371:MGS655375 MQO655371:MQO655375 NAK655371:NAK655375 NKG655371:NKG655375 NUC655371:NUC655375 ODY655371:ODY655375 ONU655371:ONU655375 OXQ655371:OXQ655375 PHM655371:PHM655375 PRI655371:PRI655375 QBE655371:QBE655375 QLA655371:QLA655375 QUW655371:QUW655375 RES655371:RES655375 ROO655371:ROO655375 RYK655371:RYK655375 SIG655371:SIG655375 SSC655371:SSC655375 TBY655371:TBY655375 TLU655371:TLU655375 TVQ655371:TVQ655375 UFM655371:UFM655375 UPI655371:UPI655375 UZE655371:UZE655375 VJA655371:VJA655375 VSW655371:VSW655375 WCS655371:WCS655375 WMO655371:WMO655375 WWK655371:WWK655375 AC720907:AC720911 JY720907:JY720911 TU720907:TU720911 ADQ720907:ADQ720911 ANM720907:ANM720911 AXI720907:AXI720911 BHE720907:BHE720911 BRA720907:BRA720911 CAW720907:CAW720911 CKS720907:CKS720911 CUO720907:CUO720911 DEK720907:DEK720911 DOG720907:DOG720911 DYC720907:DYC720911 EHY720907:EHY720911 ERU720907:ERU720911 FBQ720907:FBQ720911 FLM720907:FLM720911 FVI720907:FVI720911 GFE720907:GFE720911 GPA720907:GPA720911 GYW720907:GYW720911 HIS720907:HIS720911 HSO720907:HSO720911 ICK720907:ICK720911 IMG720907:IMG720911 IWC720907:IWC720911 JFY720907:JFY720911 JPU720907:JPU720911 JZQ720907:JZQ720911 KJM720907:KJM720911 KTI720907:KTI720911 LDE720907:LDE720911 LNA720907:LNA720911 LWW720907:LWW720911 MGS720907:MGS720911 MQO720907:MQO720911 NAK720907:NAK720911 NKG720907:NKG720911 NUC720907:NUC720911 ODY720907:ODY720911 ONU720907:ONU720911 OXQ720907:OXQ720911 PHM720907:PHM720911 PRI720907:PRI720911 QBE720907:QBE720911 QLA720907:QLA720911 QUW720907:QUW720911 RES720907:RES720911 ROO720907:ROO720911 RYK720907:RYK720911 SIG720907:SIG720911 SSC720907:SSC720911 TBY720907:TBY720911 TLU720907:TLU720911 TVQ720907:TVQ720911 UFM720907:UFM720911 UPI720907:UPI720911 UZE720907:UZE720911 VJA720907:VJA720911 VSW720907:VSW720911 WCS720907:WCS720911 WMO720907:WMO720911 WWK720907:WWK720911 AC786443:AC786447 JY786443:JY786447 TU786443:TU786447 ADQ786443:ADQ786447 ANM786443:ANM786447 AXI786443:AXI786447 BHE786443:BHE786447 BRA786443:BRA786447 CAW786443:CAW786447 CKS786443:CKS786447 CUO786443:CUO786447 DEK786443:DEK786447 DOG786443:DOG786447 DYC786443:DYC786447 EHY786443:EHY786447 ERU786443:ERU786447 FBQ786443:FBQ786447 FLM786443:FLM786447 FVI786443:FVI786447 GFE786443:GFE786447 GPA786443:GPA786447 GYW786443:GYW786447 HIS786443:HIS786447 HSO786443:HSO786447 ICK786443:ICK786447 IMG786443:IMG786447 IWC786443:IWC786447 JFY786443:JFY786447 JPU786443:JPU786447 JZQ786443:JZQ786447 KJM786443:KJM786447 KTI786443:KTI786447 LDE786443:LDE786447 LNA786443:LNA786447 LWW786443:LWW786447 MGS786443:MGS786447 MQO786443:MQO786447 NAK786443:NAK786447 NKG786443:NKG786447 NUC786443:NUC786447 ODY786443:ODY786447 ONU786443:ONU786447 OXQ786443:OXQ786447 PHM786443:PHM786447 PRI786443:PRI786447 QBE786443:QBE786447 QLA786443:QLA786447 QUW786443:QUW786447 RES786443:RES786447 ROO786443:ROO786447 RYK786443:RYK786447 SIG786443:SIG786447 SSC786443:SSC786447 TBY786443:TBY786447 TLU786443:TLU786447 TVQ786443:TVQ786447 UFM786443:UFM786447 UPI786443:UPI786447 UZE786443:UZE786447 VJA786443:VJA786447 VSW786443:VSW786447 WCS786443:WCS786447 WMO786443:WMO786447 WWK786443:WWK786447 AC851979:AC851983 JY851979:JY851983 TU851979:TU851983 ADQ851979:ADQ851983 ANM851979:ANM851983 AXI851979:AXI851983 BHE851979:BHE851983 BRA851979:BRA851983 CAW851979:CAW851983 CKS851979:CKS851983 CUO851979:CUO851983 DEK851979:DEK851983 DOG851979:DOG851983 DYC851979:DYC851983 EHY851979:EHY851983 ERU851979:ERU851983 FBQ851979:FBQ851983 FLM851979:FLM851983 FVI851979:FVI851983 GFE851979:GFE851983 GPA851979:GPA851983 GYW851979:GYW851983 HIS851979:HIS851983 HSO851979:HSO851983 ICK851979:ICK851983 IMG851979:IMG851983 IWC851979:IWC851983 JFY851979:JFY851983 JPU851979:JPU851983 JZQ851979:JZQ851983 KJM851979:KJM851983 KTI851979:KTI851983 LDE851979:LDE851983 LNA851979:LNA851983 LWW851979:LWW851983 MGS851979:MGS851983 MQO851979:MQO851983 NAK851979:NAK851983 NKG851979:NKG851983 NUC851979:NUC851983 ODY851979:ODY851983 ONU851979:ONU851983 OXQ851979:OXQ851983 PHM851979:PHM851983 PRI851979:PRI851983 QBE851979:QBE851983 QLA851979:QLA851983 QUW851979:QUW851983 RES851979:RES851983 ROO851979:ROO851983 RYK851979:RYK851983 SIG851979:SIG851983 SSC851979:SSC851983 TBY851979:TBY851983 TLU851979:TLU851983 TVQ851979:TVQ851983 UFM851979:UFM851983 UPI851979:UPI851983 UZE851979:UZE851983 VJA851979:VJA851983 VSW851979:VSW851983 WCS851979:WCS851983 WMO851979:WMO851983 WWK851979:WWK851983 AC917515:AC917519 JY917515:JY917519 TU917515:TU917519 ADQ917515:ADQ917519 ANM917515:ANM917519 AXI917515:AXI917519 BHE917515:BHE917519 BRA917515:BRA917519 CAW917515:CAW917519 CKS917515:CKS917519 CUO917515:CUO917519 DEK917515:DEK917519 DOG917515:DOG917519 DYC917515:DYC917519 EHY917515:EHY917519 ERU917515:ERU917519 FBQ917515:FBQ917519 FLM917515:FLM917519 FVI917515:FVI917519 GFE917515:GFE917519 GPA917515:GPA917519 GYW917515:GYW917519 HIS917515:HIS917519 HSO917515:HSO917519 ICK917515:ICK917519 IMG917515:IMG917519 IWC917515:IWC917519 JFY917515:JFY917519 JPU917515:JPU917519 JZQ917515:JZQ917519 KJM917515:KJM917519 KTI917515:KTI917519 LDE917515:LDE917519 LNA917515:LNA917519 LWW917515:LWW917519 MGS917515:MGS917519 MQO917515:MQO917519 NAK917515:NAK917519 NKG917515:NKG917519 NUC917515:NUC917519 ODY917515:ODY917519 ONU917515:ONU917519 OXQ917515:OXQ917519 PHM917515:PHM917519 PRI917515:PRI917519 QBE917515:QBE917519 QLA917515:QLA917519 QUW917515:QUW917519 RES917515:RES917519 ROO917515:ROO917519 RYK917515:RYK917519 SIG917515:SIG917519 SSC917515:SSC917519 TBY917515:TBY917519 TLU917515:TLU917519 TVQ917515:TVQ917519 UFM917515:UFM917519 UPI917515:UPI917519 UZE917515:UZE917519 VJA917515:VJA917519 VSW917515:VSW917519 WCS917515:WCS917519 WMO917515:WMO917519 WWK917515:WWK917519 AC983051:AC983055 JY983051:JY983055 TU983051:TU983055 ADQ983051:ADQ983055 ANM983051:ANM983055 AXI983051:AXI983055 BHE983051:BHE983055 BRA983051:BRA983055 CAW983051:CAW983055 CKS983051:CKS983055 CUO983051:CUO983055 DEK983051:DEK983055 DOG983051:DOG983055 DYC983051:DYC983055 EHY983051:EHY983055 ERU983051:ERU983055 FBQ983051:FBQ983055 FLM983051:FLM983055 FVI983051:FVI983055 GFE983051:GFE983055 GPA983051:GPA983055 GYW983051:GYW983055 HIS983051:HIS983055 HSO983051:HSO983055 ICK983051:ICK983055 IMG983051:IMG983055 IWC983051:IWC983055 JFY983051:JFY983055 JPU983051:JPU983055 JZQ983051:JZQ983055 KJM983051:KJM983055 KTI983051:KTI983055 LDE983051:LDE983055 LNA983051:LNA983055 LWW983051:LWW983055 MGS983051:MGS983055 MQO983051:MQO983055 NAK983051:NAK983055 NKG983051:NKG983055 NUC983051:NUC983055 ODY983051:ODY983055 ONU983051:ONU983055 OXQ983051:OXQ983055 PHM983051:PHM983055 PRI983051:PRI983055 QBE983051:QBE983055 QLA983051:QLA983055 QUW983051:QUW983055 RES983051:RES983055 ROO983051:ROO983055 RYK983051:RYK983055 SIG983051:SIG983055 SSC983051:SSC983055 TBY983051:TBY983055 TLU983051:TLU983055 TVQ983051:TVQ983055 UFM983051:UFM983055 UPI983051:UPI983055 UZE983051:UZE983055 VJA983051:VJA983055 VSW983051:VSW983055 WCS983051:WCS983055 WMO983051:WMO983055 WWK983051:WWK983055 BHE8:BHE12 BRA8:BRA12 CAW8:CAW12 CKS8:CKS12 CUO8:CUO12 DEK8:DEK12 DOG8:DOG12 DYC8:DYC12 EHY8:EHY12 ERU8:ERU12 FBQ8:FBQ12 FLM8:FLM12 FVI8:FVI12 GFE8:GFE12 GPA8:GPA12 GYW8:GYW12 HIS8:HIS12 HSO8:HSO12 ICK8:ICK12 IMG8:IMG12 IWC8:IWC12 JFY8:JFY12 JPU8:JPU12 JZQ8:JZQ12 KJM8:KJM12 KTI8:KTI12 LDE8:LDE12 LNA8:LNA12 LWW8:LWW12 MGS8:MGS12 MQO8:MQO12 NAK8:NAK12 NKG8:NKG12 NUC8:NUC12 ODY8:ODY12 ONU8:ONU12 OXQ8:OXQ12 PHM8:PHM12 PRI8:PRI12 QBE8:QBE12 QLA8:QLA12 QUW8:QUW12 RES8:RES12 ROO8:ROO12 RYK8:RYK12 SIG8:SIG12 SSC8:SSC12 TBY8:TBY12 TLU8:TLU12 TVQ8:TVQ12 UFM8:UFM12 UPI8:UPI12 UZE8:UZE12 VJA8:VJA12 VSW8:VSW12 WCS8:WCS12 WMO8:WMO12 WWK8:WWK12 JY8:JY12 TU8:TU12 ADQ8:ADQ12 ANM8:ANM12 AXI8:AXI12">
      <formula1>AB8</formula1>
      <formula2>IF(AB8&lt;&gt;0,IF(AC8-AB8&gt;=0,AC8,),)</formula2>
    </dataValidation>
    <dataValidation type="list" allowBlank="1" showInputMessage="1" showErrorMessage="1" sqref="AE65545:AE65551 KA65545:KA65551 TW65545:TW65551 ADS65545:ADS65551 ANO65545:ANO65551 AXK65545:AXK65551 BHG65545:BHG65551 BRC65545:BRC65551 CAY65545:CAY65551 CKU65545:CKU65551 CUQ65545:CUQ65551 DEM65545:DEM65551 DOI65545:DOI65551 DYE65545:DYE65551 EIA65545:EIA65551 ERW65545:ERW65551 FBS65545:FBS65551 FLO65545:FLO65551 FVK65545:FVK65551 GFG65545:GFG65551 GPC65545:GPC65551 GYY65545:GYY65551 HIU65545:HIU65551 HSQ65545:HSQ65551 ICM65545:ICM65551 IMI65545:IMI65551 IWE65545:IWE65551 JGA65545:JGA65551 JPW65545:JPW65551 JZS65545:JZS65551 KJO65545:KJO65551 KTK65545:KTK65551 LDG65545:LDG65551 LNC65545:LNC65551 LWY65545:LWY65551 MGU65545:MGU65551 MQQ65545:MQQ65551 NAM65545:NAM65551 NKI65545:NKI65551 NUE65545:NUE65551 OEA65545:OEA65551 ONW65545:ONW65551 OXS65545:OXS65551 PHO65545:PHO65551 PRK65545:PRK65551 QBG65545:QBG65551 QLC65545:QLC65551 QUY65545:QUY65551 REU65545:REU65551 ROQ65545:ROQ65551 RYM65545:RYM65551 SII65545:SII65551 SSE65545:SSE65551 TCA65545:TCA65551 TLW65545:TLW65551 TVS65545:TVS65551 UFO65545:UFO65551 UPK65545:UPK65551 UZG65545:UZG65551 VJC65545:VJC65551 VSY65545:VSY65551 WCU65545:WCU65551 WMQ65545:WMQ65551 WWM65545:WWM65551 AE131081:AE131087 KA131081:KA131087 TW131081:TW131087 ADS131081:ADS131087 ANO131081:ANO131087 AXK131081:AXK131087 BHG131081:BHG131087 BRC131081:BRC131087 CAY131081:CAY131087 CKU131081:CKU131087 CUQ131081:CUQ131087 DEM131081:DEM131087 DOI131081:DOI131087 DYE131081:DYE131087 EIA131081:EIA131087 ERW131081:ERW131087 FBS131081:FBS131087 FLO131081:FLO131087 FVK131081:FVK131087 GFG131081:GFG131087 GPC131081:GPC131087 GYY131081:GYY131087 HIU131081:HIU131087 HSQ131081:HSQ131087 ICM131081:ICM131087 IMI131081:IMI131087 IWE131081:IWE131087 JGA131081:JGA131087 JPW131081:JPW131087 JZS131081:JZS131087 KJO131081:KJO131087 KTK131081:KTK131087 LDG131081:LDG131087 LNC131081:LNC131087 LWY131081:LWY131087 MGU131081:MGU131087 MQQ131081:MQQ131087 NAM131081:NAM131087 NKI131081:NKI131087 NUE131081:NUE131087 OEA131081:OEA131087 ONW131081:ONW131087 OXS131081:OXS131087 PHO131081:PHO131087 PRK131081:PRK131087 QBG131081:QBG131087 QLC131081:QLC131087 QUY131081:QUY131087 REU131081:REU131087 ROQ131081:ROQ131087 RYM131081:RYM131087 SII131081:SII131087 SSE131081:SSE131087 TCA131081:TCA131087 TLW131081:TLW131087 TVS131081:TVS131087 UFO131081:UFO131087 UPK131081:UPK131087 UZG131081:UZG131087 VJC131081:VJC131087 VSY131081:VSY131087 WCU131081:WCU131087 WMQ131081:WMQ131087 WWM131081:WWM131087 AE196617:AE196623 KA196617:KA196623 TW196617:TW196623 ADS196617:ADS196623 ANO196617:ANO196623 AXK196617:AXK196623 BHG196617:BHG196623 BRC196617:BRC196623 CAY196617:CAY196623 CKU196617:CKU196623 CUQ196617:CUQ196623 DEM196617:DEM196623 DOI196617:DOI196623 DYE196617:DYE196623 EIA196617:EIA196623 ERW196617:ERW196623 FBS196617:FBS196623 FLO196617:FLO196623 FVK196617:FVK196623 GFG196617:GFG196623 GPC196617:GPC196623 GYY196617:GYY196623 HIU196617:HIU196623 HSQ196617:HSQ196623 ICM196617:ICM196623 IMI196617:IMI196623 IWE196617:IWE196623 JGA196617:JGA196623 JPW196617:JPW196623 JZS196617:JZS196623 KJO196617:KJO196623 KTK196617:KTK196623 LDG196617:LDG196623 LNC196617:LNC196623 LWY196617:LWY196623 MGU196617:MGU196623 MQQ196617:MQQ196623 NAM196617:NAM196623 NKI196617:NKI196623 NUE196617:NUE196623 OEA196617:OEA196623 ONW196617:ONW196623 OXS196617:OXS196623 PHO196617:PHO196623 PRK196617:PRK196623 QBG196617:QBG196623 QLC196617:QLC196623 QUY196617:QUY196623 REU196617:REU196623 ROQ196617:ROQ196623 RYM196617:RYM196623 SII196617:SII196623 SSE196617:SSE196623 TCA196617:TCA196623 TLW196617:TLW196623 TVS196617:TVS196623 UFO196617:UFO196623 UPK196617:UPK196623 UZG196617:UZG196623 VJC196617:VJC196623 VSY196617:VSY196623 WCU196617:WCU196623 WMQ196617:WMQ196623 WWM196617:WWM196623 AE262153:AE262159 KA262153:KA262159 TW262153:TW262159 ADS262153:ADS262159 ANO262153:ANO262159 AXK262153:AXK262159 BHG262153:BHG262159 BRC262153:BRC262159 CAY262153:CAY262159 CKU262153:CKU262159 CUQ262153:CUQ262159 DEM262153:DEM262159 DOI262153:DOI262159 DYE262153:DYE262159 EIA262153:EIA262159 ERW262153:ERW262159 FBS262153:FBS262159 FLO262153:FLO262159 FVK262153:FVK262159 GFG262153:GFG262159 GPC262153:GPC262159 GYY262153:GYY262159 HIU262153:HIU262159 HSQ262153:HSQ262159 ICM262153:ICM262159 IMI262153:IMI262159 IWE262153:IWE262159 JGA262153:JGA262159 JPW262153:JPW262159 JZS262153:JZS262159 KJO262153:KJO262159 KTK262153:KTK262159 LDG262153:LDG262159 LNC262153:LNC262159 LWY262153:LWY262159 MGU262153:MGU262159 MQQ262153:MQQ262159 NAM262153:NAM262159 NKI262153:NKI262159 NUE262153:NUE262159 OEA262153:OEA262159 ONW262153:ONW262159 OXS262153:OXS262159 PHO262153:PHO262159 PRK262153:PRK262159 QBG262153:QBG262159 QLC262153:QLC262159 QUY262153:QUY262159 REU262153:REU262159 ROQ262153:ROQ262159 RYM262153:RYM262159 SII262153:SII262159 SSE262153:SSE262159 TCA262153:TCA262159 TLW262153:TLW262159 TVS262153:TVS262159 UFO262153:UFO262159 UPK262153:UPK262159 UZG262153:UZG262159 VJC262153:VJC262159 VSY262153:VSY262159 WCU262153:WCU262159 WMQ262153:WMQ262159 WWM262153:WWM262159 AE327689:AE327695 KA327689:KA327695 TW327689:TW327695 ADS327689:ADS327695 ANO327689:ANO327695 AXK327689:AXK327695 BHG327689:BHG327695 BRC327689:BRC327695 CAY327689:CAY327695 CKU327689:CKU327695 CUQ327689:CUQ327695 DEM327689:DEM327695 DOI327689:DOI327695 DYE327689:DYE327695 EIA327689:EIA327695 ERW327689:ERW327695 FBS327689:FBS327695 FLO327689:FLO327695 FVK327689:FVK327695 GFG327689:GFG327695 GPC327689:GPC327695 GYY327689:GYY327695 HIU327689:HIU327695 HSQ327689:HSQ327695 ICM327689:ICM327695 IMI327689:IMI327695 IWE327689:IWE327695 JGA327689:JGA327695 JPW327689:JPW327695 JZS327689:JZS327695 KJO327689:KJO327695 KTK327689:KTK327695 LDG327689:LDG327695 LNC327689:LNC327695 LWY327689:LWY327695 MGU327689:MGU327695 MQQ327689:MQQ327695 NAM327689:NAM327695 NKI327689:NKI327695 NUE327689:NUE327695 OEA327689:OEA327695 ONW327689:ONW327695 OXS327689:OXS327695 PHO327689:PHO327695 PRK327689:PRK327695 QBG327689:QBG327695 QLC327689:QLC327695 QUY327689:QUY327695 REU327689:REU327695 ROQ327689:ROQ327695 RYM327689:RYM327695 SII327689:SII327695 SSE327689:SSE327695 TCA327689:TCA327695 TLW327689:TLW327695 TVS327689:TVS327695 UFO327689:UFO327695 UPK327689:UPK327695 UZG327689:UZG327695 VJC327689:VJC327695 VSY327689:VSY327695 WCU327689:WCU327695 WMQ327689:WMQ327695 WWM327689:WWM327695 AE393225:AE393231 KA393225:KA393231 TW393225:TW393231 ADS393225:ADS393231 ANO393225:ANO393231 AXK393225:AXK393231 BHG393225:BHG393231 BRC393225:BRC393231 CAY393225:CAY393231 CKU393225:CKU393231 CUQ393225:CUQ393231 DEM393225:DEM393231 DOI393225:DOI393231 DYE393225:DYE393231 EIA393225:EIA393231 ERW393225:ERW393231 FBS393225:FBS393231 FLO393225:FLO393231 FVK393225:FVK393231 GFG393225:GFG393231 GPC393225:GPC393231 GYY393225:GYY393231 HIU393225:HIU393231 HSQ393225:HSQ393231 ICM393225:ICM393231 IMI393225:IMI393231 IWE393225:IWE393231 JGA393225:JGA393231 JPW393225:JPW393231 JZS393225:JZS393231 KJO393225:KJO393231 KTK393225:KTK393231 LDG393225:LDG393231 LNC393225:LNC393231 LWY393225:LWY393231 MGU393225:MGU393231 MQQ393225:MQQ393231 NAM393225:NAM393231 NKI393225:NKI393231 NUE393225:NUE393231 OEA393225:OEA393231 ONW393225:ONW393231 OXS393225:OXS393231 PHO393225:PHO393231 PRK393225:PRK393231 QBG393225:QBG393231 QLC393225:QLC393231 QUY393225:QUY393231 REU393225:REU393231 ROQ393225:ROQ393231 RYM393225:RYM393231 SII393225:SII393231 SSE393225:SSE393231 TCA393225:TCA393231 TLW393225:TLW393231 TVS393225:TVS393231 UFO393225:UFO393231 UPK393225:UPK393231 UZG393225:UZG393231 VJC393225:VJC393231 VSY393225:VSY393231 WCU393225:WCU393231 WMQ393225:WMQ393231 WWM393225:WWM393231 AE458761:AE458767 KA458761:KA458767 TW458761:TW458767 ADS458761:ADS458767 ANO458761:ANO458767 AXK458761:AXK458767 BHG458761:BHG458767 BRC458761:BRC458767 CAY458761:CAY458767 CKU458761:CKU458767 CUQ458761:CUQ458767 DEM458761:DEM458767 DOI458761:DOI458767 DYE458761:DYE458767 EIA458761:EIA458767 ERW458761:ERW458767 FBS458761:FBS458767 FLO458761:FLO458767 FVK458761:FVK458767 GFG458761:GFG458767 GPC458761:GPC458767 GYY458761:GYY458767 HIU458761:HIU458767 HSQ458761:HSQ458767 ICM458761:ICM458767 IMI458761:IMI458767 IWE458761:IWE458767 JGA458761:JGA458767 JPW458761:JPW458767 JZS458761:JZS458767 KJO458761:KJO458767 KTK458761:KTK458767 LDG458761:LDG458767 LNC458761:LNC458767 LWY458761:LWY458767 MGU458761:MGU458767 MQQ458761:MQQ458767 NAM458761:NAM458767 NKI458761:NKI458767 NUE458761:NUE458767 OEA458761:OEA458767 ONW458761:ONW458767 OXS458761:OXS458767 PHO458761:PHO458767 PRK458761:PRK458767 QBG458761:QBG458767 QLC458761:QLC458767 QUY458761:QUY458767 REU458761:REU458767 ROQ458761:ROQ458767 RYM458761:RYM458767 SII458761:SII458767 SSE458761:SSE458767 TCA458761:TCA458767 TLW458761:TLW458767 TVS458761:TVS458767 UFO458761:UFO458767 UPK458761:UPK458767 UZG458761:UZG458767 VJC458761:VJC458767 VSY458761:VSY458767 WCU458761:WCU458767 WMQ458761:WMQ458767 WWM458761:WWM458767 AE524297:AE524303 KA524297:KA524303 TW524297:TW524303 ADS524297:ADS524303 ANO524297:ANO524303 AXK524297:AXK524303 BHG524297:BHG524303 BRC524297:BRC524303 CAY524297:CAY524303 CKU524297:CKU524303 CUQ524297:CUQ524303 DEM524297:DEM524303 DOI524297:DOI524303 DYE524297:DYE524303 EIA524297:EIA524303 ERW524297:ERW524303 FBS524297:FBS524303 FLO524297:FLO524303 FVK524297:FVK524303 GFG524297:GFG524303 GPC524297:GPC524303 GYY524297:GYY524303 HIU524297:HIU524303 HSQ524297:HSQ524303 ICM524297:ICM524303 IMI524297:IMI524303 IWE524297:IWE524303 JGA524297:JGA524303 JPW524297:JPW524303 JZS524297:JZS524303 KJO524297:KJO524303 KTK524297:KTK524303 LDG524297:LDG524303 LNC524297:LNC524303 LWY524297:LWY524303 MGU524297:MGU524303 MQQ524297:MQQ524303 NAM524297:NAM524303 NKI524297:NKI524303 NUE524297:NUE524303 OEA524297:OEA524303 ONW524297:ONW524303 OXS524297:OXS524303 PHO524297:PHO524303 PRK524297:PRK524303 QBG524297:QBG524303 QLC524297:QLC524303 QUY524297:QUY524303 REU524297:REU524303 ROQ524297:ROQ524303 RYM524297:RYM524303 SII524297:SII524303 SSE524297:SSE524303 TCA524297:TCA524303 TLW524297:TLW524303 TVS524297:TVS524303 UFO524297:UFO524303 UPK524297:UPK524303 UZG524297:UZG524303 VJC524297:VJC524303 VSY524297:VSY524303 WCU524297:WCU524303 WMQ524297:WMQ524303 WWM524297:WWM524303 AE589833:AE589839 KA589833:KA589839 TW589833:TW589839 ADS589833:ADS589839 ANO589833:ANO589839 AXK589833:AXK589839 BHG589833:BHG589839 BRC589833:BRC589839 CAY589833:CAY589839 CKU589833:CKU589839 CUQ589833:CUQ589839 DEM589833:DEM589839 DOI589833:DOI589839 DYE589833:DYE589839 EIA589833:EIA589839 ERW589833:ERW589839 FBS589833:FBS589839 FLO589833:FLO589839 FVK589833:FVK589839 GFG589833:GFG589839 GPC589833:GPC589839 GYY589833:GYY589839 HIU589833:HIU589839 HSQ589833:HSQ589839 ICM589833:ICM589839 IMI589833:IMI589839 IWE589833:IWE589839 JGA589833:JGA589839 JPW589833:JPW589839 JZS589833:JZS589839 KJO589833:KJO589839 KTK589833:KTK589839 LDG589833:LDG589839 LNC589833:LNC589839 LWY589833:LWY589839 MGU589833:MGU589839 MQQ589833:MQQ589839 NAM589833:NAM589839 NKI589833:NKI589839 NUE589833:NUE589839 OEA589833:OEA589839 ONW589833:ONW589839 OXS589833:OXS589839 PHO589833:PHO589839 PRK589833:PRK589839 QBG589833:QBG589839 QLC589833:QLC589839 QUY589833:QUY589839 REU589833:REU589839 ROQ589833:ROQ589839 RYM589833:RYM589839 SII589833:SII589839 SSE589833:SSE589839 TCA589833:TCA589839 TLW589833:TLW589839 TVS589833:TVS589839 UFO589833:UFO589839 UPK589833:UPK589839 UZG589833:UZG589839 VJC589833:VJC589839 VSY589833:VSY589839 WCU589833:WCU589839 WMQ589833:WMQ589839 WWM589833:WWM589839 AE655369:AE655375 KA655369:KA655375 TW655369:TW655375 ADS655369:ADS655375 ANO655369:ANO655375 AXK655369:AXK655375 BHG655369:BHG655375 BRC655369:BRC655375 CAY655369:CAY655375 CKU655369:CKU655375 CUQ655369:CUQ655375 DEM655369:DEM655375 DOI655369:DOI655375 DYE655369:DYE655375 EIA655369:EIA655375 ERW655369:ERW655375 FBS655369:FBS655375 FLO655369:FLO655375 FVK655369:FVK655375 GFG655369:GFG655375 GPC655369:GPC655375 GYY655369:GYY655375 HIU655369:HIU655375 HSQ655369:HSQ655375 ICM655369:ICM655375 IMI655369:IMI655375 IWE655369:IWE655375 JGA655369:JGA655375 JPW655369:JPW655375 JZS655369:JZS655375 KJO655369:KJO655375 KTK655369:KTK655375 LDG655369:LDG655375 LNC655369:LNC655375 LWY655369:LWY655375 MGU655369:MGU655375 MQQ655369:MQQ655375 NAM655369:NAM655375 NKI655369:NKI655375 NUE655369:NUE655375 OEA655369:OEA655375 ONW655369:ONW655375 OXS655369:OXS655375 PHO655369:PHO655375 PRK655369:PRK655375 QBG655369:QBG655375 QLC655369:QLC655375 QUY655369:QUY655375 REU655369:REU655375 ROQ655369:ROQ655375 RYM655369:RYM655375 SII655369:SII655375 SSE655369:SSE655375 TCA655369:TCA655375 TLW655369:TLW655375 TVS655369:TVS655375 UFO655369:UFO655375 UPK655369:UPK655375 UZG655369:UZG655375 VJC655369:VJC655375 VSY655369:VSY655375 WCU655369:WCU655375 WMQ655369:WMQ655375 WWM655369:WWM655375 AE720905:AE720911 KA720905:KA720911 TW720905:TW720911 ADS720905:ADS720911 ANO720905:ANO720911 AXK720905:AXK720911 BHG720905:BHG720911 BRC720905:BRC720911 CAY720905:CAY720911 CKU720905:CKU720911 CUQ720905:CUQ720911 DEM720905:DEM720911 DOI720905:DOI720911 DYE720905:DYE720911 EIA720905:EIA720911 ERW720905:ERW720911 FBS720905:FBS720911 FLO720905:FLO720911 FVK720905:FVK720911 GFG720905:GFG720911 GPC720905:GPC720911 GYY720905:GYY720911 HIU720905:HIU720911 HSQ720905:HSQ720911 ICM720905:ICM720911 IMI720905:IMI720911 IWE720905:IWE720911 JGA720905:JGA720911 JPW720905:JPW720911 JZS720905:JZS720911 KJO720905:KJO720911 KTK720905:KTK720911 LDG720905:LDG720911 LNC720905:LNC720911 LWY720905:LWY720911 MGU720905:MGU720911 MQQ720905:MQQ720911 NAM720905:NAM720911 NKI720905:NKI720911 NUE720905:NUE720911 OEA720905:OEA720911 ONW720905:ONW720911 OXS720905:OXS720911 PHO720905:PHO720911 PRK720905:PRK720911 QBG720905:QBG720911 QLC720905:QLC720911 QUY720905:QUY720911 REU720905:REU720911 ROQ720905:ROQ720911 RYM720905:RYM720911 SII720905:SII720911 SSE720905:SSE720911 TCA720905:TCA720911 TLW720905:TLW720911 TVS720905:TVS720911 UFO720905:UFO720911 UPK720905:UPK720911 UZG720905:UZG720911 VJC720905:VJC720911 VSY720905:VSY720911 WCU720905:WCU720911 WMQ720905:WMQ720911 WWM720905:WWM720911 AE786441:AE786447 KA786441:KA786447 TW786441:TW786447 ADS786441:ADS786447 ANO786441:ANO786447 AXK786441:AXK786447 BHG786441:BHG786447 BRC786441:BRC786447 CAY786441:CAY786447 CKU786441:CKU786447 CUQ786441:CUQ786447 DEM786441:DEM786447 DOI786441:DOI786447 DYE786441:DYE786447 EIA786441:EIA786447 ERW786441:ERW786447 FBS786441:FBS786447 FLO786441:FLO786447 FVK786441:FVK786447 GFG786441:GFG786447 GPC786441:GPC786447 GYY786441:GYY786447 HIU786441:HIU786447 HSQ786441:HSQ786447 ICM786441:ICM786447 IMI786441:IMI786447 IWE786441:IWE786447 JGA786441:JGA786447 JPW786441:JPW786447 JZS786441:JZS786447 KJO786441:KJO786447 KTK786441:KTK786447 LDG786441:LDG786447 LNC786441:LNC786447 LWY786441:LWY786447 MGU786441:MGU786447 MQQ786441:MQQ786447 NAM786441:NAM786447 NKI786441:NKI786447 NUE786441:NUE786447 OEA786441:OEA786447 ONW786441:ONW786447 OXS786441:OXS786447 PHO786441:PHO786447 PRK786441:PRK786447 QBG786441:QBG786447 QLC786441:QLC786447 QUY786441:QUY786447 REU786441:REU786447 ROQ786441:ROQ786447 RYM786441:RYM786447 SII786441:SII786447 SSE786441:SSE786447 TCA786441:TCA786447 TLW786441:TLW786447 TVS786441:TVS786447 UFO786441:UFO786447 UPK786441:UPK786447 UZG786441:UZG786447 VJC786441:VJC786447 VSY786441:VSY786447 WCU786441:WCU786447 WMQ786441:WMQ786447 WWM786441:WWM786447 AE851977:AE851983 KA851977:KA851983 TW851977:TW851983 ADS851977:ADS851983 ANO851977:ANO851983 AXK851977:AXK851983 BHG851977:BHG851983 BRC851977:BRC851983 CAY851977:CAY851983 CKU851977:CKU851983 CUQ851977:CUQ851983 DEM851977:DEM851983 DOI851977:DOI851983 DYE851977:DYE851983 EIA851977:EIA851983 ERW851977:ERW851983 FBS851977:FBS851983 FLO851977:FLO851983 FVK851977:FVK851983 GFG851977:GFG851983 GPC851977:GPC851983 GYY851977:GYY851983 HIU851977:HIU851983 HSQ851977:HSQ851983 ICM851977:ICM851983 IMI851977:IMI851983 IWE851977:IWE851983 JGA851977:JGA851983 JPW851977:JPW851983 JZS851977:JZS851983 KJO851977:KJO851983 KTK851977:KTK851983 LDG851977:LDG851983 LNC851977:LNC851983 LWY851977:LWY851983 MGU851977:MGU851983 MQQ851977:MQQ851983 NAM851977:NAM851983 NKI851977:NKI851983 NUE851977:NUE851983 OEA851977:OEA851983 ONW851977:ONW851983 OXS851977:OXS851983 PHO851977:PHO851983 PRK851977:PRK851983 QBG851977:QBG851983 QLC851977:QLC851983 QUY851977:QUY851983 REU851977:REU851983 ROQ851977:ROQ851983 RYM851977:RYM851983 SII851977:SII851983 SSE851977:SSE851983 TCA851977:TCA851983 TLW851977:TLW851983 TVS851977:TVS851983 UFO851977:UFO851983 UPK851977:UPK851983 UZG851977:UZG851983 VJC851977:VJC851983 VSY851977:VSY851983 WCU851977:WCU851983 WMQ851977:WMQ851983 WWM851977:WWM851983 AE917513:AE917519 KA917513:KA917519 TW917513:TW917519 ADS917513:ADS917519 ANO917513:ANO917519 AXK917513:AXK917519 BHG917513:BHG917519 BRC917513:BRC917519 CAY917513:CAY917519 CKU917513:CKU917519 CUQ917513:CUQ917519 DEM917513:DEM917519 DOI917513:DOI917519 DYE917513:DYE917519 EIA917513:EIA917519 ERW917513:ERW917519 FBS917513:FBS917519 FLO917513:FLO917519 FVK917513:FVK917519 GFG917513:GFG917519 GPC917513:GPC917519 GYY917513:GYY917519 HIU917513:HIU917519 HSQ917513:HSQ917519 ICM917513:ICM917519 IMI917513:IMI917519 IWE917513:IWE917519 JGA917513:JGA917519 JPW917513:JPW917519 JZS917513:JZS917519 KJO917513:KJO917519 KTK917513:KTK917519 LDG917513:LDG917519 LNC917513:LNC917519 LWY917513:LWY917519 MGU917513:MGU917519 MQQ917513:MQQ917519 NAM917513:NAM917519 NKI917513:NKI917519 NUE917513:NUE917519 OEA917513:OEA917519 ONW917513:ONW917519 OXS917513:OXS917519 PHO917513:PHO917519 PRK917513:PRK917519 QBG917513:QBG917519 QLC917513:QLC917519 QUY917513:QUY917519 REU917513:REU917519 ROQ917513:ROQ917519 RYM917513:RYM917519 SII917513:SII917519 SSE917513:SSE917519 TCA917513:TCA917519 TLW917513:TLW917519 TVS917513:TVS917519 UFO917513:UFO917519 UPK917513:UPK917519 UZG917513:UZG917519 VJC917513:VJC917519 VSY917513:VSY917519 WCU917513:WCU917519 WMQ917513:WMQ917519 WWM917513:WWM917519 AE983049:AE983055 KA983049:KA983055 TW983049:TW983055 ADS983049:ADS983055 ANO983049:ANO983055 AXK983049:AXK983055 BHG983049:BHG983055 BRC983049:BRC983055 CAY983049:CAY983055 CKU983049:CKU983055 CUQ983049:CUQ983055 DEM983049:DEM983055 DOI983049:DOI983055 DYE983049:DYE983055 EIA983049:EIA983055 ERW983049:ERW983055 FBS983049:FBS983055 FLO983049:FLO983055 FVK983049:FVK983055 GFG983049:GFG983055 GPC983049:GPC983055 GYY983049:GYY983055 HIU983049:HIU983055 HSQ983049:HSQ983055 ICM983049:ICM983055 IMI983049:IMI983055 IWE983049:IWE983055 JGA983049:JGA983055 JPW983049:JPW983055 JZS983049:JZS983055 KJO983049:KJO983055 KTK983049:KTK983055 LDG983049:LDG983055 LNC983049:LNC983055 LWY983049:LWY983055 MGU983049:MGU983055 MQQ983049:MQQ983055 NAM983049:NAM983055 NKI983049:NKI983055 NUE983049:NUE983055 OEA983049:OEA983055 ONW983049:ONW983055 OXS983049:OXS983055 PHO983049:PHO983055 PRK983049:PRK983055 QBG983049:QBG983055 QLC983049:QLC983055 QUY983049:QUY983055 REU983049:REU983055 ROQ983049:ROQ983055 RYM983049:RYM983055 SII983049:SII983055 SSE983049:SSE983055 TCA983049:TCA983055 TLW983049:TLW983055 TVS983049:TVS983055 UFO983049:UFO983055 UPK983049:UPK983055 UZG983049:UZG983055 VJC983049:VJC983055 VSY983049:VSY983055 WCU983049:WCU983055 WMQ983049:WMQ983055 WWM983049:WWM983055 VSY8:VSY15 VJC8:VJC15 UZG8:UZG15 UPK8:UPK15 UFO8:UFO15 TVS8:TVS15 TLW8:TLW15 TCA8:TCA15 SSE8:SSE15 SII8:SII15 RYM8:RYM15 ROQ8:ROQ15 REU8:REU15 QUY8:QUY15 QLC8:QLC15 QBG8:QBG15 PRK8:PRK15 PHO8:PHO15 OXS8:OXS15 ONW8:ONW15 OEA8:OEA15 NUE8:NUE15 NKI8:NKI15 NAM8:NAM15 MQQ8:MQQ15 MGU8:MGU15 LWY8:LWY15 LNC8:LNC15 LDG8:LDG15 KTK8:KTK15 KJO8:KJO15 JZS8:JZS15 JPW8:JPW15 JGA8:JGA15 IWE8:IWE15 IMI8:IMI15 ICM8:ICM15 HSQ8:HSQ15 HIU8:HIU15 GYY8:GYY15 GPC8:GPC15 GFG8:GFG15 FVK8:FVK15 FLO8:FLO15 FBS8:FBS15 ERW8:ERW15 EIA8:EIA15 DYE8:DYE15 DOI8:DOI15 DEM8:DEM15 CUQ8:CUQ15 CKU8:CKU15 CAY8:CAY15 BRC8:BRC15 BHG8:BHG15 AXK8:AXK15 ANO8:ANO15 ADS8:ADS15 TW8:TW15 KA8:KA15 AE8:AE15 WWM8:WWM15 WMQ8:WMQ15 WCU8:WCU15">
      <formula1>$AH$1:$AH$4</formula1>
    </dataValidation>
    <dataValidation type="list" allowBlank="1" showInputMessage="1" showErrorMessage="1" sqref="H65545:H65551 JD65545:JD65551 SZ65545:SZ65551 ACV65545:ACV65551 AMR65545:AMR65551 AWN65545:AWN65551 BGJ65545:BGJ65551 BQF65545:BQF65551 CAB65545:CAB65551 CJX65545:CJX65551 CTT65545:CTT65551 DDP65545:DDP65551 DNL65545:DNL65551 DXH65545:DXH65551 EHD65545:EHD65551 EQZ65545:EQZ65551 FAV65545:FAV65551 FKR65545:FKR65551 FUN65545:FUN65551 GEJ65545:GEJ65551 GOF65545:GOF65551 GYB65545:GYB65551 HHX65545:HHX65551 HRT65545:HRT65551 IBP65545:IBP65551 ILL65545:ILL65551 IVH65545:IVH65551 JFD65545:JFD65551 JOZ65545:JOZ65551 JYV65545:JYV65551 KIR65545:KIR65551 KSN65545:KSN65551 LCJ65545:LCJ65551 LMF65545:LMF65551 LWB65545:LWB65551 MFX65545:MFX65551 MPT65545:MPT65551 MZP65545:MZP65551 NJL65545:NJL65551 NTH65545:NTH65551 ODD65545:ODD65551 OMZ65545:OMZ65551 OWV65545:OWV65551 PGR65545:PGR65551 PQN65545:PQN65551 QAJ65545:QAJ65551 QKF65545:QKF65551 QUB65545:QUB65551 RDX65545:RDX65551 RNT65545:RNT65551 RXP65545:RXP65551 SHL65545:SHL65551 SRH65545:SRH65551 TBD65545:TBD65551 TKZ65545:TKZ65551 TUV65545:TUV65551 UER65545:UER65551 UON65545:UON65551 UYJ65545:UYJ65551 VIF65545:VIF65551 VSB65545:VSB65551 WBX65545:WBX65551 WLT65545:WLT65551 WVP65545:WVP65551 H131081:H131087 JD131081:JD131087 SZ131081:SZ131087 ACV131081:ACV131087 AMR131081:AMR131087 AWN131081:AWN131087 BGJ131081:BGJ131087 BQF131081:BQF131087 CAB131081:CAB131087 CJX131081:CJX131087 CTT131081:CTT131087 DDP131081:DDP131087 DNL131081:DNL131087 DXH131081:DXH131087 EHD131081:EHD131087 EQZ131081:EQZ131087 FAV131081:FAV131087 FKR131081:FKR131087 FUN131081:FUN131087 GEJ131081:GEJ131087 GOF131081:GOF131087 GYB131081:GYB131087 HHX131081:HHX131087 HRT131081:HRT131087 IBP131081:IBP131087 ILL131081:ILL131087 IVH131081:IVH131087 JFD131081:JFD131087 JOZ131081:JOZ131087 JYV131081:JYV131087 KIR131081:KIR131087 KSN131081:KSN131087 LCJ131081:LCJ131087 LMF131081:LMF131087 LWB131081:LWB131087 MFX131081:MFX131087 MPT131081:MPT131087 MZP131081:MZP131087 NJL131081:NJL131087 NTH131081:NTH131087 ODD131081:ODD131087 OMZ131081:OMZ131087 OWV131081:OWV131087 PGR131081:PGR131087 PQN131081:PQN131087 QAJ131081:QAJ131087 QKF131081:QKF131087 QUB131081:QUB131087 RDX131081:RDX131087 RNT131081:RNT131087 RXP131081:RXP131087 SHL131081:SHL131087 SRH131081:SRH131087 TBD131081:TBD131087 TKZ131081:TKZ131087 TUV131081:TUV131087 UER131081:UER131087 UON131081:UON131087 UYJ131081:UYJ131087 VIF131081:VIF131087 VSB131081:VSB131087 WBX131081:WBX131087 WLT131081:WLT131087 WVP131081:WVP131087 H196617:H196623 JD196617:JD196623 SZ196617:SZ196623 ACV196617:ACV196623 AMR196617:AMR196623 AWN196617:AWN196623 BGJ196617:BGJ196623 BQF196617:BQF196623 CAB196617:CAB196623 CJX196617:CJX196623 CTT196617:CTT196623 DDP196617:DDP196623 DNL196617:DNL196623 DXH196617:DXH196623 EHD196617:EHD196623 EQZ196617:EQZ196623 FAV196617:FAV196623 FKR196617:FKR196623 FUN196617:FUN196623 GEJ196617:GEJ196623 GOF196617:GOF196623 GYB196617:GYB196623 HHX196617:HHX196623 HRT196617:HRT196623 IBP196617:IBP196623 ILL196617:ILL196623 IVH196617:IVH196623 JFD196617:JFD196623 JOZ196617:JOZ196623 JYV196617:JYV196623 KIR196617:KIR196623 KSN196617:KSN196623 LCJ196617:LCJ196623 LMF196617:LMF196623 LWB196617:LWB196623 MFX196617:MFX196623 MPT196617:MPT196623 MZP196617:MZP196623 NJL196617:NJL196623 NTH196617:NTH196623 ODD196617:ODD196623 OMZ196617:OMZ196623 OWV196617:OWV196623 PGR196617:PGR196623 PQN196617:PQN196623 QAJ196617:QAJ196623 QKF196617:QKF196623 QUB196617:QUB196623 RDX196617:RDX196623 RNT196617:RNT196623 RXP196617:RXP196623 SHL196617:SHL196623 SRH196617:SRH196623 TBD196617:TBD196623 TKZ196617:TKZ196623 TUV196617:TUV196623 UER196617:UER196623 UON196617:UON196623 UYJ196617:UYJ196623 VIF196617:VIF196623 VSB196617:VSB196623 WBX196617:WBX196623 WLT196617:WLT196623 WVP196617:WVP196623 H262153:H262159 JD262153:JD262159 SZ262153:SZ262159 ACV262153:ACV262159 AMR262153:AMR262159 AWN262153:AWN262159 BGJ262153:BGJ262159 BQF262153:BQF262159 CAB262153:CAB262159 CJX262153:CJX262159 CTT262153:CTT262159 DDP262153:DDP262159 DNL262153:DNL262159 DXH262153:DXH262159 EHD262153:EHD262159 EQZ262153:EQZ262159 FAV262153:FAV262159 FKR262153:FKR262159 FUN262153:FUN262159 GEJ262153:GEJ262159 GOF262153:GOF262159 GYB262153:GYB262159 HHX262153:HHX262159 HRT262153:HRT262159 IBP262153:IBP262159 ILL262153:ILL262159 IVH262153:IVH262159 JFD262153:JFD262159 JOZ262153:JOZ262159 JYV262153:JYV262159 KIR262153:KIR262159 KSN262153:KSN262159 LCJ262153:LCJ262159 LMF262153:LMF262159 LWB262153:LWB262159 MFX262153:MFX262159 MPT262153:MPT262159 MZP262153:MZP262159 NJL262153:NJL262159 NTH262153:NTH262159 ODD262153:ODD262159 OMZ262153:OMZ262159 OWV262153:OWV262159 PGR262153:PGR262159 PQN262153:PQN262159 QAJ262153:QAJ262159 QKF262153:QKF262159 QUB262153:QUB262159 RDX262153:RDX262159 RNT262153:RNT262159 RXP262153:RXP262159 SHL262153:SHL262159 SRH262153:SRH262159 TBD262153:TBD262159 TKZ262153:TKZ262159 TUV262153:TUV262159 UER262153:UER262159 UON262153:UON262159 UYJ262153:UYJ262159 VIF262153:VIF262159 VSB262153:VSB262159 WBX262153:WBX262159 WLT262153:WLT262159 WVP262153:WVP262159 H327689:H327695 JD327689:JD327695 SZ327689:SZ327695 ACV327689:ACV327695 AMR327689:AMR327695 AWN327689:AWN327695 BGJ327689:BGJ327695 BQF327689:BQF327695 CAB327689:CAB327695 CJX327689:CJX327695 CTT327689:CTT327695 DDP327689:DDP327695 DNL327689:DNL327695 DXH327689:DXH327695 EHD327689:EHD327695 EQZ327689:EQZ327695 FAV327689:FAV327695 FKR327689:FKR327695 FUN327689:FUN327695 GEJ327689:GEJ327695 GOF327689:GOF327695 GYB327689:GYB327695 HHX327689:HHX327695 HRT327689:HRT327695 IBP327689:IBP327695 ILL327689:ILL327695 IVH327689:IVH327695 JFD327689:JFD327695 JOZ327689:JOZ327695 JYV327689:JYV327695 KIR327689:KIR327695 KSN327689:KSN327695 LCJ327689:LCJ327695 LMF327689:LMF327695 LWB327689:LWB327695 MFX327689:MFX327695 MPT327689:MPT327695 MZP327689:MZP327695 NJL327689:NJL327695 NTH327689:NTH327695 ODD327689:ODD327695 OMZ327689:OMZ327695 OWV327689:OWV327695 PGR327689:PGR327695 PQN327689:PQN327695 QAJ327689:QAJ327695 QKF327689:QKF327695 QUB327689:QUB327695 RDX327689:RDX327695 RNT327689:RNT327695 RXP327689:RXP327695 SHL327689:SHL327695 SRH327689:SRH327695 TBD327689:TBD327695 TKZ327689:TKZ327695 TUV327689:TUV327695 UER327689:UER327695 UON327689:UON327695 UYJ327689:UYJ327695 VIF327689:VIF327695 VSB327689:VSB327695 WBX327689:WBX327695 WLT327689:WLT327695 WVP327689:WVP327695 H393225:H393231 JD393225:JD393231 SZ393225:SZ393231 ACV393225:ACV393231 AMR393225:AMR393231 AWN393225:AWN393231 BGJ393225:BGJ393231 BQF393225:BQF393231 CAB393225:CAB393231 CJX393225:CJX393231 CTT393225:CTT393231 DDP393225:DDP393231 DNL393225:DNL393231 DXH393225:DXH393231 EHD393225:EHD393231 EQZ393225:EQZ393231 FAV393225:FAV393231 FKR393225:FKR393231 FUN393225:FUN393231 GEJ393225:GEJ393231 GOF393225:GOF393231 GYB393225:GYB393231 HHX393225:HHX393231 HRT393225:HRT393231 IBP393225:IBP393231 ILL393225:ILL393231 IVH393225:IVH393231 JFD393225:JFD393231 JOZ393225:JOZ393231 JYV393225:JYV393231 KIR393225:KIR393231 KSN393225:KSN393231 LCJ393225:LCJ393231 LMF393225:LMF393231 LWB393225:LWB393231 MFX393225:MFX393231 MPT393225:MPT393231 MZP393225:MZP393231 NJL393225:NJL393231 NTH393225:NTH393231 ODD393225:ODD393231 OMZ393225:OMZ393231 OWV393225:OWV393231 PGR393225:PGR393231 PQN393225:PQN393231 QAJ393225:QAJ393231 QKF393225:QKF393231 QUB393225:QUB393231 RDX393225:RDX393231 RNT393225:RNT393231 RXP393225:RXP393231 SHL393225:SHL393231 SRH393225:SRH393231 TBD393225:TBD393231 TKZ393225:TKZ393231 TUV393225:TUV393231 UER393225:UER393231 UON393225:UON393231 UYJ393225:UYJ393231 VIF393225:VIF393231 VSB393225:VSB393231 WBX393225:WBX393231 WLT393225:WLT393231 WVP393225:WVP393231 H458761:H458767 JD458761:JD458767 SZ458761:SZ458767 ACV458761:ACV458767 AMR458761:AMR458767 AWN458761:AWN458767 BGJ458761:BGJ458767 BQF458761:BQF458767 CAB458761:CAB458767 CJX458761:CJX458767 CTT458761:CTT458767 DDP458761:DDP458767 DNL458761:DNL458767 DXH458761:DXH458767 EHD458761:EHD458767 EQZ458761:EQZ458767 FAV458761:FAV458767 FKR458761:FKR458767 FUN458761:FUN458767 GEJ458761:GEJ458767 GOF458761:GOF458767 GYB458761:GYB458767 HHX458761:HHX458767 HRT458761:HRT458767 IBP458761:IBP458767 ILL458761:ILL458767 IVH458761:IVH458767 JFD458761:JFD458767 JOZ458761:JOZ458767 JYV458761:JYV458767 KIR458761:KIR458767 KSN458761:KSN458767 LCJ458761:LCJ458767 LMF458761:LMF458767 LWB458761:LWB458767 MFX458761:MFX458767 MPT458761:MPT458767 MZP458761:MZP458767 NJL458761:NJL458767 NTH458761:NTH458767 ODD458761:ODD458767 OMZ458761:OMZ458767 OWV458761:OWV458767 PGR458761:PGR458767 PQN458761:PQN458767 QAJ458761:QAJ458767 QKF458761:QKF458767 QUB458761:QUB458767 RDX458761:RDX458767 RNT458761:RNT458767 RXP458761:RXP458767 SHL458761:SHL458767 SRH458761:SRH458767 TBD458761:TBD458767 TKZ458761:TKZ458767 TUV458761:TUV458767 UER458761:UER458767 UON458761:UON458767 UYJ458761:UYJ458767 VIF458761:VIF458767 VSB458761:VSB458767 WBX458761:WBX458767 WLT458761:WLT458767 WVP458761:WVP458767 H524297:H524303 JD524297:JD524303 SZ524297:SZ524303 ACV524297:ACV524303 AMR524297:AMR524303 AWN524297:AWN524303 BGJ524297:BGJ524303 BQF524297:BQF524303 CAB524297:CAB524303 CJX524297:CJX524303 CTT524297:CTT524303 DDP524297:DDP524303 DNL524297:DNL524303 DXH524297:DXH524303 EHD524297:EHD524303 EQZ524297:EQZ524303 FAV524297:FAV524303 FKR524297:FKR524303 FUN524297:FUN524303 GEJ524297:GEJ524303 GOF524297:GOF524303 GYB524297:GYB524303 HHX524297:HHX524303 HRT524297:HRT524303 IBP524297:IBP524303 ILL524297:ILL524303 IVH524297:IVH524303 JFD524297:JFD524303 JOZ524297:JOZ524303 JYV524297:JYV524303 KIR524297:KIR524303 KSN524297:KSN524303 LCJ524297:LCJ524303 LMF524297:LMF524303 LWB524297:LWB524303 MFX524297:MFX524303 MPT524297:MPT524303 MZP524297:MZP524303 NJL524297:NJL524303 NTH524297:NTH524303 ODD524297:ODD524303 OMZ524297:OMZ524303 OWV524297:OWV524303 PGR524297:PGR524303 PQN524297:PQN524303 QAJ524297:QAJ524303 QKF524297:QKF524303 QUB524297:QUB524303 RDX524297:RDX524303 RNT524297:RNT524303 RXP524297:RXP524303 SHL524297:SHL524303 SRH524297:SRH524303 TBD524297:TBD524303 TKZ524297:TKZ524303 TUV524297:TUV524303 UER524297:UER524303 UON524297:UON524303 UYJ524297:UYJ524303 VIF524297:VIF524303 VSB524297:VSB524303 WBX524297:WBX524303 WLT524297:WLT524303 WVP524297:WVP524303 H589833:H589839 JD589833:JD589839 SZ589833:SZ589839 ACV589833:ACV589839 AMR589833:AMR589839 AWN589833:AWN589839 BGJ589833:BGJ589839 BQF589833:BQF589839 CAB589833:CAB589839 CJX589833:CJX589839 CTT589833:CTT589839 DDP589833:DDP589839 DNL589833:DNL589839 DXH589833:DXH589839 EHD589833:EHD589839 EQZ589833:EQZ589839 FAV589833:FAV589839 FKR589833:FKR589839 FUN589833:FUN589839 GEJ589833:GEJ589839 GOF589833:GOF589839 GYB589833:GYB589839 HHX589833:HHX589839 HRT589833:HRT589839 IBP589833:IBP589839 ILL589833:ILL589839 IVH589833:IVH589839 JFD589833:JFD589839 JOZ589833:JOZ589839 JYV589833:JYV589839 KIR589833:KIR589839 KSN589833:KSN589839 LCJ589833:LCJ589839 LMF589833:LMF589839 LWB589833:LWB589839 MFX589833:MFX589839 MPT589833:MPT589839 MZP589833:MZP589839 NJL589833:NJL589839 NTH589833:NTH589839 ODD589833:ODD589839 OMZ589833:OMZ589839 OWV589833:OWV589839 PGR589833:PGR589839 PQN589833:PQN589839 QAJ589833:QAJ589839 QKF589833:QKF589839 QUB589833:QUB589839 RDX589833:RDX589839 RNT589833:RNT589839 RXP589833:RXP589839 SHL589833:SHL589839 SRH589833:SRH589839 TBD589833:TBD589839 TKZ589833:TKZ589839 TUV589833:TUV589839 UER589833:UER589839 UON589833:UON589839 UYJ589833:UYJ589839 VIF589833:VIF589839 VSB589833:VSB589839 WBX589833:WBX589839 WLT589833:WLT589839 WVP589833:WVP589839 H655369:H655375 JD655369:JD655375 SZ655369:SZ655375 ACV655369:ACV655375 AMR655369:AMR655375 AWN655369:AWN655375 BGJ655369:BGJ655375 BQF655369:BQF655375 CAB655369:CAB655375 CJX655369:CJX655375 CTT655369:CTT655375 DDP655369:DDP655375 DNL655369:DNL655375 DXH655369:DXH655375 EHD655369:EHD655375 EQZ655369:EQZ655375 FAV655369:FAV655375 FKR655369:FKR655375 FUN655369:FUN655375 GEJ655369:GEJ655375 GOF655369:GOF655375 GYB655369:GYB655375 HHX655369:HHX655375 HRT655369:HRT655375 IBP655369:IBP655375 ILL655369:ILL655375 IVH655369:IVH655375 JFD655369:JFD655375 JOZ655369:JOZ655375 JYV655369:JYV655375 KIR655369:KIR655375 KSN655369:KSN655375 LCJ655369:LCJ655375 LMF655369:LMF655375 LWB655369:LWB655375 MFX655369:MFX655375 MPT655369:MPT655375 MZP655369:MZP655375 NJL655369:NJL655375 NTH655369:NTH655375 ODD655369:ODD655375 OMZ655369:OMZ655375 OWV655369:OWV655375 PGR655369:PGR655375 PQN655369:PQN655375 QAJ655369:QAJ655375 QKF655369:QKF655375 QUB655369:QUB655375 RDX655369:RDX655375 RNT655369:RNT655375 RXP655369:RXP655375 SHL655369:SHL655375 SRH655369:SRH655375 TBD655369:TBD655375 TKZ655369:TKZ655375 TUV655369:TUV655375 UER655369:UER655375 UON655369:UON655375 UYJ655369:UYJ655375 VIF655369:VIF655375 VSB655369:VSB655375 WBX655369:WBX655375 WLT655369:WLT655375 WVP655369:WVP655375 H720905:H720911 JD720905:JD720911 SZ720905:SZ720911 ACV720905:ACV720911 AMR720905:AMR720911 AWN720905:AWN720911 BGJ720905:BGJ720911 BQF720905:BQF720911 CAB720905:CAB720911 CJX720905:CJX720911 CTT720905:CTT720911 DDP720905:DDP720911 DNL720905:DNL720911 DXH720905:DXH720911 EHD720905:EHD720911 EQZ720905:EQZ720911 FAV720905:FAV720911 FKR720905:FKR720911 FUN720905:FUN720911 GEJ720905:GEJ720911 GOF720905:GOF720911 GYB720905:GYB720911 HHX720905:HHX720911 HRT720905:HRT720911 IBP720905:IBP720911 ILL720905:ILL720911 IVH720905:IVH720911 JFD720905:JFD720911 JOZ720905:JOZ720911 JYV720905:JYV720911 KIR720905:KIR720911 KSN720905:KSN720911 LCJ720905:LCJ720911 LMF720905:LMF720911 LWB720905:LWB720911 MFX720905:MFX720911 MPT720905:MPT720911 MZP720905:MZP720911 NJL720905:NJL720911 NTH720905:NTH720911 ODD720905:ODD720911 OMZ720905:OMZ720911 OWV720905:OWV720911 PGR720905:PGR720911 PQN720905:PQN720911 QAJ720905:QAJ720911 QKF720905:QKF720911 QUB720905:QUB720911 RDX720905:RDX720911 RNT720905:RNT720911 RXP720905:RXP720911 SHL720905:SHL720911 SRH720905:SRH720911 TBD720905:TBD720911 TKZ720905:TKZ720911 TUV720905:TUV720911 UER720905:UER720911 UON720905:UON720911 UYJ720905:UYJ720911 VIF720905:VIF720911 VSB720905:VSB720911 WBX720905:WBX720911 WLT720905:WLT720911 WVP720905:WVP720911 H786441:H786447 JD786441:JD786447 SZ786441:SZ786447 ACV786441:ACV786447 AMR786441:AMR786447 AWN786441:AWN786447 BGJ786441:BGJ786447 BQF786441:BQF786447 CAB786441:CAB786447 CJX786441:CJX786447 CTT786441:CTT786447 DDP786441:DDP786447 DNL786441:DNL786447 DXH786441:DXH786447 EHD786441:EHD786447 EQZ786441:EQZ786447 FAV786441:FAV786447 FKR786441:FKR786447 FUN786441:FUN786447 GEJ786441:GEJ786447 GOF786441:GOF786447 GYB786441:GYB786447 HHX786441:HHX786447 HRT786441:HRT786447 IBP786441:IBP786447 ILL786441:ILL786447 IVH786441:IVH786447 JFD786441:JFD786447 JOZ786441:JOZ786447 JYV786441:JYV786447 KIR786441:KIR786447 KSN786441:KSN786447 LCJ786441:LCJ786447 LMF786441:LMF786447 LWB786441:LWB786447 MFX786441:MFX786447 MPT786441:MPT786447 MZP786441:MZP786447 NJL786441:NJL786447 NTH786441:NTH786447 ODD786441:ODD786447 OMZ786441:OMZ786447 OWV786441:OWV786447 PGR786441:PGR786447 PQN786441:PQN786447 QAJ786441:QAJ786447 QKF786441:QKF786447 QUB786441:QUB786447 RDX786441:RDX786447 RNT786441:RNT786447 RXP786441:RXP786447 SHL786441:SHL786447 SRH786441:SRH786447 TBD786441:TBD786447 TKZ786441:TKZ786447 TUV786441:TUV786447 UER786441:UER786447 UON786441:UON786447 UYJ786441:UYJ786447 VIF786441:VIF786447 VSB786441:VSB786447 WBX786441:WBX786447 WLT786441:WLT786447 WVP786441:WVP786447 H851977:H851983 JD851977:JD851983 SZ851977:SZ851983 ACV851977:ACV851983 AMR851977:AMR851983 AWN851977:AWN851983 BGJ851977:BGJ851983 BQF851977:BQF851983 CAB851977:CAB851983 CJX851977:CJX851983 CTT851977:CTT851983 DDP851977:DDP851983 DNL851977:DNL851983 DXH851977:DXH851983 EHD851977:EHD851983 EQZ851977:EQZ851983 FAV851977:FAV851983 FKR851977:FKR851983 FUN851977:FUN851983 GEJ851977:GEJ851983 GOF851977:GOF851983 GYB851977:GYB851983 HHX851977:HHX851983 HRT851977:HRT851983 IBP851977:IBP851983 ILL851977:ILL851983 IVH851977:IVH851983 JFD851977:JFD851983 JOZ851977:JOZ851983 JYV851977:JYV851983 KIR851977:KIR851983 KSN851977:KSN851983 LCJ851977:LCJ851983 LMF851977:LMF851983 LWB851977:LWB851983 MFX851977:MFX851983 MPT851977:MPT851983 MZP851977:MZP851983 NJL851977:NJL851983 NTH851977:NTH851983 ODD851977:ODD851983 OMZ851977:OMZ851983 OWV851977:OWV851983 PGR851977:PGR851983 PQN851977:PQN851983 QAJ851977:QAJ851983 QKF851977:QKF851983 QUB851977:QUB851983 RDX851977:RDX851983 RNT851977:RNT851983 RXP851977:RXP851983 SHL851977:SHL851983 SRH851977:SRH851983 TBD851977:TBD851983 TKZ851977:TKZ851983 TUV851977:TUV851983 UER851977:UER851983 UON851977:UON851983 UYJ851977:UYJ851983 VIF851977:VIF851983 VSB851977:VSB851983 WBX851977:WBX851983 WLT851977:WLT851983 WVP851977:WVP851983 H917513:H917519 JD917513:JD917519 SZ917513:SZ917519 ACV917513:ACV917519 AMR917513:AMR917519 AWN917513:AWN917519 BGJ917513:BGJ917519 BQF917513:BQF917519 CAB917513:CAB917519 CJX917513:CJX917519 CTT917513:CTT917519 DDP917513:DDP917519 DNL917513:DNL917519 DXH917513:DXH917519 EHD917513:EHD917519 EQZ917513:EQZ917519 FAV917513:FAV917519 FKR917513:FKR917519 FUN917513:FUN917519 GEJ917513:GEJ917519 GOF917513:GOF917519 GYB917513:GYB917519 HHX917513:HHX917519 HRT917513:HRT917519 IBP917513:IBP917519 ILL917513:ILL917519 IVH917513:IVH917519 JFD917513:JFD917519 JOZ917513:JOZ917519 JYV917513:JYV917519 KIR917513:KIR917519 KSN917513:KSN917519 LCJ917513:LCJ917519 LMF917513:LMF917519 LWB917513:LWB917519 MFX917513:MFX917519 MPT917513:MPT917519 MZP917513:MZP917519 NJL917513:NJL917519 NTH917513:NTH917519 ODD917513:ODD917519 OMZ917513:OMZ917519 OWV917513:OWV917519 PGR917513:PGR917519 PQN917513:PQN917519 QAJ917513:QAJ917519 QKF917513:QKF917519 QUB917513:QUB917519 RDX917513:RDX917519 RNT917513:RNT917519 RXP917513:RXP917519 SHL917513:SHL917519 SRH917513:SRH917519 TBD917513:TBD917519 TKZ917513:TKZ917519 TUV917513:TUV917519 UER917513:UER917519 UON917513:UON917519 UYJ917513:UYJ917519 VIF917513:VIF917519 VSB917513:VSB917519 WBX917513:WBX917519 WLT917513:WLT917519 WVP917513:WVP917519 H983049:H983055 JD983049:JD983055 SZ983049:SZ983055 ACV983049:ACV983055 AMR983049:AMR983055 AWN983049:AWN983055 BGJ983049:BGJ983055 BQF983049:BQF983055 CAB983049:CAB983055 CJX983049:CJX983055 CTT983049:CTT983055 DDP983049:DDP983055 DNL983049:DNL983055 DXH983049:DXH983055 EHD983049:EHD983055 EQZ983049:EQZ983055 FAV983049:FAV983055 FKR983049:FKR983055 FUN983049:FUN983055 GEJ983049:GEJ983055 GOF983049:GOF983055 GYB983049:GYB983055 HHX983049:HHX983055 HRT983049:HRT983055 IBP983049:IBP983055 ILL983049:ILL983055 IVH983049:IVH983055 JFD983049:JFD983055 JOZ983049:JOZ983055 JYV983049:JYV983055 KIR983049:KIR983055 KSN983049:KSN983055 LCJ983049:LCJ983055 LMF983049:LMF983055 LWB983049:LWB983055 MFX983049:MFX983055 MPT983049:MPT983055 MZP983049:MZP983055 NJL983049:NJL983055 NTH983049:NTH983055 ODD983049:ODD983055 OMZ983049:OMZ983055 OWV983049:OWV983055 PGR983049:PGR983055 PQN983049:PQN983055 QAJ983049:QAJ983055 QKF983049:QKF983055 QUB983049:QUB983055 RDX983049:RDX983055 RNT983049:RNT983055 RXP983049:RXP983055 SHL983049:SHL983055 SRH983049:SRH983055 TBD983049:TBD983055 TKZ983049:TKZ983055 TUV983049:TUV983055 UER983049:UER983055 UON983049:UON983055 UYJ983049:UYJ983055 VIF983049:VIF983055 VSB983049:VSB983055 WBX983049:WBX983055 WLT983049:WLT983055 WVP983049:WVP983055 WLT8:WLT13 WBX8:WBX13 WVP8:WVP13 JD8:JD13 SZ8:SZ13 ACV8:ACV13 AMR8:AMR13 AWN8:AWN13 BGJ8:BGJ13 BQF8:BQF13 CAB8:CAB13 CJX8:CJX13 CTT8:CTT13 DDP8:DDP13 DNL8:DNL13 DXH8:DXH13 EHD8:EHD13 EQZ8:EQZ13 FAV8:FAV13 FKR8:FKR13 FUN8:FUN13 GEJ8:GEJ13 GOF8:GOF13 GYB8:GYB13 HHX8:HHX13 HRT8:HRT13 IBP8:IBP13 ILL8:ILL13 IVH8:IVH13 JFD8:JFD13 JOZ8:JOZ13 JYV8:JYV13 KIR8:KIR13 KSN8:KSN13 LCJ8:LCJ13 LMF8:LMF13 LWB8:LWB13 MFX8:MFX13 MPT8:MPT13 MZP8:MZP13 NJL8:NJL13 NTH8:NTH13 ODD8:ODD13 OMZ8:OMZ13 OWV8:OWV13 PGR8:PGR13 PQN8:PQN13 QAJ8:QAJ13 QKF8:QKF13 QUB8:QUB13 RDX8:RDX13 RNT8:RNT13 RXP8:RXP13 SHL8:SHL13 SRH8:SRH13 TBD8:TBD13 TKZ8:TKZ13 TUV8:TUV13 UER8:UER13 UON8:UON13 UYJ8:UYJ13 VIF8:VIF13 VSB8:VSB13 H8:H13 WLT15 WBX15 WVP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H15">
      <formula1>$AI$1:$AI$3</formula1>
    </dataValidation>
    <dataValidation type="list" allowBlank="1" showInputMessage="1" showErrorMessage="1" sqref="G65545:G65551 G15 G8:G13 WBW8:WBW12 WLS8:WLS12 WVO8:WVO12 JC8:JC12 SY8:SY12 ACU8:ACU12 AMQ8:AMQ12 AWM8:AWM12 BGI8:BGI12 BQE8:BQE12 CAA8:CAA12 CJW8:CJW12 CTS8:CTS12 DDO8:DDO12 DNK8:DNK12 DXG8:DXG12 EHC8:EHC12 EQY8:EQY12 FAU8:FAU12 FKQ8:FKQ12 FUM8:FUM12 GEI8:GEI12 GOE8:GOE12 GYA8:GYA12 HHW8:HHW12 HRS8:HRS12 IBO8:IBO12 ILK8:ILK12 IVG8:IVG12 JFC8:JFC12 JOY8:JOY12 JYU8:JYU12 KIQ8:KIQ12 KSM8:KSM12 LCI8:LCI12 LME8:LME12 LWA8:LWA12 MFW8:MFW12 MPS8:MPS12 MZO8:MZO12 NJK8:NJK12 NTG8:NTG12 ODC8:ODC12 OMY8:OMY12 OWU8:OWU12 PGQ8:PGQ12 PQM8:PQM12 QAI8:QAI12 QKE8:QKE12 QUA8:QUA12 RDW8:RDW12 RNS8:RNS12 RXO8:RXO12 SHK8:SHK12 SRG8:SRG12 TBC8:TBC12 TKY8:TKY12 TUU8:TUU12 UEQ8:UEQ12 UOM8:UOM12 UYI8:UYI12 VIE8:VIE12 WBW983049:WBW983055 VSA983049:VSA983055 VIE983049:VIE983055 UYI983049:UYI983055 UOM983049:UOM983055 UEQ983049:UEQ983055 TUU983049:TUU983055 TKY983049:TKY983055 TBC983049:TBC983055 SRG983049:SRG983055 SHK983049:SHK983055 RXO983049:RXO983055 RNS983049:RNS983055 RDW983049:RDW983055 QUA983049:QUA983055 QKE983049:QKE983055 QAI983049:QAI983055 PQM983049:PQM983055 PGQ983049:PGQ983055 OWU983049:OWU983055 OMY983049:OMY983055 ODC983049:ODC983055 NTG983049:NTG983055 NJK983049:NJK983055 MZO983049:MZO983055 MPS983049:MPS983055 MFW983049:MFW983055 LWA983049:LWA983055 LME983049:LME983055 LCI983049:LCI983055 KSM983049:KSM983055 KIQ983049:KIQ983055 JYU983049:JYU983055 JOY983049:JOY983055 JFC983049:JFC983055 IVG983049:IVG983055 ILK983049:ILK983055 IBO983049:IBO983055 HRS983049:HRS983055 HHW983049:HHW983055 GYA983049:GYA983055 GOE983049:GOE983055 GEI983049:GEI983055 FUM983049:FUM983055 FKQ983049:FKQ983055 FAU983049:FAU983055 EQY983049:EQY983055 EHC983049:EHC983055 DXG983049:DXG983055 DNK983049:DNK983055 DDO983049:DDO983055 CTS983049:CTS983055 CJW983049:CJW983055 CAA983049:CAA983055 BQE983049:BQE983055 BGI983049:BGI983055 AWM983049:AWM983055 AMQ983049:AMQ983055 ACU983049:ACU983055 SY983049:SY983055 JC983049:JC983055 G983049:G983055 WVO917513:WVO917519 WLS917513:WLS917519 WBW917513:WBW917519 VSA917513:VSA917519 VIE917513:VIE917519 UYI917513:UYI917519 UOM917513:UOM917519 UEQ917513:UEQ917519 TUU917513:TUU917519 TKY917513:TKY917519 TBC917513:TBC917519 SRG917513:SRG917519 SHK917513:SHK917519 RXO917513:RXO917519 RNS917513:RNS917519 RDW917513:RDW917519 QUA917513:QUA917519 QKE917513:QKE917519 QAI917513:QAI917519 PQM917513:PQM917519 PGQ917513:PGQ917519 OWU917513:OWU917519 OMY917513:OMY917519 ODC917513:ODC917519 NTG917513:NTG917519 NJK917513:NJK917519 MZO917513:MZO917519 MPS917513:MPS917519 MFW917513:MFW917519 LWA917513:LWA917519 LME917513:LME917519 LCI917513:LCI917519 KSM917513:KSM917519 KIQ917513:KIQ917519 JYU917513:JYU917519 JOY917513:JOY917519 JFC917513:JFC917519 IVG917513:IVG917519 ILK917513:ILK917519 IBO917513:IBO917519 HRS917513:HRS917519 HHW917513:HHW917519 GYA917513:GYA917519 GOE917513:GOE917519 GEI917513:GEI917519 FUM917513:FUM917519 FKQ917513:FKQ917519 FAU917513:FAU917519 EQY917513:EQY917519 EHC917513:EHC917519 DXG917513:DXG917519 DNK917513:DNK917519 DDO917513:DDO917519 CTS917513:CTS917519 CJW917513:CJW917519 CAA917513:CAA917519 BQE917513:BQE917519 BGI917513:BGI917519 AWM917513:AWM917519 AMQ917513:AMQ917519 ACU917513:ACU917519 SY917513:SY917519 JC917513:JC917519 G917513:G917519 WVO851977:WVO851983 WLS851977:WLS851983 WBW851977:WBW851983 VSA851977:VSA851983 VIE851977:VIE851983 UYI851977:UYI851983 UOM851977:UOM851983 UEQ851977:UEQ851983 TUU851977:TUU851983 TKY851977:TKY851983 TBC851977:TBC851983 SRG851977:SRG851983 SHK851977:SHK851983 RXO851977:RXO851983 RNS851977:RNS851983 RDW851977:RDW851983 QUA851977:QUA851983 QKE851977:QKE851983 QAI851977:QAI851983 PQM851977:PQM851983 PGQ851977:PGQ851983 OWU851977:OWU851983 OMY851977:OMY851983 ODC851977:ODC851983 NTG851977:NTG851983 NJK851977:NJK851983 MZO851977:MZO851983 MPS851977:MPS851983 MFW851977:MFW851983 LWA851977:LWA851983 LME851977:LME851983 LCI851977:LCI851983 KSM851977:KSM851983 KIQ851977:KIQ851983 JYU851977:JYU851983 JOY851977:JOY851983 JFC851977:JFC851983 IVG851977:IVG851983 ILK851977:ILK851983 IBO851977:IBO851983 HRS851977:HRS851983 HHW851977:HHW851983 GYA851977:GYA851983 GOE851977:GOE851983 GEI851977:GEI851983 FUM851977:FUM851983 FKQ851977:FKQ851983 FAU851977:FAU851983 EQY851977:EQY851983 EHC851977:EHC851983 DXG851977:DXG851983 DNK851977:DNK851983 DDO851977:DDO851983 CTS851977:CTS851983 CJW851977:CJW851983 CAA851977:CAA851983 BQE851977:BQE851983 BGI851977:BGI851983 AWM851977:AWM851983 AMQ851977:AMQ851983 ACU851977:ACU851983 SY851977:SY851983 JC851977:JC851983 G851977:G851983 WVO786441:WVO786447 WLS786441:WLS786447 WBW786441:WBW786447 VSA786441:VSA786447 VIE786441:VIE786447 UYI786441:UYI786447 UOM786441:UOM786447 UEQ786441:UEQ786447 TUU786441:TUU786447 TKY786441:TKY786447 TBC786441:TBC786447 SRG786441:SRG786447 SHK786441:SHK786447 RXO786441:RXO786447 RNS786441:RNS786447 RDW786441:RDW786447 QUA786441:QUA786447 QKE786441:QKE786447 QAI786441:QAI786447 PQM786441:PQM786447 PGQ786441:PGQ786447 OWU786441:OWU786447 OMY786441:OMY786447 ODC786441:ODC786447 NTG786441:NTG786447 NJK786441:NJK786447 MZO786441:MZO786447 MPS786441:MPS786447 MFW786441:MFW786447 LWA786441:LWA786447 LME786441:LME786447 LCI786441:LCI786447 KSM786441:KSM786447 KIQ786441:KIQ786447 JYU786441:JYU786447 JOY786441:JOY786447 JFC786441:JFC786447 IVG786441:IVG786447 ILK786441:ILK786447 IBO786441:IBO786447 HRS786441:HRS786447 HHW786441:HHW786447 GYA786441:GYA786447 GOE786441:GOE786447 GEI786441:GEI786447 FUM786441:FUM786447 FKQ786441:FKQ786447 FAU786441:FAU786447 EQY786441:EQY786447 EHC786441:EHC786447 DXG786441:DXG786447 DNK786441:DNK786447 DDO786441:DDO786447 CTS786441:CTS786447 CJW786441:CJW786447 CAA786441:CAA786447 BQE786441:BQE786447 BGI786441:BGI786447 AWM786441:AWM786447 AMQ786441:AMQ786447 ACU786441:ACU786447 SY786441:SY786447 JC786441:JC786447 G786441:G786447 WVO720905:WVO720911 WLS720905:WLS720911 WBW720905:WBW720911 VSA720905:VSA720911 VIE720905:VIE720911 UYI720905:UYI720911 UOM720905:UOM720911 UEQ720905:UEQ720911 TUU720905:TUU720911 TKY720905:TKY720911 TBC720905:TBC720911 SRG720905:SRG720911 SHK720905:SHK720911 RXO720905:RXO720911 RNS720905:RNS720911 RDW720905:RDW720911 QUA720905:QUA720911 QKE720905:QKE720911 QAI720905:QAI720911 PQM720905:PQM720911 PGQ720905:PGQ720911 OWU720905:OWU720911 OMY720905:OMY720911 ODC720905:ODC720911 NTG720905:NTG720911 NJK720905:NJK720911 MZO720905:MZO720911 MPS720905:MPS720911 MFW720905:MFW720911 LWA720905:LWA720911 LME720905:LME720911 LCI720905:LCI720911 KSM720905:KSM720911 KIQ720905:KIQ720911 JYU720905:JYU720911 JOY720905:JOY720911 JFC720905:JFC720911 IVG720905:IVG720911 ILK720905:ILK720911 IBO720905:IBO720911 HRS720905:HRS720911 HHW720905:HHW720911 GYA720905:GYA720911 GOE720905:GOE720911 GEI720905:GEI720911 FUM720905:FUM720911 FKQ720905:FKQ720911 FAU720905:FAU720911 EQY720905:EQY720911 EHC720905:EHC720911 DXG720905:DXG720911 DNK720905:DNK720911 DDO720905:DDO720911 CTS720905:CTS720911 CJW720905:CJW720911 CAA720905:CAA720911 BQE720905:BQE720911 BGI720905:BGI720911 AWM720905:AWM720911 AMQ720905:AMQ720911 ACU720905:ACU720911 SY720905:SY720911 JC720905:JC720911 G720905:G720911 WVO655369:WVO655375 WLS655369:WLS655375 WBW655369:WBW655375 VSA655369:VSA655375 VIE655369:VIE655375 UYI655369:UYI655375 UOM655369:UOM655375 UEQ655369:UEQ655375 TUU655369:TUU655375 TKY655369:TKY655375 TBC655369:TBC655375 SRG655369:SRG655375 SHK655369:SHK655375 RXO655369:RXO655375 RNS655369:RNS655375 RDW655369:RDW655375 QUA655369:QUA655375 QKE655369:QKE655375 QAI655369:QAI655375 PQM655369:PQM655375 PGQ655369:PGQ655375 OWU655369:OWU655375 OMY655369:OMY655375 ODC655369:ODC655375 NTG655369:NTG655375 NJK655369:NJK655375 MZO655369:MZO655375 MPS655369:MPS655375 MFW655369:MFW655375 LWA655369:LWA655375 LME655369:LME655375 LCI655369:LCI655375 KSM655369:KSM655375 KIQ655369:KIQ655375 JYU655369:JYU655375 JOY655369:JOY655375 JFC655369:JFC655375 IVG655369:IVG655375 ILK655369:ILK655375 IBO655369:IBO655375 HRS655369:HRS655375 HHW655369:HHW655375 GYA655369:GYA655375 GOE655369:GOE655375 GEI655369:GEI655375 FUM655369:FUM655375 FKQ655369:FKQ655375 FAU655369:FAU655375 EQY655369:EQY655375 EHC655369:EHC655375 DXG655369:DXG655375 DNK655369:DNK655375 DDO655369:DDO655375 CTS655369:CTS655375 CJW655369:CJW655375 CAA655369:CAA655375 BQE655369:BQE655375 BGI655369:BGI655375 AWM655369:AWM655375 AMQ655369:AMQ655375 ACU655369:ACU655375 SY655369:SY655375 JC655369:JC655375 G655369:G655375 WVO589833:WVO589839 WLS589833:WLS589839 WBW589833:WBW589839 VSA589833:VSA589839 VIE589833:VIE589839 UYI589833:UYI589839 UOM589833:UOM589839 UEQ589833:UEQ589839 TUU589833:TUU589839 TKY589833:TKY589839 TBC589833:TBC589839 SRG589833:SRG589839 SHK589833:SHK589839 RXO589833:RXO589839 RNS589833:RNS589839 RDW589833:RDW589839 QUA589833:QUA589839 QKE589833:QKE589839 QAI589833:QAI589839 PQM589833:PQM589839 PGQ589833:PGQ589839 OWU589833:OWU589839 OMY589833:OMY589839 ODC589833:ODC589839 NTG589833:NTG589839 NJK589833:NJK589839 MZO589833:MZO589839 MPS589833:MPS589839 MFW589833:MFW589839 LWA589833:LWA589839 LME589833:LME589839 LCI589833:LCI589839 KSM589833:KSM589839 KIQ589833:KIQ589839 JYU589833:JYU589839 JOY589833:JOY589839 JFC589833:JFC589839 IVG589833:IVG589839 ILK589833:ILK589839 IBO589833:IBO589839 HRS589833:HRS589839 HHW589833:HHW589839 GYA589833:GYA589839 GOE589833:GOE589839 GEI589833:GEI589839 FUM589833:FUM589839 FKQ589833:FKQ589839 FAU589833:FAU589839 EQY589833:EQY589839 EHC589833:EHC589839 DXG589833:DXG589839 DNK589833:DNK589839 DDO589833:DDO589839 CTS589833:CTS589839 CJW589833:CJW589839 CAA589833:CAA589839 BQE589833:BQE589839 BGI589833:BGI589839 AWM589833:AWM589839 AMQ589833:AMQ589839 ACU589833:ACU589839 SY589833:SY589839 JC589833:JC589839 G589833:G589839 WVO524297:WVO524303 WLS524297:WLS524303 WBW524297:WBW524303 VSA524297:VSA524303 VIE524297:VIE524303 UYI524297:UYI524303 UOM524297:UOM524303 UEQ524297:UEQ524303 TUU524297:TUU524303 TKY524297:TKY524303 TBC524297:TBC524303 SRG524297:SRG524303 SHK524297:SHK524303 RXO524297:RXO524303 RNS524297:RNS524303 RDW524297:RDW524303 QUA524297:QUA524303 QKE524297:QKE524303 QAI524297:QAI524303 PQM524297:PQM524303 PGQ524297:PGQ524303 OWU524297:OWU524303 OMY524297:OMY524303 ODC524297:ODC524303 NTG524297:NTG524303 NJK524297:NJK524303 MZO524297:MZO524303 MPS524297:MPS524303 MFW524297:MFW524303 LWA524297:LWA524303 LME524297:LME524303 LCI524297:LCI524303 KSM524297:KSM524303 KIQ524297:KIQ524303 JYU524297:JYU524303 JOY524297:JOY524303 JFC524297:JFC524303 IVG524297:IVG524303 ILK524297:ILK524303 IBO524297:IBO524303 HRS524297:HRS524303 HHW524297:HHW524303 GYA524297:GYA524303 GOE524297:GOE524303 GEI524297:GEI524303 FUM524297:FUM524303 FKQ524297:FKQ524303 FAU524297:FAU524303 EQY524297:EQY524303 EHC524297:EHC524303 DXG524297:DXG524303 DNK524297:DNK524303 DDO524297:DDO524303 CTS524297:CTS524303 CJW524297:CJW524303 CAA524297:CAA524303 BQE524297:BQE524303 BGI524297:BGI524303 AWM524297:AWM524303 AMQ524297:AMQ524303 ACU524297:ACU524303 SY524297:SY524303 JC524297:JC524303 G524297:G524303 WVO458761:WVO458767 WLS458761:WLS458767 WBW458761:WBW458767 VSA458761:VSA458767 VIE458761:VIE458767 UYI458761:UYI458767 UOM458761:UOM458767 UEQ458761:UEQ458767 TUU458761:TUU458767 TKY458761:TKY458767 TBC458761:TBC458767 SRG458761:SRG458767 SHK458761:SHK458767 RXO458761:RXO458767 RNS458761:RNS458767 RDW458761:RDW458767 QUA458761:QUA458767 QKE458761:QKE458767 QAI458761:QAI458767 PQM458761:PQM458767 PGQ458761:PGQ458767 OWU458761:OWU458767 OMY458761:OMY458767 ODC458761:ODC458767 NTG458761:NTG458767 NJK458761:NJK458767 MZO458761:MZO458767 MPS458761:MPS458767 MFW458761:MFW458767 LWA458761:LWA458767 LME458761:LME458767 LCI458761:LCI458767 KSM458761:KSM458767 KIQ458761:KIQ458767 JYU458761:JYU458767 JOY458761:JOY458767 JFC458761:JFC458767 IVG458761:IVG458767 ILK458761:ILK458767 IBO458761:IBO458767 HRS458761:HRS458767 HHW458761:HHW458767 GYA458761:GYA458767 GOE458761:GOE458767 GEI458761:GEI458767 FUM458761:FUM458767 FKQ458761:FKQ458767 FAU458761:FAU458767 EQY458761:EQY458767 EHC458761:EHC458767 DXG458761:DXG458767 DNK458761:DNK458767 DDO458761:DDO458767 CTS458761:CTS458767 CJW458761:CJW458767 CAA458761:CAA458767 BQE458761:BQE458767 BGI458761:BGI458767 AWM458761:AWM458767 AMQ458761:AMQ458767 ACU458761:ACU458767 SY458761:SY458767 JC458761:JC458767 G458761:G458767 WVO393225:WVO393231 WLS393225:WLS393231 WBW393225:WBW393231 VSA393225:VSA393231 VIE393225:VIE393231 UYI393225:UYI393231 UOM393225:UOM393231 UEQ393225:UEQ393231 TUU393225:TUU393231 TKY393225:TKY393231 TBC393225:TBC393231 SRG393225:SRG393231 SHK393225:SHK393231 RXO393225:RXO393231 RNS393225:RNS393231 RDW393225:RDW393231 QUA393225:QUA393231 QKE393225:QKE393231 QAI393225:QAI393231 PQM393225:PQM393231 PGQ393225:PGQ393231 OWU393225:OWU393231 OMY393225:OMY393231 ODC393225:ODC393231 NTG393225:NTG393231 NJK393225:NJK393231 MZO393225:MZO393231 MPS393225:MPS393231 MFW393225:MFW393231 LWA393225:LWA393231 LME393225:LME393231 LCI393225:LCI393231 KSM393225:KSM393231 KIQ393225:KIQ393231 JYU393225:JYU393231 JOY393225:JOY393231 JFC393225:JFC393231 IVG393225:IVG393231 ILK393225:ILK393231 IBO393225:IBO393231 HRS393225:HRS393231 HHW393225:HHW393231 GYA393225:GYA393231 GOE393225:GOE393231 GEI393225:GEI393231 FUM393225:FUM393231 FKQ393225:FKQ393231 FAU393225:FAU393231 EQY393225:EQY393231 EHC393225:EHC393231 DXG393225:DXG393231 DNK393225:DNK393231 DDO393225:DDO393231 CTS393225:CTS393231 CJW393225:CJW393231 CAA393225:CAA393231 BQE393225:BQE393231 BGI393225:BGI393231 AWM393225:AWM393231 AMQ393225:AMQ393231 ACU393225:ACU393231 SY393225:SY393231 JC393225:JC393231 G393225:G393231 WVO327689:WVO327695 WLS327689:WLS327695 WBW327689:WBW327695 VSA327689:VSA327695 VIE327689:VIE327695 UYI327689:UYI327695 UOM327689:UOM327695 UEQ327689:UEQ327695 TUU327689:TUU327695 TKY327689:TKY327695 TBC327689:TBC327695 SRG327689:SRG327695 SHK327689:SHK327695 RXO327689:RXO327695 RNS327689:RNS327695 RDW327689:RDW327695 QUA327689:QUA327695 QKE327689:QKE327695 QAI327689:QAI327695 PQM327689:PQM327695 PGQ327689:PGQ327695 OWU327689:OWU327695 OMY327689:OMY327695 ODC327689:ODC327695 NTG327689:NTG327695 NJK327689:NJK327695 MZO327689:MZO327695 MPS327689:MPS327695 MFW327689:MFW327695 LWA327689:LWA327695 LME327689:LME327695 LCI327689:LCI327695 KSM327689:KSM327695 KIQ327689:KIQ327695 JYU327689:JYU327695 JOY327689:JOY327695 JFC327689:JFC327695 IVG327689:IVG327695 ILK327689:ILK327695 IBO327689:IBO327695 HRS327689:HRS327695 HHW327689:HHW327695 GYA327689:GYA327695 GOE327689:GOE327695 GEI327689:GEI327695 FUM327689:FUM327695 FKQ327689:FKQ327695 FAU327689:FAU327695 EQY327689:EQY327695 EHC327689:EHC327695 DXG327689:DXG327695 DNK327689:DNK327695 DDO327689:DDO327695 CTS327689:CTS327695 CJW327689:CJW327695 CAA327689:CAA327695 BQE327689:BQE327695 BGI327689:BGI327695 AWM327689:AWM327695 AMQ327689:AMQ327695 ACU327689:ACU327695 SY327689:SY327695 JC327689:JC327695 G327689:G327695 WVO262153:WVO262159 WLS262153:WLS262159 WBW262153:WBW262159 VSA262153:VSA262159 VIE262153:VIE262159 UYI262153:UYI262159 UOM262153:UOM262159 UEQ262153:UEQ262159 TUU262153:TUU262159 TKY262153:TKY262159 TBC262153:TBC262159 SRG262153:SRG262159 SHK262153:SHK262159 RXO262153:RXO262159 RNS262153:RNS262159 RDW262153:RDW262159 QUA262153:QUA262159 QKE262153:QKE262159 QAI262153:QAI262159 PQM262153:PQM262159 PGQ262153:PGQ262159 OWU262153:OWU262159 OMY262153:OMY262159 ODC262153:ODC262159 NTG262153:NTG262159 NJK262153:NJK262159 MZO262153:MZO262159 MPS262153:MPS262159 MFW262153:MFW262159 LWA262153:LWA262159 LME262153:LME262159 LCI262153:LCI262159 KSM262153:KSM262159 KIQ262153:KIQ262159 JYU262153:JYU262159 JOY262153:JOY262159 JFC262153:JFC262159 IVG262153:IVG262159 ILK262153:ILK262159 IBO262153:IBO262159 HRS262153:HRS262159 HHW262153:HHW262159 GYA262153:GYA262159 GOE262153:GOE262159 GEI262153:GEI262159 FUM262153:FUM262159 FKQ262153:FKQ262159 FAU262153:FAU262159 EQY262153:EQY262159 EHC262153:EHC262159 DXG262153:DXG262159 DNK262153:DNK262159 DDO262153:DDO262159 CTS262153:CTS262159 CJW262153:CJW262159 CAA262153:CAA262159 BQE262153:BQE262159 BGI262153:BGI262159 AWM262153:AWM262159 AMQ262153:AMQ262159 ACU262153:ACU262159 SY262153:SY262159 JC262153:JC262159 G262153:G262159 WVO196617:WVO196623 WLS196617:WLS196623 WBW196617:WBW196623 VSA196617:VSA196623 VIE196617:VIE196623 UYI196617:UYI196623 UOM196617:UOM196623 UEQ196617:UEQ196623 TUU196617:TUU196623 TKY196617:TKY196623 TBC196617:TBC196623 SRG196617:SRG196623 SHK196617:SHK196623 RXO196617:RXO196623 RNS196617:RNS196623 RDW196617:RDW196623 QUA196617:QUA196623 QKE196617:QKE196623 QAI196617:QAI196623 PQM196617:PQM196623 PGQ196617:PGQ196623 OWU196617:OWU196623 OMY196617:OMY196623 ODC196617:ODC196623 NTG196617:NTG196623 NJK196617:NJK196623 MZO196617:MZO196623 MPS196617:MPS196623 MFW196617:MFW196623 LWA196617:LWA196623 LME196617:LME196623 LCI196617:LCI196623 KSM196617:KSM196623 KIQ196617:KIQ196623 JYU196617:JYU196623 JOY196617:JOY196623 JFC196617:JFC196623 IVG196617:IVG196623 ILK196617:ILK196623 IBO196617:IBO196623 HRS196617:HRS196623 HHW196617:HHW196623 GYA196617:GYA196623 GOE196617:GOE196623 GEI196617:GEI196623 FUM196617:FUM196623 FKQ196617:FKQ196623 FAU196617:FAU196623 EQY196617:EQY196623 EHC196617:EHC196623 DXG196617:DXG196623 DNK196617:DNK196623 DDO196617:DDO196623 CTS196617:CTS196623 CJW196617:CJW196623 CAA196617:CAA196623 BQE196617:BQE196623 BGI196617:BGI196623 AWM196617:AWM196623 AMQ196617:AMQ196623 ACU196617:ACU196623 SY196617:SY196623 JC196617:JC196623 G196617:G196623 WVO131081:WVO131087 WLS131081:WLS131087 WBW131081:WBW131087 VSA131081:VSA131087 VIE131081:VIE131087 UYI131081:UYI131087 UOM131081:UOM131087 UEQ131081:UEQ131087 TUU131081:TUU131087 TKY131081:TKY131087 TBC131081:TBC131087 SRG131081:SRG131087 SHK131081:SHK131087 RXO131081:RXO131087 RNS131081:RNS131087 RDW131081:RDW131087 QUA131081:QUA131087 QKE131081:QKE131087 QAI131081:QAI131087 PQM131081:PQM131087 PGQ131081:PGQ131087 OWU131081:OWU131087 OMY131081:OMY131087 ODC131081:ODC131087 NTG131081:NTG131087 NJK131081:NJK131087 MZO131081:MZO131087 MPS131081:MPS131087 MFW131081:MFW131087 LWA131081:LWA131087 LME131081:LME131087 LCI131081:LCI131087 KSM131081:KSM131087 KIQ131081:KIQ131087 JYU131081:JYU131087 JOY131081:JOY131087 JFC131081:JFC131087 IVG131081:IVG131087 ILK131081:ILK131087 IBO131081:IBO131087 HRS131081:HRS131087 HHW131081:HHW131087 GYA131081:GYA131087 GOE131081:GOE131087 GEI131081:GEI131087 FUM131081:FUM131087 FKQ131081:FKQ131087 FAU131081:FAU131087 EQY131081:EQY131087 EHC131081:EHC131087 DXG131081:DXG131087 DNK131081:DNK131087 DDO131081:DDO131087 CTS131081:CTS131087 CJW131081:CJW131087 CAA131081:CAA131087 BQE131081:BQE131087 BGI131081:BGI131087 AWM131081:AWM131087 AMQ131081:AMQ131087 ACU131081:ACU131087 SY131081:SY131087 JC131081:JC131087 G131081:G131087 WVO65545:WVO65551 WLS65545:WLS65551 WBW65545:WBW65551 VSA65545:VSA65551 VIE65545:VIE65551 UYI65545:UYI65551 UOM65545:UOM65551 UEQ65545:UEQ65551 TUU65545:TUU65551 TKY65545:TKY65551 TBC65545:TBC65551 SRG65545:SRG65551 SHK65545:SHK65551 RXO65545:RXO65551 RNS65545:RNS65551 RDW65545:RDW65551 QUA65545:QUA65551 QKE65545:QKE65551 QAI65545:QAI65551 PQM65545:PQM65551 PGQ65545:PGQ65551 OWU65545:OWU65551 OMY65545:OMY65551 ODC65545:ODC65551 NTG65545:NTG65551 NJK65545:NJK65551 MZO65545:MZO65551 MPS65545:MPS65551 MFW65545:MFW65551 LWA65545:LWA65551 LME65545:LME65551 LCI65545:LCI65551 KSM65545:KSM65551 KIQ65545:KIQ65551 JYU65545:JYU65551 JOY65545:JOY65551 JFC65545:JFC65551 IVG65545:IVG65551 ILK65545:ILK65551 IBO65545:IBO65551 HRS65545:HRS65551 HHW65545:HHW65551 GYA65545:GYA65551 GOE65545:GOE65551 GEI65545:GEI65551 FUM65545:FUM65551 FKQ65545:FKQ65551 FAU65545:FAU65551 EQY65545:EQY65551 EHC65545:EHC65551 DXG65545:DXG65551 DNK65545:DNK65551 DDO65545:DDO65551 CTS65545:CTS65551 CJW65545:CJW65551 CAA65545:CAA65551 BQE65545:BQE65551 BGI65545:BGI65551 AWM65545:AWM65551 AMQ65545:AMQ65551 ACU65545:ACU65551 SY65545:SY65551 JC65545:JC65551 WVO983049:WVO983055 WLS983049:WLS983055 VSA8:VSA12">
      <formula1>$AI$25:$AI$37</formula1>
    </dataValidation>
    <dataValidation type="list" allowBlank="1" showInputMessage="1" showErrorMessage="1" sqref="WVO13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formula1>$AI$17:$AI$29</formula1>
    </dataValidation>
  </dataValidations>
  <printOptions horizontalCentered="1"/>
  <pageMargins left="0.11811023622047245" right="0.19685039370078741" top="0.59055118110236227" bottom="0.59055118110236227" header="0.31496062992125984" footer="0.31496062992125984"/>
  <pageSetup scale="40" orientation="landscape" horizontalDpi="4294967293" r:id="rId1"/>
  <headerFooter>
    <oddFooter>&amp;C&amp;"Tahoma,Cursiva"&amp;K365F91Si usted ha accedido a este formato a través de un medio diferente al sitio http://www.unicordoba.edu.co/index.php/documentossigec/documentos-calidad asegúrese que ésta es la versión vigente</oddFooter>
  </headerFooter>
  <rowBreaks count="1" manualBreakCount="1">
    <brk id="21" max="31"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Q38"/>
  <sheetViews>
    <sheetView topLeftCell="F6" zoomScaleNormal="100" zoomScaleSheetLayoutView="100" zoomScalePageLayoutView="60" workbookViewId="0">
      <selection activeCell="AD8" sqref="AD8"/>
    </sheetView>
  </sheetViews>
  <sheetFormatPr baseColWidth="10" defaultRowHeight="12.75"/>
  <cols>
    <col min="1" max="1" width="10.28515625" style="2" customWidth="1"/>
    <col min="2" max="2" width="13.42578125" style="2" customWidth="1"/>
    <col min="3" max="3" width="4.28515625" style="2" customWidth="1"/>
    <col min="4" max="4" width="4" style="2" customWidth="1"/>
    <col min="5" max="5" width="19.28515625" style="2" customWidth="1"/>
    <col min="6" max="6" width="4.140625" style="2" customWidth="1"/>
    <col min="7" max="7" width="11.28515625" style="2" customWidth="1"/>
    <col min="8" max="8" width="16.140625" style="2" customWidth="1"/>
    <col min="9" max="9" width="11" style="2" customWidth="1"/>
    <col min="10" max="11" width="2.140625" style="2" customWidth="1"/>
    <col min="12" max="12" width="3.28515625" style="2" customWidth="1"/>
    <col min="13" max="13" width="0.28515625" style="2" hidden="1" customWidth="1"/>
    <col min="14" max="14" width="0.42578125" style="2" hidden="1" customWidth="1"/>
    <col min="15" max="15" width="2.85546875" style="2" customWidth="1"/>
    <col min="16" max="16" width="3.28515625" style="2" customWidth="1"/>
    <col min="17" max="17" width="1.42578125" style="2" customWidth="1"/>
    <col min="18" max="18" width="1.85546875" style="2" hidden="1" customWidth="1"/>
    <col min="19" max="19" width="6.85546875" style="2" customWidth="1"/>
    <col min="20" max="20" width="3" style="2" hidden="1" customWidth="1"/>
    <col min="21" max="22" width="6.28515625" style="2" customWidth="1"/>
    <col min="23" max="24" width="13.85546875" style="2" customWidth="1"/>
    <col min="25" max="25" width="10.85546875" style="2" customWidth="1"/>
    <col min="26" max="26" width="14.140625" style="2" customWidth="1"/>
    <col min="27" max="27" width="0.42578125" style="2" hidden="1" customWidth="1"/>
    <col min="28" max="28" width="13" style="2" customWidth="1"/>
    <col min="29" max="29" width="13.140625" style="2" customWidth="1"/>
    <col min="30" max="31" width="14" style="2" customWidth="1"/>
    <col min="32" max="32" width="11.42578125" style="2" customWidth="1"/>
    <col min="33" max="33" width="15.85546875" style="2" customWidth="1"/>
    <col min="34" max="34" width="29.42578125" style="2" customWidth="1"/>
    <col min="35" max="35" width="12" style="2" customWidth="1"/>
    <col min="36" max="37" width="0.28515625" style="2" customWidth="1"/>
    <col min="38" max="38" width="1.42578125" style="2" customWidth="1"/>
    <col min="39" max="39" width="1.28515625" style="2" hidden="1" customWidth="1"/>
    <col min="40" max="256" width="11.42578125" style="2"/>
    <col min="257" max="257" width="10.28515625" style="2" customWidth="1"/>
    <col min="258" max="258" width="13.42578125" style="2" customWidth="1"/>
    <col min="259" max="259" width="4.28515625" style="2" customWidth="1"/>
    <col min="260" max="260" width="4" style="2" customWidth="1"/>
    <col min="261" max="261" width="19.28515625" style="2" customWidth="1"/>
    <col min="262" max="262" width="4.140625" style="2" customWidth="1"/>
    <col min="263" max="263" width="11.28515625" style="2" customWidth="1"/>
    <col min="264" max="264" width="16.140625" style="2" customWidth="1"/>
    <col min="265" max="265" width="11" style="2" customWidth="1"/>
    <col min="266" max="267" width="2.140625" style="2" customWidth="1"/>
    <col min="268" max="268" width="3.28515625" style="2" customWidth="1"/>
    <col min="269" max="270" width="0" style="2" hidden="1" customWidth="1"/>
    <col min="271" max="271" width="2.85546875" style="2" customWidth="1"/>
    <col min="272" max="272" width="3.28515625" style="2" customWidth="1"/>
    <col min="273" max="273" width="1.42578125" style="2" customWidth="1"/>
    <col min="274" max="274" width="0" style="2" hidden="1" customWidth="1"/>
    <col min="275" max="275" width="6.85546875" style="2" customWidth="1"/>
    <col min="276" max="276" width="0" style="2" hidden="1" customWidth="1"/>
    <col min="277" max="278" width="6.28515625" style="2" customWidth="1"/>
    <col min="279" max="280" width="13.85546875" style="2" customWidth="1"/>
    <col min="281" max="281" width="10.85546875" style="2" customWidth="1"/>
    <col min="282" max="282" width="14.140625" style="2" customWidth="1"/>
    <col min="283" max="283" width="0" style="2" hidden="1" customWidth="1"/>
    <col min="284" max="284" width="13" style="2" customWidth="1"/>
    <col min="285" max="285" width="13.140625" style="2" customWidth="1"/>
    <col min="286" max="287" width="14" style="2" customWidth="1"/>
    <col min="288" max="288" width="11.42578125" style="2" customWidth="1"/>
    <col min="289" max="289" width="15.85546875" style="2" customWidth="1"/>
    <col min="290" max="290" width="23.7109375" style="2" customWidth="1"/>
    <col min="291" max="291" width="12" style="2" customWidth="1"/>
    <col min="292" max="293" width="0.28515625" style="2" customWidth="1"/>
    <col min="294" max="294" width="1.42578125" style="2" customWidth="1"/>
    <col min="295" max="295" width="0" style="2" hidden="1" customWidth="1"/>
    <col min="296" max="512" width="11.42578125" style="2"/>
    <col min="513" max="513" width="10.28515625" style="2" customWidth="1"/>
    <col min="514" max="514" width="13.42578125" style="2" customWidth="1"/>
    <col min="515" max="515" width="4.28515625" style="2" customWidth="1"/>
    <col min="516" max="516" width="4" style="2" customWidth="1"/>
    <col min="517" max="517" width="19.28515625" style="2" customWidth="1"/>
    <col min="518" max="518" width="4.140625" style="2" customWidth="1"/>
    <col min="519" max="519" width="11.28515625" style="2" customWidth="1"/>
    <col min="520" max="520" width="16.140625" style="2" customWidth="1"/>
    <col min="521" max="521" width="11" style="2" customWidth="1"/>
    <col min="522" max="523" width="2.140625" style="2" customWidth="1"/>
    <col min="524" max="524" width="3.28515625" style="2" customWidth="1"/>
    <col min="525" max="526" width="0" style="2" hidden="1" customWidth="1"/>
    <col min="527" max="527" width="2.85546875" style="2" customWidth="1"/>
    <col min="528" max="528" width="3.28515625" style="2" customWidth="1"/>
    <col min="529" max="529" width="1.42578125" style="2" customWidth="1"/>
    <col min="530" max="530" width="0" style="2" hidden="1" customWidth="1"/>
    <col min="531" max="531" width="6.85546875" style="2" customWidth="1"/>
    <col min="532" max="532" width="0" style="2" hidden="1" customWidth="1"/>
    <col min="533" max="534" width="6.28515625" style="2" customWidth="1"/>
    <col min="535" max="536" width="13.85546875" style="2" customWidth="1"/>
    <col min="537" max="537" width="10.85546875" style="2" customWidth="1"/>
    <col min="538" max="538" width="14.140625" style="2" customWidth="1"/>
    <col min="539" max="539" width="0" style="2" hidden="1" customWidth="1"/>
    <col min="540" max="540" width="13" style="2" customWidth="1"/>
    <col min="541" max="541" width="13.140625" style="2" customWidth="1"/>
    <col min="542" max="543" width="14" style="2" customWidth="1"/>
    <col min="544" max="544" width="11.42578125" style="2" customWidth="1"/>
    <col min="545" max="545" width="15.85546875" style="2" customWidth="1"/>
    <col min="546" max="546" width="23.7109375" style="2" customWidth="1"/>
    <col min="547" max="547" width="12" style="2" customWidth="1"/>
    <col min="548" max="549" width="0.28515625" style="2" customWidth="1"/>
    <col min="550" max="550" width="1.42578125" style="2" customWidth="1"/>
    <col min="551" max="551" width="0" style="2" hidden="1" customWidth="1"/>
    <col min="552" max="768" width="11.42578125" style="2"/>
    <col min="769" max="769" width="10.28515625" style="2" customWidth="1"/>
    <col min="770" max="770" width="13.42578125" style="2" customWidth="1"/>
    <col min="771" max="771" width="4.28515625" style="2" customWidth="1"/>
    <col min="772" max="772" width="4" style="2" customWidth="1"/>
    <col min="773" max="773" width="19.28515625" style="2" customWidth="1"/>
    <col min="774" max="774" width="4.140625" style="2" customWidth="1"/>
    <col min="775" max="775" width="11.28515625" style="2" customWidth="1"/>
    <col min="776" max="776" width="16.140625" style="2" customWidth="1"/>
    <col min="777" max="777" width="11" style="2" customWidth="1"/>
    <col min="778" max="779" width="2.140625" style="2" customWidth="1"/>
    <col min="780" max="780" width="3.28515625" style="2" customWidth="1"/>
    <col min="781" max="782" width="0" style="2" hidden="1" customWidth="1"/>
    <col min="783" max="783" width="2.85546875" style="2" customWidth="1"/>
    <col min="784" max="784" width="3.28515625" style="2" customWidth="1"/>
    <col min="785" max="785" width="1.42578125" style="2" customWidth="1"/>
    <col min="786" max="786" width="0" style="2" hidden="1" customWidth="1"/>
    <col min="787" max="787" width="6.85546875" style="2" customWidth="1"/>
    <col min="788" max="788" width="0" style="2" hidden="1" customWidth="1"/>
    <col min="789" max="790" width="6.28515625" style="2" customWidth="1"/>
    <col min="791" max="792" width="13.85546875" style="2" customWidth="1"/>
    <col min="793" max="793" width="10.85546875" style="2" customWidth="1"/>
    <col min="794" max="794" width="14.140625" style="2" customWidth="1"/>
    <col min="795" max="795" width="0" style="2" hidden="1" customWidth="1"/>
    <col min="796" max="796" width="13" style="2" customWidth="1"/>
    <col min="797" max="797" width="13.140625" style="2" customWidth="1"/>
    <col min="798" max="799" width="14" style="2" customWidth="1"/>
    <col min="800" max="800" width="11.42578125" style="2" customWidth="1"/>
    <col min="801" max="801" width="15.85546875" style="2" customWidth="1"/>
    <col min="802" max="802" width="23.7109375" style="2" customWidth="1"/>
    <col min="803" max="803" width="12" style="2" customWidth="1"/>
    <col min="804" max="805" width="0.28515625" style="2" customWidth="1"/>
    <col min="806" max="806" width="1.42578125" style="2" customWidth="1"/>
    <col min="807" max="807" width="0" style="2" hidden="1" customWidth="1"/>
    <col min="808" max="1024" width="11.42578125" style="2"/>
    <col min="1025" max="1025" width="10.28515625" style="2" customWidth="1"/>
    <col min="1026" max="1026" width="13.42578125" style="2" customWidth="1"/>
    <col min="1027" max="1027" width="4.28515625" style="2" customWidth="1"/>
    <col min="1028" max="1028" width="4" style="2" customWidth="1"/>
    <col min="1029" max="1029" width="19.28515625" style="2" customWidth="1"/>
    <col min="1030" max="1030" width="4.140625" style="2" customWidth="1"/>
    <col min="1031" max="1031" width="11.28515625" style="2" customWidth="1"/>
    <col min="1032" max="1032" width="16.140625" style="2" customWidth="1"/>
    <col min="1033" max="1033" width="11" style="2" customWidth="1"/>
    <col min="1034" max="1035" width="2.140625" style="2" customWidth="1"/>
    <col min="1036" max="1036" width="3.28515625" style="2" customWidth="1"/>
    <col min="1037" max="1038" width="0" style="2" hidden="1" customWidth="1"/>
    <col min="1039" max="1039" width="2.85546875" style="2" customWidth="1"/>
    <col min="1040" max="1040" width="3.28515625" style="2" customWidth="1"/>
    <col min="1041" max="1041" width="1.42578125" style="2" customWidth="1"/>
    <col min="1042" max="1042" width="0" style="2" hidden="1" customWidth="1"/>
    <col min="1043" max="1043" width="6.85546875" style="2" customWidth="1"/>
    <col min="1044" max="1044" width="0" style="2" hidden="1" customWidth="1"/>
    <col min="1045" max="1046" width="6.28515625" style="2" customWidth="1"/>
    <col min="1047" max="1048" width="13.85546875" style="2" customWidth="1"/>
    <col min="1049" max="1049" width="10.85546875" style="2" customWidth="1"/>
    <col min="1050" max="1050" width="14.140625" style="2" customWidth="1"/>
    <col min="1051" max="1051" width="0" style="2" hidden="1" customWidth="1"/>
    <col min="1052" max="1052" width="13" style="2" customWidth="1"/>
    <col min="1053" max="1053" width="13.140625" style="2" customWidth="1"/>
    <col min="1054" max="1055" width="14" style="2" customWidth="1"/>
    <col min="1056" max="1056" width="11.42578125" style="2" customWidth="1"/>
    <col min="1057" max="1057" width="15.85546875" style="2" customWidth="1"/>
    <col min="1058" max="1058" width="23.7109375" style="2" customWidth="1"/>
    <col min="1059" max="1059" width="12" style="2" customWidth="1"/>
    <col min="1060" max="1061" width="0.28515625" style="2" customWidth="1"/>
    <col min="1062" max="1062" width="1.42578125" style="2" customWidth="1"/>
    <col min="1063" max="1063" width="0" style="2" hidden="1" customWidth="1"/>
    <col min="1064" max="1280" width="11.42578125" style="2"/>
    <col min="1281" max="1281" width="10.28515625" style="2" customWidth="1"/>
    <col min="1282" max="1282" width="13.42578125" style="2" customWidth="1"/>
    <col min="1283" max="1283" width="4.28515625" style="2" customWidth="1"/>
    <col min="1284" max="1284" width="4" style="2" customWidth="1"/>
    <col min="1285" max="1285" width="19.28515625" style="2" customWidth="1"/>
    <col min="1286" max="1286" width="4.140625" style="2" customWidth="1"/>
    <col min="1287" max="1287" width="11.28515625" style="2" customWidth="1"/>
    <col min="1288" max="1288" width="16.140625" style="2" customWidth="1"/>
    <col min="1289" max="1289" width="11" style="2" customWidth="1"/>
    <col min="1290" max="1291" width="2.140625" style="2" customWidth="1"/>
    <col min="1292" max="1292" width="3.28515625" style="2" customWidth="1"/>
    <col min="1293" max="1294" width="0" style="2" hidden="1" customWidth="1"/>
    <col min="1295" max="1295" width="2.85546875" style="2" customWidth="1"/>
    <col min="1296" max="1296" width="3.28515625" style="2" customWidth="1"/>
    <col min="1297" max="1297" width="1.42578125" style="2" customWidth="1"/>
    <col min="1298" max="1298" width="0" style="2" hidden="1" customWidth="1"/>
    <col min="1299" max="1299" width="6.85546875" style="2" customWidth="1"/>
    <col min="1300" max="1300" width="0" style="2" hidden="1" customWidth="1"/>
    <col min="1301" max="1302" width="6.28515625" style="2" customWidth="1"/>
    <col min="1303" max="1304" width="13.85546875" style="2" customWidth="1"/>
    <col min="1305" max="1305" width="10.85546875" style="2" customWidth="1"/>
    <col min="1306" max="1306" width="14.140625" style="2" customWidth="1"/>
    <col min="1307" max="1307" width="0" style="2" hidden="1" customWidth="1"/>
    <col min="1308" max="1308" width="13" style="2" customWidth="1"/>
    <col min="1309" max="1309" width="13.140625" style="2" customWidth="1"/>
    <col min="1310" max="1311" width="14" style="2" customWidth="1"/>
    <col min="1312" max="1312" width="11.42578125" style="2" customWidth="1"/>
    <col min="1313" max="1313" width="15.85546875" style="2" customWidth="1"/>
    <col min="1314" max="1314" width="23.7109375" style="2" customWidth="1"/>
    <col min="1315" max="1315" width="12" style="2" customWidth="1"/>
    <col min="1316" max="1317" width="0.28515625" style="2" customWidth="1"/>
    <col min="1318" max="1318" width="1.42578125" style="2" customWidth="1"/>
    <col min="1319" max="1319" width="0" style="2" hidden="1" customWidth="1"/>
    <col min="1320" max="1536" width="11.42578125" style="2"/>
    <col min="1537" max="1537" width="10.28515625" style="2" customWidth="1"/>
    <col min="1538" max="1538" width="13.42578125" style="2" customWidth="1"/>
    <col min="1539" max="1539" width="4.28515625" style="2" customWidth="1"/>
    <col min="1540" max="1540" width="4" style="2" customWidth="1"/>
    <col min="1541" max="1541" width="19.28515625" style="2" customWidth="1"/>
    <col min="1542" max="1542" width="4.140625" style="2" customWidth="1"/>
    <col min="1543" max="1543" width="11.28515625" style="2" customWidth="1"/>
    <col min="1544" max="1544" width="16.140625" style="2" customWidth="1"/>
    <col min="1545" max="1545" width="11" style="2" customWidth="1"/>
    <col min="1546" max="1547" width="2.140625" style="2" customWidth="1"/>
    <col min="1548" max="1548" width="3.28515625" style="2" customWidth="1"/>
    <col min="1549" max="1550" width="0" style="2" hidden="1" customWidth="1"/>
    <col min="1551" max="1551" width="2.85546875" style="2" customWidth="1"/>
    <col min="1552" max="1552" width="3.28515625" style="2" customWidth="1"/>
    <col min="1553" max="1553" width="1.42578125" style="2" customWidth="1"/>
    <col min="1554" max="1554" width="0" style="2" hidden="1" customWidth="1"/>
    <col min="1555" max="1555" width="6.85546875" style="2" customWidth="1"/>
    <col min="1556" max="1556" width="0" style="2" hidden="1" customWidth="1"/>
    <col min="1557" max="1558" width="6.28515625" style="2" customWidth="1"/>
    <col min="1559" max="1560" width="13.85546875" style="2" customWidth="1"/>
    <col min="1561" max="1561" width="10.85546875" style="2" customWidth="1"/>
    <col min="1562" max="1562" width="14.140625" style="2" customWidth="1"/>
    <col min="1563" max="1563" width="0" style="2" hidden="1" customWidth="1"/>
    <col min="1564" max="1564" width="13" style="2" customWidth="1"/>
    <col min="1565" max="1565" width="13.140625" style="2" customWidth="1"/>
    <col min="1566" max="1567" width="14" style="2" customWidth="1"/>
    <col min="1568" max="1568" width="11.42578125" style="2" customWidth="1"/>
    <col min="1569" max="1569" width="15.85546875" style="2" customWidth="1"/>
    <col min="1570" max="1570" width="23.7109375" style="2" customWidth="1"/>
    <col min="1571" max="1571" width="12" style="2" customWidth="1"/>
    <col min="1572" max="1573" width="0.28515625" style="2" customWidth="1"/>
    <col min="1574" max="1574" width="1.42578125" style="2" customWidth="1"/>
    <col min="1575" max="1575" width="0" style="2" hidden="1" customWidth="1"/>
    <col min="1576" max="1792" width="11.42578125" style="2"/>
    <col min="1793" max="1793" width="10.28515625" style="2" customWidth="1"/>
    <col min="1794" max="1794" width="13.42578125" style="2" customWidth="1"/>
    <col min="1795" max="1795" width="4.28515625" style="2" customWidth="1"/>
    <col min="1796" max="1796" width="4" style="2" customWidth="1"/>
    <col min="1797" max="1797" width="19.28515625" style="2" customWidth="1"/>
    <col min="1798" max="1798" width="4.140625" style="2" customWidth="1"/>
    <col min="1799" max="1799" width="11.28515625" style="2" customWidth="1"/>
    <col min="1800" max="1800" width="16.140625" style="2" customWidth="1"/>
    <col min="1801" max="1801" width="11" style="2" customWidth="1"/>
    <col min="1802" max="1803" width="2.140625" style="2" customWidth="1"/>
    <col min="1804" max="1804" width="3.28515625" style="2" customWidth="1"/>
    <col min="1805" max="1806" width="0" style="2" hidden="1" customWidth="1"/>
    <col min="1807" max="1807" width="2.85546875" style="2" customWidth="1"/>
    <col min="1808" max="1808" width="3.28515625" style="2" customWidth="1"/>
    <col min="1809" max="1809" width="1.42578125" style="2" customWidth="1"/>
    <col min="1810" max="1810" width="0" style="2" hidden="1" customWidth="1"/>
    <col min="1811" max="1811" width="6.85546875" style="2" customWidth="1"/>
    <col min="1812" max="1812" width="0" style="2" hidden="1" customWidth="1"/>
    <col min="1813" max="1814" width="6.28515625" style="2" customWidth="1"/>
    <col min="1815" max="1816" width="13.85546875" style="2" customWidth="1"/>
    <col min="1817" max="1817" width="10.85546875" style="2" customWidth="1"/>
    <col min="1818" max="1818" width="14.140625" style="2" customWidth="1"/>
    <col min="1819" max="1819" width="0" style="2" hidden="1" customWidth="1"/>
    <col min="1820" max="1820" width="13" style="2" customWidth="1"/>
    <col min="1821" max="1821" width="13.140625" style="2" customWidth="1"/>
    <col min="1822" max="1823" width="14" style="2" customWidth="1"/>
    <col min="1824" max="1824" width="11.42578125" style="2" customWidth="1"/>
    <col min="1825" max="1825" width="15.85546875" style="2" customWidth="1"/>
    <col min="1826" max="1826" width="23.7109375" style="2" customWidth="1"/>
    <col min="1827" max="1827" width="12" style="2" customWidth="1"/>
    <col min="1828" max="1829" width="0.28515625" style="2" customWidth="1"/>
    <col min="1830" max="1830" width="1.42578125" style="2" customWidth="1"/>
    <col min="1831" max="1831" width="0" style="2" hidden="1" customWidth="1"/>
    <col min="1832" max="2048" width="11.42578125" style="2"/>
    <col min="2049" max="2049" width="10.28515625" style="2" customWidth="1"/>
    <col min="2050" max="2050" width="13.42578125" style="2" customWidth="1"/>
    <col min="2051" max="2051" width="4.28515625" style="2" customWidth="1"/>
    <col min="2052" max="2052" width="4" style="2" customWidth="1"/>
    <col min="2053" max="2053" width="19.28515625" style="2" customWidth="1"/>
    <col min="2054" max="2054" width="4.140625" style="2" customWidth="1"/>
    <col min="2055" max="2055" width="11.28515625" style="2" customWidth="1"/>
    <col min="2056" max="2056" width="16.140625" style="2" customWidth="1"/>
    <col min="2057" max="2057" width="11" style="2" customWidth="1"/>
    <col min="2058" max="2059" width="2.140625" style="2" customWidth="1"/>
    <col min="2060" max="2060" width="3.28515625" style="2" customWidth="1"/>
    <col min="2061" max="2062" width="0" style="2" hidden="1" customWidth="1"/>
    <col min="2063" max="2063" width="2.85546875" style="2" customWidth="1"/>
    <col min="2064" max="2064" width="3.28515625" style="2" customWidth="1"/>
    <col min="2065" max="2065" width="1.42578125" style="2" customWidth="1"/>
    <col min="2066" max="2066" width="0" style="2" hidden="1" customWidth="1"/>
    <col min="2067" max="2067" width="6.85546875" style="2" customWidth="1"/>
    <col min="2068" max="2068" width="0" style="2" hidden="1" customWidth="1"/>
    <col min="2069" max="2070" width="6.28515625" style="2" customWidth="1"/>
    <col min="2071" max="2072" width="13.85546875" style="2" customWidth="1"/>
    <col min="2073" max="2073" width="10.85546875" style="2" customWidth="1"/>
    <col min="2074" max="2074" width="14.140625" style="2" customWidth="1"/>
    <col min="2075" max="2075" width="0" style="2" hidden="1" customWidth="1"/>
    <col min="2076" max="2076" width="13" style="2" customWidth="1"/>
    <col min="2077" max="2077" width="13.140625" style="2" customWidth="1"/>
    <col min="2078" max="2079" width="14" style="2" customWidth="1"/>
    <col min="2080" max="2080" width="11.42578125" style="2" customWidth="1"/>
    <col min="2081" max="2081" width="15.85546875" style="2" customWidth="1"/>
    <col min="2082" max="2082" width="23.7109375" style="2" customWidth="1"/>
    <col min="2083" max="2083" width="12" style="2" customWidth="1"/>
    <col min="2084" max="2085" width="0.28515625" style="2" customWidth="1"/>
    <col min="2086" max="2086" width="1.42578125" style="2" customWidth="1"/>
    <col min="2087" max="2087" width="0" style="2" hidden="1" customWidth="1"/>
    <col min="2088" max="2304" width="11.42578125" style="2"/>
    <col min="2305" max="2305" width="10.28515625" style="2" customWidth="1"/>
    <col min="2306" max="2306" width="13.42578125" style="2" customWidth="1"/>
    <col min="2307" max="2307" width="4.28515625" style="2" customWidth="1"/>
    <col min="2308" max="2308" width="4" style="2" customWidth="1"/>
    <col min="2309" max="2309" width="19.28515625" style="2" customWidth="1"/>
    <col min="2310" max="2310" width="4.140625" style="2" customWidth="1"/>
    <col min="2311" max="2311" width="11.28515625" style="2" customWidth="1"/>
    <col min="2312" max="2312" width="16.140625" style="2" customWidth="1"/>
    <col min="2313" max="2313" width="11" style="2" customWidth="1"/>
    <col min="2314" max="2315" width="2.140625" style="2" customWidth="1"/>
    <col min="2316" max="2316" width="3.28515625" style="2" customWidth="1"/>
    <col min="2317" max="2318" width="0" style="2" hidden="1" customWidth="1"/>
    <col min="2319" max="2319" width="2.85546875" style="2" customWidth="1"/>
    <col min="2320" max="2320" width="3.28515625" style="2" customWidth="1"/>
    <col min="2321" max="2321" width="1.42578125" style="2" customWidth="1"/>
    <col min="2322" max="2322" width="0" style="2" hidden="1" customWidth="1"/>
    <col min="2323" max="2323" width="6.85546875" style="2" customWidth="1"/>
    <col min="2324" max="2324" width="0" style="2" hidden="1" customWidth="1"/>
    <col min="2325" max="2326" width="6.28515625" style="2" customWidth="1"/>
    <col min="2327" max="2328" width="13.85546875" style="2" customWidth="1"/>
    <col min="2329" max="2329" width="10.85546875" style="2" customWidth="1"/>
    <col min="2330" max="2330" width="14.140625" style="2" customWidth="1"/>
    <col min="2331" max="2331" width="0" style="2" hidden="1" customWidth="1"/>
    <col min="2332" max="2332" width="13" style="2" customWidth="1"/>
    <col min="2333" max="2333" width="13.140625" style="2" customWidth="1"/>
    <col min="2334" max="2335" width="14" style="2" customWidth="1"/>
    <col min="2336" max="2336" width="11.42578125" style="2" customWidth="1"/>
    <col min="2337" max="2337" width="15.85546875" style="2" customWidth="1"/>
    <col min="2338" max="2338" width="23.7109375" style="2" customWidth="1"/>
    <col min="2339" max="2339" width="12" style="2" customWidth="1"/>
    <col min="2340" max="2341" width="0.28515625" style="2" customWidth="1"/>
    <col min="2342" max="2342" width="1.42578125" style="2" customWidth="1"/>
    <col min="2343" max="2343" width="0" style="2" hidden="1" customWidth="1"/>
    <col min="2344" max="2560" width="11.42578125" style="2"/>
    <col min="2561" max="2561" width="10.28515625" style="2" customWidth="1"/>
    <col min="2562" max="2562" width="13.42578125" style="2" customWidth="1"/>
    <col min="2563" max="2563" width="4.28515625" style="2" customWidth="1"/>
    <col min="2564" max="2564" width="4" style="2" customWidth="1"/>
    <col min="2565" max="2565" width="19.28515625" style="2" customWidth="1"/>
    <col min="2566" max="2566" width="4.140625" style="2" customWidth="1"/>
    <col min="2567" max="2567" width="11.28515625" style="2" customWidth="1"/>
    <col min="2568" max="2568" width="16.140625" style="2" customWidth="1"/>
    <col min="2569" max="2569" width="11" style="2" customWidth="1"/>
    <col min="2570" max="2571" width="2.140625" style="2" customWidth="1"/>
    <col min="2572" max="2572" width="3.28515625" style="2" customWidth="1"/>
    <col min="2573" max="2574" width="0" style="2" hidden="1" customWidth="1"/>
    <col min="2575" max="2575" width="2.85546875" style="2" customWidth="1"/>
    <col min="2576" max="2576" width="3.28515625" style="2" customWidth="1"/>
    <col min="2577" max="2577" width="1.42578125" style="2" customWidth="1"/>
    <col min="2578" max="2578" width="0" style="2" hidden="1" customWidth="1"/>
    <col min="2579" max="2579" width="6.85546875" style="2" customWidth="1"/>
    <col min="2580" max="2580" width="0" style="2" hidden="1" customWidth="1"/>
    <col min="2581" max="2582" width="6.28515625" style="2" customWidth="1"/>
    <col min="2583" max="2584" width="13.85546875" style="2" customWidth="1"/>
    <col min="2585" max="2585" width="10.85546875" style="2" customWidth="1"/>
    <col min="2586" max="2586" width="14.140625" style="2" customWidth="1"/>
    <col min="2587" max="2587" width="0" style="2" hidden="1" customWidth="1"/>
    <col min="2588" max="2588" width="13" style="2" customWidth="1"/>
    <col min="2589" max="2589" width="13.140625" style="2" customWidth="1"/>
    <col min="2590" max="2591" width="14" style="2" customWidth="1"/>
    <col min="2592" max="2592" width="11.42578125" style="2" customWidth="1"/>
    <col min="2593" max="2593" width="15.85546875" style="2" customWidth="1"/>
    <col min="2594" max="2594" width="23.7109375" style="2" customWidth="1"/>
    <col min="2595" max="2595" width="12" style="2" customWidth="1"/>
    <col min="2596" max="2597" width="0.28515625" style="2" customWidth="1"/>
    <col min="2598" max="2598" width="1.42578125" style="2" customWidth="1"/>
    <col min="2599" max="2599" width="0" style="2" hidden="1" customWidth="1"/>
    <col min="2600" max="2816" width="11.42578125" style="2"/>
    <col min="2817" max="2817" width="10.28515625" style="2" customWidth="1"/>
    <col min="2818" max="2818" width="13.42578125" style="2" customWidth="1"/>
    <col min="2819" max="2819" width="4.28515625" style="2" customWidth="1"/>
    <col min="2820" max="2820" width="4" style="2" customWidth="1"/>
    <col min="2821" max="2821" width="19.28515625" style="2" customWidth="1"/>
    <col min="2822" max="2822" width="4.140625" style="2" customWidth="1"/>
    <col min="2823" max="2823" width="11.28515625" style="2" customWidth="1"/>
    <col min="2824" max="2824" width="16.140625" style="2" customWidth="1"/>
    <col min="2825" max="2825" width="11" style="2" customWidth="1"/>
    <col min="2826" max="2827" width="2.140625" style="2" customWidth="1"/>
    <col min="2828" max="2828" width="3.28515625" style="2" customWidth="1"/>
    <col min="2829" max="2830" width="0" style="2" hidden="1" customWidth="1"/>
    <col min="2831" max="2831" width="2.85546875" style="2" customWidth="1"/>
    <col min="2832" max="2832" width="3.28515625" style="2" customWidth="1"/>
    <col min="2833" max="2833" width="1.42578125" style="2" customWidth="1"/>
    <col min="2834" max="2834" width="0" style="2" hidden="1" customWidth="1"/>
    <col min="2835" max="2835" width="6.85546875" style="2" customWidth="1"/>
    <col min="2836" max="2836" width="0" style="2" hidden="1" customWidth="1"/>
    <col min="2837" max="2838" width="6.28515625" style="2" customWidth="1"/>
    <col min="2839" max="2840" width="13.85546875" style="2" customWidth="1"/>
    <col min="2841" max="2841" width="10.85546875" style="2" customWidth="1"/>
    <col min="2842" max="2842" width="14.140625" style="2" customWidth="1"/>
    <col min="2843" max="2843" width="0" style="2" hidden="1" customWidth="1"/>
    <col min="2844" max="2844" width="13" style="2" customWidth="1"/>
    <col min="2845" max="2845" width="13.140625" style="2" customWidth="1"/>
    <col min="2846" max="2847" width="14" style="2" customWidth="1"/>
    <col min="2848" max="2848" width="11.42578125" style="2" customWidth="1"/>
    <col min="2849" max="2849" width="15.85546875" style="2" customWidth="1"/>
    <col min="2850" max="2850" width="23.7109375" style="2" customWidth="1"/>
    <col min="2851" max="2851" width="12" style="2" customWidth="1"/>
    <col min="2852" max="2853" width="0.28515625" style="2" customWidth="1"/>
    <col min="2854" max="2854" width="1.42578125" style="2" customWidth="1"/>
    <col min="2855" max="2855" width="0" style="2" hidden="1" customWidth="1"/>
    <col min="2856" max="3072" width="11.42578125" style="2"/>
    <col min="3073" max="3073" width="10.28515625" style="2" customWidth="1"/>
    <col min="3074" max="3074" width="13.42578125" style="2" customWidth="1"/>
    <col min="3075" max="3075" width="4.28515625" style="2" customWidth="1"/>
    <col min="3076" max="3076" width="4" style="2" customWidth="1"/>
    <col min="3077" max="3077" width="19.28515625" style="2" customWidth="1"/>
    <col min="3078" max="3078" width="4.140625" style="2" customWidth="1"/>
    <col min="3079" max="3079" width="11.28515625" style="2" customWidth="1"/>
    <col min="3080" max="3080" width="16.140625" style="2" customWidth="1"/>
    <col min="3081" max="3081" width="11" style="2" customWidth="1"/>
    <col min="3082" max="3083" width="2.140625" style="2" customWidth="1"/>
    <col min="3084" max="3084" width="3.28515625" style="2" customWidth="1"/>
    <col min="3085" max="3086" width="0" style="2" hidden="1" customWidth="1"/>
    <col min="3087" max="3087" width="2.85546875" style="2" customWidth="1"/>
    <col min="3088" max="3088" width="3.28515625" style="2" customWidth="1"/>
    <col min="3089" max="3089" width="1.42578125" style="2" customWidth="1"/>
    <col min="3090" max="3090" width="0" style="2" hidden="1" customWidth="1"/>
    <col min="3091" max="3091" width="6.85546875" style="2" customWidth="1"/>
    <col min="3092" max="3092" width="0" style="2" hidden="1" customWidth="1"/>
    <col min="3093" max="3094" width="6.28515625" style="2" customWidth="1"/>
    <col min="3095" max="3096" width="13.85546875" style="2" customWidth="1"/>
    <col min="3097" max="3097" width="10.85546875" style="2" customWidth="1"/>
    <col min="3098" max="3098" width="14.140625" style="2" customWidth="1"/>
    <col min="3099" max="3099" width="0" style="2" hidden="1" customWidth="1"/>
    <col min="3100" max="3100" width="13" style="2" customWidth="1"/>
    <col min="3101" max="3101" width="13.140625" style="2" customWidth="1"/>
    <col min="3102" max="3103" width="14" style="2" customWidth="1"/>
    <col min="3104" max="3104" width="11.42578125" style="2" customWidth="1"/>
    <col min="3105" max="3105" width="15.85546875" style="2" customWidth="1"/>
    <col min="3106" max="3106" width="23.7109375" style="2" customWidth="1"/>
    <col min="3107" max="3107" width="12" style="2" customWidth="1"/>
    <col min="3108" max="3109" width="0.28515625" style="2" customWidth="1"/>
    <col min="3110" max="3110" width="1.42578125" style="2" customWidth="1"/>
    <col min="3111" max="3111" width="0" style="2" hidden="1" customWidth="1"/>
    <col min="3112" max="3328" width="11.42578125" style="2"/>
    <col min="3329" max="3329" width="10.28515625" style="2" customWidth="1"/>
    <col min="3330" max="3330" width="13.42578125" style="2" customWidth="1"/>
    <col min="3331" max="3331" width="4.28515625" style="2" customWidth="1"/>
    <col min="3332" max="3332" width="4" style="2" customWidth="1"/>
    <col min="3333" max="3333" width="19.28515625" style="2" customWidth="1"/>
    <col min="3334" max="3334" width="4.140625" style="2" customWidth="1"/>
    <col min="3335" max="3335" width="11.28515625" style="2" customWidth="1"/>
    <col min="3336" max="3336" width="16.140625" style="2" customWidth="1"/>
    <col min="3337" max="3337" width="11" style="2" customWidth="1"/>
    <col min="3338" max="3339" width="2.140625" style="2" customWidth="1"/>
    <col min="3340" max="3340" width="3.28515625" style="2" customWidth="1"/>
    <col min="3341" max="3342" width="0" style="2" hidden="1" customWidth="1"/>
    <col min="3343" max="3343" width="2.85546875" style="2" customWidth="1"/>
    <col min="3344" max="3344" width="3.28515625" style="2" customWidth="1"/>
    <col min="3345" max="3345" width="1.42578125" style="2" customWidth="1"/>
    <col min="3346" max="3346" width="0" style="2" hidden="1" customWidth="1"/>
    <col min="3347" max="3347" width="6.85546875" style="2" customWidth="1"/>
    <col min="3348" max="3348" width="0" style="2" hidden="1" customWidth="1"/>
    <col min="3349" max="3350" width="6.28515625" style="2" customWidth="1"/>
    <col min="3351" max="3352" width="13.85546875" style="2" customWidth="1"/>
    <col min="3353" max="3353" width="10.85546875" style="2" customWidth="1"/>
    <col min="3354" max="3354" width="14.140625" style="2" customWidth="1"/>
    <col min="3355" max="3355" width="0" style="2" hidden="1" customWidth="1"/>
    <col min="3356" max="3356" width="13" style="2" customWidth="1"/>
    <col min="3357" max="3357" width="13.140625" style="2" customWidth="1"/>
    <col min="3358" max="3359" width="14" style="2" customWidth="1"/>
    <col min="3360" max="3360" width="11.42578125" style="2" customWidth="1"/>
    <col min="3361" max="3361" width="15.85546875" style="2" customWidth="1"/>
    <col min="3362" max="3362" width="23.7109375" style="2" customWidth="1"/>
    <col min="3363" max="3363" width="12" style="2" customWidth="1"/>
    <col min="3364" max="3365" width="0.28515625" style="2" customWidth="1"/>
    <col min="3366" max="3366" width="1.42578125" style="2" customWidth="1"/>
    <col min="3367" max="3367" width="0" style="2" hidden="1" customWidth="1"/>
    <col min="3368" max="3584" width="11.42578125" style="2"/>
    <col min="3585" max="3585" width="10.28515625" style="2" customWidth="1"/>
    <col min="3586" max="3586" width="13.42578125" style="2" customWidth="1"/>
    <col min="3587" max="3587" width="4.28515625" style="2" customWidth="1"/>
    <col min="3588" max="3588" width="4" style="2" customWidth="1"/>
    <col min="3589" max="3589" width="19.28515625" style="2" customWidth="1"/>
    <col min="3590" max="3590" width="4.140625" style="2" customWidth="1"/>
    <col min="3591" max="3591" width="11.28515625" style="2" customWidth="1"/>
    <col min="3592" max="3592" width="16.140625" style="2" customWidth="1"/>
    <col min="3593" max="3593" width="11" style="2" customWidth="1"/>
    <col min="3594" max="3595" width="2.140625" style="2" customWidth="1"/>
    <col min="3596" max="3596" width="3.28515625" style="2" customWidth="1"/>
    <col min="3597" max="3598" width="0" style="2" hidden="1" customWidth="1"/>
    <col min="3599" max="3599" width="2.85546875" style="2" customWidth="1"/>
    <col min="3600" max="3600" width="3.28515625" style="2" customWidth="1"/>
    <col min="3601" max="3601" width="1.42578125" style="2" customWidth="1"/>
    <col min="3602" max="3602" width="0" style="2" hidden="1" customWidth="1"/>
    <col min="3603" max="3603" width="6.85546875" style="2" customWidth="1"/>
    <col min="3604" max="3604" width="0" style="2" hidden="1" customWidth="1"/>
    <col min="3605" max="3606" width="6.28515625" style="2" customWidth="1"/>
    <col min="3607" max="3608" width="13.85546875" style="2" customWidth="1"/>
    <col min="3609" max="3609" width="10.85546875" style="2" customWidth="1"/>
    <col min="3610" max="3610" width="14.140625" style="2" customWidth="1"/>
    <col min="3611" max="3611" width="0" style="2" hidden="1" customWidth="1"/>
    <col min="3612" max="3612" width="13" style="2" customWidth="1"/>
    <col min="3613" max="3613" width="13.140625" style="2" customWidth="1"/>
    <col min="3614" max="3615" width="14" style="2" customWidth="1"/>
    <col min="3616" max="3616" width="11.42578125" style="2" customWidth="1"/>
    <col min="3617" max="3617" width="15.85546875" style="2" customWidth="1"/>
    <col min="3618" max="3618" width="23.7109375" style="2" customWidth="1"/>
    <col min="3619" max="3619" width="12" style="2" customWidth="1"/>
    <col min="3620" max="3621" width="0.28515625" style="2" customWidth="1"/>
    <col min="3622" max="3622" width="1.42578125" style="2" customWidth="1"/>
    <col min="3623" max="3623" width="0" style="2" hidden="1" customWidth="1"/>
    <col min="3624" max="3840" width="11.42578125" style="2"/>
    <col min="3841" max="3841" width="10.28515625" style="2" customWidth="1"/>
    <col min="3842" max="3842" width="13.42578125" style="2" customWidth="1"/>
    <col min="3843" max="3843" width="4.28515625" style="2" customWidth="1"/>
    <col min="3844" max="3844" width="4" style="2" customWidth="1"/>
    <col min="3845" max="3845" width="19.28515625" style="2" customWidth="1"/>
    <col min="3846" max="3846" width="4.140625" style="2" customWidth="1"/>
    <col min="3847" max="3847" width="11.28515625" style="2" customWidth="1"/>
    <col min="3848" max="3848" width="16.140625" style="2" customWidth="1"/>
    <col min="3849" max="3849" width="11" style="2" customWidth="1"/>
    <col min="3850" max="3851" width="2.140625" style="2" customWidth="1"/>
    <col min="3852" max="3852" width="3.28515625" style="2" customWidth="1"/>
    <col min="3853" max="3854" width="0" style="2" hidden="1" customWidth="1"/>
    <col min="3855" max="3855" width="2.85546875" style="2" customWidth="1"/>
    <col min="3856" max="3856" width="3.28515625" style="2" customWidth="1"/>
    <col min="3857" max="3857" width="1.42578125" style="2" customWidth="1"/>
    <col min="3858" max="3858" width="0" style="2" hidden="1" customWidth="1"/>
    <col min="3859" max="3859" width="6.85546875" style="2" customWidth="1"/>
    <col min="3860" max="3860" width="0" style="2" hidden="1" customWidth="1"/>
    <col min="3861" max="3862" width="6.28515625" style="2" customWidth="1"/>
    <col min="3863" max="3864" width="13.85546875" style="2" customWidth="1"/>
    <col min="3865" max="3865" width="10.85546875" style="2" customWidth="1"/>
    <col min="3866" max="3866" width="14.140625" style="2" customWidth="1"/>
    <col min="3867" max="3867" width="0" style="2" hidden="1" customWidth="1"/>
    <col min="3868" max="3868" width="13" style="2" customWidth="1"/>
    <col min="3869" max="3869" width="13.140625" style="2" customWidth="1"/>
    <col min="3870" max="3871" width="14" style="2" customWidth="1"/>
    <col min="3872" max="3872" width="11.42578125" style="2" customWidth="1"/>
    <col min="3873" max="3873" width="15.85546875" style="2" customWidth="1"/>
    <col min="3874" max="3874" width="23.7109375" style="2" customWidth="1"/>
    <col min="3875" max="3875" width="12" style="2" customWidth="1"/>
    <col min="3876" max="3877" width="0.28515625" style="2" customWidth="1"/>
    <col min="3878" max="3878" width="1.42578125" style="2" customWidth="1"/>
    <col min="3879" max="3879" width="0" style="2" hidden="1" customWidth="1"/>
    <col min="3880" max="4096" width="11.42578125" style="2"/>
    <col min="4097" max="4097" width="10.28515625" style="2" customWidth="1"/>
    <col min="4098" max="4098" width="13.42578125" style="2" customWidth="1"/>
    <col min="4099" max="4099" width="4.28515625" style="2" customWidth="1"/>
    <col min="4100" max="4100" width="4" style="2" customWidth="1"/>
    <col min="4101" max="4101" width="19.28515625" style="2" customWidth="1"/>
    <col min="4102" max="4102" width="4.140625" style="2" customWidth="1"/>
    <col min="4103" max="4103" width="11.28515625" style="2" customWidth="1"/>
    <col min="4104" max="4104" width="16.140625" style="2" customWidth="1"/>
    <col min="4105" max="4105" width="11" style="2" customWidth="1"/>
    <col min="4106" max="4107" width="2.140625" style="2" customWidth="1"/>
    <col min="4108" max="4108" width="3.28515625" style="2" customWidth="1"/>
    <col min="4109" max="4110" width="0" style="2" hidden="1" customWidth="1"/>
    <col min="4111" max="4111" width="2.85546875" style="2" customWidth="1"/>
    <col min="4112" max="4112" width="3.28515625" style="2" customWidth="1"/>
    <col min="4113" max="4113" width="1.42578125" style="2" customWidth="1"/>
    <col min="4114" max="4114" width="0" style="2" hidden="1" customWidth="1"/>
    <col min="4115" max="4115" width="6.85546875" style="2" customWidth="1"/>
    <col min="4116" max="4116" width="0" style="2" hidden="1" customWidth="1"/>
    <col min="4117" max="4118" width="6.28515625" style="2" customWidth="1"/>
    <col min="4119" max="4120" width="13.85546875" style="2" customWidth="1"/>
    <col min="4121" max="4121" width="10.85546875" style="2" customWidth="1"/>
    <col min="4122" max="4122" width="14.140625" style="2" customWidth="1"/>
    <col min="4123" max="4123" width="0" style="2" hidden="1" customWidth="1"/>
    <col min="4124" max="4124" width="13" style="2" customWidth="1"/>
    <col min="4125" max="4125" width="13.140625" style="2" customWidth="1"/>
    <col min="4126" max="4127" width="14" style="2" customWidth="1"/>
    <col min="4128" max="4128" width="11.42578125" style="2" customWidth="1"/>
    <col min="4129" max="4129" width="15.85546875" style="2" customWidth="1"/>
    <col min="4130" max="4130" width="23.7109375" style="2" customWidth="1"/>
    <col min="4131" max="4131" width="12" style="2" customWidth="1"/>
    <col min="4132" max="4133" width="0.28515625" style="2" customWidth="1"/>
    <col min="4134" max="4134" width="1.42578125" style="2" customWidth="1"/>
    <col min="4135" max="4135" width="0" style="2" hidden="1" customWidth="1"/>
    <col min="4136" max="4352" width="11.42578125" style="2"/>
    <col min="4353" max="4353" width="10.28515625" style="2" customWidth="1"/>
    <col min="4354" max="4354" width="13.42578125" style="2" customWidth="1"/>
    <col min="4355" max="4355" width="4.28515625" style="2" customWidth="1"/>
    <col min="4356" max="4356" width="4" style="2" customWidth="1"/>
    <col min="4357" max="4357" width="19.28515625" style="2" customWidth="1"/>
    <col min="4358" max="4358" width="4.140625" style="2" customWidth="1"/>
    <col min="4359" max="4359" width="11.28515625" style="2" customWidth="1"/>
    <col min="4360" max="4360" width="16.140625" style="2" customWidth="1"/>
    <col min="4361" max="4361" width="11" style="2" customWidth="1"/>
    <col min="4362" max="4363" width="2.140625" style="2" customWidth="1"/>
    <col min="4364" max="4364" width="3.28515625" style="2" customWidth="1"/>
    <col min="4365" max="4366" width="0" style="2" hidden="1" customWidth="1"/>
    <col min="4367" max="4367" width="2.85546875" style="2" customWidth="1"/>
    <col min="4368" max="4368" width="3.28515625" style="2" customWidth="1"/>
    <col min="4369" max="4369" width="1.42578125" style="2" customWidth="1"/>
    <col min="4370" max="4370" width="0" style="2" hidden="1" customWidth="1"/>
    <col min="4371" max="4371" width="6.85546875" style="2" customWidth="1"/>
    <col min="4372" max="4372" width="0" style="2" hidden="1" customWidth="1"/>
    <col min="4373" max="4374" width="6.28515625" style="2" customWidth="1"/>
    <col min="4375" max="4376" width="13.85546875" style="2" customWidth="1"/>
    <col min="4377" max="4377" width="10.85546875" style="2" customWidth="1"/>
    <col min="4378" max="4378" width="14.140625" style="2" customWidth="1"/>
    <col min="4379" max="4379" width="0" style="2" hidden="1" customWidth="1"/>
    <col min="4380" max="4380" width="13" style="2" customWidth="1"/>
    <col min="4381" max="4381" width="13.140625" style="2" customWidth="1"/>
    <col min="4382" max="4383" width="14" style="2" customWidth="1"/>
    <col min="4384" max="4384" width="11.42578125" style="2" customWidth="1"/>
    <col min="4385" max="4385" width="15.85546875" style="2" customWidth="1"/>
    <col min="4386" max="4386" width="23.7109375" style="2" customWidth="1"/>
    <col min="4387" max="4387" width="12" style="2" customWidth="1"/>
    <col min="4388" max="4389" width="0.28515625" style="2" customWidth="1"/>
    <col min="4390" max="4390" width="1.42578125" style="2" customWidth="1"/>
    <col min="4391" max="4391" width="0" style="2" hidden="1" customWidth="1"/>
    <col min="4392" max="4608" width="11.42578125" style="2"/>
    <col min="4609" max="4609" width="10.28515625" style="2" customWidth="1"/>
    <col min="4610" max="4610" width="13.42578125" style="2" customWidth="1"/>
    <col min="4611" max="4611" width="4.28515625" style="2" customWidth="1"/>
    <col min="4612" max="4612" width="4" style="2" customWidth="1"/>
    <col min="4613" max="4613" width="19.28515625" style="2" customWidth="1"/>
    <col min="4614" max="4614" width="4.140625" style="2" customWidth="1"/>
    <col min="4615" max="4615" width="11.28515625" style="2" customWidth="1"/>
    <col min="4616" max="4616" width="16.140625" style="2" customWidth="1"/>
    <col min="4617" max="4617" width="11" style="2" customWidth="1"/>
    <col min="4618" max="4619" width="2.140625" style="2" customWidth="1"/>
    <col min="4620" max="4620" width="3.28515625" style="2" customWidth="1"/>
    <col min="4621" max="4622" width="0" style="2" hidden="1" customWidth="1"/>
    <col min="4623" max="4623" width="2.85546875" style="2" customWidth="1"/>
    <col min="4624" max="4624" width="3.28515625" style="2" customWidth="1"/>
    <col min="4625" max="4625" width="1.42578125" style="2" customWidth="1"/>
    <col min="4626" max="4626" width="0" style="2" hidden="1" customWidth="1"/>
    <col min="4627" max="4627" width="6.85546875" style="2" customWidth="1"/>
    <col min="4628" max="4628" width="0" style="2" hidden="1" customWidth="1"/>
    <col min="4629" max="4630" width="6.28515625" style="2" customWidth="1"/>
    <col min="4631" max="4632" width="13.85546875" style="2" customWidth="1"/>
    <col min="4633" max="4633" width="10.85546875" style="2" customWidth="1"/>
    <col min="4634" max="4634" width="14.140625" style="2" customWidth="1"/>
    <col min="4635" max="4635" width="0" style="2" hidden="1" customWidth="1"/>
    <col min="4636" max="4636" width="13" style="2" customWidth="1"/>
    <col min="4637" max="4637" width="13.140625" style="2" customWidth="1"/>
    <col min="4638" max="4639" width="14" style="2" customWidth="1"/>
    <col min="4640" max="4640" width="11.42578125" style="2" customWidth="1"/>
    <col min="4641" max="4641" width="15.85546875" style="2" customWidth="1"/>
    <col min="4642" max="4642" width="23.7109375" style="2" customWidth="1"/>
    <col min="4643" max="4643" width="12" style="2" customWidth="1"/>
    <col min="4644" max="4645" width="0.28515625" style="2" customWidth="1"/>
    <col min="4646" max="4646" width="1.42578125" style="2" customWidth="1"/>
    <col min="4647" max="4647" width="0" style="2" hidden="1" customWidth="1"/>
    <col min="4648" max="4864" width="11.42578125" style="2"/>
    <col min="4865" max="4865" width="10.28515625" style="2" customWidth="1"/>
    <col min="4866" max="4866" width="13.42578125" style="2" customWidth="1"/>
    <col min="4867" max="4867" width="4.28515625" style="2" customWidth="1"/>
    <col min="4868" max="4868" width="4" style="2" customWidth="1"/>
    <col min="4869" max="4869" width="19.28515625" style="2" customWidth="1"/>
    <col min="4870" max="4870" width="4.140625" style="2" customWidth="1"/>
    <col min="4871" max="4871" width="11.28515625" style="2" customWidth="1"/>
    <col min="4872" max="4872" width="16.140625" style="2" customWidth="1"/>
    <col min="4873" max="4873" width="11" style="2" customWidth="1"/>
    <col min="4874" max="4875" width="2.140625" style="2" customWidth="1"/>
    <col min="4876" max="4876" width="3.28515625" style="2" customWidth="1"/>
    <col min="4877" max="4878" width="0" style="2" hidden="1" customWidth="1"/>
    <col min="4879" max="4879" width="2.85546875" style="2" customWidth="1"/>
    <col min="4880" max="4880" width="3.28515625" style="2" customWidth="1"/>
    <col min="4881" max="4881" width="1.42578125" style="2" customWidth="1"/>
    <col min="4882" max="4882" width="0" style="2" hidden="1" customWidth="1"/>
    <col min="4883" max="4883" width="6.85546875" style="2" customWidth="1"/>
    <col min="4884" max="4884" width="0" style="2" hidden="1" customWidth="1"/>
    <col min="4885" max="4886" width="6.28515625" style="2" customWidth="1"/>
    <col min="4887" max="4888" width="13.85546875" style="2" customWidth="1"/>
    <col min="4889" max="4889" width="10.85546875" style="2" customWidth="1"/>
    <col min="4890" max="4890" width="14.140625" style="2" customWidth="1"/>
    <col min="4891" max="4891" width="0" style="2" hidden="1" customWidth="1"/>
    <col min="4892" max="4892" width="13" style="2" customWidth="1"/>
    <col min="4893" max="4893" width="13.140625" style="2" customWidth="1"/>
    <col min="4894" max="4895" width="14" style="2" customWidth="1"/>
    <col min="4896" max="4896" width="11.42578125" style="2" customWidth="1"/>
    <col min="4897" max="4897" width="15.85546875" style="2" customWidth="1"/>
    <col min="4898" max="4898" width="23.7109375" style="2" customWidth="1"/>
    <col min="4899" max="4899" width="12" style="2" customWidth="1"/>
    <col min="4900" max="4901" width="0.28515625" style="2" customWidth="1"/>
    <col min="4902" max="4902" width="1.42578125" style="2" customWidth="1"/>
    <col min="4903" max="4903" width="0" style="2" hidden="1" customWidth="1"/>
    <col min="4904" max="5120" width="11.42578125" style="2"/>
    <col min="5121" max="5121" width="10.28515625" style="2" customWidth="1"/>
    <col min="5122" max="5122" width="13.42578125" style="2" customWidth="1"/>
    <col min="5123" max="5123" width="4.28515625" style="2" customWidth="1"/>
    <col min="5124" max="5124" width="4" style="2" customWidth="1"/>
    <col min="5125" max="5125" width="19.28515625" style="2" customWidth="1"/>
    <col min="5126" max="5126" width="4.140625" style="2" customWidth="1"/>
    <col min="5127" max="5127" width="11.28515625" style="2" customWidth="1"/>
    <col min="5128" max="5128" width="16.140625" style="2" customWidth="1"/>
    <col min="5129" max="5129" width="11" style="2" customWidth="1"/>
    <col min="5130" max="5131" width="2.140625" style="2" customWidth="1"/>
    <col min="5132" max="5132" width="3.28515625" style="2" customWidth="1"/>
    <col min="5133" max="5134" width="0" style="2" hidden="1" customWidth="1"/>
    <col min="5135" max="5135" width="2.85546875" style="2" customWidth="1"/>
    <col min="5136" max="5136" width="3.28515625" style="2" customWidth="1"/>
    <col min="5137" max="5137" width="1.42578125" style="2" customWidth="1"/>
    <col min="5138" max="5138" width="0" style="2" hidden="1" customWidth="1"/>
    <col min="5139" max="5139" width="6.85546875" style="2" customWidth="1"/>
    <col min="5140" max="5140" width="0" style="2" hidden="1" customWidth="1"/>
    <col min="5141" max="5142" width="6.28515625" style="2" customWidth="1"/>
    <col min="5143" max="5144" width="13.85546875" style="2" customWidth="1"/>
    <col min="5145" max="5145" width="10.85546875" style="2" customWidth="1"/>
    <col min="5146" max="5146" width="14.140625" style="2" customWidth="1"/>
    <col min="5147" max="5147" width="0" style="2" hidden="1" customWidth="1"/>
    <col min="5148" max="5148" width="13" style="2" customWidth="1"/>
    <col min="5149" max="5149" width="13.140625" style="2" customWidth="1"/>
    <col min="5150" max="5151" width="14" style="2" customWidth="1"/>
    <col min="5152" max="5152" width="11.42578125" style="2" customWidth="1"/>
    <col min="5153" max="5153" width="15.85546875" style="2" customWidth="1"/>
    <col min="5154" max="5154" width="23.7109375" style="2" customWidth="1"/>
    <col min="5155" max="5155" width="12" style="2" customWidth="1"/>
    <col min="5156" max="5157" width="0.28515625" style="2" customWidth="1"/>
    <col min="5158" max="5158" width="1.42578125" style="2" customWidth="1"/>
    <col min="5159" max="5159" width="0" style="2" hidden="1" customWidth="1"/>
    <col min="5160" max="5376" width="11.42578125" style="2"/>
    <col min="5377" max="5377" width="10.28515625" style="2" customWidth="1"/>
    <col min="5378" max="5378" width="13.42578125" style="2" customWidth="1"/>
    <col min="5379" max="5379" width="4.28515625" style="2" customWidth="1"/>
    <col min="5380" max="5380" width="4" style="2" customWidth="1"/>
    <col min="5381" max="5381" width="19.28515625" style="2" customWidth="1"/>
    <col min="5382" max="5382" width="4.140625" style="2" customWidth="1"/>
    <col min="5383" max="5383" width="11.28515625" style="2" customWidth="1"/>
    <col min="5384" max="5384" width="16.140625" style="2" customWidth="1"/>
    <col min="5385" max="5385" width="11" style="2" customWidth="1"/>
    <col min="5386" max="5387" width="2.140625" style="2" customWidth="1"/>
    <col min="5388" max="5388" width="3.28515625" style="2" customWidth="1"/>
    <col min="5389" max="5390" width="0" style="2" hidden="1" customWidth="1"/>
    <col min="5391" max="5391" width="2.85546875" style="2" customWidth="1"/>
    <col min="5392" max="5392" width="3.28515625" style="2" customWidth="1"/>
    <col min="5393" max="5393" width="1.42578125" style="2" customWidth="1"/>
    <col min="5394" max="5394" width="0" style="2" hidden="1" customWidth="1"/>
    <col min="5395" max="5395" width="6.85546875" style="2" customWidth="1"/>
    <col min="5396" max="5396" width="0" style="2" hidden="1" customWidth="1"/>
    <col min="5397" max="5398" width="6.28515625" style="2" customWidth="1"/>
    <col min="5399" max="5400" width="13.85546875" style="2" customWidth="1"/>
    <col min="5401" max="5401" width="10.85546875" style="2" customWidth="1"/>
    <col min="5402" max="5402" width="14.140625" style="2" customWidth="1"/>
    <col min="5403" max="5403" width="0" style="2" hidden="1" customWidth="1"/>
    <col min="5404" max="5404" width="13" style="2" customWidth="1"/>
    <col min="5405" max="5405" width="13.140625" style="2" customWidth="1"/>
    <col min="5406" max="5407" width="14" style="2" customWidth="1"/>
    <col min="5408" max="5408" width="11.42578125" style="2" customWidth="1"/>
    <col min="5409" max="5409" width="15.85546875" style="2" customWidth="1"/>
    <col min="5410" max="5410" width="23.7109375" style="2" customWidth="1"/>
    <col min="5411" max="5411" width="12" style="2" customWidth="1"/>
    <col min="5412" max="5413" width="0.28515625" style="2" customWidth="1"/>
    <col min="5414" max="5414" width="1.42578125" style="2" customWidth="1"/>
    <col min="5415" max="5415" width="0" style="2" hidden="1" customWidth="1"/>
    <col min="5416" max="5632" width="11.42578125" style="2"/>
    <col min="5633" max="5633" width="10.28515625" style="2" customWidth="1"/>
    <col min="5634" max="5634" width="13.42578125" style="2" customWidth="1"/>
    <col min="5635" max="5635" width="4.28515625" style="2" customWidth="1"/>
    <col min="5636" max="5636" width="4" style="2" customWidth="1"/>
    <col min="5637" max="5637" width="19.28515625" style="2" customWidth="1"/>
    <col min="5638" max="5638" width="4.140625" style="2" customWidth="1"/>
    <col min="5639" max="5639" width="11.28515625" style="2" customWidth="1"/>
    <col min="5640" max="5640" width="16.140625" style="2" customWidth="1"/>
    <col min="5641" max="5641" width="11" style="2" customWidth="1"/>
    <col min="5642" max="5643" width="2.140625" style="2" customWidth="1"/>
    <col min="5644" max="5644" width="3.28515625" style="2" customWidth="1"/>
    <col min="5645" max="5646" width="0" style="2" hidden="1" customWidth="1"/>
    <col min="5647" max="5647" width="2.85546875" style="2" customWidth="1"/>
    <col min="5648" max="5648" width="3.28515625" style="2" customWidth="1"/>
    <col min="5649" max="5649" width="1.42578125" style="2" customWidth="1"/>
    <col min="5650" max="5650" width="0" style="2" hidden="1" customWidth="1"/>
    <col min="5651" max="5651" width="6.85546875" style="2" customWidth="1"/>
    <col min="5652" max="5652" width="0" style="2" hidden="1" customWidth="1"/>
    <col min="5653" max="5654" width="6.28515625" style="2" customWidth="1"/>
    <col min="5655" max="5656" width="13.85546875" style="2" customWidth="1"/>
    <col min="5657" max="5657" width="10.85546875" style="2" customWidth="1"/>
    <col min="5658" max="5658" width="14.140625" style="2" customWidth="1"/>
    <col min="5659" max="5659" width="0" style="2" hidden="1" customWidth="1"/>
    <col min="5660" max="5660" width="13" style="2" customWidth="1"/>
    <col min="5661" max="5661" width="13.140625" style="2" customWidth="1"/>
    <col min="5662" max="5663" width="14" style="2" customWidth="1"/>
    <col min="5664" max="5664" width="11.42578125" style="2" customWidth="1"/>
    <col min="5665" max="5665" width="15.85546875" style="2" customWidth="1"/>
    <col min="5666" max="5666" width="23.7109375" style="2" customWidth="1"/>
    <col min="5667" max="5667" width="12" style="2" customWidth="1"/>
    <col min="5668" max="5669" width="0.28515625" style="2" customWidth="1"/>
    <col min="5670" max="5670" width="1.42578125" style="2" customWidth="1"/>
    <col min="5671" max="5671" width="0" style="2" hidden="1" customWidth="1"/>
    <col min="5672" max="5888" width="11.42578125" style="2"/>
    <col min="5889" max="5889" width="10.28515625" style="2" customWidth="1"/>
    <col min="5890" max="5890" width="13.42578125" style="2" customWidth="1"/>
    <col min="5891" max="5891" width="4.28515625" style="2" customWidth="1"/>
    <col min="5892" max="5892" width="4" style="2" customWidth="1"/>
    <col min="5893" max="5893" width="19.28515625" style="2" customWidth="1"/>
    <col min="5894" max="5894" width="4.140625" style="2" customWidth="1"/>
    <col min="5895" max="5895" width="11.28515625" style="2" customWidth="1"/>
    <col min="5896" max="5896" width="16.140625" style="2" customWidth="1"/>
    <col min="5897" max="5897" width="11" style="2" customWidth="1"/>
    <col min="5898" max="5899" width="2.140625" style="2" customWidth="1"/>
    <col min="5900" max="5900" width="3.28515625" style="2" customWidth="1"/>
    <col min="5901" max="5902" width="0" style="2" hidden="1" customWidth="1"/>
    <col min="5903" max="5903" width="2.85546875" style="2" customWidth="1"/>
    <col min="5904" max="5904" width="3.28515625" style="2" customWidth="1"/>
    <col min="5905" max="5905" width="1.42578125" style="2" customWidth="1"/>
    <col min="5906" max="5906" width="0" style="2" hidden="1" customWidth="1"/>
    <col min="5907" max="5907" width="6.85546875" style="2" customWidth="1"/>
    <col min="5908" max="5908" width="0" style="2" hidden="1" customWidth="1"/>
    <col min="5909" max="5910" width="6.28515625" style="2" customWidth="1"/>
    <col min="5911" max="5912" width="13.85546875" style="2" customWidth="1"/>
    <col min="5913" max="5913" width="10.85546875" style="2" customWidth="1"/>
    <col min="5914" max="5914" width="14.140625" style="2" customWidth="1"/>
    <col min="5915" max="5915" width="0" style="2" hidden="1" customWidth="1"/>
    <col min="5916" max="5916" width="13" style="2" customWidth="1"/>
    <col min="5917" max="5917" width="13.140625" style="2" customWidth="1"/>
    <col min="5918" max="5919" width="14" style="2" customWidth="1"/>
    <col min="5920" max="5920" width="11.42578125" style="2" customWidth="1"/>
    <col min="5921" max="5921" width="15.85546875" style="2" customWidth="1"/>
    <col min="5922" max="5922" width="23.7109375" style="2" customWidth="1"/>
    <col min="5923" max="5923" width="12" style="2" customWidth="1"/>
    <col min="5924" max="5925" width="0.28515625" style="2" customWidth="1"/>
    <col min="5926" max="5926" width="1.42578125" style="2" customWidth="1"/>
    <col min="5927" max="5927" width="0" style="2" hidden="1" customWidth="1"/>
    <col min="5928" max="6144" width="11.42578125" style="2"/>
    <col min="6145" max="6145" width="10.28515625" style="2" customWidth="1"/>
    <col min="6146" max="6146" width="13.42578125" style="2" customWidth="1"/>
    <col min="6147" max="6147" width="4.28515625" style="2" customWidth="1"/>
    <col min="6148" max="6148" width="4" style="2" customWidth="1"/>
    <col min="6149" max="6149" width="19.28515625" style="2" customWidth="1"/>
    <col min="6150" max="6150" width="4.140625" style="2" customWidth="1"/>
    <col min="6151" max="6151" width="11.28515625" style="2" customWidth="1"/>
    <col min="6152" max="6152" width="16.140625" style="2" customWidth="1"/>
    <col min="6153" max="6153" width="11" style="2" customWidth="1"/>
    <col min="6154" max="6155" width="2.140625" style="2" customWidth="1"/>
    <col min="6156" max="6156" width="3.28515625" style="2" customWidth="1"/>
    <col min="6157" max="6158" width="0" style="2" hidden="1" customWidth="1"/>
    <col min="6159" max="6159" width="2.85546875" style="2" customWidth="1"/>
    <col min="6160" max="6160" width="3.28515625" style="2" customWidth="1"/>
    <col min="6161" max="6161" width="1.42578125" style="2" customWidth="1"/>
    <col min="6162" max="6162" width="0" style="2" hidden="1" customWidth="1"/>
    <col min="6163" max="6163" width="6.85546875" style="2" customWidth="1"/>
    <col min="6164" max="6164" width="0" style="2" hidden="1" customWidth="1"/>
    <col min="6165" max="6166" width="6.28515625" style="2" customWidth="1"/>
    <col min="6167" max="6168" width="13.85546875" style="2" customWidth="1"/>
    <col min="6169" max="6169" width="10.85546875" style="2" customWidth="1"/>
    <col min="6170" max="6170" width="14.140625" style="2" customWidth="1"/>
    <col min="6171" max="6171" width="0" style="2" hidden="1" customWidth="1"/>
    <col min="6172" max="6172" width="13" style="2" customWidth="1"/>
    <col min="6173" max="6173" width="13.140625" style="2" customWidth="1"/>
    <col min="6174" max="6175" width="14" style="2" customWidth="1"/>
    <col min="6176" max="6176" width="11.42578125" style="2" customWidth="1"/>
    <col min="6177" max="6177" width="15.85546875" style="2" customWidth="1"/>
    <col min="6178" max="6178" width="23.7109375" style="2" customWidth="1"/>
    <col min="6179" max="6179" width="12" style="2" customWidth="1"/>
    <col min="6180" max="6181" width="0.28515625" style="2" customWidth="1"/>
    <col min="6182" max="6182" width="1.42578125" style="2" customWidth="1"/>
    <col min="6183" max="6183" width="0" style="2" hidden="1" customWidth="1"/>
    <col min="6184" max="6400" width="11.42578125" style="2"/>
    <col min="6401" max="6401" width="10.28515625" style="2" customWidth="1"/>
    <col min="6402" max="6402" width="13.42578125" style="2" customWidth="1"/>
    <col min="6403" max="6403" width="4.28515625" style="2" customWidth="1"/>
    <col min="6404" max="6404" width="4" style="2" customWidth="1"/>
    <col min="6405" max="6405" width="19.28515625" style="2" customWidth="1"/>
    <col min="6406" max="6406" width="4.140625" style="2" customWidth="1"/>
    <col min="6407" max="6407" width="11.28515625" style="2" customWidth="1"/>
    <col min="6408" max="6408" width="16.140625" style="2" customWidth="1"/>
    <col min="6409" max="6409" width="11" style="2" customWidth="1"/>
    <col min="6410" max="6411" width="2.140625" style="2" customWidth="1"/>
    <col min="6412" max="6412" width="3.28515625" style="2" customWidth="1"/>
    <col min="6413" max="6414" width="0" style="2" hidden="1" customWidth="1"/>
    <col min="6415" max="6415" width="2.85546875" style="2" customWidth="1"/>
    <col min="6416" max="6416" width="3.28515625" style="2" customWidth="1"/>
    <col min="6417" max="6417" width="1.42578125" style="2" customWidth="1"/>
    <col min="6418" max="6418" width="0" style="2" hidden="1" customWidth="1"/>
    <col min="6419" max="6419" width="6.85546875" style="2" customWidth="1"/>
    <col min="6420" max="6420" width="0" style="2" hidden="1" customWidth="1"/>
    <col min="6421" max="6422" width="6.28515625" style="2" customWidth="1"/>
    <col min="6423" max="6424" width="13.85546875" style="2" customWidth="1"/>
    <col min="6425" max="6425" width="10.85546875" style="2" customWidth="1"/>
    <col min="6426" max="6426" width="14.140625" style="2" customWidth="1"/>
    <col min="6427" max="6427" width="0" style="2" hidden="1" customWidth="1"/>
    <col min="6428" max="6428" width="13" style="2" customWidth="1"/>
    <col min="6429" max="6429" width="13.140625" style="2" customWidth="1"/>
    <col min="6430" max="6431" width="14" style="2" customWidth="1"/>
    <col min="6432" max="6432" width="11.42578125" style="2" customWidth="1"/>
    <col min="6433" max="6433" width="15.85546875" style="2" customWidth="1"/>
    <col min="6434" max="6434" width="23.7109375" style="2" customWidth="1"/>
    <col min="6435" max="6435" width="12" style="2" customWidth="1"/>
    <col min="6436" max="6437" width="0.28515625" style="2" customWidth="1"/>
    <col min="6438" max="6438" width="1.42578125" style="2" customWidth="1"/>
    <col min="6439" max="6439" width="0" style="2" hidden="1" customWidth="1"/>
    <col min="6440" max="6656" width="11.42578125" style="2"/>
    <col min="6657" max="6657" width="10.28515625" style="2" customWidth="1"/>
    <col min="6658" max="6658" width="13.42578125" style="2" customWidth="1"/>
    <col min="6659" max="6659" width="4.28515625" style="2" customWidth="1"/>
    <col min="6660" max="6660" width="4" style="2" customWidth="1"/>
    <col min="6661" max="6661" width="19.28515625" style="2" customWidth="1"/>
    <col min="6662" max="6662" width="4.140625" style="2" customWidth="1"/>
    <col min="6663" max="6663" width="11.28515625" style="2" customWidth="1"/>
    <col min="6664" max="6664" width="16.140625" style="2" customWidth="1"/>
    <col min="6665" max="6665" width="11" style="2" customWidth="1"/>
    <col min="6666" max="6667" width="2.140625" style="2" customWidth="1"/>
    <col min="6668" max="6668" width="3.28515625" style="2" customWidth="1"/>
    <col min="6669" max="6670" width="0" style="2" hidden="1" customWidth="1"/>
    <col min="6671" max="6671" width="2.85546875" style="2" customWidth="1"/>
    <col min="6672" max="6672" width="3.28515625" style="2" customWidth="1"/>
    <col min="6673" max="6673" width="1.42578125" style="2" customWidth="1"/>
    <col min="6674" max="6674" width="0" style="2" hidden="1" customWidth="1"/>
    <col min="6675" max="6675" width="6.85546875" style="2" customWidth="1"/>
    <col min="6676" max="6676" width="0" style="2" hidden="1" customWidth="1"/>
    <col min="6677" max="6678" width="6.28515625" style="2" customWidth="1"/>
    <col min="6679" max="6680" width="13.85546875" style="2" customWidth="1"/>
    <col min="6681" max="6681" width="10.85546875" style="2" customWidth="1"/>
    <col min="6682" max="6682" width="14.140625" style="2" customWidth="1"/>
    <col min="6683" max="6683" width="0" style="2" hidden="1" customWidth="1"/>
    <col min="6684" max="6684" width="13" style="2" customWidth="1"/>
    <col min="6685" max="6685" width="13.140625" style="2" customWidth="1"/>
    <col min="6686" max="6687" width="14" style="2" customWidth="1"/>
    <col min="6688" max="6688" width="11.42578125" style="2" customWidth="1"/>
    <col min="6689" max="6689" width="15.85546875" style="2" customWidth="1"/>
    <col min="6690" max="6690" width="23.7109375" style="2" customWidth="1"/>
    <col min="6691" max="6691" width="12" style="2" customWidth="1"/>
    <col min="6692" max="6693" width="0.28515625" style="2" customWidth="1"/>
    <col min="6694" max="6694" width="1.42578125" style="2" customWidth="1"/>
    <col min="6695" max="6695" width="0" style="2" hidden="1" customWidth="1"/>
    <col min="6696" max="6912" width="11.42578125" style="2"/>
    <col min="6913" max="6913" width="10.28515625" style="2" customWidth="1"/>
    <col min="6914" max="6914" width="13.42578125" style="2" customWidth="1"/>
    <col min="6915" max="6915" width="4.28515625" style="2" customWidth="1"/>
    <col min="6916" max="6916" width="4" style="2" customWidth="1"/>
    <col min="6917" max="6917" width="19.28515625" style="2" customWidth="1"/>
    <col min="6918" max="6918" width="4.140625" style="2" customWidth="1"/>
    <col min="6919" max="6919" width="11.28515625" style="2" customWidth="1"/>
    <col min="6920" max="6920" width="16.140625" style="2" customWidth="1"/>
    <col min="6921" max="6921" width="11" style="2" customWidth="1"/>
    <col min="6922" max="6923" width="2.140625" style="2" customWidth="1"/>
    <col min="6924" max="6924" width="3.28515625" style="2" customWidth="1"/>
    <col min="6925" max="6926" width="0" style="2" hidden="1" customWidth="1"/>
    <col min="6927" max="6927" width="2.85546875" style="2" customWidth="1"/>
    <col min="6928" max="6928" width="3.28515625" style="2" customWidth="1"/>
    <col min="6929" max="6929" width="1.42578125" style="2" customWidth="1"/>
    <col min="6930" max="6930" width="0" style="2" hidden="1" customWidth="1"/>
    <col min="6931" max="6931" width="6.85546875" style="2" customWidth="1"/>
    <col min="6932" max="6932" width="0" style="2" hidden="1" customWidth="1"/>
    <col min="6933" max="6934" width="6.28515625" style="2" customWidth="1"/>
    <col min="6935" max="6936" width="13.85546875" style="2" customWidth="1"/>
    <col min="6937" max="6937" width="10.85546875" style="2" customWidth="1"/>
    <col min="6938" max="6938" width="14.140625" style="2" customWidth="1"/>
    <col min="6939" max="6939" width="0" style="2" hidden="1" customWidth="1"/>
    <col min="6940" max="6940" width="13" style="2" customWidth="1"/>
    <col min="6941" max="6941" width="13.140625" style="2" customWidth="1"/>
    <col min="6942" max="6943" width="14" style="2" customWidth="1"/>
    <col min="6944" max="6944" width="11.42578125" style="2" customWidth="1"/>
    <col min="6945" max="6945" width="15.85546875" style="2" customWidth="1"/>
    <col min="6946" max="6946" width="23.7109375" style="2" customWidth="1"/>
    <col min="6947" max="6947" width="12" style="2" customWidth="1"/>
    <col min="6948" max="6949" width="0.28515625" style="2" customWidth="1"/>
    <col min="6950" max="6950" width="1.42578125" style="2" customWidth="1"/>
    <col min="6951" max="6951" width="0" style="2" hidden="1" customWidth="1"/>
    <col min="6952" max="7168" width="11.42578125" style="2"/>
    <col min="7169" max="7169" width="10.28515625" style="2" customWidth="1"/>
    <col min="7170" max="7170" width="13.42578125" style="2" customWidth="1"/>
    <col min="7171" max="7171" width="4.28515625" style="2" customWidth="1"/>
    <col min="7172" max="7172" width="4" style="2" customWidth="1"/>
    <col min="7173" max="7173" width="19.28515625" style="2" customWidth="1"/>
    <col min="7174" max="7174" width="4.140625" style="2" customWidth="1"/>
    <col min="7175" max="7175" width="11.28515625" style="2" customWidth="1"/>
    <col min="7176" max="7176" width="16.140625" style="2" customWidth="1"/>
    <col min="7177" max="7177" width="11" style="2" customWidth="1"/>
    <col min="7178" max="7179" width="2.140625" style="2" customWidth="1"/>
    <col min="7180" max="7180" width="3.28515625" style="2" customWidth="1"/>
    <col min="7181" max="7182" width="0" style="2" hidden="1" customWidth="1"/>
    <col min="7183" max="7183" width="2.85546875" style="2" customWidth="1"/>
    <col min="7184" max="7184" width="3.28515625" style="2" customWidth="1"/>
    <col min="7185" max="7185" width="1.42578125" style="2" customWidth="1"/>
    <col min="7186" max="7186" width="0" style="2" hidden="1" customWidth="1"/>
    <col min="7187" max="7187" width="6.85546875" style="2" customWidth="1"/>
    <col min="7188" max="7188" width="0" style="2" hidden="1" customWidth="1"/>
    <col min="7189" max="7190" width="6.28515625" style="2" customWidth="1"/>
    <col min="7191" max="7192" width="13.85546875" style="2" customWidth="1"/>
    <col min="7193" max="7193" width="10.85546875" style="2" customWidth="1"/>
    <col min="7194" max="7194" width="14.140625" style="2" customWidth="1"/>
    <col min="7195" max="7195" width="0" style="2" hidden="1" customWidth="1"/>
    <col min="7196" max="7196" width="13" style="2" customWidth="1"/>
    <col min="7197" max="7197" width="13.140625" style="2" customWidth="1"/>
    <col min="7198" max="7199" width="14" style="2" customWidth="1"/>
    <col min="7200" max="7200" width="11.42578125" style="2" customWidth="1"/>
    <col min="7201" max="7201" width="15.85546875" style="2" customWidth="1"/>
    <col min="7202" max="7202" width="23.7109375" style="2" customWidth="1"/>
    <col min="7203" max="7203" width="12" style="2" customWidth="1"/>
    <col min="7204" max="7205" width="0.28515625" style="2" customWidth="1"/>
    <col min="7206" max="7206" width="1.42578125" style="2" customWidth="1"/>
    <col min="7207" max="7207" width="0" style="2" hidden="1" customWidth="1"/>
    <col min="7208" max="7424" width="11.42578125" style="2"/>
    <col min="7425" max="7425" width="10.28515625" style="2" customWidth="1"/>
    <col min="7426" max="7426" width="13.42578125" style="2" customWidth="1"/>
    <col min="7427" max="7427" width="4.28515625" style="2" customWidth="1"/>
    <col min="7428" max="7428" width="4" style="2" customWidth="1"/>
    <col min="7429" max="7429" width="19.28515625" style="2" customWidth="1"/>
    <col min="7430" max="7430" width="4.140625" style="2" customWidth="1"/>
    <col min="7431" max="7431" width="11.28515625" style="2" customWidth="1"/>
    <col min="7432" max="7432" width="16.140625" style="2" customWidth="1"/>
    <col min="7433" max="7433" width="11" style="2" customWidth="1"/>
    <col min="7434" max="7435" width="2.140625" style="2" customWidth="1"/>
    <col min="7436" max="7436" width="3.28515625" style="2" customWidth="1"/>
    <col min="7437" max="7438" width="0" style="2" hidden="1" customWidth="1"/>
    <col min="7439" max="7439" width="2.85546875" style="2" customWidth="1"/>
    <col min="7440" max="7440" width="3.28515625" style="2" customWidth="1"/>
    <col min="7441" max="7441" width="1.42578125" style="2" customWidth="1"/>
    <col min="7442" max="7442" width="0" style="2" hidden="1" customWidth="1"/>
    <col min="7443" max="7443" width="6.85546875" style="2" customWidth="1"/>
    <col min="7444" max="7444" width="0" style="2" hidden="1" customWidth="1"/>
    <col min="7445" max="7446" width="6.28515625" style="2" customWidth="1"/>
    <col min="7447" max="7448" width="13.85546875" style="2" customWidth="1"/>
    <col min="7449" max="7449" width="10.85546875" style="2" customWidth="1"/>
    <col min="7450" max="7450" width="14.140625" style="2" customWidth="1"/>
    <col min="7451" max="7451" width="0" style="2" hidden="1" customWidth="1"/>
    <col min="7452" max="7452" width="13" style="2" customWidth="1"/>
    <col min="7453" max="7453" width="13.140625" style="2" customWidth="1"/>
    <col min="7454" max="7455" width="14" style="2" customWidth="1"/>
    <col min="7456" max="7456" width="11.42578125" style="2" customWidth="1"/>
    <col min="7457" max="7457" width="15.85546875" style="2" customWidth="1"/>
    <col min="7458" max="7458" width="23.7109375" style="2" customWidth="1"/>
    <col min="7459" max="7459" width="12" style="2" customWidth="1"/>
    <col min="7460" max="7461" width="0.28515625" style="2" customWidth="1"/>
    <col min="7462" max="7462" width="1.42578125" style="2" customWidth="1"/>
    <col min="7463" max="7463" width="0" style="2" hidden="1" customWidth="1"/>
    <col min="7464" max="7680" width="11.42578125" style="2"/>
    <col min="7681" max="7681" width="10.28515625" style="2" customWidth="1"/>
    <col min="7682" max="7682" width="13.42578125" style="2" customWidth="1"/>
    <col min="7683" max="7683" width="4.28515625" style="2" customWidth="1"/>
    <col min="7684" max="7684" width="4" style="2" customWidth="1"/>
    <col min="7685" max="7685" width="19.28515625" style="2" customWidth="1"/>
    <col min="7686" max="7686" width="4.140625" style="2" customWidth="1"/>
    <col min="7687" max="7687" width="11.28515625" style="2" customWidth="1"/>
    <col min="7688" max="7688" width="16.140625" style="2" customWidth="1"/>
    <col min="7689" max="7689" width="11" style="2" customWidth="1"/>
    <col min="7690" max="7691" width="2.140625" style="2" customWidth="1"/>
    <col min="7692" max="7692" width="3.28515625" style="2" customWidth="1"/>
    <col min="7693" max="7694" width="0" style="2" hidden="1" customWidth="1"/>
    <col min="7695" max="7695" width="2.85546875" style="2" customWidth="1"/>
    <col min="7696" max="7696" width="3.28515625" style="2" customWidth="1"/>
    <col min="7697" max="7697" width="1.42578125" style="2" customWidth="1"/>
    <col min="7698" max="7698" width="0" style="2" hidden="1" customWidth="1"/>
    <col min="7699" max="7699" width="6.85546875" style="2" customWidth="1"/>
    <col min="7700" max="7700" width="0" style="2" hidden="1" customWidth="1"/>
    <col min="7701" max="7702" width="6.28515625" style="2" customWidth="1"/>
    <col min="7703" max="7704" width="13.85546875" style="2" customWidth="1"/>
    <col min="7705" max="7705" width="10.85546875" style="2" customWidth="1"/>
    <col min="7706" max="7706" width="14.140625" style="2" customWidth="1"/>
    <col min="7707" max="7707" width="0" style="2" hidden="1" customWidth="1"/>
    <col min="7708" max="7708" width="13" style="2" customWidth="1"/>
    <col min="7709" max="7709" width="13.140625" style="2" customWidth="1"/>
    <col min="7710" max="7711" width="14" style="2" customWidth="1"/>
    <col min="7712" max="7712" width="11.42578125" style="2" customWidth="1"/>
    <col min="7713" max="7713" width="15.85546875" style="2" customWidth="1"/>
    <col min="7714" max="7714" width="23.7109375" style="2" customWidth="1"/>
    <col min="7715" max="7715" width="12" style="2" customWidth="1"/>
    <col min="7716" max="7717" width="0.28515625" style="2" customWidth="1"/>
    <col min="7718" max="7718" width="1.42578125" style="2" customWidth="1"/>
    <col min="7719" max="7719" width="0" style="2" hidden="1" customWidth="1"/>
    <col min="7720" max="7936" width="11.42578125" style="2"/>
    <col min="7937" max="7937" width="10.28515625" style="2" customWidth="1"/>
    <col min="7938" max="7938" width="13.42578125" style="2" customWidth="1"/>
    <col min="7939" max="7939" width="4.28515625" style="2" customWidth="1"/>
    <col min="7940" max="7940" width="4" style="2" customWidth="1"/>
    <col min="7941" max="7941" width="19.28515625" style="2" customWidth="1"/>
    <col min="7942" max="7942" width="4.140625" style="2" customWidth="1"/>
    <col min="7943" max="7943" width="11.28515625" style="2" customWidth="1"/>
    <col min="7944" max="7944" width="16.140625" style="2" customWidth="1"/>
    <col min="7945" max="7945" width="11" style="2" customWidth="1"/>
    <col min="7946" max="7947" width="2.140625" style="2" customWidth="1"/>
    <col min="7948" max="7948" width="3.28515625" style="2" customWidth="1"/>
    <col min="7949" max="7950" width="0" style="2" hidden="1" customWidth="1"/>
    <col min="7951" max="7951" width="2.85546875" style="2" customWidth="1"/>
    <col min="7952" max="7952" width="3.28515625" style="2" customWidth="1"/>
    <col min="7953" max="7953" width="1.42578125" style="2" customWidth="1"/>
    <col min="7954" max="7954" width="0" style="2" hidden="1" customWidth="1"/>
    <col min="7955" max="7955" width="6.85546875" style="2" customWidth="1"/>
    <col min="7956" max="7956" width="0" style="2" hidden="1" customWidth="1"/>
    <col min="7957" max="7958" width="6.28515625" style="2" customWidth="1"/>
    <col min="7959" max="7960" width="13.85546875" style="2" customWidth="1"/>
    <col min="7961" max="7961" width="10.85546875" style="2" customWidth="1"/>
    <col min="7962" max="7962" width="14.140625" style="2" customWidth="1"/>
    <col min="7963" max="7963" width="0" style="2" hidden="1" customWidth="1"/>
    <col min="7964" max="7964" width="13" style="2" customWidth="1"/>
    <col min="7965" max="7965" width="13.140625" style="2" customWidth="1"/>
    <col min="7966" max="7967" width="14" style="2" customWidth="1"/>
    <col min="7968" max="7968" width="11.42578125" style="2" customWidth="1"/>
    <col min="7969" max="7969" width="15.85546875" style="2" customWidth="1"/>
    <col min="7970" max="7970" width="23.7109375" style="2" customWidth="1"/>
    <col min="7971" max="7971" width="12" style="2" customWidth="1"/>
    <col min="7972" max="7973" width="0.28515625" style="2" customWidth="1"/>
    <col min="7974" max="7974" width="1.42578125" style="2" customWidth="1"/>
    <col min="7975" max="7975" width="0" style="2" hidden="1" customWidth="1"/>
    <col min="7976" max="8192" width="11.42578125" style="2"/>
    <col min="8193" max="8193" width="10.28515625" style="2" customWidth="1"/>
    <col min="8194" max="8194" width="13.42578125" style="2" customWidth="1"/>
    <col min="8195" max="8195" width="4.28515625" style="2" customWidth="1"/>
    <col min="8196" max="8196" width="4" style="2" customWidth="1"/>
    <col min="8197" max="8197" width="19.28515625" style="2" customWidth="1"/>
    <col min="8198" max="8198" width="4.140625" style="2" customWidth="1"/>
    <col min="8199" max="8199" width="11.28515625" style="2" customWidth="1"/>
    <col min="8200" max="8200" width="16.140625" style="2" customWidth="1"/>
    <col min="8201" max="8201" width="11" style="2" customWidth="1"/>
    <col min="8202" max="8203" width="2.140625" style="2" customWidth="1"/>
    <col min="8204" max="8204" width="3.28515625" style="2" customWidth="1"/>
    <col min="8205" max="8206" width="0" style="2" hidden="1" customWidth="1"/>
    <col min="8207" max="8207" width="2.85546875" style="2" customWidth="1"/>
    <col min="8208" max="8208" width="3.28515625" style="2" customWidth="1"/>
    <col min="8209" max="8209" width="1.42578125" style="2" customWidth="1"/>
    <col min="8210" max="8210" width="0" style="2" hidden="1" customWidth="1"/>
    <col min="8211" max="8211" width="6.85546875" style="2" customWidth="1"/>
    <col min="8212" max="8212" width="0" style="2" hidden="1" customWidth="1"/>
    <col min="8213" max="8214" width="6.28515625" style="2" customWidth="1"/>
    <col min="8215" max="8216" width="13.85546875" style="2" customWidth="1"/>
    <col min="8217" max="8217" width="10.85546875" style="2" customWidth="1"/>
    <col min="8218" max="8218" width="14.140625" style="2" customWidth="1"/>
    <col min="8219" max="8219" width="0" style="2" hidden="1" customWidth="1"/>
    <col min="8220" max="8220" width="13" style="2" customWidth="1"/>
    <col min="8221" max="8221" width="13.140625" style="2" customWidth="1"/>
    <col min="8222" max="8223" width="14" style="2" customWidth="1"/>
    <col min="8224" max="8224" width="11.42578125" style="2" customWidth="1"/>
    <col min="8225" max="8225" width="15.85546875" style="2" customWidth="1"/>
    <col min="8226" max="8226" width="23.7109375" style="2" customWidth="1"/>
    <col min="8227" max="8227" width="12" style="2" customWidth="1"/>
    <col min="8228" max="8229" width="0.28515625" style="2" customWidth="1"/>
    <col min="8230" max="8230" width="1.42578125" style="2" customWidth="1"/>
    <col min="8231" max="8231" width="0" style="2" hidden="1" customWidth="1"/>
    <col min="8232" max="8448" width="11.42578125" style="2"/>
    <col min="8449" max="8449" width="10.28515625" style="2" customWidth="1"/>
    <col min="8450" max="8450" width="13.42578125" style="2" customWidth="1"/>
    <col min="8451" max="8451" width="4.28515625" style="2" customWidth="1"/>
    <col min="8452" max="8452" width="4" style="2" customWidth="1"/>
    <col min="8453" max="8453" width="19.28515625" style="2" customWidth="1"/>
    <col min="8454" max="8454" width="4.140625" style="2" customWidth="1"/>
    <col min="8455" max="8455" width="11.28515625" style="2" customWidth="1"/>
    <col min="8456" max="8456" width="16.140625" style="2" customWidth="1"/>
    <col min="8457" max="8457" width="11" style="2" customWidth="1"/>
    <col min="8458" max="8459" width="2.140625" style="2" customWidth="1"/>
    <col min="8460" max="8460" width="3.28515625" style="2" customWidth="1"/>
    <col min="8461" max="8462" width="0" style="2" hidden="1" customWidth="1"/>
    <col min="8463" max="8463" width="2.85546875" style="2" customWidth="1"/>
    <col min="8464" max="8464" width="3.28515625" style="2" customWidth="1"/>
    <col min="8465" max="8465" width="1.42578125" style="2" customWidth="1"/>
    <col min="8466" max="8466" width="0" style="2" hidden="1" customWidth="1"/>
    <col min="8467" max="8467" width="6.85546875" style="2" customWidth="1"/>
    <col min="8468" max="8468" width="0" style="2" hidden="1" customWidth="1"/>
    <col min="8469" max="8470" width="6.28515625" style="2" customWidth="1"/>
    <col min="8471" max="8472" width="13.85546875" style="2" customWidth="1"/>
    <col min="8473" max="8473" width="10.85546875" style="2" customWidth="1"/>
    <col min="8474" max="8474" width="14.140625" style="2" customWidth="1"/>
    <col min="8475" max="8475" width="0" style="2" hidden="1" customWidth="1"/>
    <col min="8476" max="8476" width="13" style="2" customWidth="1"/>
    <col min="8477" max="8477" width="13.140625" style="2" customWidth="1"/>
    <col min="8478" max="8479" width="14" style="2" customWidth="1"/>
    <col min="8480" max="8480" width="11.42578125" style="2" customWidth="1"/>
    <col min="8481" max="8481" width="15.85546875" style="2" customWidth="1"/>
    <col min="8482" max="8482" width="23.7109375" style="2" customWidth="1"/>
    <col min="8483" max="8483" width="12" style="2" customWidth="1"/>
    <col min="8484" max="8485" width="0.28515625" style="2" customWidth="1"/>
    <col min="8486" max="8486" width="1.42578125" style="2" customWidth="1"/>
    <col min="8487" max="8487" width="0" style="2" hidden="1" customWidth="1"/>
    <col min="8488" max="8704" width="11.42578125" style="2"/>
    <col min="8705" max="8705" width="10.28515625" style="2" customWidth="1"/>
    <col min="8706" max="8706" width="13.42578125" style="2" customWidth="1"/>
    <col min="8707" max="8707" width="4.28515625" style="2" customWidth="1"/>
    <col min="8708" max="8708" width="4" style="2" customWidth="1"/>
    <col min="8709" max="8709" width="19.28515625" style="2" customWidth="1"/>
    <col min="8710" max="8710" width="4.140625" style="2" customWidth="1"/>
    <col min="8711" max="8711" width="11.28515625" style="2" customWidth="1"/>
    <col min="8712" max="8712" width="16.140625" style="2" customWidth="1"/>
    <col min="8713" max="8713" width="11" style="2" customWidth="1"/>
    <col min="8714" max="8715" width="2.140625" style="2" customWidth="1"/>
    <col min="8716" max="8716" width="3.28515625" style="2" customWidth="1"/>
    <col min="8717" max="8718" width="0" style="2" hidden="1" customWidth="1"/>
    <col min="8719" max="8719" width="2.85546875" style="2" customWidth="1"/>
    <col min="8720" max="8720" width="3.28515625" style="2" customWidth="1"/>
    <col min="8721" max="8721" width="1.42578125" style="2" customWidth="1"/>
    <col min="8722" max="8722" width="0" style="2" hidden="1" customWidth="1"/>
    <col min="8723" max="8723" width="6.85546875" style="2" customWidth="1"/>
    <col min="8724" max="8724" width="0" style="2" hidden="1" customWidth="1"/>
    <col min="8725" max="8726" width="6.28515625" style="2" customWidth="1"/>
    <col min="8727" max="8728" width="13.85546875" style="2" customWidth="1"/>
    <col min="8729" max="8729" width="10.85546875" style="2" customWidth="1"/>
    <col min="8730" max="8730" width="14.140625" style="2" customWidth="1"/>
    <col min="8731" max="8731" width="0" style="2" hidden="1" customWidth="1"/>
    <col min="8732" max="8732" width="13" style="2" customWidth="1"/>
    <col min="8733" max="8733" width="13.140625" style="2" customWidth="1"/>
    <col min="8734" max="8735" width="14" style="2" customWidth="1"/>
    <col min="8736" max="8736" width="11.42578125" style="2" customWidth="1"/>
    <col min="8737" max="8737" width="15.85546875" style="2" customWidth="1"/>
    <col min="8738" max="8738" width="23.7109375" style="2" customWidth="1"/>
    <col min="8739" max="8739" width="12" style="2" customWidth="1"/>
    <col min="8740" max="8741" width="0.28515625" style="2" customWidth="1"/>
    <col min="8742" max="8742" width="1.42578125" style="2" customWidth="1"/>
    <col min="8743" max="8743" width="0" style="2" hidden="1" customWidth="1"/>
    <col min="8744" max="8960" width="11.42578125" style="2"/>
    <col min="8961" max="8961" width="10.28515625" style="2" customWidth="1"/>
    <col min="8962" max="8962" width="13.42578125" style="2" customWidth="1"/>
    <col min="8963" max="8963" width="4.28515625" style="2" customWidth="1"/>
    <col min="8964" max="8964" width="4" style="2" customWidth="1"/>
    <col min="8965" max="8965" width="19.28515625" style="2" customWidth="1"/>
    <col min="8966" max="8966" width="4.140625" style="2" customWidth="1"/>
    <col min="8967" max="8967" width="11.28515625" style="2" customWidth="1"/>
    <col min="8968" max="8968" width="16.140625" style="2" customWidth="1"/>
    <col min="8969" max="8969" width="11" style="2" customWidth="1"/>
    <col min="8970" max="8971" width="2.140625" style="2" customWidth="1"/>
    <col min="8972" max="8972" width="3.28515625" style="2" customWidth="1"/>
    <col min="8973" max="8974" width="0" style="2" hidden="1" customWidth="1"/>
    <col min="8975" max="8975" width="2.85546875" style="2" customWidth="1"/>
    <col min="8976" max="8976" width="3.28515625" style="2" customWidth="1"/>
    <col min="8977" max="8977" width="1.42578125" style="2" customWidth="1"/>
    <col min="8978" max="8978" width="0" style="2" hidden="1" customWidth="1"/>
    <col min="8979" max="8979" width="6.85546875" style="2" customWidth="1"/>
    <col min="8980" max="8980" width="0" style="2" hidden="1" customWidth="1"/>
    <col min="8981" max="8982" width="6.28515625" style="2" customWidth="1"/>
    <col min="8983" max="8984" width="13.85546875" style="2" customWidth="1"/>
    <col min="8985" max="8985" width="10.85546875" style="2" customWidth="1"/>
    <col min="8986" max="8986" width="14.140625" style="2" customWidth="1"/>
    <col min="8987" max="8987" width="0" style="2" hidden="1" customWidth="1"/>
    <col min="8988" max="8988" width="13" style="2" customWidth="1"/>
    <col min="8989" max="8989" width="13.140625" style="2" customWidth="1"/>
    <col min="8990" max="8991" width="14" style="2" customWidth="1"/>
    <col min="8992" max="8992" width="11.42578125" style="2" customWidth="1"/>
    <col min="8993" max="8993" width="15.85546875" style="2" customWidth="1"/>
    <col min="8994" max="8994" width="23.7109375" style="2" customWidth="1"/>
    <col min="8995" max="8995" width="12" style="2" customWidth="1"/>
    <col min="8996" max="8997" width="0.28515625" style="2" customWidth="1"/>
    <col min="8998" max="8998" width="1.42578125" style="2" customWidth="1"/>
    <col min="8999" max="8999" width="0" style="2" hidden="1" customWidth="1"/>
    <col min="9000" max="9216" width="11.42578125" style="2"/>
    <col min="9217" max="9217" width="10.28515625" style="2" customWidth="1"/>
    <col min="9218" max="9218" width="13.42578125" style="2" customWidth="1"/>
    <col min="9219" max="9219" width="4.28515625" style="2" customWidth="1"/>
    <col min="9220" max="9220" width="4" style="2" customWidth="1"/>
    <col min="9221" max="9221" width="19.28515625" style="2" customWidth="1"/>
    <col min="9222" max="9222" width="4.140625" style="2" customWidth="1"/>
    <col min="9223" max="9223" width="11.28515625" style="2" customWidth="1"/>
    <col min="9224" max="9224" width="16.140625" style="2" customWidth="1"/>
    <col min="9225" max="9225" width="11" style="2" customWidth="1"/>
    <col min="9226" max="9227" width="2.140625" style="2" customWidth="1"/>
    <col min="9228" max="9228" width="3.28515625" style="2" customWidth="1"/>
    <col min="9229" max="9230" width="0" style="2" hidden="1" customWidth="1"/>
    <col min="9231" max="9231" width="2.85546875" style="2" customWidth="1"/>
    <col min="9232" max="9232" width="3.28515625" style="2" customWidth="1"/>
    <col min="9233" max="9233" width="1.42578125" style="2" customWidth="1"/>
    <col min="9234" max="9234" width="0" style="2" hidden="1" customWidth="1"/>
    <col min="9235" max="9235" width="6.85546875" style="2" customWidth="1"/>
    <col min="9236" max="9236" width="0" style="2" hidden="1" customWidth="1"/>
    <col min="9237" max="9238" width="6.28515625" style="2" customWidth="1"/>
    <col min="9239" max="9240" width="13.85546875" style="2" customWidth="1"/>
    <col min="9241" max="9241" width="10.85546875" style="2" customWidth="1"/>
    <col min="9242" max="9242" width="14.140625" style="2" customWidth="1"/>
    <col min="9243" max="9243" width="0" style="2" hidden="1" customWidth="1"/>
    <col min="9244" max="9244" width="13" style="2" customWidth="1"/>
    <col min="9245" max="9245" width="13.140625" style="2" customWidth="1"/>
    <col min="9246" max="9247" width="14" style="2" customWidth="1"/>
    <col min="9248" max="9248" width="11.42578125" style="2" customWidth="1"/>
    <col min="9249" max="9249" width="15.85546875" style="2" customWidth="1"/>
    <col min="9250" max="9250" width="23.7109375" style="2" customWidth="1"/>
    <col min="9251" max="9251" width="12" style="2" customWidth="1"/>
    <col min="9252" max="9253" width="0.28515625" style="2" customWidth="1"/>
    <col min="9254" max="9254" width="1.42578125" style="2" customWidth="1"/>
    <col min="9255" max="9255" width="0" style="2" hidden="1" customWidth="1"/>
    <col min="9256" max="9472" width="11.42578125" style="2"/>
    <col min="9473" max="9473" width="10.28515625" style="2" customWidth="1"/>
    <col min="9474" max="9474" width="13.42578125" style="2" customWidth="1"/>
    <col min="9475" max="9475" width="4.28515625" style="2" customWidth="1"/>
    <col min="9476" max="9476" width="4" style="2" customWidth="1"/>
    <col min="9477" max="9477" width="19.28515625" style="2" customWidth="1"/>
    <col min="9478" max="9478" width="4.140625" style="2" customWidth="1"/>
    <col min="9479" max="9479" width="11.28515625" style="2" customWidth="1"/>
    <col min="9480" max="9480" width="16.140625" style="2" customWidth="1"/>
    <col min="9481" max="9481" width="11" style="2" customWidth="1"/>
    <col min="9482" max="9483" width="2.140625" style="2" customWidth="1"/>
    <col min="9484" max="9484" width="3.28515625" style="2" customWidth="1"/>
    <col min="9485" max="9486" width="0" style="2" hidden="1" customWidth="1"/>
    <col min="9487" max="9487" width="2.85546875" style="2" customWidth="1"/>
    <col min="9488" max="9488" width="3.28515625" style="2" customWidth="1"/>
    <col min="9489" max="9489" width="1.42578125" style="2" customWidth="1"/>
    <col min="9490" max="9490" width="0" style="2" hidden="1" customWidth="1"/>
    <col min="9491" max="9491" width="6.85546875" style="2" customWidth="1"/>
    <col min="9492" max="9492" width="0" style="2" hidden="1" customWidth="1"/>
    <col min="9493" max="9494" width="6.28515625" style="2" customWidth="1"/>
    <col min="9495" max="9496" width="13.85546875" style="2" customWidth="1"/>
    <col min="9497" max="9497" width="10.85546875" style="2" customWidth="1"/>
    <col min="9498" max="9498" width="14.140625" style="2" customWidth="1"/>
    <col min="9499" max="9499" width="0" style="2" hidden="1" customWidth="1"/>
    <col min="9500" max="9500" width="13" style="2" customWidth="1"/>
    <col min="9501" max="9501" width="13.140625" style="2" customWidth="1"/>
    <col min="9502" max="9503" width="14" style="2" customWidth="1"/>
    <col min="9504" max="9504" width="11.42578125" style="2" customWidth="1"/>
    <col min="9505" max="9505" width="15.85546875" style="2" customWidth="1"/>
    <col min="9506" max="9506" width="23.7109375" style="2" customWidth="1"/>
    <col min="9507" max="9507" width="12" style="2" customWidth="1"/>
    <col min="9508" max="9509" width="0.28515625" style="2" customWidth="1"/>
    <col min="9510" max="9510" width="1.42578125" style="2" customWidth="1"/>
    <col min="9511" max="9511" width="0" style="2" hidden="1" customWidth="1"/>
    <col min="9512" max="9728" width="11.42578125" style="2"/>
    <col min="9729" max="9729" width="10.28515625" style="2" customWidth="1"/>
    <col min="9730" max="9730" width="13.42578125" style="2" customWidth="1"/>
    <col min="9731" max="9731" width="4.28515625" style="2" customWidth="1"/>
    <col min="9732" max="9732" width="4" style="2" customWidth="1"/>
    <col min="9733" max="9733" width="19.28515625" style="2" customWidth="1"/>
    <col min="9734" max="9734" width="4.140625" style="2" customWidth="1"/>
    <col min="9735" max="9735" width="11.28515625" style="2" customWidth="1"/>
    <col min="9736" max="9736" width="16.140625" style="2" customWidth="1"/>
    <col min="9737" max="9737" width="11" style="2" customWidth="1"/>
    <col min="9738" max="9739" width="2.140625" style="2" customWidth="1"/>
    <col min="9740" max="9740" width="3.28515625" style="2" customWidth="1"/>
    <col min="9741" max="9742" width="0" style="2" hidden="1" customWidth="1"/>
    <col min="9743" max="9743" width="2.85546875" style="2" customWidth="1"/>
    <col min="9744" max="9744" width="3.28515625" style="2" customWidth="1"/>
    <col min="9745" max="9745" width="1.42578125" style="2" customWidth="1"/>
    <col min="9746" max="9746" width="0" style="2" hidden="1" customWidth="1"/>
    <col min="9747" max="9747" width="6.85546875" style="2" customWidth="1"/>
    <col min="9748" max="9748" width="0" style="2" hidden="1" customWidth="1"/>
    <col min="9749" max="9750" width="6.28515625" style="2" customWidth="1"/>
    <col min="9751" max="9752" width="13.85546875" style="2" customWidth="1"/>
    <col min="9753" max="9753" width="10.85546875" style="2" customWidth="1"/>
    <col min="9754" max="9754" width="14.140625" style="2" customWidth="1"/>
    <col min="9755" max="9755" width="0" style="2" hidden="1" customWidth="1"/>
    <col min="9756" max="9756" width="13" style="2" customWidth="1"/>
    <col min="9757" max="9757" width="13.140625" style="2" customWidth="1"/>
    <col min="9758" max="9759" width="14" style="2" customWidth="1"/>
    <col min="9760" max="9760" width="11.42578125" style="2" customWidth="1"/>
    <col min="9761" max="9761" width="15.85546875" style="2" customWidth="1"/>
    <col min="9762" max="9762" width="23.7109375" style="2" customWidth="1"/>
    <col min="9763" max="9763" width="12" style="2" customWidth="1"/>
    <col min="9764" max="9765" width="0.28515625" style="2" customWidth="1"/>
    <col min="9766" max="9766" width="1.42578125" style="2" customWidth="1"/>
    <col min="9767" max="9767" width="0" style="2" hidden="1" customWidth="1"/>
    <col min="9768" max="9984" width="11.42578125" style="2"/>
    <col min="9985" max="9985" width="10.28515625" style="2" customWidth="1"/>
    <col min="9986" max="9986" width="13.42578125" style="2" customWidth="1"/>
    <col min="9987" max="9987" width="4.28515625" style="2" customWidth="1"/>
    <col min="9988" max="9988" width="4" style="2" customWidth="1"/>
    <col min="9989" max="9989" width="19.28515625" style="2" customWidth="1"/>
    <col min="9990" max="9990" width="4.140625" style="2" customWidth="1"/>
    <col min="9991" max="9991" width="11.28515625" style="2" customWidth="1"/>
    <col min="9992" max="9992" width="16.140625" style="2" customWidth="1"/>
    <col min="9993" max="9993" width="11" style="2" customWidth="1"/>
    <col min="9994" max="9995" width="2.140625" style="2" customWidth="1"/>
    <col min="9996" max="9996" width="3.28515625" style="2" customWidth="1"/>
    <col min="9997" max="9998" width="0" style="2" hidden="1" customWidth="1"/>
    <col min="9999" max="9999" width="2.85546875" style="2" customWidth="1"/>
    <col min="10000" max="10000" width="3.28515625" style="2" customWidth="1"/>
    <col min="10001" max="10001" width="1.42578125" style="2" customWidth="1"/>
    <col min="10002" max="10002" width="0" style="2" hidden="1" customWidth="1"/>
    <col min="10003" max="10003" width="6.85546875" style="2" customWidth="1"/>
    <col min="10004" max="10004" width="0" style="2" hidden="1" customWidth="1"/>
    <col min="10005" max="10006" width="6.28515625" style="2" customWidth="1"/>
    <col min="10007" max="10008" width="13.85546875" style="2" customWidth="1"/>
    <col min="10009" max="10009" width="10.85546875" style="2" customWidth="1"/>
    <col min="10010" max="10010" width="14.140625" style="2" customWidth="1"/>
    <col min="10011" max="10011" width="0" style="2" hidden="1" customWidth="1"/>
    <col min="10012" max="10012" width="13" style="2" customWidth="1"/>
    <col min="10013" max="10013" width="13.140625" style="2" customWidth="1"/>
    <col min="10014" max="10015" width="14" style="2" customWidth="1"/>
    <col min="10016" max="10016" width="11.42578125" style="2" customWidth="1"/>
    <col min="10017" max="10017" width="15.85546875" style="2" customWidth="1"/>
    <col min="10018" max="10018" width="23.7109375" style="2" customWidth="1"/>
    <col min="10019" max="10019" width="12" style="2" customWidth="1"/>
    <col min="10020" max="10021" width="0.28515625" style="2" customWidth="1"/>
    <col min="10022" max="10022" width="1.42578125" style="2" customWidth="1"/>
    <col min="10023" max="10023" width="0" style="2" hidden="1" customWidth="1"/>
    <col min="10024" max="10240" width="11.42578125" style="2"/>
    <col min="10241" max="10241" width="10.28515625" style="2" customWidth="1"/>
    <col min="10242" max="10242" width="13.42578125" style="2" customWidth="1"/>
    <col min="10243" max="10243" width="4.28515625" style="2" customWidth="1"/>
    <col min="10244" max="10244" width="4" style="2" customWidth="1"/>
    <col min="10245" max="10245" width="19.28515625" style="2" customWidth="1"/>
    <col min="10246" max="10246" width="4.140625" style="2" customWidth="1"/>
    <col min="10247" max="10247" width="11.28515625" style="2" customWidth="1"/>
    <col min="10248" max="10248" width="16.140625" style="2" customWidth="1"/>
    <col min="10249" max="10249" width="11" style="2" customWidth="1"/>
    <col min="10250" max="10251" width="2.140625" style="2" customWidth="1"/>
    <col min="10252" max="10252" width="3.28515625" style="2" customWidth="1"/>
    <col min="10253" max="10254" width="0" style="2" hidden="1" customWidth="1"/>
    <col min="10255" max="10255" width="2.85546875" style="2" customWidth="1"/>
    <col min="10256" max="10256" width="3.28515625" style="2" customWidth="1"/>
    <col min="10257" max="10257" width="1.42578125" style="2" customWidth="1"/>
    <col min="10258" max="10258" width="0" style="2" hidden="1" customWidth="1"/>
    <col min="10259" max="10259" width="6.85546875" style="2" customWidth="1"/>
    <col min="10260" max="10260" width="0" style="2" hidden="1" customWidth="1"/>
    <col min="10261" max="10262" width="6.28515625" style="2" customWidth="1"/>
    <col min="10263" max="10264" width="13.85546875" style="2" customWidth="1"/>
    <col min="10265" max="10265" width="10.85546875" style="2" customWidth="1"/>
    <col min="10266" max="10266" width="14.140625" style="2" customWidth="1"/>
    <col min="10267" max="10267" width="0" style="2" hidden="1" customWidth="1"/>
    <col min="10268" max="10268" width="13" style="2" customWidth="1"/>
    <col min="10269" max="10269" width="13.140625" style="2" customWidth="1"/>
    <col min="10270" max="10271" width="14" style="2" customWidth="1"/>
    <col min="10272" max="10272" width="11.42578125" style="2" customWidth="1"/>
    <col min="10273" max="10273" width="15.85546875" style="2" customWidth="1"/>
    <col min="10274" max="10274" width="23.7109375" style="2" customWidth="1"/>
    <col min="10275" max="10275" width="12" style="2" customWidth="1"/>
    <col min="10276" max="10277" width="0.28515625" style="2" customWidth="1"/>
    <col min="10278" max="10278" width="1.42578125" style="2" customWidth="1"/>
    <col min="10279" max="10279" width="0" style="2" hidden="1" customWidth="1"/>
    <col min="10280" max="10496" width="11.42578125" style="2"/>
    <col min="10497" max="10497" width="10.28515625" style="2" customWidth="1"/>
    <col min="10498" max="10498" width="13.42578125" style="2" customWidth="1"/>
    <col min="10499" max="10499" width="4.28515625" style="2" customWidth="1"/>
    <col min="10500" max="10500" width="4" style="2" customWidth="1"/>
    <col min="10501" max="10501" width="19.28515625" style="2" customWidth="1"/>
    <col min="10502" max="10502" width="4.140625" style="2" customWidth="1"/>
    <col min="10503" max="10503" width="11.28515625" style="2" customWidth="1"/>
    <col min="10504" max="10504" width="16.140625" style="2" customWidth="1"/>
    <col min="10505" max="10505" width="11" style="2" customWidth="1"/>
    <col min="10506" max="10507" width="2.140625" style="2" customWidth="1"/>
    <col min="10508" max="10508" width="3.28515625" style="2" customWidth="1"/>
    <col min="10509" max="10510" width="0" style="2" hidden="1" customWidth="1"/>
    <col min="10511" max="10511" width="2.85546875" style="2" customWidth="1"/>
    <col min="10512" max="10512" width="3.28515625" style="2" customWidth="1"/>
    <col min="10513" max="10513" width="1.42578125" style="2" customWidth="1"/>
    <col min="10514" max="10514" width="0" style="2" hidden="1" customWidth="1"/>
    <col min="10515" max="10515" width="6.85546875" style="2" customWidth="1"/>
    <col min="10516" max="10516" width="0" style="2" hidden="1" customWidth="1"/>
    <col min="10517" max="10518" width="6.28515625" style="2" customWidth="1"/>
    <col min="10519" max="10520" width="13.85546875" style="2" customWidth="1"/>
    <col min="10521" max="10521" width="10.85546875" style="2" customWidth="1"/>
    <col min="10522" max="10522" width="14.140625" style="2" customWidth="1"/>
    <col min="10523" max="10523" width="0" style="2" hidden="1" customWidth="1"/>
    <col min="10524" max="10524" width="13" style="2" customWidth="1"/>
    <col min="10525" max="10525" width="13.140625" style="2" customWidth="1"/>
    <col min="10526" max="10527" width="14" style="2" customWidth="1"/>
    <col min="10528" max="10528" width="11.42578125" style="2" customWidth="1"/>
    <col min="10529" max="10529" width="15.85546875" style="2" customWidth="1"/>
    <col min="10530" max="10530" width="23.7109375" style="2" customWidth="1"/>
    <col min="10531" max="10531" width="12" style="2" customWidth="1"/>
    <col min="10532" max="10533" width="0.28515625" style="2" customWidth="1"/>
    <col min="10534" max="10534" width="1.42578125" style="2" customWidth="1"/>
    <col min="10535" max="10535" width="0" style="2" hidden="1" customWidth="1"/>
    <col min="10536" max="10752" width="11.42578125" style="2"/>
    <col min="10753" max="10753" width="10.28515625" style="2" customWidth="1"/>
    <col min="10754" max="10754" width="13.42578125" style="2" customWidth="1"/>
    <col min="10755" max="10755" width="4.28515625" style="2" customWidth="1"/>
    <col min="10756" max="10756" width="4" style="2" customWidth="1"/>
    <col min="10757" max="10757" width="19.28515625" style="2" customWidth="1"/>
    <col min="10758" max="10758" width="4.140625" style="2" customWidth="1"/>
    <col min="10759" max="10759" width="11.28515625" style="2" customWidth="1"/>
    <col min="10760" max="10760" width="16.140625" style="2" customWidth="1"/>
    <col min="10761" max="10761" width="11" style="2" customWidth="1"/>
    <col min="10762" max="10763" width="2.140625" style="2" customWidth="1"/>
    <col min="10764" max="10764" width="3.28515625" style="2" customWidth="1"/>
    <col min="10765" max="10766" width="0" style="2" hidden="1" customWidth="1"/>
    <col min="10767" max="10767" width="2.85546875" style="2" customWidth="1"/>
    <col min="10768" max="10768" width="3.28515625" style="2" customWidth="1"/>
    <col min="10769" max="10769" width="1.42578125" style="2" customWidth="1"/>
    <col min="10770" max="10770" width="0" style="2" hidden="1" customWidth="1"/>
    <col min="10771" max="10771" width="6.85546875" style="2" customWidth="1"/>
    <col min="10772" max="10772" width="0" style="2" hidden="1" customWidth="1"/>
    <col min="10773" max="10774" width="6.28515625" style="2" customWidth="1"/>
    <col min="10775" max="10776" width="13.85546875" style="2" customWidth="1"/>
    <col min="10777" max="10777" width="10.85546875" style="2" customWidth="1"/>
    <col min="10778" max="10778" width="14.140625" style="2" customWidth="1"/>
    <col min="10779" max="10779" width="0" style="2" hidden="1" customWidth="1"/>
    <col min="10780" max="10780" width="13" style="2" customWidth="1"/>
    <col min="10781" max="10781" width="13.140625" style="2" customWidth="1"/>
    <col min="10782" max="10783" width="14" style="2" customWidth="1"/>
    <col min="10784" max="10784" width="11.42578125" style="2" customWidth="1"/>
    <col min="10785" max="10785" width="15.85546875" style="2" customWidth="1"/>
    <col min="10786" max="10786" width="23.7109375" style="2" customWidth="1"/>
    <col min="10787" max="10787" width="12" style="2" customWidth="1"/>
    <col min="10788" max="10789" width="0.28515625" style="2" customWidth="1"/>
    <col min="10790" max="10790" width="1.42578125" style="2" customWidth="1"/>
    <col min="10791" max="10791" width="0" style="2" hidden="1" customWidth="1"/>
    <col min="10792" max="11008" width="11.42578125" style="2"/>
    <col min="11009" max="11009" width="10.28515625" style="2" customWidth="1"/>
    <col min="11010" max="11010" width="13.42578125" style="2" customWidth="1"/>
    <col min="11011" max="11011" width="4.28515625" style="2" customWidth="1"/>
    <col min="11012" max="11012" width="4" style="2" customWidth="1"/>
    <col min="11013" max="11013" width="19.28515625" style="2" customWidth="1"/>
    <col min="11014" max="11014" width="4.140625" style="2" customWidth="1"/>
    <col min="11015" max="11015" width="11.28515625" style="2" customWidth="1"/>
    <col min="11016" max="11016" width="16.140625" style="2" customWidth="1"/>
    <col min="11017" max="11017" width="11" style="2" customWidth="1"/>
    <col min="11018" max="11019" width="2.140625" style="2" customWidth="1"/>
    <col min="11020" max="11020" width="3.28515625" style="2" customWidth="1"/>
    <col min="11021" max="11022" width="0" style="2" hidden="1" customWidth="1"/>
    <col min="11023" max="11023" width="2.85546875" style="2" customWidth="1"/>
    <col min="11024" max="11024" width="3.28515625" style="2" customWidth="1"/>
    <col min="11025" max="11025" width="1.42578125" style="2" customWidth="1"/>
    <col min="11026" max="11026" width="0" style="2" hidden="1" customWidth="1"/>
    <col min="11027" max="11027" width="6.85546875" style="2" customWidth="1"/>
    <col min="11028" max="11028" width="0" style="2" hidden="1" customWidth="1"/>
    <col min="11029" max="11030" width="6.28515625" style="2" customWidth="1"/>
    <col min="11031" max="11032" width="13.85546875" style="2" customWidth="1"/>
    <col min="11033" max="11033" width="10.85546875" style="2" customWidth="1"/>
    <col min="11034" max="11034" width="14.140625" style="2" customWidth="1"/>
    <col min="11035" max="11035" width="0" style="2" hidden="1" customWidth="1"/>
    <col min="11036" max="11036" width="13" style="2" customWidth="1"/>
    <col min="11037" max="11037" width="13.140625" style="2" customWidth="1"/>
    <col min="11038" max="11039" width="14" style="2" customWidth="1"/>
    <col min="11040" max="11040" width="11.42578125" style="2" customWidth="1"/>
    <col min="11041" max="11041" width="15.85546875" style="2" customWidth="1"/>
    <col min="11042" max="11042" width="23.7109375" style="2" customWidth="1"/>
    <col min="11043" max="11043" width="12" style="2" customWidth="1"/>
    <col min="11044" max="11045" width="0.28515625" style="2" customWidth="1"/>
    <col min="11046" max="11046" width="1.42578125" style="2" customWidth="1"/>
    <col min="11047" max="11047" width="0" style="2" hidden="1" customWidth="1"/>
    <col min="11048" max="11264" width="11.42578125" style="2"/>
    <col min="11265" max="11265" width="10.28515625" style="2" customWidth="1"/>
    <col min="11266" max="11266" width="13.42578125" style="2" customWidth="1"/>
    <col min="11267" max="11267" width="4.28515625" style="2" customWidth="1"/>
    <col min="11268" max="11268" width="4" style="2" customWidth="1"/>
    <col min="11269" max="11269" width="19.28515625" style="2" customWidth="1"/>
    <col min="11270" max="11270" width="4.140625" style="2" customWidth="1"/>
    <col min="11271" max="11271" width="11.28515625" style="2" customWidth="1"/>
    <col min="11272" max="11272" width="16.140625" style="2" customWidth="1"/>
    <col min="11273" max="11273" width="11" style="2" customWidth="1"/>
    <col min="11274" max="11275" width="2.140625" style="2" customWidth="1"/>
    <col min="11276" max="11276" width="3.28515625" style="2" customWidth="1"/>
    <col min="11277" max="11278" width="0" style="2" hidden="1" customWidth="1"/>
    <col min="11279" max="11279" width="2.85546875" style="2" customWidth="1"/>
    <col min="11280" max="11280" width="3.28515625" style="2" customWidth="1"/>
    <col min="11281" max="11281" width="1.42578125" style="2" customWidth="1"/>
    <col min="11282" max="11282" width="0" style="2" hidden="1" customWidth="1"/>
    <col min="11283" max="11283" width="6.85546875" style="2" customWidth="1"/>
    <col min="11284" max="11284" width="0" style="2" hidden="1" customWidth="1"/>
    <col min="11285" max="11286" width="6.28515625" style="2" customWidth="1"/>
    <col min="11287" max="11288" width="13.85546875" style="2" customWidth="1"/>
    <col min="11289" max="11289" width="10.85546875" style="2" customWidth="1"/>
    <col min="11290" max="11290" width="14.140625" style="2" customWidth="1"/>
    <col min="11291" max="11291" width="0" style="2" hidden="1" customWidth="1"/>
    <col min="11292" max="11292" width="13" style="2" customWidth="1"/>
    <col min="11293" max="11293" width="13.140625" style="2" customWidth="1"/>
    <col min="11294" max="11295" width="14" style="2" customWidth="1"/>
    <col min="11296" max="11296" width="11.42578125" style="2" customWidth="1"/>
    <col min="11297" max="11297" width="15.85546875" style="2" customWidth="1"/>
    <col min="11298" max="11298" width="23.7109375" style="2" customWidth="1"/>
    <col min="11299" max="11299" width="12" style="2" customWidth="1"/>
    <col min="11300" max="11301" width="0.28515625" style="2" customWidth="1"/>
    <col min="11302" max="11302" width="1.42578125" style="2" customWidth="1"/>
    <col min="11303" max="11303" width="0" style="2" hidden="1" customWidth="1"/>
    <col min="11304" max="11520" width="11.42578125" style="2"/>
    <col min="11521" max="11521" width="10.28515625" style="2" customWidth="1"/>
    <col min="11522" max="11522" width="13.42578125" style="2" customWidth="1"/>
    <col min="11523" max="11523" width="4.28515625" style="2" customWidth="1"/>
    <col min="11524" max="11524" width="4" style="2" customWidth="1"/>
    <col min="11525" max="11525" width="19.28515625" style="2" customWidth="1"/>
    <col min="11526" max="11526" width="4.140625" style="2" customWidth="1"/>
    <col min="11527" max="11527" width="11.28515625" style="2" customWidth="1"/>
    <col min="11528" max="11528" width="16.140625" style="2" customWidth="1"/>
    <col min="11529" max="11529" width="11" style="2" customWidth="1"/>
    <col min="11530" max="11531" width="2.140625" style="2" customWidth="1"/>
    <col min="11532" max="11532" width="3.28515625" style="2" customWidth="1"/>
    <col min="11533" max="11534" width="0" style="2" hidden="1" customWidth="1"/>
    <col min="11535" max="11535" width="2.85546875" style="2" customWidth="1"/>
    <col min="11536" max="11536" width="3.28515625" style="2" customWidth="1"/>
    <col min="11537" max="11537" width="1.42578125" style="2" customWidth="1"/>
    <col min="11538" max="11538" width="0" style="2" hidden="1" customWidth="1"/>
    <col min="11539" max="11539" width="6.85546875" style="2" customWidth="1"/>
    <col min="11540" max="11540" width="0" style="2" hidden="1" customWidth="1"/>
    <col min="11541" max="11542" width="6.28515625" style="2" customWidth="1"/>
    <col min="11543" max="11544" width="13.85546875" style="2" customWidth="1"/>
    <col min="11545" max="11545" width="10.85546875" style="2" customWidth="1"/>
    <col min="11546" max="11546" width="14.140625" style="2" customWidth="1"/>
    <col min="11547" max="11547" width="0" style="2" hidden="1" customWidth="1"/>
    <col min="11548" max="11548" width="13" style="2" customWidth="1"/>
    <col min="11549" max="11549" width="13.140625" style="2" customWidth="1"/>
    <col min="11550" max="11551" width="14" style="2" customWidth="1"/>
    <col min="11552" max="11552" width="11.42578125" style="2" customWidth="1"/>
    <col min="11553" max="11553" width="15.85546875" style="2" customWidth="1"/>
    <col min="11554" max="11554" width="23.7109375" style="2" customWidth="1"/>
    <col min="11555" max="11555" width="12" style="2" customWidth="1"/>
    <col min="11556" max="11557" width="0.28515625" style="2" customWidth="1"/>
    <col min="11558" max="11558" width="1.42578125" style="2" customWidth="1"/>
    <col min="11559" max="11559" width="0" style="2" hidden="1" customWidth="1"/>
    <col min="11560" max="11776" width="11.42578125" style="2"/>
    <col min="11777" max="11777" width="10.28515625" style="2" customWidth="1"/>
    <col min="11778" max="11778" width="13.42578125" style="2" customWidth="1"/>
    <col min="11779" max="11779" width="4.28515625" style="2" customWidth="1"/>
    <col min="11780" max="11780" width="4" style="2" customWidth="1"/>
    <col min="11781" max="11781" width="19.28515625" style="2" customWidth="1"/>
    <col min="11782" max="11782" width="4.140625" style="2" customWidth="1"/>
    <col min="11783" max="11783" width="11.28515625" style="2" customWidth="1"/>
    <col min="11784" max="11784" width="16.140625" style="2" customWidth="1"/>
    <col min="11785" max="11785" width="11" style="2" customWidth="1"/>
    <col min="11786" max="11787" width="2.140625" style="2" customWidth="1"/>
    <col min="11788" max="11788" width="3.28515625" style="2" customWidth="1"/>
    <col min="11789" max="11790" width="0" style="2" hidden="1" customWidth="1"/>
    <col min="11791" max="11791" width="2.85546875" style="2" customWidth="1"/>
    <col min="11792" max="11792" width="3.28515625" style="2" customWidth="1"/>
    <col min="11793" max="11793" width="1.42578125" style="2" customWidth="1"/>
    <col min="11794" max="11794" width="0" style="2" hidden="1" customWidth="1"/>
    <col min="11795" max="11795" width="6.85546875" style="2" customWidth="1"/>
    <col min="11796" max="11796" width="0" style="2" hidden="1" customWidth="1"/>
    <col min="11797" max="11798" width="6.28515625" style="2" customWidth="1"/>
    <col min="11799" max="11800" width="13.85546875" style="2" customWidth="1"/>
    <col min="11801" max="11801" width="10.85546875" style="2" customWidth="1"/>
    <col min="11802" max="11802" width="14.140625" style="2" customWidth="1"/>
    <col min="11803" max="11803" width="0" style="2" hidden="1" customWidth="1"/>
    <col min="11804" max="11804" width="13" style="2" customWidth="1"/>
    <col min="11805" max="11805" width="13.140625" style="2" customWidth="1"/>
    <col min="11806" max="11807" width="14" style="2" customWidth="1"/>
    <col min="11808" max="11808" width="11.42578125" style="2" customWidth="1"/>
    <col min="11809" max="11809" width="15.85546875" style="2" customWidth="1"/>
    <col min="11810" max="11810" width="23.7109375" style="2" customWidth="1"/>
    <col min="11811" max="11811" width="12" style="2" customWidth="1"/>
    <col min="11812" max="11813" width="0.28515625" style="2" customWidth="1"/>
    <col min="11814" max="11814" width="1.42578125" style="2" customWidth="1"/>
    <col min="11815" max="11815" width="0" style="2" hidden="1" customWidth="1"/>
    <col min="11816" max="12032" width="11.42578125" style="2"/>
    <col min="12033" max="12033" width="10.28515625" style="2" customWidth="1"/>
    <col min="12034" max="12034" width="13.42578125" style="2" customWidth="1"/>
    <col min="12035" max="12035" width="4.28515625" style="2" customWidth="1"/>
    <col min="12036" max="12036" width="4" style="2" customWidth="1"/>
    <col min="12037" max="12037" width="19.28515625" style="2" customWidth="1"/>
    <col min="12038" max="12038" width="4.140625" style="2" customWidth="1"/>
    <col min="12039" max="12039" width="11.28515625" style="2" customWidth="1"/>
    <col min="12040" max="12040" width="16.140625" style="2" customWidth="1"/>
    <col min="12041" max="12041" width="11" style="2" customWidth="1"/>
    <col min="12042" max="12043" width="2.140625" style="2" customWidth="1"/>
    <col min="12044" max="12044" width="3.28515625" style="2" customWidth="1"/>
    <col min="12045" max="12046" width="0" style="2" hidden="1" customWidth="1"/>
    <col min="12047" max="12047" width="2.85546875" style="2" customWidth="1"/>
    <col min="12048" max="12048" width="3.28515625" style="2" customWidth="1"/>
    <col min="12049" max="12049" width="1.42578125" style="2" customWidth="1"/>
    <col min="12050" max="12050" width="0" style="2" hidden="1" customWidth="1"/>
    <col min="12051" max="12051" width="6.85546875" style="2" customWidth="1"/>
    <col min="12052" max="12052" width="0" style="2" hidden="1" customWidth="1"/>
    <col min="12053" max="12054" width="6.28515625" style="2" customWidth="1"/>
    <col min="12055" max="12056" width="13.85546875" style="2" customWidth="1"/>
    <col min="12057" max="12057" width="10.85546875" style="2" customWidth="1"/>
    <col min="12058" max="12058" width="14.140625" style="2" customWidth="1"/>
    <col min="12059" max="12059" width="0" style="2" hidden="1" customWidth="1"/>
    <col min="12060" max="12060" width="13" style="2" customWidth="1"/>
    <col min="12061" max="12061" width="13.140625" style="2" customWidth="1"/>
    <col min="12062" max="12063" width="14" style="2" customWidth="1"/>
    <col min="12064" max="12064" width="11.42578125" style="2" customWidth="1"/>
    <col min="12065" max="12065" width="15.85546875" style="2" customWidth="1"/>
    <col min="12066" max="12066" width="23.7109375" style="2" customWidth="1"/>
    <col min="12067" max="12067" width="12" style="2" customWidth="1"/>
    <col min="12068" max="12069" width="0.28515625" style="2" customWidth="1"/>
    <col min="12070" max="12070" width="1.42578125" style="2" customWidth="1"/>
    <col min="12071" max="12071" width="0" style="2" hidden="1" customWidth="1"/>
    <col min="12072" max="12288" width="11.42578125" style="2"/>
    <col min="12289" max="12289" width="10.28515625" style="2" customWidth="1"/>
    <col min="12290" max="12290" width="13.42578125" style="2" customWidth="1"/>
    <col min="12291" max="12291" width="4.28515625" style="2" customWidth="1"/>
    <col min="12292" max="12292" width="4" style="2" customWidth="1"/>
    <col min="12293" max="12293" width="19.28515625" style="2" customWidth="1"/>
    <col min="12294" max="12294" width="4.140625" style="2" customWidth="1"/>
    <col min="12295" max="12295" width="11.28515625" style="2" customWidth="1"/>
    <col min="12296" max="12296" width="16.140625" style="2" customWidth="1"/>
    <col min="12297" max="12297" width="11" style="2" customWidth="1"/>
    <col min="12298" max="12299" width="2.140625" style="2" customWidth="1"/>
    <col min="12300" max="12300" width="3.28515625" style="2" customWidth="1"/>
    <col min="12301" max="12302" width="0" style="2" hidden="1" customWidth="1"/>
    <col min="12303" max="12303" width="2.85546875" style="2" customWidth="1"/>
    <col min="12304" max="12304" width="3.28515625" style="2" customWidth="1"/>
    <col min="12305" max="12305" width="1.42578125" style="2" customWidth="1"/>
    <col min="12306" max="12306" width="0" style="2" hidden="1" customWidth="1"/>
    <col min="12307" max="12307" width="6.85546875" style="2" customWidth="1"/>
    <col min="12308" max="12308" width="0" style="2" hidden="1" customWidth="1"/>
    <col min="12309" max="12310" width="6.28515625" style="2" customWidth="1"/>
    <col min="12311" max="12312" width="13.85546875" style="2" customWidth="1"/>
    <col min="12313" max="12313" width="10.85546875" style="2" customWidth="1"/>
    <col min="12314" max="12314" width="14.140625" style="2" customWidth="1"/>
    <col min="12315" max="12315" width="0" style="2" hidden="1" customWidth="1"/>
    <col min="12316" max="12316" width="13" style="2" customWidth="1"/>
    <col min="12317" max="12317" width="13.140625" style="2" customWidth="1"/>
    <col min="12318" max="12319" width="14" style="2" customWidth="1"/>
    <col min="12320" max="12320" width="11.42578125" style="2" customWidth="1"/>
    <col min="12321" max="12321" width="15.85546875" style="2" customWidth="1"/>
    <col min="12322" max="12322" width="23.7109375" style="2" customWidth="1"/>
    <col min="12323" max="12323" width="12" style="2" customWidth="1"/>
    <col min="12324" max="12325" width="0.28515625" style="2" customWidth="1"/>
    <col min="12326" max="12326" width="1.42578125" style="2" customWidth="1"/>
    <col min="12327" max="12327" width="0" style="2" hidden="1" customWidth="1"/>
    <col min="12328" max="12544" width="11.42578125" style="2"/>
    <col min="12545" max="12545" width="10.28515625" style="2" customWidth="1"/>
    <col min="12546" max="12546" width="13.42578125" style="2" customWidth="1"/>
    <col min="12547" max="12547" width="4.28515625" style="2" customWidth="1"/>
    <col min="12548" max="12548" width="4" style="2" customWidth="1"/>
    <col min="12549" max="12549" width="19.28515625" style="2" customWidth="1"/>
    <col min="12550" max="12550" width="4.140625" style="2" customWidth="1"/>
    <col min="12551" max="12551" width="11.28515625" style="2" customWidth="1"/>
    <col min="12552" max="12552" width="16.140625" style="2" customWidth="1"/>
    <col min="12553" max="12553" width="11" style="2" customWidth="1"/>
    <col min="12554" max="12555" width="2.140625" style="2" customWidth="1"/>
    <col min="12556" max="12556" width="3.28515625" style="2" customWidth="1"/>
    <col min="12557" max="12558" width="0" style="2" hidden="1" customWidth="1"/>
    <col min="12559" max="12559" width="2.85546875" style="2" customWidth="1"/>
    <col min="12560" max="12560" width="3.28515625" style="2" customWidth="1"/>
    <col min="12561" max="12561" width="1.42578125" style="2" customWidth="1"/>
    <col min="12562" max="12562" width="0" style="2" hidden="1" customWidth="1"/>
    <col min="12563" max="12563" width="6.85546875" style="2" customWidth="1"/>
    <col min="12564" max="12564" width="0" style="2" hidden="1" customWidth="1"/>
    <col min="12565" max="12566" width="6.28515625" style="2" customWidth="1"/>
    <col min="12567" max="12568" width="13.85546875" style="2" customWidth="1"/>
    <col min="12569" max="12569" width="10.85546875" style="2" customWidth="1"/>
    <col min="12570" max="12570" width="14.140625" style="2" customWidth="1"/>
    <col min="12571" max="12571" width="0" style="2" hidden="1" customWidth="1"/>
    <col min="12572" max="12572" width="13" style="2" customWidth="1"/>
    <col min="12573" max="12573" width="13.140625" style="2" customWidth="1"/>
    <col min="12574" max="12575" width="14" style="2" customWidth="1"/>
    <col min="12576" max="12576" width="11.42578125" style="2" customWidth="1"/>
    <col min="12577" max="12577" width="15.85546875" style="2" customWidth="1"/>
    <col min="12578" max="12578" width="23.7109375" style="2" customWidth="1"/>
    <col min="12579" max="12579" width="12" style="2" customWidth="1"/>
    <col min="12580" max="12581" width="0.28515625" style="2" customWidth="1"/>
    <col min="12582" max="12582" width="1.42578125" style="2" customWidth="1"/>
    <col min="12583" max="12583" width="0" style="2" hidden="1" customWidth="1"/>
    <col min="12584" max="12800" width="11.42578125" style="2"/>
    <col min="12801" max="12801" width="10.28515625" style="2" customWidth="1"/>
    <col min="12802" max="12802" width="13.42578125" style="2" customWidth="1"/>
    <col min="12803" max="12803" width="4.28515625" style="2" customWidth="1"/>
    <col min="12804" max="12804" width="4" style="2" customWidth="1"/>
    <col min="12805" max="12805" width="19.28515625" style="2" customWidth="1"/>
    <col min="12806" max="12806" width="4.140625" style="2" customWidth="1"/>
    <col min="12807" max="12807" width="11.28515625" style="2" customWidth="1"/>
    <col min="12808" max="12808" width="16.140625" style="2" customWidth="1"/>
    <col min="12809" max="12809" width="11" style="2" customWidth="1"/>
    <col min="12810" max="12811" width="2.140625" style="2" customWidth="1"/>
    <col min="12812" max="12812" width="3.28515625" style="2" customWidth="1"/>
    <col min="12813" max="12814" width="0" style="2" hidden="1" customWidth="1"/>
    <col min="12815" max="12815" width="2.85546875" style="2" customWidth="1"/>
    <col min="12816" max="12816" width="3.28515625" style="2" customWidth="1"/>
    <col min="12817" max="12817" width="1.42578125" style="2" customWidth="1"/>
    <col min="12818" max="12818" width="0" style="2" hidden="1" customWidth="1"/>
    <col min="12819" max="12819" width="6.85546875" style="2" customWidth="1"/>
    <col min="12820" max="12820" width="0" style="2" hidden="1" customWidth="1"/>
    <col min="12821" max="12822" width="6.28515625" style="2" customWidth="1"/>
    <col min="12823" max="12824" width="13.85546875" style="2" customWidth="1"/>
    <col min="12825" max="12825" width="10.85546875" style="2" customWidth="1"/>
    <col min="12826" max="12826" width="14.140625" style="2" customWidth="1"/>
    <col min="12827" max="12827" width="0" style="2" hidden="1" customWidth="1"/>
    <col min="12828" max="12828" width="13" style="2" customWidth="1"/>
    <col min="12829" max="12829" width="13.140625" style="2" customWidth="1"/>
    <col min="12830" max="12831" width="14" style="2" customWidth="1"/>
    <col min="12832" max="12832" width="11.42578125" style="2" customWidth="1"/>
    <col min="12833" max="12833" width="15.85546875" style="2" customWidth="1"/>
    <col min="12834" max="12834" width="23.7109375" style="2" customWidth="1"/>
    <col min="12835" max="12835" width="12" style="2" customWidth="1"/>
    <col min="12836" max="12837" width="0.28515625" style="2" customWidth="1"/>
    <col min="12838" max="12838" width="1.42578125" style="2" customWidth="1"/>
    <col min="12839" max="12839" width="0" style="2" hidden="1" customWidth="1"/>
    <col min="12840" max="13056" width="11.42578125" style="2"/>
    <col min="13057" max="13057" width="10.28515625" style="2" customWidth="1"/>
    <col min="13058" max="13058" width="13.42578125" style="2" customWidth="1"/>
    <col min="13059" max="13059" width="4.28515625" style="2" customWidth="1"/>
    <col min="13060" max="13060" width="4" style="2" customWidth="1"/>
    <col min="13061" max="13061" width="19.28515625" style="2" customWidth="1"/>
    <col min="13062" max="13062" width="4.140625" style="2" customWidth="1"/>
    <col min="13063" max="13063" width="11.28515625" style="2" customWidth="1"/>
    <col min="13064" max="13064" width="16.140625" style="2" customWidth="1"/>
    <col min="13065" max="13065" width="11" style="2" customWidth="1"/>
    <col min="13066" max="13067" width="2.140625" style="2" customWidth="1"/>
    <col min="13068" max="13068" width="3.28515625" style="2" customWidth="1"/>
    <col min="13069" max="13070" width="0" style="2" hidden="1" customWidth="1"/>
    <col min="13071" max="13071" width="2.85546875" style="2" customWidth="1"/>
    <col min="13072" max="13072" width="3.28515625" style="2" customWidth="1"/>
    <col min="13073" max="13073" width="1.42578125" style="2" customWidth="1"/>
    <col min="13074" max="13074" width="0" style="2" hidden="1" customWidth="1"/>
    <col min="13075" max="13075" width="6.85546875" style="2" customWidth="1"/>
    <col min="13076" max="13076" width="0" style="2" hidden="1" customWidth="1"/>
    <col min="13077" max="13078" width="6.28515625" style="2" customWidth="1"/>
    <col min="13079" max="13080" width="13.85546875" style="2" customWidth="1"/>
    <col min="13081" max="13081" width="10.85546875" style="2" customWidth="1"/>
    <col min="13082" max="13082" width="14.140625" style="2" customWidth="1"/>
    <col min="13083" max="13083" width="0" style="2" hidden="1" customWidth="1"/>
    <col min="13084" max="13084" width="13" style="2" customWidth="1"/>
    <col min="13085" max="13085" width="13.140625" style="2" customWidth="1"/>
    <col min="13086" max="13087" width="14" style="2" customWidth="1"/>
    <col min="13088" max="13088" width="11.42578125" style="2" customWidth="1"/>
    <col min="13089" max="13089" width="15.85546875" style="2" customWidth="1"/>
    <col min="13090" max="13090" width="23.7109375" style="2" customWidth="1"/>
    <col min="13091" max="13091" width="12" style="2" customWidth="1"/>
    <col min="13092" max="13093" width="0.28515625" style="2" customWidth="1"/>
    <col min="13094" max="13094" width="1.42578125" style="2" customWidth="1"/>
    <col min="13095" max="13095" width="0" style="2" hidden="1" customWidth="1"/>
    <col min="13096" max="13312" width="11.42578125" style="2"/>
    <col min="13313" max="13313" width="10.28515625" style="2" customWidth="1"/>
    <col min="13314" max="13314" width="13.42578125" style="2" customWidth="1"/>
    <col min="13315" max="13315" width="4.28515625" style="2" customWidth="1"/>
    <col min="13316" max="13316" width="4" style="2" customWidth="1"/>
    <col min="13317" max="13317" width="19.28515625" style="2" customWidth="1"/>
    <col min="13318" max="13318" width="4.140625" style="2" customWidth="1"/>
    <col min="13319" max="13319" width="11.28515625" style="2" customWidth="1"/>
    <col min="13320" max="13320" width="16.140625" style="2" customWidth="1"/>
    <col min="13321" max="13321" width="11" style="2" customWidth="1"/>
    <col min="13322" max="13323" width="2.140625" style="2" customWidth="1"/>
    <col min="13324" max="13324" width="3.28515625" style="2" customWidth="1"/>
    <col min="13325" max="13326" width="0" style="2" hidden="1" customWidth="1"/>
    <col min="13327" max="13327" width="2.85546875" style="2" customWidth="1"/>
    <col min="13328" max="13328" width="3.28515625" style="2" customWidth="1"/>
    <col min="13329" max="13329" width="1.42578125" style="2" customWidth="1"/>
    <col min="13330" max="13330" width="0" style="2" hidden="1" customWidth="1"/>
    <col min="13331" max="13331" width="6.85546875" style="2" customWidth="1"/>
    <col min="13332" max="13332" width="0" style="2" hidden="1" customWidth="1"/>
    <col min="13333" max="13334" width="6.28515625" style="2" customWidth="1"/>
    <col min="13335" max="13336" width="13.85546875" style="2" customWidth="1"/>
    <col min="13337" max="13337" width="10.85546875" style="2" customWidth="1"/>
    <col min="13338" max="13338" width="14.140625" style="2" customWidth="1"/>
    <col min="13339" max="13339" width="0" style="2" hidden="1" customWidth="1"/>
    <col min="13340" max="13340" width="13" style="2" customWidth="1"/>
    <col min="13341" max="13341" width="13.140625" style="2" customWidth="1"/>
    <col min="13342" max="13343" width="14" style="2" customWidth="1"/>
    <col min="13344" max="13344" width="11.42578125" style="2" customWidth="1"/>
    <col min="13345" max="13345" width="15.85546875" style="2" customWidth="1"/>
    <col min="13346" max="13346" width="23.7109375" style="2" customWidth="1"/>
    <col min="13347" max="13347" width="12" style="2" customWidth="1"/>
    <col min="13348" max="13349" width="0.28515625" style="2" customWidth="1"/>
    <col min="13350" max="13350" width="1.42578125" style="2" customWidth="1"/>
    <col min="13351" max="13351" width="0" style="2" hidden="1" customWidth="1"/>
    <col min="13352" max="13568" width="11.42578125" style="2"/>
    <col min="13569" max="13569" width="10.28515625" style="2" customWidth="1"/>
    <col min="13570" max="13570" width="13.42578125" style="2" customWidth="1"/>
    <col min="13571" max="13571" width="4.28515625" style="2" customWidth="1"/>
    <col min="13572" max="13572" width="4" style="2" customWidth="1"/>
    <col min="13573" max="13573" width="19.28515625" style="2" customWidth="1"/>
    <col min="13574" max="13574" width="4.140625" style="2" customWidth="1"/>
    <col min="13575" max="13575" width="11.28515625" style="2" customWidth="1"/>
    <col min="13576" max="13576" width="16.140625" style="2" customWidth="1"/>
    <col min="13577" max="13577" width="11" style="2" customWidth="1"/>
    <col min="13578" max="13579" width="2.140625" style="2" customWidth="1"/>
    <col min="13580" max="13580" width="3.28515625" style="2" customWidth="1"/>
    <col min="13581" max="13582" width="0" style="2" hidden="1" customWidth="1"/>
    <col min="13583" max="13583" width="2.85546875" style="2" customWidth="1"/>
    <col min="13584" max="13584" width="3.28515625" style="2" customWidth="1"/>
    <col min="13585" max="13585" width="1.42578125" style="2" customWidth="1"/>
    <col min="13586" max="13586" width="0" style="2" hidden="1" customWidth="1"/>
    <col min="13587" max="13587" width="6.85546875" style="2" customWidth="1"/>
    <col min="13588" max="13588" width="0" style="2" hidden="1" customWidth="1"/>
    <col min="13589" max="13590" width="6.28515625" style="2" customWidth="1"/>
    <col min="13591" max="13592" width="13.85546875" style="2" customWidth="1"/>
    <col min="13593" max="13593" width="10.85546875" style="2" customWidth="1"/>
    <col min="13594" max="13594" width="14.140625" style="2" customWidth="1"/>
    <col min="13595" max="13595" width="0" style="2" hidden="1" customWidth="1"/>
    <col min="13596" max="13596" width="13" style="2" customWidth="1"/>
    <col min="13597" max="13597" width="13.140625" style="2" customWidth="1"/>
    <col min="13598" max="13599" width="14" style="2" customWidth="1"/>
    <col min="13600" max="13600" width="11.42578125" style="2" customWidth="1"/>
    <col min="13601" max="13601" width="15.85546875" style="2" customWidth="1"/>
    <col min="13602" max="13602" width="23.7109375" style="2" customWidth="1"/>
    <col min="13603" max="13603" width="12" style="2" customWidth="1"/>
    <col min="13604" max="13605" width="0.28515625" style="2" customWidth="1"/>
    <col min="13606" max="13606" width="1.42578125" style="2" customWidth="1"/>
    <col min="13607" max="13607" width="0" style="2" hidden="1" customWidth="1"/>
    <col min="13608" max="13824" width="11.42578125" style="2"/>
    <col min="13825" max="13825" width="10.28515625" style="2" customWidth="1"/>
    <col min="13826" max="13826" width="13.42578125" style="2" customWidth="1"/>
    <col min="13827" max="13827" width="4.28515625" style="2" customWidth="1"/>
    <col min="13828" max="13828" width="4" style="2" customWidth="1"/>
    <col min="13829" max="13829" width="19.28515625" style="2" customWidth="1"/>
    <col min="13830" max="13830" width="4.140625" style="2" customWidth="1"/>
    <col min="13831" max="13831" width="11.28515625" style="2" customWidth="1"/>
    <col min="13832" max="13832" width="16.140625" style="2" customWidth="1"/>
    <col min="13833" max="13833" width="11" style="2" customWidth="1"/>
    <col min="13834" max="13835" width="2.140625" style="2" customWidth="1"/>
    <col min="13836" max="13836" width="3.28515625" style="2" customWidth="1"/>
    <col min="13837" max="13838" width="0" style="2" hidden="1" customWidth="1"/>
    <col min="13839" max="13839" width="2.85546875" style="2" customWidth="1"/>
    <col min="13840" max="13840" width="3.28515625" style="2" customWidth="1"/>
    <col min="13841" max="13841" width="1.42578125" style="2" customWidth="1"/>
    <col min="13842" max="13842" width="0" style="2" hidden="1" customWidth="1"/>
    <col min="13843" max="13843" width="6.85546875" style="2" customWidth="1"/>
    <col min="13844" max="13844" width="0" style="2" hidden="1" customWidth="1"/>
    <col min="13845" max="13846" width="6.28515625" style="2" customWidth="1"/>
    <col min="13847" max="13848" width="13.85546875" style="2" customWidth="1"/>
    <col min="13849" max="13849" width="10.85546875" style="2" customWidth="1"/>
    <col min="13850" max="13850" width="14.140625" style="2" customWidth="1"/>
    <col min="13851" max="13851" width="0" style="2" hidden="1" customWidth="1"/>
    <col min="13852" max="13852" width="13" style="2" customWidth="1"/>
    <col min="13853" max="13853" width="13.140625" style="2" customWidth="1"/>
    <col min="13854" max="13855" width="14" style="2" customWidth="1"/>
    <col min="13856" max="13856" width="11.42578125" style="2" customWidth="1"/>
    <col min="13857" max="13857" width="15.85546875" style="2" customWidth="1"/>
    <col min="13858" max="13858" width="23.7109375" style="2" customWidth="1"/>
    <col min="13859" max="13859" width="12" style="2" customWidth="1"/>
    <col min="13860" max="13861" width="0.28515625" style="2" customWidth="1"/>
    <col min="13862" max="13862" width="1.42578125" style="2" customWidth="1"/>
    <col min="13863" max="13863" width="0" style="2" hidden="1" customWidth="1"/>
    <col min="13864" max="14080" width="11.42578125" style="2"/>
    <col min="14081" max="14081" width="10.28515625" style="2" customWidth="1"/>
    <col min="14082" max="14082" width="13.42578125" style="2" customWidth="1"/>
    <col min="14083" max="14083" width="4.28515625" style="2" customWidth="1"/>
    <col min="14084" max="14084" width="4" style="2" customWidth="1"/>
    <col min="14085" max="14085" width="19.28515625" style="2" customWidth="1"/>
    <col min="14086" max="14086" width="4.140625" style="2" customWidth="1"/>
    <col min="14087" max="14087" width="11.28515625" style="2" customWidth="1"/>
    <col min="14088" max="14088" width="16.140625" style="2" customWidth="1"/>
    <col min="14089" max="14089" width="11" style="2" customWidth="1"/>
    <col min="14090" max="14091" width="2.140625" style="2" customWidth="1"/>
    <col min="14092" max="14092" width="3.28515625" style="2" customWidth="1"/>
    <col min="14093" max="14094" width="0" style="2" hidden="1" customWidth="1"/>
    <col min="14095" max="14095" width="2.85546875" style="2" customWidth="1"/>
    <col min="14096" max="14096" width="3.28515625" style="2" customWidth="1"/>
    <col min="14097" max="14097" width="1.42578125" style="2" customWidth="1"/>
    <col min="14098" max="14098" width="0" style="2" hidden="1" customWidth="1"/>
    <col min="14099" max="14099" width="6.85546875" style="2" customWidth="1"/>
    <col min="14100" max="14100" width="0" style="2" hidden="1" customWidth="1"/>
    <col min="14101" max="14102" width="6.28515625" style="2" customWidth="1"/>
    <col min="14103" max="14104" width="13.85546875" style="2" customWidth="1"/>
    <col min="14105" max="14105" width="10.85546875" style="2" customWidth="1"/>
    <col min="14106" max="14106" width="14.140625" style="2" customWidth="1"/>
    <col min="14107" max="14107" width="0" style="2" hidden="1" customWidth="1"/>
    <col min="14108" max="14108" width="13" style="2" customWidth="1"/>
    <col min="14109" max="14109" width="13.140625" style="2" customWidth="1"/>
    <col min="14110" max="14111" width="14" style="2" customWidth="1"/>
    <col min="14112" max="14112" width="11.42578125" style="2" customWidth="1"/>
    <col min="14113" max="14113" width="15.85546875" style="2" customWidth="1"/>
    <col min="14114" max="14114" width="23.7109375" style="2" customWidth="1"/>
    <col min="14115" max="14115" width="12" style="2" customWidth="1"/>
    <col min="14116" max="14117" width="0.28515625" style="2" customWidth="1"/>
    <col min="14118" max="14118" width="1.42578125" style="2" customWidth="1"/>
    <col min="14119" max="14119" width="0" style="2" hidden="1" customWidth="1"/>
    <col min="14120" max="14336" width="11.42578125" style="2"/>
    <col min="14337" max="14337" width="10.28515625" style="2" customWidth="1"/>
    <col min="14338" max="14338" width="13.42578125" style="2" customWidth="1"/>
    <col min="14339" max="14339" width="4.28515625" style="2" customWidth="1"/>
    <col min="14340" max="14340" width="4" style="2" customWidth="1"/>
    <col min="14341" max="14341" width="19.28515625" style="2" customWidth="1"/>
    <col min="14342" max="14342" width="4.140625" style="2" customWidth="1"/>
    <col min="14343" max="14343" width="11.28515625" style="2" customWidth="1"/>
    <col min="14344" max="14344" width="16.140625" style="2" customWidth="1"/>
    <col min="14345" max="14345" width="11" style="2" customWidth="1"/>
    <col min="14346" max="14347" width="2.140625" style="2" customWidth="1"/>
    <col min="14348" max="14348" width="3.28515625" style="2" customWidth="1"/>
    <col min="14349" max="14350" width="0" style="2" hidden="1" customWidth="1"/>
    <col min="14351" max="14351" width="2.85546875" style="2" customWidth="1"/>
    <col min="14352" max="14352" width="3.28515625" style="2" customWidth="1"/>
    <col min="14353" max="14353" width="1.42578125" style="2" customWidth="1"/>
    <col min="14354" max="14354" width="0" style="2" hidden="1" customWidth="1"/>
    <col min="14355" max="14355" width="6.85546875" style="2" customWidth="1"/>
    <col min="14356" max="14356" width="0" style="2" hidden="1" customWidth="1"/>
    <col min="14357" max="14358" width="6.28515625" style="2" customWidth="1"/>
    <col min="14359" max="14360" width="13.85546875" style="2" customWidth="1"/>
    <col min="14361" max="14361" width="10.85546875" style="2" customWidth="1"/>
    <col min="14362" max="14362" width="14.140625" style="2" customWidth="1"/>
    <col min="14363" max="14363" width="0" style="2" hidden="1" customWidth="1"/>
    <col min="14364" max="14364" width="13" style="2" customWidth="1"/>
    <col min="14365" max="14365" width="13.140625" style="2" customWidth="1"/>
    <col min="14366" max="14367" width="14" style="2" customWidth="1"/>
    <col min="14368" max="14368" width="11.42578125" style="2" customWidth="1"/>
    <col min="14369" max="14369" width="15.85546875" style="2" customWidth="1"/>
    <col min="14370" max="14370" width="23.7109375" style="2" customWidth="1"/>
    <col min="14371" max="14371" width="12" style="2" customWidth="1"/>
    <col min="14372" max="14373" width="0.28515625" style="2" customWidth="1"/>
    <col min="14374" max="14374" width="1.42578125" style="2" customWidth="1"/>
    <col min="14375" max="14375" width="0" style="2" hidden="1" customWidth="1"/>
    <col min="14376" max="14592" width="11.42578125" style="2"/>
    <col min="14593" max="14593" width="10.28515625" style="2" customWidth="1"/>
    <col min="14594" max="14594" width="13.42578125" style="2" customWidth="1"/>
    <col min="14595" max="14595" width="4.28515625" style="2" customWidth="1"/>
    <col min="14596" max="14596" width="4" style="2" customWidth="1"/>
    <col min="14597" max="14597" width="19.28515625" style="2" customWidth="1"/>
    <col min="14598" max="14598" width="4.140625" style="2" customWidth="1"/>
    <col min="14599" max="14599" width="11.28515625" style="2" customWidth="1"/>
    <col min="14600" max="14600" width="16.140625" style="2" customWidth="1"/>
    <col min="14601" max="14601" width="11" style="2" customWidth="1"/>
    <col min="14602" max="14603" width="2.140625" style="2" customWidth="1"/>
    <col min="14604" max="14604" width="3.28515625" style="2" customWidth="1"/>
    <col min="14605" max="14606" width="0" style="2" hidden="1" customWidth="1"/>
    <col min="14607" max="14607" width="2.85546875" style="2" customWidth="1"/>
    <col min="14608" max="14608" width="3.28515625" style="2" customWidth="1"/>
    <col min="14609" max="14609" width="1.42578125" style="2" customWidth="1"/>
    <col min="14610" max="14610" width="0" style="2" hidden="1" customWidth="1"/>
    <col min="14611" max="14611" width="6.85546875" style="2" customWidth="1"/>
    <col min="14612" max="14612" width="0" style="2" hidden="1" customWidth="1"/>
    <col min="14613" max="14614" width="6.28515625" style="2" customWidth="1"/>
    <col min="14615" max="14616" width="13.85546875" style="2" customWidth="1"/>
    <col min="14617" max="14617" width="10.85546875" style="2" customWidth="1"/>
    <col min="14618" max="14618" width="14.140625" style="2" customWidth="1"/>
    <col min="14619" max="14619" width="0" style="2" hidden="1" customWidth="1"/>
    <col min="14620" max="14620" width="13" style="2" customWidth="1"/>
    <col min="14621" max="14621" width="13.140625" style="2" customWidth="1"/>
    <col min="14622" max="14623" width="14" style="2" customWidth="1"/>
    <col min="14624" max="14624" width="11.42578125" style="2" customWidth="1"/>
    <col min="14625" max="14625" width="15.85546875" style="2" customWidth="1"/>
    <col min="14626" max="14626" width="23.7109375" style="2" customWidth="1"/>
    <col min="14627" max="14627" width="12" style="2" customWidth="1"/>
    <col min="14628" max="14629" width="0.28515625" style="2" customWidth="1"/>
    <col min="14630" max="14630" width="1.42578125" style="2" customWidth="1"/>
    <col min="14631" max="14631" width="0" style="2" hidden="1" customWidth="1"/>
    <col min="14632" max="14848" width="11.42578125" style="2"/>
    <col min="14849" max="14849" width="10.28515625" style="2" customWidth="1"/>
    <col min="14850" max="14850" width="13.42578125" style="2" customWidth="1"/>
    <col min="14851" max="14851" width="4.28515625" style="2" customWidth="1"/>
    <col min="14852" max="14852" width="4" style="2" customWidth="1"/>
    <col min="14853" max="14853" width="19.28515625" style="2" customWidth="1"/>
    <col min="14854" max="14854" width="4.140625" style="2" customWidth="1"/>
    <col min="14855" max="14855" width="11.28515625" style="2" customWidth="1"/>
    <col min="14856" max="14856" width="16.140625" style="2" customWidth="1"/>
    <col min="14857" max="14857" width="11" style="2" customWidth="1"/>
    <col min="14858" max="14859" width="2.140625" style="2" customWidth="1"/>
    <col min="14860" max="14860" width="3.28515625" style="2" customWidth="1"/>
    <col min="14861" max="14862" width="0" style="2" hidden="1" customWidth="1"/>
    <col min="14863" max="14863" width="2.85546875" style="2" customWidth="1"/>
    <col min="14864" max="14864" width="3.28515625" style="2" customWidth="1"/>
    <col min="14865" max="14865" width="1.42578125" style="2" customWidth="1"/>
    <col min="14866" max="14866" width="0" style="2" hidden="1" customWidth="1"/>
    <col min="14867" max="14867" width="6.85546875" style="2" customWidth="1"/>
    <col min="14868" max="14868" width="0" style="2" hidden="1" customWidth="1"/>
    <col min="14869" max="14870" width="6.28515625" style="2" customWidth="1"/>
    <col min="14871" max="14872" width="13.85546875" style="2" customWidth="1"/>
    <col min="14873" max="14873" width="10.85546875" style="2" customWidth="1"/>
    <col min="14874" max="14874" width="14.140625" style="2" customWidth="1"/>
    <col min="14875" max="14875" width="0" style="2" hidden="1" customWidth="1"/>
    <col min="14876" max="14876" width="13" style="2" customWidth="1"/>
    <col min="14877" max="14877" width="13.140625" style="2" customWidth="1"/>
    <col min="14878" max="14879" width="14" style="2" customWidth="1"/>
    <col min="14880" max="14880" width="11.42578125" style="2" customWidth="1"/>
    <col min="14881" max="14881" width="15.85546875" style="2" customWidth="1"/>
    <col min="14882" max="14882" width="23.7109375" style="2" customWidth="1"/>
    <col min="14883" max="14883" width="12" style="2" customWidth="1"/>
    <col min="14884" max="14885" width="0.28515625" style="2" customWidth="1"/>
    <col min="14886" max="14886" width="1.42578125" style="2" customWidth="1"/>
    <col min="14887" max="14887" width="0" style="2" hidden="1" customWidth="1"/>
    <col min="14888" max="15104" width="11.42578125" style="2"/>
    <col min="15105" max="15105" width="10.28515625" style="2" customWidth="1"/>
    <col min="15106" max="15106" width="13.42578125" style="2" customWidth="1"/>
    <col min="15107" max="15107" width="4.28515625" style="2" customWidth="1"/>
    <col min="15108" max="15108" width="4" style="2" customWidth="1"/>
    <col min="15109" max="15109" width="19.28515625" style="2" customWidth="1"/>
    <col min="15110" max="15110" width="4.140625" style="2" customWidth="1"/>
    <col min="15111" max="15111" width="11.28515625" style="2" customWidth="1"/>
    <col min="15112" max="15112" width="16.140625" style="2" customWidth="1"/>
    <col min="15113" max="15113" width="11" style="2" customWidth="1"/>
    <col min="15114" max="15115" width="2.140625" style="2" customWidth="1"/>
    <col min="15116" max="15116" width="3.28515625" style="2" customWidth="1"/>
    <col min="15117" max="15118" width="0" style="2" hidden="1" customWidth="1"/>
    <col min="15119" max="15119" width="2.85546875" style="2" customWidth="1"/>
    <col min="15120" max="15120" width="3.28515625" style="2" customWidth="1"/>
    <col min="15121" max="15121" width="1.42578125" style="2" customWidth="1"/>
    <col min="15122" max="15122" width="0" style="2" hidden="1" customWidth="1"/>
    <col min="15123" max="15123" width="6.85546875" style="2" customWidth="1"/>
    <col min="15124" max="15124" width="0" style="2" hidden="1" customWidth="1"/>
    <col min="15125" max="15126" width="6.28515625" style="2" customWidth="1"/>
    <col min="15127" max="15128" width="13.85546875" style="2" customWidth="1"/>
    <col min="15129" max="15129" width="10.85546875" style="2" customWidth="1"/>
    <col min="15130" max="15130" width="14.140625" style="2" customWidth="1"/>
    <col min="15131" max="15131" width="0" style="2" hidden="1" customWidth="1"/>
    <col min="15132" max="15132" width="13" style="2" customWidth="1"/>
    <col min="15133" max="15133" width="13.140625" style="2" customWidth="1"/>
    <col min="15134" max="15135" width="14" style="2" customWidth="1"/>
    <col min="15136" max="15136" width="11.42578125" style="2" customWidth="1"/>
    <col min="15137" max="15137" width="15.85546875" style="2" customWidth="1"/>
    <col min="15138" max="15138" width="23.7109375" style="2" customWidth="1"/>
    <col min="15139" max="15139" width="12" style="2" customWidth="1"/>
    <col min="15140" max="15141" width="0.28515625" style="2" customWidth="1"/>
    <col min="15142" max="15142" width="1.42578125" style="2" customWidth="1"/>
    <col min="15143" max="15143" width="0" style="2" hidden="1" customWidth="1"/>
    <col min="15144" max="15360" width="11.42578125" style="2"/>
    <col min="15361" max="15361" width="10.28515625" style="2" customWidth="1"/>
    <col min="15362" max="15362" width="13.42578125" style="2" customWidth="1"/>
    <col min="15363" max="15363" width="4.28515625" style="2" customWidth="1"/>
    <col min="15364" max="15364" width="4" style="2" customWidth="1"/>
    <col min="15365" max="15365" width="19.28515625" style="2" customWidth="1"/>
    <col min="15366" max="15366" width="4.140625" style="2" customWidth="1"/>
    <col min="15367" max="15367" width="11.28515625" style="2" customWidth="1"/>
    <col min="15368" max="15368" width="16.140625" style="2" customWidth="1"/>
    <col min="15369" max="15369" width="11" style="2" customWidth="1"/>
    <col min="15370" max="15371" width="2.140625" style="2" customWidth="1"/>
    <col min="15372" max="15372" width="3.28515625" style="2" customWidth="1"/>
    <col min="15373" max="15374" width="0" style="2" hidden="1" customWidth="1"/>
    <col min="15375" max="15375" width="2.85546875" style="2" customWidth="1"/>
    <col min="15376" max="15376" width="3.28515625" style="2" customWidth="1"/>
    <col min="15377" max="15377" width="1.42578125" style="2" customWidth="1"/>
    <col min="15378" max="15378" width="0" style="2" hidden="1" customWidth="1"/>
    <col min="15379" max="15379" width="6.85546875" style="2" customWidth="1"/>
    <col min="15380" max="15380" width="0" style="2" hidden="1" customWidth="1"/>
    <col min="15381" max="15382" width="6.28515625" style="2" customWidth="1"/>
    <col min="15383" max="15384" width="13.85546875" style="2" customWidth="1"/>
    <col min="15385" max="15385" width="10.85546875" style="2" customWidth="1"/>
    <col min="15386" max="15386" width="14.140625" style="2" customWidth="1"/>
    <col min="15387" max="15387" width="0" style="2" hidden="1" customWidth="1"/>
    <col min="15388" max="15388" width="13" style="2" customWidth="1"/>
    <col min="15389" max="15389" width="13.140625" style="2" customWidth="1"/>
    <col min="15390" max="15391" width="14" style="2" customWidth="1"/>
    <col min="15392" max="15392" width="11.42578125" style="2" customWidth="1"/>
    <col min="15393" max="15393" width="15.85546875" style="2" customWidth="1"/>
    <col min="15394" max="15394" width="23.7109375" style="2" customWidth="1"/>
    <col min="15395" max="15395" width="12" style="2" customWidth="1"/>
    <col min="15396" max="15397" width="0.28515625" style="2" customWidth="1"/>
    <col min="15398" max="15398" width="1.42578125" style="2" customWidth="1"/>
    <col min="15399" max="15399" width="0" style="2" hidden="1" customWidth="1"/>
    <col min="15400" max="15616" width="11.42578125" style="2"/>
    <col min="15617" max="15617" width="10.28515625" style="2" customWidth="1"/>
    <col min="15618" max="15618" width="13.42578125" style="2" customWidth="1"/>
    <col min="15619" max="15619" width="4.28515625" style="2" customWidth="1"/>
    <col min="15620" max="15620" width="4" style="2" customWidth="1"/>
    <col min="15621" max="15621" width="19.28515625" style="2" customWidth="1"/>
    <col min="15622" max="15622" width="4.140625" style="2" customWidth="1"/>
    <col min="15623" max="15623" width="11.28515625" style="2" customWidth="1"/>
    <col min="15624" max="15624" width="16.140625" style="2" customWidth="1"/>
    <col min="15625" max="15625" width="11" style="2" customWidth="1"/>
    <col min="15626" max="15627" width="2.140625" style="2" customWidth="1"/>
    <col min="15628" max="15628" width="3.28515625" style="2" customWidth="1"/>
    <col min="15629" max="15630" width="0" style="2" hidden="1" customWidth="1"/>
    <col min="15631" max="15631" width="2.85546875" style="2" customWidth="1"/>
    <col min="15632" max="15632" width="3.28515625" style="2" customWidth="1"/>
    <col min="15633" max="15633" width="1.42578125" style="2" customWidth="1"/>
    <col min="15634" max="15634" width="0" style="2" hidden="1" customWidth="1"/>
    <col min="15635" max="15635" width="6.85546875" style="2" customWidth="1"/>
    <col min="15636" max="15636" width="0" style="2" hidden="1" customWidth="1"/>
    <col min="15637" max="15638" width="6.28515625" style="2" customWidth="1"/>
    <col min="15639" max="15640" width="13.85546875" style="2" customWidth="1"/>
    <col min="15641" max="15641" width="10.85546875" style="2" customWidth="1"/>
    <col min="15642" max="15642" width="14.140625" style="2" customWidth="1"/>
    <col min="15643" max="15643" width="0" style="2" hidden="1" customWidth="1"/>
    <col min="15644" max="15644" width="13" style="2" customWidth="1"/>
    <col min="15645" max="15645" width="13.140625" style="2" customWidth="1"/>
    <col min="15646" max="15647" width="14" style="2" customWidth="1"/>
    <col min="15648" max="15648" width="11.42578125" style="2" customWidth="1"/>
    <col min="15649" max="15649" width="15.85546875" style="2" customWidth="1"/>
    <col min="15650" max="15650" width="23.7109375" style="2" customWidth="1"/>
    <col min="15651" max="15651" width="12" style="2" customWidth="1"/>
    <col min="15652" max="15653" width="0.28515625" style="2" customWidth="1"/>
    <col min="15654" max="15654" width="1.42578125" style="2" customWidth="1"/>
    <col min="15655" max="15655" width="0" style="2" hidden="1" customWidth="1"/>
    <col min="15656" max="15872" width="11.42578125" style="2"/>
    <col min="15873" max="15873" width="10.28515625" style="2" customWidth="1"/>
    <col min="15874" max="15874" width="13.42578125" style="2" customWidth="1"/>
    <col min="15875" max="15875" width="4.28515625" style="2" customWidth="1"/>
    <col min="15876" max="15876" width="4" style="2" customWidth="1"/>
    <col min="15877" max="15877" width="19.28515625" style="2" customWidth="1"/>
    <col min="15878" max="15878" width="4.140625" style="2" customWidth="1"/>
    <col min="15879" max="15879" width="11.28515625" style="2" customWidth="1"/>
    <col min="15880" max="15880" width="16.140625" style="2" customWidth="1"/>
    <col min="15881" max="15881" width="11" style="2" customWidth="1"/>
    <col min="15882" max="15883" width="2.140625" style="2" customWidth="1"/>
    <col min="15884" max="15884" width="3.28515625" style="2" customWidth="1"/>
    <col min="15885" max="15886" width="0" style="2" hidden="1" customWidth="1"/>
    <col min="15887" max="15887" width="2.85546875" style="2" customWidth="1"/>
    <col min="15888" max="15888" width="3.28515625" style="2" customWidth="1"/>
    <col min="15889" max="15889" width="1.42578125" style="2" customWidth="1"/>
    <col min="15890" max="15890" width="0" style="2" hidden="1" customWidth="1"/>
    <col min="15891" max="15891" width="6.85546875" style="2" customWidth="1"/>
    <col min="15892" max="15892" width="0" style="2" hidden="1" customWidth="1"/>
    <col min="15893" max="15894" width="6.28515625" style="2" customWidth="1"/>
    <col min="15895" max="15896" width="13.85546875" style="2" customWidth="1"/>
    <col min="15897" max="15897" width="10.85546875" style="2" customWidth="1"/>
    <col min="15898" max="15898" width="14.140625" style="2" customWidth="1"/>
    <col min="15899" max="15899" width="0" style="2" hidden="1" customWidth="1"/>
    <col min="15900" max="15900" width="13" style="2" customWidth="1"/>
    <col min="15901" max="15901" width="13.140625" style="2" customWidth="1"/>
    <col min="15902" max="15903" width="14" style="2" customWidth="1"/>
    <col min="15904" max="15904" width="11.42578125" style="2" customWidth="1"/>
    <col min="15905" max="15905" width="15.85546875" style="2" customWidth="1"/>
    <col min="15906" max="15906" width="23.7109375" style="2" customWidth="1"/>
    <col min="15907" max="15907" width="12" style="2" customWidth="1"/>
    <col min="15908" max="15909" width="0.28515625" style="2" customWidth="1"/>
    <col min="15910" max="15910" width="1.42578125" style="2" customWidth="1"/>
    <col min="15911" max="15911" width="0" style="2" hidden="1" customWidth="1"/>
    <col min="15912" max="16128" width="11.42578125" style="2"/>
    <col min="16129" max="16129" width="10.28515625" style="2" customWidth="1"/>
    <col min="16130" max="16130" width="13.42578125" style="2" customWidth="1"/>
    <col min="16131" max="16131" width="4.28515625" style="2" customWidth="1"/>
    <col min="16132" max="16132" width="4" style="2" customWidth="1"/>
    <col min="16133" max="16133" width="19.28515625" style="2" customWidth="1"/>
    <col min="16134" max="16134" width="4.140625" style="2" customWidth="1"/>
    <col min="16135" max="16135" width="11.28515625" style="2" customWidth="1"/>
    <col min="16136" max="16136" width="16.140625" style="2" customWidth="1"/>
    <col min="16137" max="16137" width="11" style="2" customWidth="1"/>
    <col min="16138" max="16139" width="2.140625" style="2" customWidth="1"/>
    <col min="16140" max="16140" width="3.28515625" style="2" customWidth="1"/>
    <col min="16141" max="16142" width="0" style="2" hidden="1" customWidth="1"/>
    <col min="16143" max="16143" width="2.85546875" style="2" customWidth="1"/>
    <col min="16144" max="16144" width="3.28515625" style="2" customWidth="1"/>
    <col min="16145" max="16145" width="1.42578125" style="2" customWidth="1"/>
    <col min="16146" max="16146" width="0" style="2" hidden="1" customWidth="1"/>
    <col min="16147" max="16147" width="6.85546875" style="2" customWidth="1"/>
    <col min="16148" max="16148" width="0" style="2" hidden="1" customWidth="1"/>
    <col min="16149" max="16150" width="6.28515625" style="2" customWidth="1"/>
    <col min="16151" max="16152" width="13.85546875" style="2" customWidth="1"/>
    <col min="16153" max="16153" width="10.85546875" style="2" customWidth="1"/>
    <col min="16154" max="16154" width="14.140625" style="2" customWidth="1"/>
    <col min="16155" max="16155" width="0" style="2" hidden="1" customWidth="1"/>
    <col min="16156" max="16156" width="13" style="2" customWidth="1"/>
    <col min="16157" max="16157" width="13.140625" style="2" customWidth="1"/>
    <col min="16158" max="16159" width="14" style="2" customWidth="1"/>
    <col min="16160" max="16160" width="11.42578125" style="2" customWidth="1"/>
    <col min="16161" max="16161" width="15.85546875" style="2" customWidth="1"/>
    <col min="16162" max="16162" width="23.7109375" style="2" customWidth="1"/>
    <col min="16163" max="16163" width="12" style="2" customWidth="1"/>
    <col min="16164" max="16165" width="0.28515625" style="2" customWidth="1"/>
    <col min="16166" max="16166" width="1.42578125" style="2" customWidth="1"/>
    <col min="16167" max="16167" width="0" style="2" hidden="1" customWidth="1"/>
    <col min="16168" max="16384" width="11.42578125" style="2"/>
  </cols>
  <sheetData>
    <row r="1" spans="1:43" ht="45" customHeight="1">
      <c r="A1" s="600"/>
      <c r="B1" s="600"/>
      <c r="C1" s="684" t="s">
        <v>0</v>
      </c>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6"/>
      <c r="AH1" s="689" t="s">
        <v>45</v>
      </c>
      <c r="AJ1" s="3" t="s">
        <v>17</v>
      </c>
      <c r="AK1" s="6" t="s">
        <v>23</v>
      </c>
    </row>
    <row r="2" spans="1:43" ht="45" customHeight="1">
      <c r="A2" s="600"/>
      <c r="B2" s="600"/>
      <c r="C2" s="690" t="s">
        <v>37</v>
      </c>
      <c r="D2" s="691"/>
      <c r="E2" s="691"/>
      <c r="F2" s="691"/>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2"/>
      <c r="AH2" s="689"/>
      <c r="AJ2" s="2" t="s">
        <v>18</v>
      </c>
      <c r="AK2" s="7" t="s">
        <v>24</v>
      </c>
    </row>
    <row r="3" spans="1:43"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G3" s="604"/>
      <c r="AH3" s="604"/>
      <c r="AJ3" s="3" t="s">
        <v>16</v>
      </c>
      <c r="AK3" s="6" t="s">
        <v>25</v>
      </c>
    </row>
    <row r="4" spans="1:43" ht="30.75" customHeight="1">
      <c r="A4" s="597" t="s">
        <v>5</v>
      </c>
      <c r="B4" s="597"/>
      <c r="C4" s="597"/>
      <c r="D4" s="597"/>
      <c r="E4" s="598" t="s">
        <v>411</v>
      </c>
      <c r="F4" s="598"/>
      <c r="G4" s="598"/>
      <c r="H4" s="598"/>
      <c r="I4" s="598"/>
      <c r="J4" s="598"/>
      <c r="K4" s="598"/>
      <c r="L4" s="598"/>
      <c r="M4" s="598"/>
      <c r="N4" s="598"/>
      <c r="O4" s="598"/>
      <c r="P4" s="598"/>
      <c r="Q4" s="598"/>
      <c r="R4" s="598"/>
      <c r="S4" s="598"/>
      <c r="T4" s="598"/>
      <c r="U4" s="598"/>
      <c r="V4" s="598"/>
      <c r="W4" s="599" t="s">
        <v>20</v>
      </c>
      <c r="X4" s="599"/>
      <c r="Y4" s="599"/>
      <c r="Z4" s="679" t="s">
        <v>444</v>
      </c>
      <c r="AA4" s="680"/>
      <c r="AB4" s="680"/>
      <c r="AC4" s="680"/>
      <c r="AD4" s="680"/>
      <c r="AE4" s="681"/>
      <c r="AF4" s="682" t="s">
        <v>48</v>
      </c>
      <c r="AG4" s="683"/>
      <c r="AH4" s="45" t="s">
        <v>71</v>
      </c>
      <c r="AJ4" s="6" t="s">
        <v>19</v>
      </c>
    </row>
    <row r="5" spans="1:43" ht="4.5" customHeight="1" thickBo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row>
    <row r="6" spans="1:43" ht="57" customHeight="1">
      <c r="A6" s="605" t="s">
        <v>39</v>
      </c>
      <c r="B6" s="606"/>
      <c r="C6" s="599" t="s">
        <v>1</v>
      </c>
      <c r="D6" s="599" t="s">
        <v>49</v>
      </c>
      <c r="E6" s="599"/>
      <c r="F6" s="608" t="s">
        <v>6</v>
      </c>
      <c r="G6" s="599" t="s">
        <v>9</v>
      </c>
      <c r="H6" s="607" t="s">
        <v>50</v>
      </c>
      <c r="I6" s="599" t="s">
        <v>2</v>
      </c>
      <c r="J6" s="599" t="s">
        <v>21</v>
      </c>
      <c r="K6" s="599"/>
      <c r="L6" s="599"/>
      <c r="M6" s="599"/>
      <c r="N6" s="599"/>
      <c r="O6" s="599"/>
      <c r="P6" s="599"/>
      <c r="Q6" s="599"/>
      <c r="R6" s="599"/>
      <c r="S6" s="599"/>
      <c r="T6" s="599"/>
      <c r="U6" s="599"/>
      <c r="V6" s="599"/>
      <c r="W6" s="599" t="s">
        <v>51</v>
      </c>
      <c r="X6" s="607" t="s">
        <v>52</v>
      </c>
      <c r="Y6" s="599" t="s">
        <v>3</v>
      </c>
      <c r="Z6" s="599"/>
      <c r="AA6" s="599"/>
      <c r="AB6" s="610" t="s">
        <v>53</v>
      </c>
      <c r="AC6" s="610" t="s">
        <v>4</v>
      </c>
      <c r="AD6" s="610"/>
      <c r="AE6" s="611" t="s">
        <v>54</v>
      </c>
      <c r="AF6" s="599" t="s">
        <v>55</v>
      </c>
      <c r="AG6" s="599" t="s">
        <v>56</v>
      </c>
      <c r="AH6" s="599" t="s">
        <v>57</v>
      </c>
      <c r="AQ6" s="280"/>
    </row>
    <row r="7" spans="1:43" ht="37.5" customHeight="1" thickBot="1">
      <c r="A7" s="58" t="s">
        <v>40</v>
      </c>
      <c r="B7" s="59" t="s">
        <v>41</v>
      </c>
      <c r="C7" s="599"/>
      <c r="D7" s="599"/>
      <c r="E7" s="599"/>
      <c r="F7" s="608"/>
      <c r="G7" s="599"/>
      <c r="H7" s="693"/>
      <c r="I7" s="599"/>
      <c r="J7" s="599" t="s">
        <v>11</v>
      </c>
      <c r="K7" s="599"/>
      <c r="L7" s="599"/>
      <c r="M7" s="599"/>
      <c r="N7" s="599"/>
      <c r="O7" s="599"/>
      <c r="P7" s="644" t="s">
        <v>12</v>
      </c>
      <c r="Q7" s="644"/>
      <c r="R7" s="644"/>
      <c r="S7" s="644"/>
      <c r="T7" s="644"/>
      <c r="U7" s="644" t="s">
        <v>13</v>
      </c>
      <c r="V7" s="644"/>
      <c r="W7" s="599"/>
      <c r="X7" s="693"/>
      <c r="Y7" s="599"/>
      <c r="Z7" s="599"/>
      <c r="AA7" s="599"/>
      <c r="AB7" s="610"/>
      <c r="AC7" s="86" t="s">
        <v>14</v>
      </c>
      <c r="AD7" s="89" t="s">
        <v>15</v>
      </c>
      <c r="AE7" s="687"/>
      <c r="AF7" s="599"/>
      <c r="AG7" s="599"/>
      <c r="AH7" s="599"/>
      <c r="AQ7" s="280">
        <v>0</v>
      </c>
    </row>
    <row r="8" spans="1:43" ht="118.5" customHeight="1">
      <c r="A8" s="698"/>
      <c r="B8" s="632"/>
      <c r="C8" s="773">
        <v>1</v>
      </c>
      <c r="D8" s="846" t="s">
        <v>445</v>
      </c>
      <c r="E8" s="846"/>
      <c r="F8" s="800">
        <v>43921</v>
      </c>
      <c r="G8" s="804" t="s">
        <v>28</v>
      </c>
      <c r="H8" s="779" t="s">
        <v>59</v>
      </c>
      <c r="I8" s="598" t="s">
        <v>25</v>
      </c>
      <c r="J8" s="848"/>
      <c r="K8" s="848"/>
      <c r="L8" s="848"/>
      <c r="M8" s="848"/>
      <c r="N8" s="848"/>
      <c r="O8" s="848"/>
      <c r="P8" s="848"/>
      <c r="Q8" s="848"/>
      <c r="R8" s="848"/>
      <c r="S8" s="848"/>
      <c r="T8" s="206"/>
      <c r="U8" s="848"/>
      <c r="V8" s="848"/>
      <c r="W8" s="846">
        <v>1</v>
      </c>
      <c r="X8" s="786" t="s">
        <v>446</v>
      </c>
      <c r="Y8" s="703" t="s">
        <v>447</v>
      </c>
      <c r="Z8" s="847"/>
      <c r="AA8" s="704"/>
      <c r="AB8" s="281" t="s">
        <v>448</v>
      </c>
      <c r="AC8" s="231" t="s">
        <v>420</v>
      </c>
      <c r="AD8" s="231" t="s">
        <v>424</v>
      </c>
      <c r="AE8" s="107" t="s">
        <v>70</v>
      </c>
      <c r="AF8" s="91" t="s">
        <v>19</v>
      </c>
      <c r="AG8" s="5">
        <v>0</v>
      </c>
      <c r="AH8" s="67" t="s">
        <v>421</v>
      </c>
    </row>
    <row r="9" spans="1:43" ht="57" customHeight="1">
      <c r="A9" s="845"/>
      <c r="B9" s="621"/>
      <c r="C9" s="621"/>
      <c r="D9" s="846"/>
      <c r="E9" s="846"/>
      <c r="F9" s="800"/>
      <c r="G9" s="804"/>
      <c r="H9" s="613"/>
      <c r="I9" s="598"/>
      <c r="J9" s="848"/>
      <c r="K9" s="848"/>
      <c r="L9" s="848"/>
      <c r="M9" s="848"/>
      <c r="N9" s="848"/>
      <c r="O9" s="848"/>
      <c r="P9" s="848"/>
      <c r="Q9" s="848"/>
      <c r="R9" s="848"/>
      <c r="S9" s="848"/>
      <c r="T9" s="206"/>
      <c r="U9" s="848"/>
      <c r="V9" s="848"/>
      <c r="W9" s="846"/>
      <c r="X9" s="636"/>
      <c r="Y9" s="703" t="s">
        <v>449</v>
      </c>
      <c r="Z9" s="847"/>
      <c r="AA9" s="704"/>
      <c r="AB9" s="281" t="s">
        <v>450</v>
      </c>
      <c r="AC9" s="231" t="s">
        <v>424</v>
      </c>
      <c r="AD9" s="231" t="s">
        <v>428</v>
      </c>
      <c r="AE9" s="107"/>
      <c r="AF9" s="91"/>
      <c r="AG9" s="5"/>
      <c r="AH9" s="67" t="s">
        <v>421</v>
      </c>
    </row>
    <row r="10" spans="1:43" ht="77.25" customHeight="1">
      <c r="A10" s="773"/>
      <c r="B10" s="773"/>
      <c r="C10" s="773">
        <v>2</v>
      </c>
      <c r="D10" s="774" t="s">
        <v>451</v>
      </c>
      <c r="E10" s="775"/>
      <c r="F10" s="778">
        <v>43921</v>
      </c>
      <c r="G10" s="779" t="s">
        <v>28</v>
      </c>
      <c r="H10" s="779" t="s">
        <v>59</v>
      </c>
      <c r="I10" s="773" t="s">
        <v>25</v>
      </c>
      <c r="J10" s="780"/>
      <c r="K10" s="781"/>
      <c r="L10" s="781"/>
      <c r="M10" s="781"/>
      <c r="N10" s="781"/>
      <c r="O10" s="782"/>
      <c r="P10" s="780"/>
      <c r="Q10" s="781"/>
      <c r="R10" s="781"/>
      <c r="S10" s="782"/>
      <c r="T10" s="206"/>
      <c r="U10" s="780"/>
      <c r="V10" s="782"/>
      <c r="W10" s="786">
        <v>1</v>
      </c>
      <c r="X10" s="786" t="s">
        <v>452</v>
      </c>
      <c r="Y10" s="703" t="s">
        <v>453</v>
      </c>
      <c r="Z10" s="847"/>
      <c r="AA10" s="704"/>
      <c r="AB10" s="281" t="s">
        <v>448</v>
      </c>
      <c r="AC10" s="231" t="s">
        <v>420</v>
      </c>
      <c r="AD10" s="231" t="s">
        <v>424</v>
      </c>
      <c r="AE10" s="107" t="s">
        <v>70</v>
      </c>
      <c r="AF10" s="91" t="s">
        <v>19</v>
      </c>
      <c r="AG10" s="5">
        <v>0</v>
      </c>
      <c r="AH10" s="67" t="s">
        <v>421</v>
      </c>
    </row>
    <row r="11" spans="1:43" ht="75" customHeight="1">
      <c r="A11" s="633"/>
      <c r="B11" s="633"/>
      <c r="C11" s="633"/>
      <c r="D11" s="724"/>
      <c r="E11" s="725"/>
      <c r="F11" s="729"/>
      <c r="G11" s="732"/>
      <c r="H11" s="732"/>
      <c r="I11" s="633"/>
      <c r="J11" s="739"/>
      <c r="K11" s="740"/>
      <c r="L11" s="740"/>
      <c r="M11" s="740"/>
      <c r="N11" s="740"/>
      <c r="O11" s="741"/>
      <c r="P11" s="739"/>
      <c r="Q11" s="740"/>
      <c r="R11" s="740"/>
      <c r="S11" s="741"/>
      <c r="T11" s="206"/>
      <c r="U11" s="739"/>
      <c r="V11" s="741"/>
      <c r="W11" s="713"/>
      <c r="X11" s="713"/>
      <c r="Y11" s="703" t="s">
        <v>454</v>
      </c>
      <c r="Z11" s="847"/>
      <c r="AA11" s="704"/>
      <c r="AB11" s="81" t="s">
        <v>455</v>
      </c>
      <c r="AC11" s="231" t="s">
        <v>424</v>
      </c>
      <c r="AD11" s="231" t="s">
        <v>425</v>
      </c>
      <c r="AE11" s="107"/>
      <c r="AF11" s="91"/>
      <c r="AG11" s="5"/>
      <c r="AH11" s="67" t="s">
        <v>421</v>
      </c>
    </row>
    <row r="12" spans="1:43" ht="91.5" customHeight="1">
      <c r="A12" s="621"/>
      <c r="B12" s="621"/>
      <c r="C12" s="621"/>
      <c r="D12" s="776"/>
      <c r="E12" s="777"/>
      <c r="F12" s="639"/>
      <c r="G12" s="613"/>
      <c r="H12" s="613"/>
      <c r="I12" s="621"/>
      <c r="J12" s="783"/>
      <c r="K12" s="784"/>
      <c r="L12" s="784"/>
      <c r="M12" s="784"/>
      <c r="N12" s="784"/>
      <c r="O12" s="785"/>
      <c r="P12" s="783"/>
      <c r="Q12" s="784"/>
      <c r="R12" s="784"/>
      <c r="S12" s="785"/>
      <c r="T12" s="206"/>
      <c r="U12" s="783"/>
      <c r="V12" s="785"/>
      <c r="W12" s="636"/>
      <c r="X12" s="636"/>
      <c r="Y12" s="849" t="s">
        <v>456</v>
      </c>
      <c r="Z12" s="850"/>
      <c r="AA12" s="851"/>
      <c r="AB12" s="231" t="s">
        <v>457</v>
      </c>
      <c r="AC12" s="81" t="s">
        <v>425</v>
      </c>
      <c r="AD12" s="231" t="s">
        <v>425</v>
      </c>
      <c r="AE12" s="107"/>
      <c r="AF12" s="91"/>
      <c r="AG12" s="5"/>
      <c r="AH12" s="67" t="s">
        <v>421</v>
      </c>
    </row>
    <row r="13" spans="1:43" ht="6" customHeight="1">
      <c r="A13" s="604"/>
      <c r="B13" s="604"/>
      <c r="C13" s="604"/>
      <c r="D13" s="604"/>
      <c r="E13" s="604"/>
      <c r="F13" s="604"/>
      <c r="G13" s="604"/>
      <c r="H13" s="604"/>
      <c r="I13" s="604"/>
      <c r="J13" s="604"/>
      <c r="K13" s="604"/>
      <c r="L13" s="604"/>
      <c r="M13" s="604"/>
      <c r="N13" s="604"/>
      <c r="O13" s="604"/>
      <c r="P13" s="604"/>
      <c r="Q13" s="604"/>
      <c r="R13" s="604"/>
      <c r="S13" s="604"/>
      <c r="T13" s="604"/>
      <c r="U13" s="604"/>
      <c r="V13" s="604"/>
      <c r="W13" s="604"/>
      <c r="X13" s="604"/>
      <c r="Y13" s="604"/>
      <c r="Z13" s="604"/>
      <c r="AA13" s="604"/>
      <c r="AB13" s="604"/>
      <c r="AC13" s="604"/>
      <c r="AD13" s="604"/>
      <c r="AE13" s="604"/>
      <c r="AF13" s="604"/>
      <c r="AG13" s="604"/>
      <c r="AH13" s="604"/>
    </row>
    <row r="14" spans="1:43" ht="12.75" customHeight="1">
      <c r="A14" s="644" t="s">
        <v>22</v>
      </c>
      <c r="B14" s="644"/>
      <c r="C14" s="644"/>
      <c r="D14" s="644"/>
      <c r="E14" s="644"/>
      <c r="F14" s="644"/>
      <c r="G14" s="644"/>
      <c r="H14" s="644"/>
      <c r="I14" s="644"/>
      <c r="J14" s="644"/>
      <c r="K14" s="644"/>
      <c r="L14" s="644"/>
      <c r="M14" s="4"/>
      <c r="N14" s="4"/>
      <c r="O14" s="645" t="s">
        <v>34</v>
      </c>
      <c r="P14" s="645"/>
      <c r="Q14" s="645"/>
      <c r="R14" s="645"/>
      <c r="S14" s="645"/>
      <c r="T14" s="645"/>
      <c r="U14" s="645"/>
      <c r="V14" s="645"/>
      <c r="W14" s="645"/>
      <c r="X14" s="645"/>
      <c r="Y14" s="645"/>
      <c r="Z14" s="645"/>
      <c r="AA14" s="645"/>
      <c r="AB14" s="645"/>
      <c r="AC14" s="645"/>
      <c r="AD14" s="646" t="s">
        <v>35</v>
      </c>
      <c r="AE14" s="646"/>
      <c r="AF14" s="646"/>
      <c r="AG14" s="646"/>
      <c r="AH14" s="646"/>
    </row>
    <row r="15" spans="1:43">
      <c r="A15" s="644"/>
      <c r="B15" s="644"/>
      <c r="C15" s="644"/>
      <c r="D15" s="644"/>
      <c r="E15" s="644"/>
      <c r="F15" s="644"/>
      <c r="G15" s="644"/>
      <c r="H15" s="644"/>
      <c r="I15" s="644"/>
      <c r="J15" s="644"/>
      <c r="K15" s="644"/>
      <c r="L15" s="644"/>
      <c r="M15" s="4"/>
      <c r="N15" s="4"/>
      <c r="O15" s="645"/>
      <c r="P15" s="645"/>
      <c r="Q15" s="645"/>
      <c r="R15" s="645"/>
      <c r="S15" s="645"/>
      <c r="T15" s="645"/>
      <c r="U15" s="645"/>
      <c r="V15" s="645"/>
      <c r="W15" s="645"/>
      <c r="X15" s="645"/>
      <c r="Y15" s="645"/>
      <c r="Z15" s="645"/>
      <c r="AA15" s="645"/>
      <c r="AB15" s="645"/>
      <c r="AC15" s="645"/>
      <c r="AD15" s="646"/>
      <c r="AE15" s="646"/>
      <c r="AF15" s="646"/>
      <c r="AG15" s="646"/>
      <c r="AH15" s="646"/>
    </row>
    <row r="16" spans="1:43" ht="38.25" customHeight="1">
      <c r="A16" s="854" t="s">
        <v>458</v>
      </c>
      <c r="B16" s="855"/>
      <c r="C16" s="855"/>
      <c r="D16" s="855"/>
      <c r="E16" s="855"/>
      <c r="F16" s="855"/>
      <c r="G16" s="855"/>
      <c r="H16" s="855"/>
      <c r="I16" s="855"/>
      <c r="J16" s="855"/>
      <c r="K16" s="855"/>
      <c r="L16" s="855"/>
      <c r="M16" s="282"/>
      <c r="N16" s="282"/>
      <c r="O16" s="852" t="s">
        <v>459</v>
      </c>
      <c r="P16" s="852"/>
      <c r="Q16" s="852"/>
      <c r="R16" s="852"/>
      <c r="S16" s="852"/>
      <c r="T16" s="852"/>
      <c r="U16" s="852"/>
      <c r="V16" s="852"/>
      <c r="W16" s="852"/>
      <c r="X16" s="852"/>
      <c r="Y16" s="852"/>
      <c r="Z16" s="852"/>
      <c r="AA16" s="852"/>
      <c r="AB16" s="852"/>
      <c r="AC16" s="852"/>
      <c r="AD16" s="853" t="s">
        <v>460</v>
      </c>
      <c r="AE16" s="853"/>
      <c r="AF16" s="853"/>
      <c r="AG16" s="853"/>
      <c r="AH16" s="853"/>
    </row>
    <row r="17" spans="1:37" ht="15" customHeight="1">
      <c r="A17" s="641" t="s">
        <v>36</v>
      </c>
      <c r="B17" s="641"/>
      <c r="C17" s="641"/>
      <c r="D17" s="641"/>
      <c r="E17" s="641"/>
      <c r="F17" s="641"/>
      <c r="G17" s="641"/>
      <c r="H17" s="641"/>
      <c r="I17" s="641"/>
      <c r="J17" s="641"/>
      <c r="K17" s="641"/>
      <c r="L17" s="641"/>
      <c r="M17" s="641"/>
      <c r="N17" s="641"/>
      <c r="O17" s="641"/>
      <c r="P17" s="641"/>
      <c r="Q17" s="641"/>
      <c r="R17" s="641"/>
      <c r="S17" s="641"/>
      <c r="T17" s="641"/>
      <c r="U17" s="641"/>
      <c r="V17" s="641"/>
      <c r="W17" s="641"/>
      <c r="X17" s="641"/>
      <c r="Y17" s="641"/>
      <c r="Z17" s="641"/>
      <c r="AA17" s="641"/>
      <c r="AB17" s="641"/>
      <c r="AC17" s="641"/>
      <c r="AD17" s="641"/>
      <c r="AE17" s="641"/>
      <c r="AF17" s="641"/>
      <c r="AG17" s="641"/>
      <c r="AH17" s="641"/>
    </row>
    <row r="18" spans="1:37" ht="0.95" customHeight="1">
      <c r="A18" s="642"/>
      <c r="B18" s="642"/>
      <c r="C18" s="642"/>
      <c r="D18" s="642"/>
      <c r="E18" s="642"/>
      <c r="F18" s="642"/>
      <c r="G18" s="642"/>
      <c r="H18" s="642"/>
      <c r="I18" s="642"/>
      <c r="J18" s="642"/>
      <c r="K18" s="642"/>
      <c r="L18" s="642"/>
      <c r="M18" s="642"/>
      <c r="N18" s="642"/>
      <c r="O18" s="642"/>
      <c r="P18" s="642"/>
      <c r="Q18" s="642"/>
      <c r="R18" s="642"/>
      <c r="S18" s="642"/>
      <c r="T18" s="642"/>
      <c r="U18" s="642"/>
      <c r="V18" s="642"/>
      <c r="W18" s="642"/>
      <c r="X18" s="642"/>
      <c r="Y18" s="642"/>
      <c r="Z18" s="642"/>
      <c r="AA18" s="642"/>
      <c r="AB18" s="642"/>
      <c r="AC18" s="642"/>
      <c r="AD18" s="642"/>
      <c r="AE18" s="642"/>
      <c r="AF18" s="642"/>
      <c r="AG18" s="642"/>
      <c r="AH18" s="642"/>
      <c r="AI18" s="642"/>
    </row>
    <row r="19" spans="1:37">
      <c r="A19" s="642"/>
      <c r="B19" s="642"/>
      <c r="C19" s="642"/>
      <c r="D19" s="642"/>
      <c r="E19" s="642"/>
      <c r="F19" s="642"/>
      <c r="G19" s="642"/>
      <c r="H19" s="642"/>
      <c r="I19" s="642"/>
      <c r="J19" s="642"/>
      <c r="K19" s="642"/>
      <c r="L19" s="642"/>
      <c r="M19" s="642"/>
      <c r="N19" s="642"/>
      <c r="O19" s="642"/>
      <c r="P19" s="642"/>
      <c r="Q19" s="642"/>
      <c r="R19" s="642"/>
      <c r="S19" s="642"/>
      <c r="T19" s="642"/>
      <c r="U19" s="642"/>
      <c r="V19" s="642"/>
      <c r="W19" s="642"/>
      <c r="X19" s="642"/>
      <c r="Y19" s="642"/>
      <c r="Z19" s="642"/>
      <c r="AA19" s="642"/>
      <c r="AB19" s="642"/>
      <c r="AC19" s="642"/>
      <c r="AD19" s="642"/>
      <c r="AE19" s="642"/>
      <c r="AF19" s="642"/>
      <c r="AG19" s="642"/>
      <c r="AH19" s="642"/>
      <c r="AI19" s="8"/>
      <c r="AJ19" s="8"/>
    </row>
    <row r="20" spans="1:37" ht="24" customHeight="1">
      <c r="A20" s="74"/>
      <c r="B20" s="75"/>
      <c r="C20" s="74"/>
      <c r="D20" s="74"/>
      <c r="E20" s="74"/>
      <c r="F20" s="74"/>
      <c r="G20" s="74"/>
      <c r="H20" s="76" t="s">
        <v>66</v>
      </c>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8"/>
      <c r="AJ20" s="8"/>
    </row>
    <row r="21" spans="1:37" ht="54.95" customHeight="1">
      <c r="A21" s="74"/>
      <c r="B21" s="75"/>
      <c r="C21" s="74"/>
      <c r="D21" s="74"/>
      <c r="E21" s="74"/>
      <c r="F21" s="74"/>
      <c r="G21" s="74"/>
      <c r="H21" s="76" t="s">
        <v>67</v>
      </c>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8"/>
      <c r="AJ21" s="8"/>
    </row>
    <row r="22" spans="1:37" ht="0.95" customHeight="1">
      <c r="A22" s="74"/>
      <c r="B22" s="75" t="s">
        <v>68</v>
      </c>
      <c r="C22" s="74"/>
      <c r="D22" s="74"/>
      <c r="E22" s="74"/>
      <c r="F22" s="74"/>
      <c r="G22" s="74"/>
      <c r="H22" s="76" t="s">
        <v>69</v>
      </c>
      <c r="I22" s="74"/>
      <c r="J22" s="74"/>
      <c r="K22" s="74"/>
      <c r="L22" s="74"/>
      <c r="M22" s="74"/>
      <c r="N22" s="74"/>
      <c r="O22" s="74"/>
      <c r="P22" s="74"/>
      <c r="Q22" s="74"/>
      <c r="R22" s="74"/>
      <c r="S22" s="74"/>
      <c r="T22" s="74"/>
      <c r="U22" s="74"/>
      <c r="V22" s="74"/>
      <c r="W22" s="74"/>
      <c r="X22" s="76" t="s">
        <v>23</v>
      </c>
      <c r="Y22" s="74"/>
      <c r="Z22" s="74"/>
      <c r="AA22" s="74"/>
      <c r="AB22" s="74"/>
      <c r="AC22" s="74"/>
      <c r="AD22" s="74"/>
      <c r="AE22" s="74"/>
      <c r="AF22" s="74"/>
      <c r="AG22" s="74"/>
      <c r="AH22" s="74"/>
      <c r="AI22" s="8"/>
      <c r="AJ22" s="8"/>
    </row>
    <row r="23" spans="1:37" ht="0.95" customHeight="1">
      <c r="A23" s="74"/>
      <c r="B23" s="75" t="s">
        <v>70</v>
      </c>
      <c r="C23" s="74"/>
      <c r="D23" s="74"/>
      <c r="E23" s="74"/>
      <c r="F23" s="74"/>
      <c r="G23" s="74"/>
      <c r="H23" s="77" t="s">
        <v>59</v>
      </c>
      <c r="I23" s="74"/>
      <c r="J23" s="74"/>
      <c r="K23" s="74"/>
      <c r="L23" s="74"/>
      <c r="M23" s="74"/>
      <c r="N23" s="74"/>
      <c r="O23" s="74"/>
      <c r="P23" s="74"/>
      <c r="Q23" s="74"/>
      <c r="R23" s="74"/>
      <c r="S23" s="74"/>
      <c r="T23" s="74"/>
      <c r="U23" s="74"/>
      <c r="V23" s="74"/>
      <c r="W23" s="74"/>
      <c r="X23" s="76" t="s">
        <v>25</v>
      </c>
      <c r="Y23" s="74"/>
      <c r="Z23" s="74"/>
      <c r="AA23" s="74"/>
      <c r="AB23" s="74"/>
      <c r="AC23" s="74"/>
      <c r="AD23" s="74"/>
      <c r="AE23" s="74"/>
      <c r="AF23" s="74"/>
      <c r="AG23" s="74"/>
      <c r="AH23" s="74"/>
      <c r="AI23" s="8"/>
      <c r="AJ23" s="8"/>
    </row>
    <row r="24" spans="1:37" ht="0.95" customHeight="1">
      <c r="A24" s="78"/>
      <c r="B24" s="79" t="s">
        <v>16</v>
      </c>
      <c r="C24" s="78"/>
      <c r="D24" s="78"/>
      <c r="E24" s="78"/>
      <c r="F24" s="78"/>
      <c r="G24" s="78"/>
      <c r="H24" s="80" t="s">
        <v>65</v>
      </c>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row>
    <row r="26" spans="1:37" ht="24.75" customHeight="1">
      <c r="AK26" s="6" t="s">
        <v>38</v>
      </c>
    </row>
    <row r="27" spans="1:37" ht="24.75" customHeight="1">
      <c r="AK27" s="6" t="s">
        <v>10</v>
      </c>
    </row>
    <row r="28" spans="1:37" ht="24.75" customHeight="1">
      <c r="AK28" s="6" t="s">
        <v>42</v>
      </c>
    </row>
    <row r="29" spans="1:37" ht="24.75" customHeight="1">
      <c r="AK29" s="6" t="s">
        <v>43</v>
      </c>
    </row>
    <row r="30" spans="1:37" ht="24.75" customHeight="1">
      <c r="AK30" s="6" t="s">
        <v>44</v>
      </c>
    </row>
    <row r="31" spans="1:37" ht="24.75" customHeight="1">
      <c r="AK31" s="6" t="s">
        <v>26</v>
      </c>
    </row>
    <row r="32" spans="1:37" ht="24.75" customHeight="1">
      <c r="AK32" s="6" t="s">
        <v>27</v>
      </c>
    </row>
    <row r="33" spans="37:37" ht="24.75" customHeight="1">
      <c r="AK33" s="6" t="s">
        <v>28</v>
      </c>
    </row>
    <row r="34" spans="37:37" ht="24.75" customHeight="1">
      <c r="AK34" s="6" t="s">
        <v>30</v>
      </c>
    </row>
    <row r="35" spans="37:37" ht="24.75" customHeight="1">
      <c r="AK35" s="6" t="s">
        <v>29</v>
      </c>
    </row>
    <row r="36" spans="37:37" ht="24.75" customHeight="1">
      <c r="AK36" s="6" t="s">
        <v>31</v>
      </c>
    </row>
    <row r="37" spans="37:37" ht="24.75" customHeight="1">
      <c r="AK37" s="6" t="s">
        <v>32</v>
      </c>
    </row>
    <row r="38" spans="37:37" ht="51">
      <c r="AK38" s="6" t="s">
        <v>33</v>
      </c>
    </row>
  </sheetData>
  <mergeCells count="72">
    <mergeCell ref="O16:AC16"/>
    <mergeCell ref="AD16:AH16"/>
    <mergeCell ref="A17:AH17"/>
    <mergeCell ref="A18:AI18"/>
    <mergeCell ref="A19:AH19"/>
    <mergeCell ref="A16:L16"/>
    <mergeCell ref="A14:L15"/>
    <mergeCell ref="O14:AC15"/>
    <mergeCell ref="AD14:AH15"/>
    <mergeCell ref="H10:H12"/>
    <mergeCell ref="I10:I12"/>
    <mergeCell ref="J10:O12"/>
    <mergeCell ref="P10:S12"/>
    <mergeCell ref="U10:V12"/>
    <mergeCell ref="W10:W12"/>
    <mergeCell ref="X10:X12"/>
    <mergeCell ref="Y10:AA10"/>
    <mergeCell ref="Y11:AA11"/>
    <mergeCell ref="Y12:AA12"/>
    <mergeCell ref="A13:AH13"/>
    <mergeCell ref="W8:W9"/>
    <mergeCell ref="X8:X9"/>
    <mergeCell ref="Y8:AA8"/>
    <mergeCell ref="Y9:AA9"/>
    <mergeCell ref="A10:A12"/>
    <mergeCell ref="B10:B12"/>
    <mergeCell ref="C10:C12"/>
    <mergeCell ref="D10:E12"/>
    <mergeCell ref="F10:F12"/>
    <mergeCell ref="G10:G12"/>
    <mergeCell ref="G8:G9"/>
    <mergeCell ref="H8:H9"/>
    <mergeCell ref="I8:I9"/>
    <mergeCell ref="J8:O9"/>
    <mergeCell ref="P8:S9"/>
    <mergeCell ref="U8:V9"/>
    <mergeCell ref="Y6:AA7"/>
    <mergeCell ref="AB6:AB7"/>
    <mergeCell ref="AC6:AD6"/>
    <mergeCell ref="AE6:AE7"/>
    <mergeCell ref="AF6:AF7"/>
    <mergeCell ref="A8:A9"/>
    <mergeCell ref="B8:B9"/>
    <mergeCell ref="C8:C9"/>
    <mergeCell ref="D8:E9"/>
    <mergeCell ref="F8:F9"/>
    <mergeCell ref="A5:AH5"/>
    <mergeCell ref="A6:B6"/>
    <mergeCell ref="C6:C7"/>
    <mergeCell ref="D6:E7"/>
    <mergeCell ref="F6:F7"/>
    <mergeCell ref="G6:G7"/>
    <mergeCell ref="H6:H7"/>
    <mergeCell ref="I6:I7"/>
    <mergeCell ref="J6:V6"/>
    <mergeCell ref="W6:W7"/>
    <mergeCell ref="AG6:AG7"/>
    <mergeCell ref="AH6:AH7"/>
    <mergeCell ref="J7:O7"/>
    <mergeCell ref="P7:T7"/>
    <mergeCell ref="U7:V7"/>
    <mergeCell ref="X6:X7"/>
    <mergeCell ref="A1:B2"/>
    <mergeCell ref="C1:AG1"/>
    <mergeCell ref="AH1:AH2"/>
    <mergeCell ref="C2:AG2"/>
    <mergeCell ref="A3:AH3"/>
    <mergeCell ref="A4:D4"/>
    <mergeCell ref="E4:V4"/>
    <mergeCell ref="W4:Y4"/>
    <mergeCell ref="Z4:AE4"/>
    <mergeCell ref="AF4:AG4"/>
  </mergeCells>
  <conditionalFormatting sqref="AG8:AG12">
    <cfRule type="cellIs" dxfId="337" priority="1" operator="between">
      <formula>0.001</formula>
      <formula>0.99</formula>
    </cfRule>
    <cfRule type="cellIs" dxfId="336" priority="2" operator="equal">
      <formula>1</formula>
    </cfRule>
    <cfRule type="cellIs" dxfId="335" priority="3" operator="equal">
      <formula>0</formula>
    </cfRule>
  </conditionalFormatting>
  <conditionalFormatting sqref="AG8:AG12">
    <cfRule type="cellIs" dxfId="334" priority="4" operator="between">
      <formula>0.01</formula>
      <formula>0.99</formula>
    </cfRule>
    <cfRule type="cellIs" dxfId="333" priority="5" operator="equal">
      <formula>1</formula>
    </cfRule>
    <cfRule type="cellIs" dxfId="332" priority="6" operator="equal">
      <formula>0</formula>
    </cfRule>
  </conditionalFormatting>
  <dataValidations count="5">
    <dataValidation type="list" allowBlank="1" showInputMessage="1" showErrorMessage="1"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44:G65546 JC65544:JC65546 SY65544:SY65546 ACU65544:ACU65546 AMQ65544:AMQ65546 AWM65544:AWM65546 BGI65544:BGI65546 BQE65544:BQE65546 CAA65544:CAA65546 CJW65544:CJW65546 CTS65544:CTS65546 DDO65544:DDO65546 DNK65544:DNK65546 DXG65544:DXG65546 EHC65544:EHC65546 EQY65544:EQY65546 FAU65544:FAU65546 FKQ65544:FKQ65546 FUM65544:FUM65546 GEI65544:GEI65546 GOE65544:GOE65546 GYA65544:GYA65546 HHW65544:HHW65546 HRS65544:HRS65546 IBO65544:IBO65546 ILK65544:ILK65546 IVG65544:IVG65546 JFC65544:JFC65546 JOY65544:JOY65546 JYU65544:JYU65546 KIQ65544:KIQ65546 KSM65544:KSM65546 LCI65544:LCI65546 LME65544:LME65546 LWA65544:LWA65546 MFW65544:MFW65546 MPS65544:MPS65546 MZO65544:MZO65546 NJK65544:NJK65546 NTG65544:NTG65546 ODC65544:ODC65546 OMY65544:OMY65546 OWU65544:OWU65546 PGQ65544:PGQ65546 PQM65544:PQM65546 QAI65544:QAI65546 QKE65544:QKE65546 QUA65544:QUA65546 RDW65544:RDW65546 RNS65544:RNS65546 RXO65544:RXO65546 SHK65544:SHK65546 SRG65544:SRG65546 TBC65544:TBC65546 TKY65544:TKY65546 TUU65544:TUU65546 UEQ65544:UEQ65546 UOM65544:UOM65546 UYI65544:UYI65546 VIE65544:VIE65546 VSA65544:VSA65546 WBW65544:WBW65546 WLS65544:WLS65546 WVO65544:WVO65546 G131080:G131082 JC131080:JC131082 SY131080:SY131082 ACU131080:ACU131082 AMQ131080:AMQ131082 AWM131080:AWM131082 BGI131080:BGI131082 BQE131080:BQE131082 CAA131080:CAA131082 CJW131080:CJW131082 CTS131080:CTS131082 DDO131080:DDO131082 DNK131080:DNK131082 DXG131080:DXG131082 EHC131080:EHC131082 EQY131080:EQY131082 FAU131080:FAU131082 FKQ131080:FKQ131082 FUM131080:FUM131082 GEI131080:GEI131082 GOE131080:GOE131082 GYA131080:GYA131082 HHW131080:HHW131082 HRS131080:HRS131082 IBO131080:IBO131082 ILK131080:ILK131082 IVG131080:IVG131082 JFC131080:JFC131082 JOY131080:JOY131082 JYU131080:JYU131082 KIQ131080:KIQ131082 KSM131080:KSM131082 LCI131080:LCI131082 LME131080:LME131082 LWA131080:LWA131082 MFW131080:MFW131082 MPS131080:MPS131082 MZO131080:MZO131082 NJK131080:NJK131082 NTG131080:NTG131082 ODC131080:ODC131082 OMY131080:OMY131082 OWU131080:OWU131082 PGQ131080:PGQ131082 PQM131080:PQM131082 QAI131080:QAI131082 QKE131080:QKE131082 QUA131080:QUA131082 RDW131080:RDW131082 RNS131080:RNS131082 RXO131080:RXO131082 SHK131080:SHK131082 SRG131080:SRG131082 TBC131080:TBC131082 TKY131080:TKY131082 TUU131080:TUU131082 UEQ131080:UEQ131082 UOM131080:UOM131082 UYI131080:UYI131082 VIE131080:VIE131082 VSA131080:VSA131082 WBW131080:WBW131082 WLS131080:WLS131082 WVO131080:WVO131082 G196616:G196618 JC196616:JC196618 SY196616:SY196618 ACU196616:ACU196618 AMQ196616:AMQ196618 AWM196616:AWM196618 BGI196616:BGI196618 BQE196616:BQE196618 CAA196616:CAA196618 CJW196616:CJW196618 CTS196616:CTS196618 DDO196616:DDO196618 DNK196616:DNK196618 DXG196616:DXG196618 EHC196616:EHC196618 EQY196616:EQY196618 FAU196616:FAU196618 FKQ196616:FKQ196618 FUM196616:FUM196618 GEI196616:GEI196618 GOE196616:GOE196618 GYA196616:GYA196618 HHW196616:HHW196618 HRS196616:HRS196618 IBO196616:IBO196618 ILK196616:ILK196618 IVG196616:IVG196618 JFC196616:JFC196618 JOY196616:JOY196618 JYU196616:JYU196618 KIQ196616:KIQ196618 KSM196616:KSM196618 LCI196616:LCI196618 LME196616:LME196618 LWA196616:LWA196618 MFW196616:MFW196618 MPS196616:MPS196618 MZO196616:MZO196618 NJK196616:NJK196618 NTG196616:NTG196618 ODC196616:ODC196618 OMY196616:OMY196618 OWU196616:OWU196618 PGQ196616:PGQ196618 PQM196616:PQM196618 QAI196616:QAI196618 QKE196616:QKE196618 QUA196616:QUA196618 RDW196616:RDW196618 RNS196616:RNS196618 RXO196616:RXO196618 SHK196616:SHK196618 SRG196616:SRG196618 TBC196616:TBC196618 TKY196616:TKY196618 TUU196616:TUU196618 UEQ196616:UEQ196618 UOM196616:UOM196618 UYI196616:UYI196618 VIE196616:VIE196618 VSA196616:VSA196618 WBW196616:WBW196618 WLS196616:WLS196618 WVO196616:WVO196618 G262152:G262154 JC262152:JC262154 SY262152:SY262154 ACU262152:ACU262154 AMQ262152:AMQ262154 AWM262152:AWM262154 BGI262152:BGI262154 BQE262152:BQE262154 CAA262152:CAA262154 CJW262152:CJW262154 CTS262152:CTS262154 DDO262152:DDO262154 DNK262152:DNK262154 DXG262152:DXG262154 EHC262152:EHC262154 EQY262152:EQY262154 FAU262152:FAU262154 FKQ262152:FKQ262154 FUM262152:FUM262154 GEI262152:GEI262154 GOE262152:GOE262154 GYA262152:GYA262154 HHW262152:HHW262154 HRS262152:HRS262154 IBO262152:IBO262154 ILK262152:ILK262154 IVG262152:IVG262154 JFC262152:JFC262154 JOY262152:JOY262154 JYU262152:JYU262154 KIQ262152:KIQ262154 KSM262152:KSM262154 LCI262152:LCI262154 LME262152:LME262154 LWA262152:LWA262154 MFW262152:MFW262154 MPS262152:MPS262154 MZO262152:MZO262154 NJK262152:NJK262154 NTG262152:NTG262154 ODC262152:ODC262154 OMY262152:OMY262154 OWU262152:OWU262154 PGQ262152:PGQ262154 PQM262152:PQM262154 QAI262152:QAI262154 QKE262152:QKE262154 QUA262152:QUA262154 RDW262152:RDW262154 RNS262152:RNS262154 RXO262152:RXO262154 SHK262152:SHK262154 SRG262152:SRG262154 TBC262152:TBC262154 TKY262152:TKY262154 TUU262152:TUU262154 UEQ262152:UEQ262154 UOM262152:UOM262154 UYI262152:UYI262154 VIE262152:VIE262154 VSA262152:VSA262154 WBW262152:WBW262154 WLS262152:WLS262154 WVO262152:WVO262154 G327688:G327690 JC327688:JC327690 SY327688:SY327690 ACU327688:ACU327690 AMQ327688:AMQ327690 AWM327688:AWM327690 BGI327688:BGI327690 BQE327688:BQE327690 CAA327688:CAA327690 CJW327688:CJW327690 CTS327688:CTS327690 DDO327688:DDO327690 DNK327688:DNK327690 DXG327688:DXG327690 EHC327688:EHC327690 EQY327688:EQY327690 FAU327688:FAU327690 FKQ327688:FKQ327690 FUM327688:FUM327690 GEI327688:GEI327690 GOE327688:GOE327690 GYA327688:GYA327690 HHW327688:HHW327690 HRS327688:HRS327690 IBO327688:IBO327690 ILK327688:ILK327690 IVG327688:IVG327690 JFC327688:JFC327690 JOY327688:JOY327690 JYU327688:JYU327690 KIQ327688:KIQ327690 KSM327688:KSM327690 LCI327688:LCI327690 LME327688:LME327690 LWA327688:LWA327690 MFW327688:MFW327690 MPS327688:MPS327690 MZO327688:MZO327690 NJK327688:NJK327690 NTG327688:NTG327690 ODC327688:ODC327690 OMY327688:OMY327690 OWU327688:OWU327690 PGQ327688:PGQ327690 PQM327688:PQM327690 QAI327688:QAI327690 QKE327688:QKE327690 QUA327688:QUA327690 RDW327688:RDW327690 RNS327688:RNS327690 RXO327688:RXO327690 SHK327688:SHK327690 SRG327688:SRG327690 TBC327688:TBC327690 TKY327688:TKY327690 TUU327688:TUU327690 UEQ327688:UEQ327690 UOM327688:UOM327690 UYI327688:UYI327690 VIE327688:VIE327690 VSA327688:VSA327690 WBW327688:WBW327690 WLS327688:WLS327690 WVO327688:WVO327690 G393224:G393226 JC393224:JC393226 SY393224:SY393226 ACU393224:ACU393226 AMQ393224:AMQ393226 AWM393224:AWM393226 BGI393224:BGI393226 BQE393224:BQE393226 CAA393224:CAA393226 CJW393224:CJW393226 CTS393224:CTS393226 DDO393224:DDO393226 DNK393224:DNK393226 DXG393224:DXG393226 EHC393224:EHC393226 EQY393224:EQY393226 FAU393224:FAU393226 FKQ393224:FKQ393226 FUM393224:FUM393226 GEI393224:GEI393226 GOE393224:GOE393226 GYA393224:GYA393226 HHW393224:HHW393226 HRS393224:HRS393226 IBO393224:IBO393226 ILK393224:ILK393226 IVG393224:IVG393226 JFC393224:JFC393226 JOY393224:JOY393226 JYU393224:JYU393226 KIQ393224:KIQ393226 KSM393224:KSM393226 LCI393224:LCI393226 LME393224:LME393226 LWA393224:LWA393226 MFW393224:MFW393226 MPS393224:MPS393226 MZO393224:MZO393226 NJK393224:NJK393226 NTG393224:NTG393226 ODC393224:ODC393226 OMY393224:OMY393226 OWU393224:OWU393226 PGQ393224:PGQ393226 PQM393224:PQM393226 QAI393224:QAI393226 QKE393224:QKE393226 QUA393224:QUA393226 RDW393224:RDW393226 RNS393224:RNS393226 RXO393224:RXO393226 SHK393224:SHK393226 SRG393224:SRG393226 TBC393224:TBC393226 TKY393224:TKY393226 TUU393224:TUU393226 UEQ393224:UEQ393226 UOM393224:UOM393226 UYI393224:UYI393226 VIE393224:VIE393226 VSA393224:VSA393226 WBW393224:WBW393226 WLS393224:WLS393226 WVO393224:WVO393226 G458760:G458762 JC458760:JC458762 SY458760:SY458762 ACU458760:ACU458762 AMQ458760:AMQ458762 AWM458760:AWM458762 BGI458760:BGI458762 BQE458760:BQE458762 CAA458760:CAA458762 CJW458760:CJW458762 CTS458760:CTS458762 DDO458760:DDO458762 DNK458760:DNK458762 DXG458760:DXG458762 EHC458760:EHC458762 EQY458760:EQY458762 FAU458760:FAU458762 FKQ458760:FKQ458762 FUM458760:FUM458762 GEI458760:GEI458762 GOE458760:GOE458762 GYA458760:GYA458762 HHW458760:HHW458762 HRS458760:HRS458762 IBO458760:IBO458762 ILK458760:ILK458762 IVG458760:IVG458762 JFC458760:JFC458762 JOY458760:JOY458762 JYU458760:JYU458762 KIQ458760:KIQ458762 KSM458760:KSM458762 LCI458760:LCI458762 LME458760:LME458762 LWA458760:LWA458762 MFW458760:MFW458762 MPS458760:MPS458762 MZO458760:MZO458762 NJK458760:NJK458762 NTG458760:NTG458762 ODC458760:ODC458762 OMY458760:OMY458762 OWU458760:OWU458762 PGQ458760:PGQ458762 PQM458760:PQM458762 QAI458760:QAI458762 QKE458760:QKE458762 QUA458760:QUA458762 RDW458760:RDW458762 RNS458760:RNS458762 RXO458760:RXO458762 SHK458760:SHK458762 SRG458760:SRG458762 TBC458760:TBC458762 TKY458760:TKY458762 TUU458760:TUU458762 UEQ458760:UEQ458762 UOM458760:UOM458762 UYI458760:UYI458762 VIE458760:VIE458762 VSA458760:VSA458762 WBW458760:WBW458762 WLS458760:WLS458762 WVO458760:WVO458762 G524296:G524298 JC524296:JC524298 SY524296:SY524298 ACU524296:ACU524298 AMQ524296:AMQ524298 AWM524296:AWM524298 BGI524296:BGI524298 BQE524296:BQE524298 CAA524296:CAA524298 CJW524296:CJW524298 CTS524296:CTS524298 DDO524296:DDO524298 DNK524296:DNK524298 DXG524296:DXG524298 EHC524296:EHC524298 EQY524296:EQY524298 FAU524296:FAU524298 FKQ524296:FKQ524298 FUM524296:FUM524298 GEI524296:GEI524298 GOE524296:GOE524298 GYA524296:GYA524298 HHW524296:HHW524298 HRS524296:HRS524298 IBO524296:IBO524298 ILK524296:ILK524298 IVG524296:IVG524298 JFC524296:JFC524298 JOY524296:JOY524298 JYU524296:JYU524298 KIQ524296:KIQ524298 KSM524296:KSM524298 LCI524296:LCI524298 LME524296:LME524298 LWA524296:LWA524298 MFW524296:MFW524298 MPS524296:MPS524298 MZO524296:MZO524298 NJK524296:NJK524298 NTG524296:NTG524298 ODC524296:ODC524298 OMY524296:OMY524298 OWU524296:OWU524298 PGQ524296:PGQ524298 PQM524296:PQM524298 QAI524296:QAI524298 QKE524296:QKE524298 QUA524296:QUA524298 RDW524296:RDW524298 RNS524296:RNS524298 RXO524296:RXO524298 SHK524296:SHK524298 SRG524296:SRG524298 TBC524296:TBC524298 TKY524296:TKY524298 TUU524296:TUU524298 UEQ524296:UEQ524298 UOM524296:UOM524298 UYI524296:UYI524298 VIE524296:VIE524298 VSA524296:VSA524298 WBW524296:WBW524298 WLS524296:WLS524298 WVO524296:WVO524298 G589832:G589834 JC589832:JC589834 SY589832:SY589834 ACU589832:ACU589834 AMQ589832:AMQ589834 AWM589832:AWM589834 BGI589832:BGI589834 BQE589832:BQE589834 CAA589832:CAA589834 CJW589832:CJW589834 CTS589832:CTS589834 DDO589832:DDO589834 DNK589832:DNK589834 DXG589832:DXG589834 EHC589832:EHC589834 EQY589832:EQY589834 FAU589832:FAU589834 FKQ589832:FKQ589834 FUM589832:FUM589834 GEI589832:GEI589834 GOE589832:GOE589834 GYA589832:GYA589834 HHW589832:HHW589834 HRS589832:HRS589834 IBO589832:IBO589834 ILK589832:ILK589834 IVG589832:IVG589834 JFC589832:JFC589834 JOY589832:JOY589834 JYU589832:JYU589834 KIQ589832:KIQ589834 KSM589832:KSM589834 LCI589832:LCI589834 LME589832:LME589834 LWA589832:LWA589834 MFW589832:MFW589834 MPS589832:MPS589834 MZO589832:MZO589834 NJK589832:NJK589834 NTG589832:NTG589834 ODC589832:ODC589834 OMY589832:OMY589834 OWU589832:OWU589834 PGQ589832:PGQ589834 PQM589832:PQM589834 QAI589832:QAI589834 QKE589832:QKE589834 QUA589832:QUA589834 RDW589832:RDW589834 RNS589832:RNS589834 RXO589832:RXO589834 SHK589832:SHK589834 SRG589832:SRG589834 TBC589832:TBC589834 TKY589832:TKY589834 TUU589832:TUU589834 UEQ589832:UEQ589834 UOM589832:UOM589834 UYI589832:UYI589834 VIE589832:VIE589834 VSA589832:VSA589834 WBW589832:WBW589834 WLS589832:WLS589834 WVO589832:WVO589834 G655368:G655370 JC655368:JC655370 SY655368:SY655370 ACU655368:ACU655370 AMQ655368:AMQ655370 AWM655368:AWM655370 BGI655368:BGI655370 BQE655368:BQE655370 CAA655368:CAA655370 CJW655368:CJW655370 CTS655368:CTS655370 DDO655368:DDO655370 DNK655368:DNK655370 DXG655368:DXG655370 EHC655368:EHC655370 EQY655368:EQY655370 FAU655368:FAU655370 FKQ655368:FKQ655370 FUM655368:FUM655370 GEI655368:GEI655370 GOE655368:GOE655370 GYA655368:GYA655370 HHW655368:HHW655370 HRS655368:HRS655370 IBO655368:IBO655370 ILK655368:ILK655370 IVG655368:IVG655370 JFC655368:JFC655370 JOY655368:JOY655370 JYU655368:JYU655370 KIQ655368:KIQ655370 KSM655368:KSM655370 LCI655368:LCI655370 LME655368:LME655370 LWA655368:LWA655370 MFW655368:MFW655370 MPS655368:MPS655370 MZO655368:MZO655370 NJK655368:NJK655370 NTG655368:NTG655370 ODC655368:ODC655370 OMY655368:OMY655370 OWU655368:OWU655370 PGQ655368:PGQ655370 PQM655368:PQM655370 QAI655368:QAI655370 QKE655368:QKE655370 QUA655368:QUA655370 RDW655368:RDW655370 RNS655368:RNS655370 RXO655368:RXO655370 SHK655368:SHK655370 SRG655368:SRG655370 TBC655368:TBC655370 TKY655368:TKY655370 TUU655368:TUU655370 UEQ655368:UEQ655370 UOM655368:UOM655370 UYI655368:UYI655370 VIE655368:VIE655370 VSA655368:VSA655370 WBW655368:WBW655370 WLS655368:WLS655370 WVO655368:WVO655370 G720904:G720906 JC720904:JC720906 SY720904:SY720906 ACU720904:ACU720906 AMQ720904:AMQ720906 AWM720904:AWM720906 BGI720904:BGI720906 BQE720904:BQE720906 CAA720904:CAA720906 CJW720904:CJW720906 CTS720904:CTS720906 DDO720904:DDO720906 DNK720904:DNK720906 DXG720904:DXG720906 EHC720904:EHC720906 EQY720904:EQY720906 FAU720904:FAU720906 FKQ720904:FKQ720906 FUM720904:FUM720906 GEI720904:GEI720906 GOE720904:GOE720906 GYA720904:GYA720906 HHW720904:HHW720906 HRS720904:HRS720906 IBO720904:IBO720906 ILK720904:ILK720906 IVG720904:IVG720906 JFC720904:JFC720906 JOY720904:JOY720906 JYU720904:JYU720906 KIQ720904:KIQ720906 KSM720904:KSM720906 LCI720904:LCI720906 LME720904:LME720906 LWA720904:LWA720906 MFW720904:MFW720906 MPS720904:MPS720906 MZO720904:MZO720906 NJK720904:NJK720906 NTG720904:NTG720906 ODC720904:ODC720906 OMY720904:OMY720906 OWU720904:OWU720906 PGQ720904:PGQ720906 PQM720904:PQM720906 QAI720904:QAI720906 QKE720904:QKE720906 QUA720904:QUA720906 RDW720904:RDW720906 RNS720904:RNS720906 RXO720904:RXO720906 SHK720904:SHK720906 SRG720904:SRG720906 TBC720904:TBC720906 TKY720904:TKY720906 TUU720904:TUU720906 UEQ720904:UEQ720906 UOM720904:UOM720906 UYI720904:UYI720906 VIE720904:VIE720906 VSA720904:VSA720906 WBW720904:WBW720906 WLS720904:WLS720906 WVO720904:WVO720906 G786440:G786442 JC786440:JC786442 SY786440:SY786442 ACU786440:ACU786442 AMQ786440:AMQ786442 AWM786440:AWM786442 BGI786440:BGI786442 BQE786440:BQE786442 CAA786440:CAA786442 CJW786440:CJW786442 CTS786440:CTS786442 DDO786440:DDO786442 DNK786440:DNK786442 DXG786440:DXG786442 EHC786440:EHC786442 EQY786440:EQY786442 FAU786440:FAU786442 FKQ786440:FKQ786442 FUM786440:FUM786442 GEI786440:GEI786442 GOE786440:GOE786442 GYA786440:GYA786442 HHW786440:HHW786442 HRS786440:HRS786442 IBO786440:IBO786442 ILK786440:ILK786442 IVG786440:IVG786442 JFC786440:JFC786442 JOY786440:JOY786442 JYU786440:JYU786442 KIQ786440:KIQ786442 KSM786440:KSM786442 LCI786440:LCI786442 LME786440:LME786442 LWA786440:LWA786442 MFW786440:MFW786442 MPS786440:MPS786442 MZO786440:MZO786442 NJK786440:NJK786442 NTG786440:NTG786442 ODC786440:ODC786442 OMY786440:OMY786442 OWU786440:OWU786442 PGQ786440:PGQ786442 PQM786440:PQM786442 QAI786440:QAI786442 QKE786440:QKE786442 QUA786440:QUA786442 RDW786440:RDW786442 RNS786440:RNS786442 RXO786440:RXO786442 SHK786440:SHK786442 SRG786440:SRG786442 TBC786440:TBC786442 TKY786440:TKY786442 TUU786440:TUU786442 UEQ786440:UEQ786442 UOM786440:UOM786442 UYI786440:UYI786442 VIE786440:VIE786442 VSA786440:VSA786442 WBW786440:WBW786442 WLS786440:WLS786442 WVO786440:WVO786442 G851976:G851978 JC851976:JC851978 SY851976:SY851978 ACU851976:ACU851978 AMQ851976:AMQ851978 AWM851976:AWM851978 BGI851976:BGI851978 BQE851976:BQE851978 CAA851976:CAA851978 CJW851976:CJW851978 CTS851976:CTS851978 DDO851976:DDO851978 DNK851976:DNK851978 DXG851976:DXG851978 EHC851976:EHC851978 EQY851976:EQY851978 FAU851976:FAU851978 FKQ851976:FKQ851978 FUM851976:FUM851978 GEI851976:GEI851978 GOE851976:GOE851978 GYA851976:GYA851978 HHW851976:HHW851978 HRS851976:HRS851978 IBO851976:IBO851978 ILK851976:ILK851978 IVG851976:IVG851978 JFC851976:JFC851978 JOY851976:JOY851978 JYU851976:JYU851978 KIQ851976:KIQ851978 KSM851976:KSM851978 LCI851976:LCI851978 LME851976:LME851978 LWA851976:LWA851978 MFW851976:MFW851978 MPS851976:MPS851978 MZO851976:MZO851978 NJK851976:NJK851978 NTG851976:NTG851978 ODC851976:ODC851978 OMY851976:OMY851978 OWU851976:OWU851978 PGQ851976:PGQ851978 PQM851976:PQM851978 QAI851976:QAI851978 QKE851976:QKE851978 QUA851976:QUA851978 RDW851976:RDW851978 RNS851976:RNS851978 RXO851976:RXO851978 SHK851976:SHK851978 SRG851976:SRG851978 TBC851976:TBC851978 TKY851976:TKY851978 TUU851976:TUU851978 UEQ851976:UEQ851978 UOM851976:UOM851978 UYI851976:UYI851978 VIE851976:VIE851978 VSA851976:VSA851978 WBW851976:WBW851978 WLS851976:WLS851978 WVO851976:WVO851978 G917512:G917514 JC917512:JC917514 SY917512:SY917514 ACU917512:ACU917514 AMQ917512:AMQ917514 AWM917512:AWM917514 BGI917512:BGI917514 BQE917512:BQE917514 CAA917512:CAA917514 CJW917512:CJW917514 CTS917512:CTS917514 DDO917512:DDO917514 DNK917512:DNK917514 DXG917512:DXG917514 EHC917512:EHC917514 EQY917512:EQY917514 FAU917512:FAU917514 FKQ917512:FKQ917514 FUM917512:FUM917514 GEI917512:GEI917514 GOE917512:GOE917514 GYA917512:GYA917514 HHW917512:HHW917514 HRS917512:HRS917514 IBO917512:IBO917514 ILK917512:ILK917514 IVG917512:IVG917514 JFC917512:JFC917514 JOY917512:JOY917514 JYU917512:JYU917514 KIQ917512:KIQ917514 KSM917512:KSM917514 LCI917512:LCI917514 LME917512:LME917514 LWA917512:LWA917514 MFW917512:MFW917514 MPS917512:MPS917514 MZO917512:MZO917514 NJK917512:NJK917514 NTG917512:NTG917514 ODC917512:ODC917514 OMY917512:OMY917514 OWU917512:OWU917514 PGQ917512:PGQ917514 PQM917512:PQM917514 QAI917512:QAI917514 QKE917512:QKE917514 QUA917512:QUA917514 RDW917512:RDW917514 RNS917512:RNS917514 RXO917512:RXO917514 SHK917512:SHK917514 SRG917512:SRG917514 TBC917512:TBC917514 TKY917512:TKY917514 TUU917512:TUU917514 UEQ917512:UEQ917514 UOM917512:UOM917514 UYI917512:UYI917514 VIE917512:VIE917514 VSA917512:VSA917514 WBW917512:WBW917514 WLS917512:WLS917514 WVO917512:WVO917514 G983048:G983050 JC983048:JC983050 SY983048:SY983050 ACU983048:ACU983050 AMQ983048:AMQ983050 AWM983048:AWM983050 BGI983048:BGI983050 BQE983048:BQE983050 CAA983048:CAA983050 CJW983048:CJW983050 CTS983048:CTS983050 DDO983048:DDO983050 DNK983048:DNK983050 DXG983048:DXG983050 EHC983048:EHC983050 EQY983048:EQY983050 FAU983048:FAU983050 FKQ983048:FKQ983050 FUM983048:FUM983050 GEI983048:GEI983050 GOE983048:GOE983050 GYA983048:GYA983050 HHW983048:HHW983050 HRS983048:HRS983050 IBO983048:IBO983050 ILK983048:ILK983050 IVG983048:IVG983050 JFC983048:JFC983050 JOY983048:JOY983050 JYU983048:JYU983050 KIQ983048:KIQ983050 KSM983048:KSM983050 LCI983048:LCI983050 LME983048:LME983050 LWA983048:LWA983050 MFW983048:MFW983050 MPS983048:MPS983050 MZO983048:MZO983050 NJK983048:NJK983050 NTG983048:NTG983050 ODC983048:ODC983050 OMY983048:OMY983050 OWU983048:OWU983050 PGQ983048:PGQ983050 PQM983048:PQM983050 QAI983048:QAI983050 QKE983048:QKE983050 QUA983048:QUA983050 RDW983048:RDW983050 RNS983048:RNS983050 RXO983048:RXO983050 SHK983048:SHK983050 SRG983048:SRG983050 TBC983048:TBC983050 TKY983048:TKY983050 TUU983048:TUU983050 UEQ983048:UEQ983050 UOM983048:UOM983050 UYI983048:UYI983050 VIE983048:VIE983050 VSA983048:VSA983050 WBW983048:WBW983050 WLS983048:WLS983050 WVO983048:WVO983050">
      <formula1>$AK$26:$AK$38</formula1>
    </dataValidation>
    <dataValidation type="list" allowBlank="1" showInputMessage="1" showErrorMessage="1" sqref="I8:I10 JE8:JE10 TA8:TA10 ACW8:ACW10 AMS8:AMS10 AWO8:AWO10 BGK8:BGK10 BQG8:BQG10 CAC8:CAC10 CJY8:CJY10 CTU8:CTU10 DDQ8:DDQ10 DNM8:DNM10 DXI8:DXI10 EHE8:EHE10 ERA8:ERA10 FAW8:FAW10 FKS8:FKS10 FUO8:FUO10 GEK8:GEK10 GOG8:GOG10 GYC8:GYC10 HHY8:HHY10 HRU8:HRU10 IBQ8:IBQ10 ILM8:ILM10 IVI8:IVI10 JFE8:JFE10 JPA8:JPA10 JYW8:JYW10 KIS8:KIS10 KSO8:KSO10 LCK8:LCK10 LMG8:LMG10 LWC8:LWC10 MFY8:MFY10 MPU8:MPU10 MZQ8:MZQ10 NJM8:NJM10 NTI8:NTI10 ODE8:ODE10 ONA8:ONA10 OWW8:OWW10 PGS8:PGS10 PQO8:PQO10 QAK8:QAK10 QKG8:QKG10 QUC8:QUC10 RDY8:RDY10 RNU8:RNU10 RXQ8:RXQ10 SHM8:SHM10 SRI8:SRI10 TBE8:TBE10 TLA8:TLA10 TUW8:TUW10 UES8:UES10 UOO8:UOO10 UYK8:UYK10 VIG8:VIG10 VSC8:VSC10 WBY8:WBY10 WLU8:WLU10 WVQ8:WVQ10 I65544:I65546 JE65544:JE65546 TA65544:TA65546 ACW65544:ACW65546 AMS65544:AMS65546 AWO65544:AWO65546 BGK65544:BGK65546 BQG65544:BQG65546 CAC65544:CAC65546 CJY65544:CJY65546 CTU65544:CTU65546 DDQ65544:DDQ65546 DNM65544:DNM65546 DXI65544:DXI65546 EHE65544:EHE65546 ERA65544:ERA65546 FAW65544:FAW65546 FKS65544:FKS65546 FUO65544:FUO65546 GEK65544:GEK65546 GOG65544:GOG65546 GYC65544:GYC65546 HHY65544:HHY65546 HRU65544:HRU65546 IBQ65544:IBQ65546 ILM65544:ILM65546 IVI65544:IVI65546 JFE65544:JFE65546 JPA65544:JPA65546 JYW65544:JYW65546 KIS65544:KIS65546 KSO65544:KSO65546 LCK65544:LCK65546 LMG65544:LMG65546 LWC65544:LWC65546 MFY65544:MFY65546 MPU65544:MPU65546 MZQ65544:MZQ65546 NJM65544:NJM65546 NTI65544:NTI65546 ODE65544:ODE65546 ONA65544:ONA65546 OWW65544:OWW65546 PGS65544:PGS65546 PQO65544:PQO65546 QAK65544:QAK65546 QKG65544:QKG65546 QUC65544:QUC65546 RDY65544:RDY65546 RNU65544:RNU65546 RXQ65544:RXQ65546 SHM65544:SHM65546 SRI65544:SRI65546 TBE65544:TBE65546 TLA65544:TLA65546 TUW65544:TUW65546 UES65544:UES65546 UOO65544:UOO65546 UYK65544:UYK65546 VIG65544:VIG65546 VSC65544:VSC65546 WBY65544:WBY65546 WLU65544:WLU65546 WVQ65544:WVQ65546 I131080:I131082 JE131080:JE131082 TA131080:TA131082 ACW131080:ACW131082 AMS131080:AMS131082 AWO131080:AWO131082 BGK131080:BGK131082 BQG131080:BQG131082 CAC131080:CAC131082 CJY131080:CJY131082 CTU131080:CTU131082 DDQ131080:DDQ131082 DNM131080:DNM131082 DXI131080:DXI131082 EHE131080:EHE131082 ERA131080:ERA131082 FAW131080:FAW131082 FKS131080:FKS131082 FUO131080:FUO131082 GEK131080:GEK131082 GOG131080:GOG131082 GYC131080:GYC131082 HHY131080:HHY131082 HRU131080:HRU131082 IBQ131080:IBQ131082 ILM131080:ILM131082 IVI131080:IVI131082 JFE131080:JFE131082 JPA131080:JPA131082 JYW131080:JYW131082 KIS131080:KIS131082 KSO131080:KSO131082 LCK131080:LCK131082 LMG131080:LMG131082 LWC131080:LWC131082 MFY131080:MFY131082 MPU131080:MPU131082 MZQ131080:MZQ131082 NJM131080:NJM131082 NTI131080:NTI131082 ODE131080:ODE131082 ONA131080:ONA131082 OWW131080:OWW131082 PGS131080:PGS131082 PQO131080:PQO131082 QAK131080:QAK131082 QKG131080:QKG131082 QUC131080:QUC131082 RDY131080:RDY131082 RNU131080:RNU131082 RXQ131080:RXQ131082 SHM131080:SHM131082 SRI131080:SRI131082 TBE131080:TBE131082 TLA131080:TLA131082 TUW131080:TUW131082 UES131080:UES131082 UOO131080:UOO131082 UYK131080:UYK131082 VIG131080:VIG131082 VSC131080:VSC131082 WBY131080:WBY131082 WLU131080:WLU131082 WVQ131080:WVQ131082 I196616:I196618 JE196616:JE196618 TA196616:TA196618 ACW196616:ACW196618 AMS196616:AMS196618 AWO196616:AWO196618 BGK196616:BGK196618 BQG196616:BQG196618 CAC196616:CAC196618 CJY196616:CJY196618 CTU196616:CTU196618 DDQ196616:DDQ196618 DNM196616:DNM196618 DXI196616:DXI196618 EHE196616:EHE196618 ERA196616:ERA196618 FAW196616:FAW196618 FKS196616:FKS196618 FUO196616:FUO196618 GEK196616:GEK196618 GOG196616:GOG196618 GYC196616:GYC196618 HHY196616:HHY196618 HRU196616:HRU196618 IBQ196616:IBQ196618 ILM196616:ILM196618 IVI196616:IVI196618 JFE196616:JFE196618 JPA196616:JPA196618 JYW196616:JYW196618 KIS196616:KIS196618 KSO196616:KSO196618 LCK196616:LCK196618 LMG196616:LMG196618 LWC196616:LWC196618 MFY196616:MFY196618 MPU196616:MPU196618 MZQ196616:MZQ196618 NJM196616:NJM196618 NTI196616:NTI196618 ODE196616:ODE196618 ONA196616:ONA196618 OWW196616:OWW196618 PGS196616:PGS196618 PQO196616:PQO196618 QAK196616:QAK196618 QKG196616:QKG196618 QUC196616:QUC196618 RDY196616:RDY196618 RNU196616:RNU196618 RXQ196616:RXQ196618 SHM196616:SHM196618 SRI196616:SRI196618 TBE196616:TBE196618 TLA196616:TLA196618 TUW196616:TUW196618 UES196616:UES196618 UOO196616:UOO196618 UYK196616:UYK196618 VIG196616:VIG196618 VSC196616:VSC196618 WBY196616:WBY196618 WLU196616:WLU196618 WVQ196616:WVQ196618 I262152:I262154 JE262152:JE262154 TA262152:TA262154 ACW262152:ACW262154 AMS262152:AMS262154 AWO262152:AWO262154 BGK262152:BGK262154 BQG262152:BQG262154 CAC262152:CAC262154 CJY262152:CJY262154 CTU262152:CTU262154 DDQ262152:DDQ262154 DNM262152:DNM262154 DXI262152:DXI262154 EHE262152:EHE262154 ERA262152:ERA262154 FAW262152:FAW262154 FKS262152:FKS262154 FUO262152:FUO262154 GEK262152:GEK262154 GOG262152:GOG262154 GYC262152:GYC262154 HHY262152:HHY262154 HRU262152:HRU262154 IBQ262152:IBQ262154 ILM262152:ILM262154 IVI262152:IVI262154 JFE262152:JFE262154 JPA262152:JPA262154 JYW262152:JYW262154 KIS262152:KIS262154 KSO262152:KSO262154 LCK262152:LCK262154 LMG262152:LMG262154 LWC262152:LWC262154 MFY262152:MFY262154 MPU262152:MPU262154 MZQ262152:MZQ262154 NJM262152:NJM262154 NTI262152:NTI262154 ODE262152:ODE262154 ONA262152:ONA262154 OWW262152:OWW262154 PGS262152:PGS262154 PQO262152:PQO262154 QAK262152:QAK262154 QKG262152:QKG262154 QUC262152:QUC262154 RDY262152:RDY262154 RNU262152:RNU262154 RXQ262152:RXQ262154 SHM262152:SHM262154 SRI262152:SRI262154 TBE262152:TBE262154 TLA262152:TLA262154 TUW262152:TUW262154 UES262152:UES262154 UOO262152:UOO262154 UYK262152:UYK262154 VIG262152:VIG262154 VSC262152:VSC262154 WBY262152:WBY262154 WLU262152:WLU262154 WVQ262152:WVQ262154 I327688:I327690 JE327688:JE327690 TA327688:TA327690 ACW327688:ACW327690 AMS327688:AMS327690 AWO327688:AWO327690 BGK327688:BGK327690 BQG327688:BQG327690 CAC327688:CAC327690 CJY327688:CJY327690 CTU327688:CTU327690 DDQ327688:DDQ327690 DNM327688:DNM327690 DXI327688:DXI327690 EHE327688:EHE327690 ERA327688:ERA327690 FAW327688:FAW327690 FKS327688:FKS327690 FUO327688:FUO327690 GEK327688:GEK327690 GOG327688:GOG327690 GYC327688:GYC327690 HHY327688:HHY327690 HRU327688:HRU327690 IBQ327688:IBQ327690 ILM327688:ILM327690 IVI327688:IVI327690 JFE327688:JFE327690 JPA327688:JPA327690 JYW327688:JYW327690 KIS327688:KIS327690 KSO327688:KSO327690 LCK327688:LCK327690 LMG327688:LMG327690 LWC327688:LWC327690 MFY327688:MFY327690 MPU327688:MPU327690 MZQ327688:MZQ327690 NJM327688:NJM327690 NTI327688:NTI327690 ODE327688:ODE327690 ONA327688:ONA327690 OWW327688:OWW327690 PGS327688:PGS327690 PQO327688:PQO327690 QAK327688:QAK327690 QKG327688:QKG327690 QUC327688:QUC327690 RDY327688:RDY327690 RNU327688:RNU327690 RXQ327688:RXQ327690 SHM327688:SHM327690 SRI327688:SRI327690 TBE327688:TBE327690 TLA327688:TLA327690 TUW327688:TUW327690 UES327688:UES327690 UOO327688:UOO327690 UYK327688:UYK327690 VIG327688:VIG327690 VSC327688:VSC327690 WBY327688:WBY327690 WLU327688:WLU327690 WVQ327688:WVQ327690 I393224:I393226 JE393224:JE393226 TA393224:TA393226 ACW393224:ACW393226 AMS393224:AMS393226 AWO393224:AWO393226 BGK393224:BGK393226 BQG393224:BQG393226 CAC393224:CAC393226 CJY393224:CJY393226 CTU393224:CTU393226 DDQ393224:DDQ393226 DNM393224:DNM393226 DXI393224:DXI393226 EHE393224:EHE393226 ERA393224:ERA393226 FAW393224:FAW393226 FKS393224:FKS393226 FUO393224:FUO393226 GEK393224:GEK393226 GOG393224:GOG393226 GYC393224:GYC393226 HHY393224:HHY393226 HRU393224:HRU393226 IBQ393224:IBQ393226 ILM393224:ILM393226 IVI393224:IVI393226 JFE393224:JFE393226 JPA393224:JPA393226 JYW393224:JYW393226 KIS393224:KIS393226 KSO393224:KSO393226 LCK393224:LCK393226 LMG393224:LMG393226 LWC393224:LWC393226 MFY393224:MFY393226 MPU393224:MPU393226 MZQ393224:MZQ393226 NJM393224:NJM393226 NTI393224:NTI393226 ODE393224:ODE393226 ONA393224:ONA393226 OWW393224:OWW393226 PGS393224:PGS393226 PQO393224:PQO393226 QAK393224:QAK393226 QKG393224:QKG393226 QUC393224:QUC393226 RDY393224:RDY393226 RNU393224:RNU393226 RXQ393224:RXQ393226 SHM393224:SHM393226 SRI393224:SRI393226 TBE393224:TBE393226 TLA393224:TLA393226 TUW393224:TUW393226 UES393224:UES393226 UOO393224:UOO393226 UYK393224:UYK393226 VIG393224:VIG393226 VSC393224:VSC393226 WBY393224:WBY393226 WLU393224:WLU393226 WVQ393224:WVQ393226 I458760:I458762 JE458760:JE458762 TA458760:TA458762 ACW458760:ACW458762 AMS458760:AMS458762 AWO458760:AWO458762 BGK458760:BGK458762 BQG458760:BQG458762 CAC458760:CAC458762 CJY458760:CJY458762 CTU458760:CTU458762 DDQ458760:DDQ458762 DNM458760:DNM458762 DXI458760:DXI458762 EHE458760:EHE458762 ERA458760:ERA458762 FAW458760:FAW458762 FKS458760:FKS458762 FUO458760:FUO458762 GEK458760:GEK458762 GOG458760:GOG458762 GYC458760:GYC458762 HHY458760:HHY458762 HRU458760:HRU458762 IBQ458760:IBQ458762 ILM458760:ILM458762 IVI458760:IVI458762 JFE458760:JFE458762 JPA458760:JPA458762 JYW458760:JYW458762 KIS458760:KIS458762 KSO458760:KSO458762 LCK458760:LCK458762 LMG458760:LMG458762 LWC458760:LWC458762 MFY458760:MFY458762 MPU458760:MPU458762 MZQ458760:MZQ458762 NJM458760:NJM458762 NTI458760:NTI458762 ODE458760:ODE458762 ONA458760:ONA458762 OWW458760:OWW458762 PGS458760:PGS458762 PQO458760:PQO458762 QAK458760:QAK458762 QKG458760:QKG458762 QUC458760:QUC458762 RDY458760:RDY458762 RNU458760:RNU458762 RXQ458760:RXQ458762 SHM458760:SHM458762 SRI458760:SRI458762 TBE458760:TBE458762 TLA458760:TLA458762 TUW458760:TUW458762 UES458760:UES458762 UOO458760:UOO458762 UYK458760:UYK458762 VIG458760:VIG458762 VSC458760:VSC458762 WBY458760:WBY458762 WLU458760:WLU458762 WVQ458760:WVQ458762 I524296:I524298 JE524296:JE524298 TA524296:TA524298 ACW524296:ACW524298 AMS524296:AMS524298 AWO524296:AWO524298 BGK524296:BGK524298 BQG524296:BQG524298 CAC524296:CAC524298 CJY524296:CJY524298 CTU524296:CTU524298 DDQ524296:DDQ524298 DNM524296:DNM524298 DXI524296:DXI524298 EHE524296:EHE524298 ERA524296:ERA524298 FAW524296:FAW524298 FKS524296:FKS524298 FUO524296:FUO524298 GEK524296:GEK524298 GOG524296:GOG524298 GYC524296:GYC524298 HHY524296:HHY524298 HRU524296:HRU524298 IBQ524296:IBQ524298 ILM524296:ILM524298 IVI524296:IVI524298 JFE524296:JFE524298 JPA524296:JPA524298 JYW524296:JYW524298 KIS524296:KIS524298 KSO524296:KSO524298 LCK524296:LCK524298 LMG524296:LMG524298 LWC524296:LWC524298 MFY524296:MFY524298 MPU524296:MPU524298 MZQ524296:MZQ524298 NJM524296:NJM524298 NTI524296:NTI524298 ODE524296:ODE524298 ONA524296:ONA524298 OWW524296:OWW524298 PGS524296:PGS524298 PQO524296:PQO524298 QAK524296:QAK524298 QKG524296:QKG524298 QUC524296:QUC524298 RDY524296:RDY524298 RNU524296:RNU524298 RXQ524296:RXQ524298 SHM524296:SHM524298 SRI524296:SRI524298 TBE524296:TBE524298 TLA524296:TLA524298 TUW524296:TUW524298 UES524296:UES524298 UOO524296:UOO524298 UYK524296:UYK524298 VIG524296:VIG524298 VSC524296:VSC524298 WBY524296:WBY524298 WLU524296:WLU524298 WVQ524296:WVQ524298 I589832:I589834 JE589832:JE589834 TA589832:TA589834 ACW589832:ACW589834 AMS589832:AMS589834 AWO589832:AWO589834 BGK589832:BGK589834 BQG589832:BQG589834 CAC589832:CAC589834 CJY589832:CJY589834 CTU589832:CTU589834 DDQ589832:DDQ589834 DNM589832:DNM589834 DXI589832:DXI589834 EHE589832:EHE589834 ERA589832:ERA589834 FAW589832:FAW589834 FKS589832:FKS589834 FUO589832:FUO589834 GEK589832:GEK589834 GOG589832:GOG589834 GYC589832:GYC589834 HHY589832:HHY589834 HRU589832:HRU589834 IBQ589832:IBQ589834 ILM589832:ILM589834 IVI589832:IVI589834 JFE589832:JFE589834 JPA589832:JPA589834 JYW589832:JYW589834 KIS589832:KIS589834 KSO589832:KSO589834 LCK589832:LCK589834 LMG589832:LMG589834 LWC589832:LWC589834 MFY589832:MFY589834 MPU589832:MPU589834 MZQ589832:MZQ589834 NJM589832:NJM589834 NTI589832:NTI589834 ODE589832:ODE589834 ONA589832:ONA589834 OWW589832:OWW589834 PGS589832:PGS589834 PQO589832:PQO589834 QAK589832:QAK589834 QKG589832:QKG589834 QUC589832:QUC589834 RDY589832:RDY589834 RNU589832:RNU589834 RXQ589832:RXQ589834 SHM589832:SHM589834 SRI589832:SRI589834 TBE589832:TBE589834 TLA589832:TLA589834 TUW589832:TUW589834 UES589832:UES589834 UOO589832:UOO589834 UYK589832:UYK589834 VIG589832:VIG589834 VSC589832:VSC589834 WBY589832:WBY589834 WLU589832:WLU589834 WVQ589832:WVQ589834 I655368:I655370 JE655368:JE655370 TA655368:TA655370 ACW655368:ACW655370 AMS655368:AMS655370 AWO655368:AWO655370 BGK655368:BGK655370 BQG655368:BQG655370 CAC655368:CAC655370 CJY655368:CJY655370 CTU655368:CTU655370 DDQ655368:DDQ655370 DNM655368:DNM655370 DXI655368:DXI655370 EHE655368:EHE655370 ERA655368:ERA655370 FAW655368:FAW655370 FKS655368:FKS655370 FUO655368:FUO655370 GEK655368:GEK655370 GOG655368:GOG655370 GYC655368:GYC655370 HHY655368:HHY655370 HRU655368:HRU655370 IBQ655368:IBQ655370 ILM655368:ILM655370 IVI655368:IVI655370 JFE655368:JFE655370 JPA655368:JPA655370 JYW655368:JYW655370 KIS655368:KIS655370 KSO655368:KSO655370 LCK655368:LCK655370 LMG655368:LMG655370 LWC655368:LWC655370 MFY655368:MFY655370 MPU655368:MPU655370 MZQ655368:MZQ655370 NJM655368:NJM655370 NTI655368:NTI655370 ODE655368:ODE655370 ONA655368:ONA655370 OWW655368:OWW655370 PGS655368:PGS655370 PQO655368:PQO655370 QAK655368:QAK655370 QKG655368:QKG655370 QUC655368:QUC655370 RDY655368:RDY655370 RNU655368:RNU655370 RXQ655368:RXQ655370 SHM655368:SHM655370 SRI655368:SRI655370 TBE655368:TBE655370 TLA655368:TLA655370 TUW655368:TUW655370 UES655368:UES655370 UOO655368:UOO655370 UYK655368:UYK655370 VIG655368:VIG655370 VSC655368:VSC655370 WBY655368:WBY655370 WLU655368:WLU655370 WVQ655368:WVQ655370 I720904:I720906 JE720904:JE720906 TA720904:TA720906 ACW720904:ACW720906 AMS720904:AMS720906 AWO720904:AWO720906 BGK720904:BGK720906 BQG720904:BQG720906 CAC720904:CAC720906 CJY720904:CJY720906 CTU720904:CTU720906 DDQ720904:DDQ720906 DNM720904:DNM720906 DXI720904:DXI720906 EHE720904:EHE720906 ERA720904:ERA720906 FAW720904:FAW720906 FKS720904:FKS720906 FUO720904:FUO720906 GEK720904:GEK720906 GOG720904:GOG720906 GYC720904:GYC720906 HHY720904:HHY720906 HRU720904:HRU720906 IBQ720904:IBQ720906 ILM720904:ILM720906 IVI720904:IVI720906 JFE720904:JFE720906 JPA720904:JPA720906 JYW720904:JYW720906 KIS720904:KIS720906 KSO720904:KSO720906 LCK720904:LCK720906 LMG720904:LMG720906 LWC720904:LWC720906 MFY720904:MFY720906 MPU720904:MPU720906 MZQ720904:MZQ720906 NJM720904:NJM720906 NTI720904:NTI720906 ODE720904:ODE720906 ONA720904:ONA720906 OWW720904:OWW720906 PGS720904:PGS720906 PQO720904:PQO720906 QAK720904:QAK720906 QKG720904:QKG720906 QUC720904:QUC720906 RDY720904:RDY720906 RNU720904:RNU720906 RXQ720904:RXQ720906 SHM720904:SHM720906 SRI720904:SRI720906 TBE720904:TBE720906 TLA720904:TLA720906 TUW720904:TUW720906 UES720904:UES720906 UOO720904:UOO720906 UYK720904:UYK720906 VIG720904:VIG720906 VSC720904:VSC720906 WBY720904:WBY720906 WLU720904:WLU720906 WVQ720904:WVQ720906 I786440:I786442 JE786440:JE786442 TA786440:TA786442 ACW786440:ACW786442 AMS786440:AMS786442 AWO786440:AWO786442 BGK786440:BGK786442 BQG786440:BQG786442 CAC786440:CAC786442 CJY786440:CJY786442 CTU786440:CTU786442 DDQ786440:DDQ786442 DNM786440:DNM786442 DXI786440:DXI786442 EHE786440:EHE786442 ERA786440:ERA786442 FAW786440:FAW786442 FKS786440:FKS786442 FUO786440:FUO786442 GEK786440:GEK786442 GOG786440:GOG786442 GYC786440:GYC786442 HHY786440:HHY786442 HRU786440:HRU786442 IBQ786440:IBQ786442 ILM786440:ILM786442 IVI786440:IVI786442 JFE786440:JFE786442 JPA786440:JPA786442 JYW786440:JYW786442 KIS786440:KIS786442 KSO786440:KSO786442 LCK786440:LCK786442 LMG786440:LMG786442 LWC786440:LWC786442 MFY786440:MFY786442 MPU786440:MPU786442 MZQ786440:MZQ786442 NJM786440:NJM786442 NTI786440:NTI786442 ODE786440:ODE786442 ONA786440:ONA786442 OWW786440:OWW786442 PGS786440:PGS786442 PQO786440:PQO786442 QAK786440:QAK786442 QKG786440:QKG786442 QUC786440:QUC786442 RDY786440:RDY786442 RNU786440:RNU786442 RXQ786440:RXQ786442 SHM786440:SHM786442 SRI786440:SRI786442 TBE786440:TBE786442 TLA786440:TLA786442 TUW786440:TUW786442 UES786440:UES786442 UOO786440:UOO786442 UYK786440:UYK786442 VIG786440:VIG786442 VSC786440:VSC786442 WBY786440:WBY786442 WLU786440:WLU786442 WVQ786440:WVQ786442 I851976:I851978 JE851976:JE851978 TA851976:TA851978 ACW851976:ACW851978 AMS851976:AMS851978 AWO851976:AWO851978 BGK851976:BGK851978 BQG851976:BQG851978 CAC851976:CAC851978 CJY851976:CJY851978 CTU851976:CTU851978 DDQ851976:DDQ851978 DNM851976:DNM851978 DXI851976:DXI851978 EHE851976:EHE851978 ERA851976:ERA851978 FAW851976:FAW851978 FKS851976:FKS851978 FUO851976:FUO851978 GEK851976:GEK851978 GOG851976:GOG851978 GYC851976:GYC851978 HHY851976:HHY851978 HRU851976:HRU851978 IBQ851976:IBQ851978 ILM851976:ILM851978 IVI851976:IVI851978 JFE851976:JFE851978 JPA851976:JPA851978 JYW851976:JYW851978 KIS851976:KIS851978 KSO851976:KSO851978 LCK851976:LCK851978 LMG851976:LMG851978 LWC851976:LWC851978 MFY851976:MFY851978 MPU851976:MPU851978 MZQ851976:MZQ851978 NJM851976:NJM851978 NTI851976:NTI851978 ODE851976:ODE851978 ONA851976:ONA851978 OWW851976:OWW851978 PGS851976:PGS851978 PQO851976:PQO851978 QAK851976:QAK851978 QKG851976:QKG851978 QUC851976:QUC851978 RDY851976:RDY851978 RNU851976:RNU851978 RXQ851976:RXQ851978 SHM851976:SHM851978 SRI851976:SRI851978 TBE851976:TBE851978 TLA851976:TLA851978 TUW851976:TUW851978 UES851976:UES851978 UOO851976:UOO851978 UYK851976:UYK851978 VIG851976:VIG851978 VSC851976:VSC851978 WBY851976:WBY851978 WLU851976:WLU851978 WVQ851976:WVQ851978 I917512:I917514 JE917512:JE917514 TA917512:TA917514 ACW917512:ACW917514 AMS917512:AMS917514 AWO917512:AWO917514 BGK917512:BGK917514 BQG917512:BQG917514 CAC917512:CAC917514 CJY917512:CJY917514 CTU917512:CTU917514 DDQ917512:DDQ917514 DNM917512:DNM917514 DXI917512:DXI917514 EHE917512:EHE917514 ERA917512:ERA917514 FAW917512:FAW917514 FKS917512:FKS917514 FUO917512:FUO917514 GEK917512:GEK917514 GOG917512:GOG917514 GYC917512:GYC917514 HHY917512:HHY917514 HRU917512:HRU917514 IBQ917512:IBQ917514 ILM917512:ILM917514 IVI917512:IVI917514 JFE917512:JFE917514 JPA917512:JPA917514 JYW917512:JYW917514 KIS917512:KIS917514 KSO917512:KSO917514 LCK917512:LCK917514 LMG917512:LMG917514 LWC917512:LWC917514 MFY917512:MFY917514 MPU917512:MPU917514 MZQ917512:MZQ917514 NJM917512:NJM917514 NTI917512:NTI917514 ODE917512:ODE917514 ONA917512:ONA917514 OWW917512:OWW917514 PGS917512:PGS917514 PQO917512:PQO917514 QAK917512:QAK917514 QKG917512:QKG917514 QUC917512:QUC917514 RDY917512:RDY917514 RNU917512:RNU917514 RXQ917512:RXQ917514 SHM917512:SHM917514 SRI917512:SRI917514 TBE917512:TBE917514 TLA917512:TLA917514 TUW917512:TUW917514 UES917512:UES917514 UOO917512:UOO917514 UYK917512:UYK917514 VIG917512:VIG917514 VSC917512:VSC917514 WBY917512:WBY917514 WLU917512:WLU917514 WVQ917512:WVQ917514 I983048:I983050 JE983048:JE983050 TA983048:TA983050 ACW983048:ACW983050 AMS983048:AMS983050 AWO983048:AWO983050 BGK983048:BGK983050 BQG983048:BQG983050 CAC983048:CAC983050 CJY983048:CJY983050 CTU983048:CTU983050 DDQ983048:DDQ983050 DNM983048:DNM983050 DXI983048:DXI983050 EHE983048:EHE983050 ERA983048:ERA983050 FAW983048:FAW983050 FKS983048:FKS983050 FUO983048:FUO983050 GEK983048:GEK983050 GOG983048:GOG983050 GYC983048:GYC983050 HHY983048:HHY983050 HRU983048:HRU983050 IBQ983048:IBQ983050 ILM983048:ILM983050 IVI983048:IVI983050 JFE983048:JFE983050 JPA983048:JPA983050 JYW983048:JYW983050 KIS983048:KIS983050 KSO983048:KSO983050 LCK983048:LCK983050 LMG983048:LMG983050 LWC983048:LWC983050 MFY983048:MFY983050 MPU983048:MPU983050 MZQ983048:MZQ983050 NJM983048:NJM983050 NTI983048:NTI983050 ODE983048:ODE983050 ONA983048:ONA983050 OWW983048:OWW983050 PGS983048:PGS983050 PQO983048:PQO983050 QAK983048:QAK983050 QKG983048:QKG983050 QUC983048:QUC983050 RDY983048:RDY983050 RNU983048:RNU983050 RXQ983048:RXQ983050 SHM983048:SHM983050 SRI983048:SRI983050 TBE983048:TBE983050 TLA983048:TLA983050 TUW983048:TUW983050 UES983048:UES983050 UOO983048:UOO983050 UYK983048:UYK983050 VIG983048:VIG983050 VSC983048:VSC983050 WBY983048:WBY983050 WLU983048:WLU983050 WVQ983048:WVQ983050">
      <formula1>$X$22:$X$23</formula1>
    </dataValidation>
    <dataValidation type="list" allowBlank="1" showInputMessage="1" showErrorMessage="1" sqref="AF8:AF12 KB8:KB12 TX8:TX12 ADT8:ADT12 ANP8:ANP12 AXL8:AXL12 BHH8:BHH12 BRD8:BRD12 CAZ8:CAZ12 CKV8:CKV12 CUR8:CUR12 DEN8:DEN12 DOJ8:DOJ12 DYF8:DYF12 EIB8:EIB12 ERX8:ERX12 FBT8:FBT12 FLP8:FLP12 FVL8:FVL12 GFH8:GFH12 GPD8:GPD12 GYZ8:GYZ12 HIV8:HIV12 HSR8:HSR12 ICN8:ICN12 IMJ8:IMJ12 IWF8:IWF12 JGB8:JGB12 JPX8:JPX12 JZT8:JZT12 KJP8:KJP12 KTL8:KTL12 LDH8:LDH12 LND8:LND12 LWZ8:LWZ12 MGV8:MGV12 MQR8:MQR12 NAN8:NAN12 NKJ8:NKJ12 NUF8:NUF12 OEB8:OEB12 ONX8:ONX12 OXT8:OXT12 PHP8:PHP12 PRL8:PRL12 QBH8:QBH12 QLD8:QLD12 QUZ8:QUZ12 REV8:REV12 ROR8:ROR12 RYN8:RYN12 SIJ8:SIJ12 SSF8:SSF12 TCB8:TCB12 TLX8:TLX12 TVT8:TVT12 UFP8:UFP12 UPL8:UPL12 UZH8:UZH12 VJD8:VJD12 VSZ8:VSZ12 WCV8:WCV12 WMR8:WMR12 WWN8:WWN12 AF65544:AF65548 KB65544:KB65548 TX65544:TX65548 ADT65544:ADT65548 ANP65544:ANP65548 AXL65544:AXL65548 BHH65544:BHH65548 BRD65544:BRD65548 CAZ65544:CAZ65548 CKV65544:CKV65548 CUR65544:CUR65548 DEN65544:DEN65548 DOJ65544:DOJ65548 DYF65544:DYF65548 EIB65544:EIB65548 ERX65544:ERX65548 FBT65544:FBT65548 FLP65544:FLP65548 FVL65544:FVL65548 GFH65544:GFH65548 GPD65544:GPD65548 GYZ65544:GYZ65548 HIV65544:HIV65548 HSR65544:HSR65548 ICN65544:ICN65548 IMJ65544:IMJ65548 IWF65544:IWF65548 JGB65544:JGB65548 JPX65544:JPX65548 JZT65544:JZT65548 KJP65544:KJP65548 KTL65544:KTL65548 LDH65544:LDH65548 LND65544:LND65548 LWZ65544:LWZ65548 MGV65544:MGV65548 MQR65544:MQR65548 NAN65544:NAN65548 NKJ65544:NKJ65548 NUF65544:NUF65548 OEB65544:OEB65548 ONX65544:ONX65548 OXT65544:OXT65548 PHP65544:PHP65548 PRL65544:PRL65548 QBH65544:QBH65548 QLD65544:QLD65548 QUZ65544:QUZ65548 REV65544:REV65548 ROR65544:ROR65548 RYN65544:RYN65548 SIJ65544:SIJ65548 SSF65544:SSF65548 TCB65544:TCB65548 TLX65544:TLX65548 TVT65544:TVT65548 UFP65544:UFP65548 UPL65544:UPL65548 UZH65544:UZH65548 VJD65544:VJD65548 VSZ65544:VSZ65548 WCV65544:WCV65548 WMR65544:WMR65548 WWN65544:WWN65548 AF131080:AF131084 KB131080:KB131084 TX131080:TX131084 ADT131080:ADT131084 ANP131080:ANP131084 AXL131080:AXL131084 BHH131080:BHH131084 BRD131080:BRD131084 CAZ131080:CAZ131084 CKV131080:CKV131084 CUR131080:CUR131084 DEN131080:DEN131084 DOJ131080:DOJ131084 DYF131080:DYF131084 EIB131080:EIB131084 ERX131080:ERX131084 FBT131080:FBT131084 FLP131080:FLP131084 FVL131080:FVL131084 GFH131080:GFH131084 GPD131080:GPD131084 GYZ131080:GYZ131084 HIV131080:HIV131084 HSR131080:HSR131084 ICN131080:ICN131084 IMJ131080:IMJ131084 IWF131080:IWF131084 JGB131080:JGB131084 JPX131080:JPX131084 JZT131080:JZT131084 KJP131080:KJP131084 KTL131080:KTL131084 LDH131080:LDH131084 LND131080:LND131084 LWZ131080:LWZ131084 MGV131080:MGV131084 MQR131080:MQR131084 NAN131080:NAN131084 NKJ131080:NKJ131084 NUF131080:NUF131084 OEB131080:OEB131084 ONX131080:ONX131084 OXT131080:OXT131084 PHP131080:PHP131084 PRL131080:PRL131084 QBH131080:QBH131084 QLD131080:QLD131084 QUZ131080:QUZ131084 REV131080:REV131084 ROR131080:ROR131084 RYN131080:RYN131084 SIJ131080:SIJ131084 SSF131080:SSF131084 TCB131080:TCB131084 TLX131080:TLX131084 TVT131080:TVT131084 UFP131080:UFP131084 UPL131080:UPL131084 UZH131080:UZH131084 VJD131080:VJD131084 VSZ131080:VSZ131084 WCV131080:WCV131084 WMR131080:WMR131084 WWN131080:WWN131084 AF196616:AF196620 KB196616:KB196620 TX196616:TX196620 ADT196616:ADT196620 ANP196616:ANP196620 AXL196616:AXL196620 BHH196616:BHH196620 BRD196616:BRD196620 CAZ196616:CAZ196620 CKV196616:CKV196620 CUR196616:CUR196620 DEN196616:DEN196620 DOJ196616:DOJ196620 DYF196616:DYF196620 EIB196616:EIB196620 ERX196616:ERX196620 FBT196616:FBT196620 FLP196616:FLP196620 FVL196616:FVL196620 GFH196616:GFH196620 GPD196616:GPD196620 GYZ196616:GYZ196620 HIV196616:HIV196620 HSR196616:HSR196620 ICN196616:ICN196620 IMJ196616:IMJ196620 IWF196616:IWF196620 JGB196616:JGB196620 JPX196616:JPX196620 JZT196616:JZT196620 KJP196616:KJP196620 KTL196616:KTL196620 LDH196616:LDH196620 LND196616:LND196620 LWZ196616:LWZ196620 MGV196616:MGV196620 MQR196616:MQR196620 NAN196616:NAN196620 NKJ196616:NKJ196620 NUF196616:NUF196620 OEB196616:OEB196620 ONX196616:ONX196620 OXT196616:OXT196620 PHP196616:PHP196620 PRL196616:PRL196620 QBH196616:QBH196620 QLD196616:QLD196620 QUZ196616:QUZ196620 REV196616:REV196620 ROR196616:ROR196620 RYN196616:RYN196620 SIJ196616:SIJ196620 SSF196616:SSF196620 TCB196616:TCB196620 TLX196616:TLX196620 TVT196616:TVT196620 UFP196616:UFP196620 UPL196616:UPL196620 UZH196616:UZH196620 VJD196616:VJD196620 VSZ196616:VSZ196620 WCV196616:WCV196620 WMR196616:WMR196620 WWN196616:WWN196620 AF262152:AF262156 KB262152:KB262156 TX262152:TX262156 ADT262152:ADT262156 ANP262152:ANP262156 AXL262152:AXL262156 BHH262152:BHH262156 BRD262152:BRD262156 CAZ262152:CAZ262156 CKV262152:CKV262156 CUR262152:CUR262156 DEN262152:DEN262156 DOJ262152:DOJ262156 DYF262152:DYF262156 EIB262152:EIB262156 ERX262152:ERX262156 FBT262152:FBT262156 FLP262152:FLP262156 FVL262152:FVL262156 GFH262152:GFH262156 GPD262152:GPD262156 GYZ262152:GYZ262156 HIV262152:HIV262156 HSR262152:HSR262156 ICN262152:ICN262156 IMJ262152:IMJ262156 IWF262152:IWF262156 JGB262152:JGB262156 JPX262152:JPX262156 JZT262152:JZT262156 KJP262152:KJP262156 KTL262152:KTL262156 LDH262152:LDH262156 LND262152:LND262156 LWZ262152:LWZ262156 MGV262152:MGV262156 MQR262152:MQR262156 NAN262152:NAN262156 NKJ262152:NKJ262156 NUF262152:NUF262156 OEB262152:OEB262156 ONX262152:ONX262156 OXT262152:OXT262156 PHP262152:PHP262156 PRL262152:PRL262156 QBH262152:QBH262156 QLD262152:QLD262156 QUZ262152:QUZ262156 REV262152:REV262156 ROR262152:ROR262156 RYN262152:RYN262156 SIJ262152:SIJ262156 SSF262152:SSF262156 TCB262152:TCB262156 TLX262152:TLX262156 TVT262152:TVT262156 UFP262152:UFP262156 UPL262152:UPL262156 UZH262152:UZH262156 VJD262152:VJD262156 VSZ262152:VSZ262156 WCV262152:WCV262156 WMR262152:WMR262156 WWN262152:WWN262156 AF327688:AF327692 KB327688:KB327692 TX327688:TX327692 ADT327688:ADT327692 ANP327688:ANP327692 AXL327688:AXL327692 BHH327688:BHH327692 BRD327688:BRD327692 CAZ327688:CAZ327692 CKV327688:CKV327692 CUR327688:CUR327692 DEN327688:DEN327692 DOJ327688:DOJ327692 DYF327688:DYF327692 EIB327688:EIB327692 ERX327688:ERX327692 FBT327688:FBT327692 FLP327688:FLP327692 FVL327688:FVL327692 GFH327688:GFH327692 GPD327688:GPD327692 GYZ327688:GYZ327692 HIV327688:HIV327692 HSR327688:HSR327692 ICN327688:ICN327692 IMJ327688:IMJ327692 IWF327688:IWF327692 JGB327688:JGB327692 JPX327688:JPX327692 JZT327688:JZT327692 KJP327688:KJP327692 KTL327688:KTL327692 LDH327688:LDH327692 LND327688:LND327692 LWZ327688:LWZ327692 MGV327688:MGV327692 MQR327688:MQR327692 NAN327688:NAN327692 NKJ327688:NKJ327692 NUF327688:NUF327692 OEB327688:OEB327692 ONX327688:ONX327692 OXT327688:OXT327692 PHP327688:PHP327692 PRL327688:PRL327692 QBH327688:QBH327692 QLD327688:QLD327692 QUZ327688:QUZ327692 REV327688:REV327692 ROR327688:ROR327692 RYN327688:RYN327692 SIJ327688:SIJ327692 SSF327688:SSF327692 TCB327688:TCB327692 TLX327688:TLX327692 TVT327688:TVT327692 UFP327688:UFP327692 UPL327688:UPL327692 UZH327688:UZH327692 VJD327688:VJD327692 VSZ327688:VSZ327692 WCV327688:WCV327692 WMR327688:WMR327692 WWN327688:WWN327692 AF393224:AF393228 KB393224:KB393228 TX393224:TX393228 ADT393224:ADT393228 ANP393224:ANP393228 AXL393224:AXL393228 BHH393224:BHH393228 BRD393224:BRD393228 CAZ393224:CAZ393228 CKV393224:CKV393228 CUR393224:CUR393228 DEN393224:DEN393228 DOJ393224:DOJ393228 DYF393224:DYF393228 EIB393224:EIB393228 ERX393224:ERX393228 FBT393224:FBT393228 FLP393224:FLP393228 FVL393224:FVL393228 GFH393224:GFH393228 GPD393224:GPD393228 GYZ393224:GYZ393228 HIV393224:HIV393228 HSR393224:HSR393228 ICN393224:ICN393228 IMJ393224:IMJ393228 IWF393224:IWF393228 JGB393224:JGB393228 JPX393224:JPX393228 JZT393224:JZT393228 KJP393224:KJP393228 KTL393224:KTL393228 LDH393224:LDH393228 LND393224:LND393228 LWZ393224:LWZ393228 MGV393224:MGV393228 MQR393224:MQR393228 NAN393224:NAN393228 NKJ393224:NKJ393228 NUF393224:NUF393228 OEB393224:OEB393228 ONX393224:ONX393228 OXT393224:OXT393228 PHP393224:PHP393228 PRL393224:PRL393228 QBH393224:QBH393228 QLD393224:QLD393228 QUZ393224:QUZ393228 REV393224:REV393228 ROR393224:ROR393228 RYN393224:RYN393228 SIJ393224:SIJ393228 SSF393224:SSF393228 TCB393224:TCB393228 TLX393224:TLX393228 TVT393224:TVT393228 UFP393224:UFP393228 UPL393224:UPL393228 UZH393224:UZH393228 VJD393224:VJD393228 VSZ393224:VSZ393228 WCV393224:WCV393228 WMR393224:WMR393228 WWN393224:WWN393228 AF458760:AF458764 KB458760:KB458764 TX458760:TX458764 ADT458760:ADT458764 ANP458760:ANP458764 AXL458760:AXL458764 BHH458760:BHH458764 BRD458760:BRD458764 CAZ458760:CAZ458764 CKV458760:CKV458764 CUR458760:CUR458764 DEN458760:DEN458764 DOJ458760:DOJ458764 DYF458760:DYF458764 EIB458760:EIB458764 ERX458760:ERX458764 FBT458760:FBT458764 FLP458760:FLP458764 FVL458760:FVL458764 GFH458760:GFH458764 GPD458760:GPD458764 GYZ458760:GYZ458764 HIV458760:HIV458764 HSR458760:HSR458764 ICN458760:ICN458764 IMJ458760:IMJ458764 IWF458760:IWF458764 JGB458760:JGB458764 JPX458760:JPX458764 JZT458760:JZT458764 KJP458760:KJP458764 KTL458760:KTL458764 LDH458760:LDH458764 LND458760:LND458764 LWZ458760:LWZ458764 MGV458760:MGV458764 MQR458760:MQR458764 NAN458760:NAN458764 NKJ458760:NKJ458764 NUF458760:NUF458764 OEB458760:OEB458764 ONX458760:ONX458764 OXT458760:OXT458764 PHP458760:PHP458764 PRL458760:PRL458764 QBH458760:QBH458764 QLD458760:QLD458764 QUZ458760:QUZ458764 REV458760:REV458764 ROR458760:ROR458764 RYN458760:RYN458764 SIJ458760:SIJ458764 SSF458760:SSF458764 TCB458760:TCB458764 TLX458760:TLX458764 TVT458760:TVT458764 UFP458760:UFP458764 UPL458760:UPL458764 UZH458760:UZH458764 VJD458760:VJD458764 VSZ458760:VSZ458764 WCV458760:WCV458764 WMR458760:WMR458764 WWN458760:WWN458764 AF524296:AF524300 KB524296:KB524300 TX524296:TX524300 ADT524296:ADT524300 ANP524296:ANP524300 AXL524296:AXL524300 BHH524296:BHH524300 BRD524296:BRD524300 CAZ524296:CAZ524300 CKV524296:CKV524300 CUR524296:CUR524300 DEN524296:DEN524300 DOJ524296:DOJ524300 DYF524296:DYF524300 EIB524296:EIB524300 ERX524296:ERX524300 FBT524296:FBT524300 FLP524296:FLP524300 FVL524296:FVL524300 GFH524296:GFH524300 GPD524296:GPD524300 GYZ524296:GYZ524300 HIV524296:HIV524300 HSR524296:HSR524300 ICN524296:ICN524300 IMJ524296:IMJ524300 IWF524296:IWF524300 JGB524296:JGB524300 JPX524296:JPX524300 JZT524296:JZT524300 KJP524296:KJP524300 KTL524296:KTL524300 LDH524296:LDH524300 LND524296:LND524300 LWZ524296:LWZ524300 MGV524296:MGV524300 MQR524296:MQR524300 NAN524296:NAN524300 NKJ524296:NKJ524300 NUF524296:NUF524300 OEB524296:OEB524300 ONX524296:ONX524300 OXT524296:OXT524300 PHP524296:PHP524300 PRL524296:PRL524300 QBH524296:QBH524300 QLD524296:QLD524300 QUZ524296:QUZ524300 REV524296:REV524300 ROR524296:ROR524300 RYN524296:RYN524300 SIJ524296:SIJ524300 SSF524296:SSF524300 TCB524296:TCB524300 TLX524296:TLX524300 TVT524296:TVT524300 UFP524296:UFP524300 UPL524296:UPL524300 UZH524296:UZH524300 VJD524296:VJD524300 VSZ524296:VSZ524300 WCV524296:WCV524300 WMR524296:WMR524300 WWN524296:WWN524300 AF589832:AF589836 KB589832:KB589836 TX589832:TX589836 ADT589832:ADT589836 ANP589832:ANP589836 AXL589832:AXL589836 BHH589832:BHH589836 BRD589832:BRD589836 CAZ589832:CAZ589836 CKV589832:CKV589836 CUR589832:CUR589836 DEN589832:DEN589836 DOJ589832:DOJ589836 DYF589832:DYF589836 EIB589832:EIB589836 ERX589832:ERX589836 FBT589832:FBT589836 FLP589832:FLP589836 FVL589832:FVL589836 GFH589832:GFH589836 GPD589832:GPD589836 GYZ589832:GYZ589836 HIV589832:HIV589836 HSR589832:HSR589836 ICN589832:ICN589836 IMJ589832:IMJ589836 IWF589832:IWF589836 JGB589832:JGB589836 JPX589832:JPX589836 JZT589832:JZT589836 KJP589832:KJP589836 KTL589832:KTL589836 LDH589832:LDH589836 LND589832:LND589836 LWZ589832:LWZ589836 MGV589832:MGV589836 MQR589832:MQR589836 NAN589832:NAN589836 NKJ589832:NKJ589836 NUF589832:NUF589836 OEB589832:OEB589836 ONX589832:ONX589836 OXT589832:OXT589836 PHP589832:PHP589836 PRL589832:PRL589836 QBH589832:QBH589836 QLD589832:QLD589836 QUZ589832:QUZ589836 REV589832:REV589836 ROR589832:ROR589836 RYN589832:RYN589836 SIJ589832:SIJ589836 SSF589832:SSF589836 TCB589832:TCB589836 TLX589832:TLX589836 TVT589832:TVT589836 UFP589832:UFP589836 UPL589832:UPL589836 UZH589832:UZH589836 VJD589832:VJD589836 VSZ589832:VSZ589836 WCV589832:WCV589836 WMR589832:WMR589836 WWN589832:WWN589836 AF655368:AF655372 KB655368:KB655372 TX655368:TX655372 ADT655368:ADT655372 ANP655368:ANP655372 AXL655368:AXL655372 BHH655368:BHH655372 BRD655368:BRD655372 CAZ655368:CAZ655372 CKV655368:CKV655372 CUR655368:CUR655372 DEN655368:DEN655372 DOJ655368:DOJ655372 DYF655368:DYF655372 EIB655368:EIB655372 ERX655368:ERX655372 FBT655368:FBT655372 FLP655368:FLP655372 FVL655368:FVL655372 GFH655368:GFH655372 GPD655368:GPD655372 GYZ655368:GYZ655372 HIV655368:HIV655372 HSR655368:HSR655372 ICN655368:ICN655372 IMJ655368:IMJ655372 IWF655368:IWF655372 JGB655368:JGB655372 JPX655368:JPX655372 JZT655368:JZT655372 KJP655368:KJP655372 KTL655368:KTL655372 LDH655368:LDH655372 LND655368:LND655372 LWZ655368:LWZ655372 MGV655368:MGV655372 MQR655368:MQR655372 NAN655368:NAN655372 NKJ655368:NKJ655372 NUF655368:NUF655372 OEB655368:OEB655372 ONX655368:ONX655372 OXT655368:OXT655372 PHP655368:PHP655372 PRL655368:PRL655372 QBH655368:QBH655372 QLD655368:QLD655372 QUZ655368:QUZ655372 REV655368:REV655372 ROR655368:ROR655372 RYN655368:RYN655372 SIJ655368:SIJ655372 SSF655368:SSF655372 TCB655368:TCB655372 TLX655368:TLX655372 TVT655368:TVT655372 UFP655368:UFP655372 UPL655368:UPL655372 UZH655368:UZH655372 VJD655368:VJD655372 VSZ655368:VSZ655372 WCV655368:WCV655372 WMR655368:WMR655372 WWN655368:WWN655372 AF720904:AF720908 KB720904:KB720908 TX720904:TX720908 ADT720904:ADT720908 ANP720904:ANP720908 AXL720904:AXL720908 BHH720904:BHH720908 BRD720904:BRD720908 CAZ720904:CAZ720908 CKV720904:CKV720908 CUR720904:CUR720908 DEN720904:DEN720908 DOJ720904:DOJ720908 DYF720904:DYF720908 EIB720904:EIB720908 ERX720904:ERX720908 FBT720904:FBT720908 FLP720904:FLP720908 FVL720904:FVL720908 GFH720904:GFH720908 GPD720904:GPD720908 GYZ720904:GYZ720908 HIV720904:HIV720908 HSR720904:HSR720908 ICN720904:ICN720908 IMJ720904:IMJ720908 IWF720904:IWF720908 JGB720904:JGB720908 JPX720904:JPX720908 JZT720904:JZT720908 KJP720904:KJP720908 KTL720904:KTL720908 LDH720904:LDH720908 LND720904:LND720908 LWZ720904:LWZ720908 MGV720904:MGV720908 MQR720904:MQR720908 NAN720904:NAN720908 NKJ720904:NKJ720908 NUF720904:NUF720908 OEB720904:OEB720908 ONX720904:ONX720908 OXT720904:OXT720908 PHP720904:PHP720908 PRL720904:PRL720908 QBH720904:QBH720908 QLD720904:QLD720908 QUZ720904:QUZ720908 REV720904:REV720908 ROR720904:ROR720908 RYN720904:RYN720908 SIJ720904:SIJ720908 SSF720904:SSF720908 TCB720904:TCB720908 TLX720904:TLX720908 TVT720904:TVT720908 UFP720904:UFP720908 UPL720904:UPL720908 UZH720904:UZH720908 VJD720904:VJD720908 VSZ720904:VSZ720908 WCV720904:WCV720908 WMR720904:WMR720908 WWN720904:WWN720908 AF786440:AF786444 KB786440:KB786444 TX786440:TX786444 ADT786440:ADT786444 ANP786440:ANP786444 AXL786440:AXL786444 BHH786440:BHH786444 BRD786440:BRD786444 CAZ786440:CAZ786444 CKV786440:CKV786444 CUR786440:CUR786444 DEN786440:DEN786444 DOJ786440:DOJ786444 DYF786440:DYF786444 EIB786440:EIB786444 ERX786440:ERX786444 FBT786440:FBT786444 FLP786440:FLP786444 FVL786440:FVL786444 GFH786440:GFH786444 GPD786440:GPD786444 GYZ786440:GYZ786444 HIV786440:HIV786444 HSR786440:HSR786444 ICN786440:ICN786444 IMJ786440:IMJ786444 IWF786440:IWF786444 JGB786440:JGB786444 JPX786440:JPX786444 JZT786440:JZT786444 KJP786440:KJP786444 KTL786440:KTL786444 LDH786440:LDH786444 LND786440:LND786444 LWZ786440:LWZ786444 MGV786440:MGV786444 MQR786440:MQR786444 NAN786440:NAN786444 NKJ786440:NKJ786444 NUF786440:NUF786444 OEB786440:OEB786444 ONX786440:ONX786444 OXT786440:OXT786444 PHP786440:PHP786444 PRL786440:PRL786444 QBH786440:QBH786444 QLD786440:QLD786444 QUZ786440:QUZ786444 REV786440:REV786444 ROR786440:ROR786444 RYN786440:RYN786444 SIJ786440:SIJ786444 SSF786440:SSF786444 TCB786440:TCB786444 TLX786440:TLX786444 TVT786440:TVT786444 UFP786440:UFP786444 UPL786440:UPL786444 UZH786440:UZH786444 VJD786440:VJD786444 VSZ786440:VSZ786444 WCV786440:WCV786444 WMR786440:WMR786444 WWN786440:WWN786444 AF851976:AF851980 KB851976:KB851980 TX851976:TX851980 ADT851976:ADT851980 ANP851976:ANP851980 AXL851976:AXL851980 BHH851976:BHH851980 BRD851976:BRD851980 CAZ851976:CAZ851980 CKV851976:CKV851980 CUR851976:CUR851980 DEN851976:DEN851980 DOJ851976:DOJ851980 DYF851976:DYF851980 EIB851976:EIB851980 ERX851976:ERX851980 FBT851976:FBT851980 FLP851976:FLP851980 FVL851976:FVL851980 GFH851976:GFH851980 GPD851976:GPD851980 GYZ851976:GYZ851980 HIV851976:HIV851980 HSR851976:HSR851980 ICN851976:ICN851980 IMJ851976:IMJ851980 IWF851976:IWF851980 JGB851976:JGB851980 JPX851976:JPX851980 JZT851976:JZT851980 KJP851976:KJP851980 KTL851976:KTL851980 LDH851976:LDH851980 LND851976:LND851980 LWZ851976:LWZ851980 MGV851976:MGV851980 MQR851976:MQR851980 NAN851976:NAN851980 NKJ851976:NKJ851980 NUF851976:NUF851980 OEB851976:OEB851980 ONX851976:ONX851980 OXT851976:OXT851980 PHP851976:PHP851980 PRL851976:PRL851980 QBH851976:QBH851980 QLD851976:QLD851980 QUZ851976:QUZ851980 REV851976:REV851980 ROR851976:ROR851980 RYN851976:RYN851980 SIJ851976:SIJ851980 SSF851976:SSF851980 TCB851976:TCB851980 TLX851976:TLX851980 TVT851976:TVT851980 UFP851976:UFP851980 UPL851976:UPL851980 UZH851976:UZH851980 VJD851976:VJD851980 VSZ851976:VSZ851980 WCV851976:WCV851980 WMR851976:WMR851980 WWN851976:WWN851980 AF917512:AF917516 KB917512:KB917516 TX917512:TX917516 ADT917512:ADT917516 ANP917512:ANP917516 AXL917512:AXL917516 BHH917512:BHH917516 BRD917512:BRD917516 CAZ917512:CAZ917516 CKV917512:CKV917516 CUR917512:CUR917516 DEN917512:DEN917516 DOJ917512:DOJ917516 DYF917512:DYF917516 EIB917512:EIB917516 ERX917512:ERX917516 FBT917512:FBT917516 FLP917512:FLP917516 FVL917512:FVL917516 GFH917512:GFH917516 GPD917512:GPD917516 GYZ917512:GYZ917516 HIV917512:HIV917516 HSR917512:HSR917516 ICN917512:ICN917516 IMJ917512:IMJ917516 IWF917512:IWF917516 JGB917512:JGB917516 JPX917512:JPX917516 JZT917512:JZT917516 KJP917512:KJP917516 KTL917512:KTL917516 LDH917512:LDH917516 LND917512:LND917516 LWZ917512:LWZ917516 MGV917512:MGV917516 MQR917512:MQR917516 NAN917512:NAN917516 NKJ917512:NKJ917516 NUF917512:NUF917516 OEB917512:OEB917516 ONX917512:ONX917516 OXT917512:OXT917516 PHP917512:PHP917516 PRL917512:PRL917516 QBH917512:QBH917516 QLD917512:QLD917516 QUZ917512:QUZ917516 REV917512:REV917516 ROR917512:ROR917516 RYN917512:RYN917516 SIJ917512:SIJ917516 SSF917512:SSF917516 TCB917512:TCB917516 TLX917512:TLX917516 TVT917512:TVT917516 UFP917512:UFP917516 UPL917512:UPL917516 UZH917512:UZH917516 VJD917512:VJD917516 VSZ917512:VSZ917516 WCV917512:WCV917516 WMR917512:WMR917516 WWN917512:WWN917516 AF983048:AF983052 KB983048:KB983052 TX983048:TX983052 ADT983048:ADT983052 ANP983048:ANP983052 AXL983048:AXL983052 BHH983048:BHH983052 BRD983048:BRD983052 CAZ983048:CAZ983052 CKV983048:CKV983052 CUR983048:CUR983052 DEN983048:DEN983052 DOJ983048:DOJ983052 DYF983048:DYF983052 EIB983048:EIB983052 ERX983048:ERX983052 FBT983048:FBT983052 FLP983048:FLP983052 FVL983048:FVL983052 GFH983048:GFH983052 GPD983048:GPD983052 GYZ983048:GYZ983052 HIV983048:HIV983052 HSR983048:HSR983052 ICN983048:ICN983052 IMJ983048:IMJ983052 IWF983048:IWF983052 JGB983048:JGB983052 JPX983048:JPX983052 JZT983048:JZT983052 KJP983048:KJP983052 KTL983048:KTL983052 LDH983048:LDH983052 LND983048:LND983052 LWZ983048:LWZ983052 MGV983048:MGV983052 MQR983048:MQR983052 NAN983048:NAN983052 NKJ983048:NKJ983052 NUF983048:NUF983052 OEB983048:OEB983052 ONX983048:ONX983052 OXT983048:OXT983052 PHP983048:PHP983052 PRL983048:PRL983052 QBH983048:QBH983052 QLD983048:QLD983052 QUZ983048:QUZ983052 REV983048:REV983052 ROR983048:ROR983052 RYN983048:RYN983052 SIJ983048:SIJ983052 SSF983048:SSF983052 TCB983048:TCB983052 TLX983048:TLX983052 TVT983048:TVT983052 UFP983048:UFP983052 UPL983048:UPL983052 UZH983048:UZH983052 VJD983048:VJD983052 VSZ983048:VSZ983052 WCV983048:WCV983052 WMR983048:WMR983052 WWN983048:WWN983052">
      <formula1>$AJ$1:$AJ$4</formula1>
    </dataValidation>
    <dataValidation type="list" allowBlank="1" showInputMessage="1" showErrorMessage="1" sqref="AE8:AE12 KA8 TW8 ADS8 ANO8 AXK8 BHG8 BRC8 CAY8 CKU8 CUQ8 DEM8 DOI8 DYE8 EIA8 ERW8 FBS8 FLO8 FVK8 GFG8 GPC8 GYY8 HIU8 HSQ8 ICM8 IMI8 IWE8 JGA8 JPW8 JZS8 KJO8 KTK8 LDG8 LNC8 LWY8 MGU8 MQQ8 NAM8 NKI8 NUE8 OEA8 ONW8 OXS8 PHO8 PRK8 QBG8 QLC8 QUY8 REU8 ROQ8 RYM8 SII8 SSE8 TCA8 TLW8 TVS8 UFO8 UPK8 UZG8 VJC8 VSY8 WCU8 WMQ8 WWM8 AE65544 KA65544 TW65544 ADS65544 ANO65544 AXK65544 BHG65544 BRC65544 CAY65544 CKU65544 CUQ65544 DEM65544 DOI65544 DYE65544 EIA65544 ERW65544 FBS65544 FLO65544 FVK65544 GFG65544 GPC65544 GYY65544 HIU65544 HSQ65544 ICM65544 IMI65544 IWE65544 JGA65544 JPW65544 JZS65544 KJO65544 KTK65544 LDG65544 LNC65544 LWY65544 MGU65544 MQQ65544 NAM65544 NKI65544 NUE65544 OEA65544 ONW65544 OXS65544 PHO65544 PRK65544 QBG65544 QLC65544 QUY65544 REU65544 ROQ65544 RYM65544 SII65544 SSE65544 TCA65544 TLW65544 TVS65544 UFO65544 UPK65544 UZG65544 VJC65544 VSY65544 WCU65544 WMQ65544 WWM65544 AE131080 KA131080 TW131080 ADS131080 ANO131080 AXK131080 BHG131080 BRC131080 CAY131080 CKU131080 CUQ131080 DEM131080 DOI131080 DYE131080 EIA131080 ERW131080 FBS131080 FLO131080 FVK131080 GFG131080 GPC131080 GYY131080 HIU131080 HSQ131080 ICM131080 IMI131080 IWE131080 JGA131080 JPW131080 JZS131080 KJO131080 KTK131080 LDG131080 LNC131080 LWY131080 MGU131080 MQQ131080 NAM131080 NKI131080 NUE131080 OEA131080 ONW131080 OXS131080 PHO131080 PRK131080 QBG131080 QLC131080 QUY131080 REU131080 ROQ131080 RYM131080 SII131080 SSE131080 TCA131080 TLW131080 TVS131080 UFO131080 UPK131080 UZG131080 VJC131080 VSY131080 WCU131080 WMQ131080 WWM131080 AE196616 KA196616 TW196616 ADS196616 ANO196616 AXK196616 BHG196616 BRC196616 CAY196616 CKU196616 CUQ196616 DEM196616 DOI196616 DYE196616 EIA196616 ERW196616 FBS196616 FLO196616 FVK196616 GFG196616 GPC196616 GYY196616 HIU196616 HSQ196616 ICM196616 IMI196616 IWE196616 JGA196616 JPW196616 JZS196616 KJO196616 KTK196616 LDG196616 LNC196616 LWY196616 MGU196616 MQQ196616 NAM196616 NKI196616 NUE196616 OEA196616 ONW196616 OXS196616 PHO196616 PRK196616 QBG196616 QLC196616 QUY196616 REU196616 ROQ196616 RYM196616 SII196616 SSE196616 TCA196616 TLW196616 TVS196616 UFO196616 UPK196616 UZG196616 VJC196616 VSY196616 WCU196616 WMQ196616 WWM196616 AE262152 KA262152 TW262152 ADS262152 ANO262152 AXK262152 BHG262152 BRC262152 CAY262152 CKU262152 CUQ262152 DEM262152 DOI262152 DYE262152 EIA262152 ERW262152 FBS262152 FLO262152 FVK262152 GFG262152 GPC262152 GYY262152 HIU262152 HSQ262152 ICM262152 IMI262152 IWE262152 JGA262152 JPW262152 JZS262152 KJO262152 KTK262152 LDG262152 LNC262152 LWY262152 MGU262152 MQQ262152 NAM262152 NKI262152 NUE262152 OEA262152 ONW262152 OXS262152 PHO262152 PRK262152 QBG262152 QLC262152 QUY262152 REU262152 ROQ262152 RYM262152 SII262152 SSE262152 TCA262152 TLW262152 TVS262152 UFO262152 UPK262152 UZG262152 VJC262152 VSY262152 WCU262152 WMQ262152 WWM262152 AE327688 KA327688 TW327688 ADS327688 ANO327688 AXK327688 BHG327688 BRC327688 CAY327688 CKU327688 CUQ327688 DEM327688 DOI327688 DYE327688 EIA327688 ERW327688 FBS327688 FLO327688 FVK327688 GFG327688 GPC327688 GYY327688 HIU327688 HSQ327688 ICM327688 IMI327688 IWE327688 JGA327688 JPW327688 JZS327688 KJO327688 KTK327688 LDG327688 LNC327688 LWY327688 MGU327688 MQQ327688 NAM327688 NKI327688 NUE327688 OEA327688 ONW327688 OXS327688 PHO327688 PRK327688 QBG327688 QLC327688 QUY327688 REU327688 ROQ327688 RYM327688 SII327688 SSE327688 TCA327688 TLW327688 TVS327688 UFO327688 UPK327688 UZG327688 VJC327688 VSY327688 WCU327688 WMQ327688 WWM327688 AE393224 KA393224 TW393224 ADS393224 ANO393224 AXK393224 BHG393224 BRC393224 CAY393224 CKU393224 CUQ393224 DEM393224 DOI393224 DYE393224 EIA393224 ERW393224 FBS393224 FLO393224 FVK393224 GFG393224 GPC393224 GYY393224 HIU393224 HSQ393224 ICM393224 IMI393224 IWE393224 JGA393224 JPW393224 JZS393224 KJO393224 KTK393224 LDG393224 LNC393224 LWY393224 MGU393224 MQQ393224 NAM393224 NKI393224 NUE393224 OEA393224 ONW393224 OXS393224 PHO393224 PRK393224 QBG393224 QLC393224 QUY393224 REU393224 ROQ393224 RYM393224 SII393224 SSE393224 TCA393224 TLW393224 TVS393224 UFO393224 UPK393224 UZG393224 VJC393224 VSY393224 WCU393224 WMQ393224 WWM393224 AE458760 KA458760 TW458760 ADS458760 ANO458760 AXK458760 BHG458760 BRC458760 CAY458760 CKU458760 CUQ458760 DEM458760 DOI458760 DYE458760 EIA458760 ERW458760 FBS458760 FLO458760 FVK458760 GFG458760 GPC458760 GYY458760 HIU458760 HSQ458760 ICM458760 IMI458760 IWE458760 JGA458760 JPW458760 JZS458760 KJO458760 KTK458760 LDG458760 LNC458760 LWY458760 MGU458760 MQQ458760 NAM458760 NKI458760 NUE458760 OEA458760 ONW458760 OXS458760 PHO458760 PRK458760 QBG458760 QLC458760 QUY458760 REU458760 ROQ458760 RYM458760 SII458760 SSE458760 TCA458760 TLW458760 TVS458760 UFO458760 UPK458760 UZG458760 VJC458760 VSY458760 WCU458760 WMQ458760 WWM458760 AE524296 KA524296 TW524296 ADS524296 ANO524296 AXK524296 BHG524296 BRC524296 CAY524296 CKU524296 CUQ524296 DEM524296 DOI524296 DYE524296 EIA524296 ERW524296 FBS524296 FLO524296 FVK524296 GFG524296 GPC524296 GYY524296 HIU524296 HSQ524296 ICM524296 IMI524296 IWE524296 JGA524296 JPW524296 JZS524296 KJO524296 KTK524296 LDG524296 LNC524296 LWY524296 MGU524296 MQQ524296 NAM524296 NKI524296 NUE524296 OEA524296 ONW524296 OXS524296 PHO524296 PRK524296 QBG524296 QLC524296 QUY524296 REU524296 ROQ524296 RYM524296 SII524296 SSE524296 TCA524296 TLW524296 TVS524296 UFO524296 UPK524296 UZG524296 VJC524296 VSY524296 WCU524296 WMQ524296 WWM524296 AE589832 KA589832 TW589832 ADS589832 ANO589832 AXK589832 BHG589832 BRC589832 CAY589832 CKU589832 CUQ589832 DEM589832 DOI589832 DYE589832 EIA589832 ERW589832 FBS589832 FLO589832 FVK589832 GFG589832 GPC589832 GYY589832 HIU589832 HSQ589832 ICM589832 IMI589832 IWE589832 JGA589832 JPW589832 JZS589832 KJO589832 KTK589832 LDG589832 LNC589832 LWY589832 MGU589832 MQQ589832 NAM589832 NKI589832 NUE589832 OEA589832 ONW589832 OXS589832 PHO589832 PRK589832 QBG589832 QLC589832 QUY589832 REU589832 ROQ589832 RYM589832 SII589832 SSE589832 TCA589832 TLW589832 TVS589832 UFO589832 UPK589832 UZG589832 VJC589832 VSY589832 WCU589832 WMQ589832 WWM589832 AE655368 KA655368 TW655368 ADS655368 ANO655368 AXK655368 BHG655368 BRC655368 CAY655368 CKU655368 CUQ655368 DEM655368 DOI655368 DYE655368 EIA655368 ERW655368 FBS655368 FLO655368 FVK655368 GFG655368 GPC655368 GYY655368 HIU655368 HSQ655368 ICM655368 IMI655368 IWE655368 JGA655368 JPW655368 JZS655368 KJO655368 KTK655368 LDG655368 LNC655368 LWY655368 MGU655368 MQQ655368 NAM655368 NKI655368 NUE655368 OEA655368 ONW655368 OXS655368 PHO655368 PRK655368 QBG655368 QLC655368 QUY655368 REU655368 ROQ655368 RYM655368 SII655368 SSE655368 TCA655368 TLW655368 TVS655368 UFO655368 UPK655368 UZG655368 VJC655368 VSY655368 WCU655368 WMQ655368 WWM655368 AE720904 KA720904 TW720904 ADS720904 ANO720904 AXK720904 BHG720904 BRC720904 CAY720904 CKU720904 CUQ720904 DEM720904 DOI720904 DYE720904 EIA720904 ERW720904 FBS720904 FLO720904 FVK720904 GFG720904 GPC720904 GYY720904 HIU720904 HSQ720904 ICM720904 IMI720904 IWE720904 JGA720904 JPW720904 JZS720904 KJO720904 KTK720904 LDG720904 LNC720904 LWY720904 MGU720904 MQQ720904 NAM720904 NKI720904 NUE720904 OEA720904 ONW720904 OXS720904 PHO720904 PRK720904 QBG720904 QLC720904 QUY720904 REU720904 ROQ720904 RYM720904 SII720904 SSE720904 TCA720904 TLW720904 TVS720904 UFO720904 UPK720904 UZG720904 VJC720904 VSY720904 WCU720904 WMQ720904 WWM720904 AE786440 KA786440 TW786440 ADS786440 ANO786440 AXK786440 BHG786440 BRC786440 CAY786440 CKU786440 CUQ786440 DEM786440 DOI786440 DYE786440 EIA786440 ERW786440 FBS786440 FLO786440 FVK786440 GFG786440 GPC786440 GYY786440 HIU786440 HSQ786440 ICM786440 IMI786440 IWE786440 JGA786440 JPW786440 JZS786440 KJO786440 KTK786440 LDG786440 LNC786440 LWY786440 MGU786440 MQQ786440 NAM786440 NKI786440 NUE786440 OEA786440 ONW786440 OXS786440 PHO786440 PRK786440 QBG786440 QLC786440 QUY786440 REU786440 ROQ786440 RYM786440 SII786440 SSE786440 TCA786440 TLW786440 TVS786440 UFO786440 UPK786440 UZG786440 VJC786440 VSY786440 WCU786440 WMQ786440 WWM786440 AE851976 KA851976 TW851976 ADS851976 ANO851976 AXK851976 BHG851976 BRC851976 CAY851976 CKU851976 CUQ851976 DEM851976 DOI851976 DYE851976 EIA851976 ERW851976 FBS851976 FLO851976 FVK851976 GFG851976 GPC851976 GYY851976 HIU851976 HSQ851976 ICM851976 IMI851976 IWE851976 JGA851976 JPW851976 JZS851976 KJO851976 KTK851976 LDG851976 LNC851976 LWY851976 MGU851976 MQQ851976 NAM851976 NKI851976 NUE851976 OEA851976 ONW851976 OXS851976 PHO851976 PRK851976 QBG851976 QLC851976 QUY851976 REU851976 ROQ851976 RYM851976 SII851976 SSE851976 TCA851976 TLW851976 TVS851976 UFO851976 UPK851976 UZG851976 VJC851976 VSY851976 WCU851976 WMQ851976 WWM851976 AE917512 KA917512 TW917512 ADS917512 ANO917512 AXK917512 BHG917512 BRC917512 CAY917512 CKU917512 CUQ917512 DEM917512 DOI917512 DYE917512 EIA917512 ERW917512 FBS917512 FLO917512 FVK917512 GFG917512 GPC917512 GYY917512 HIU917512 HSQ917512 ICM917512 IMI917512 IWE917512 JGA917512 JPW917512 JZS917512 KJO917512 KTK917512 LDG917512 LNC917512 LWY917512 MGU917512 MQQ917512 NAM917512 NKI917512 NUE917512 OEA917512 ONW917512 OXS917512 PHO917512 PRK917512 QBG917512 QLC917512 QUY917512 REU917512 ROQ917512 RYM917512 SII917512 SSE917512 TCA917512 TLW917512 TVS917512 UFO917512 UPK917512 UZG917512 VJC917512 VSY917512 WCU917512 WMQ917512 WWM917512 AE983048 KA983048 TW983048 ADS983048 ANO983048 AXK983048 BHG983048 BRC983048 CAY983048 CKU983048 CUQ983048 DEM983048 DOI983048 DYE983048 EIA983048 ERW983048 FBS983048 FLO983048 FVK983048 GFG983048 GPC983048 GYY983048 HIU983048 HSQ983048 ICM983048 IMI983048 IWE983048 JGA983048 JPW983048 JZS983048 KJO983048 KTK983048 LDG983048 LNC983048 LWY983048 MGU983048 MQQ983048 NAM983048 NKI983048 NUE983048 OEA983048 ONW983048 OXS983048 PHO983048 PRK983048 QBG983048 QLC983048 QUY983048 REU983048 ROQ983048 RYM983048 SII983048 SSE983048 TCA983048 TLW983048 TVS983048 UFO983048 UPK983048 UZG983048 VJC983048 VSY983048 WCU983048 WMQ983048 WWM983048">
      <formula1>$B$22:$B$24</formula1>
    </dataValidation>
    <dataValidation type="list" allowBlank="1" showInputMessage="1" showErrorMessage="1" sqref="H8:H10 JD8:JD10 SZ8:SZ10 ACV8:ACV10 AMR8:AMR10 AWN8:AWN10 BGJ8:BGJ10 BQF8:BQF10 CAB8:CAB10 CJX8:CJX10 CTT8:CTT10 DDP8:DDP10 DNL8:DNL10 DXH8:DXH10 EHD8:EHD10 EQZ8:EQZ10 FAV8:FAV10 FKR8:FKR10 FUN8:FUN10 GEJ8:GEJ10 GOF8:GOF10 GYB8:GYB10 HHX8:HHX10 HRT8:HRT10 IBP8:IBP10 ILL8:ILL10 IVH8:IVH10 JFD8:JFD10 JOZ8:JOZ10 JYV8:JYV10 KIR8:KIR10 KSN8:KSN10 LCJ8:LCJ10 LMF8:LMF10 LWB8:LWB10 MFX8:MFX10 MPT8:MPT10 MZP8:MZP10 NJL8:NJL10 NTH8:NTH10 ODD8:ODD10 OMZ8:OMZ10 OWV8:OWV10 PGR8:PGR10 PQN8:PQN10 QAJ8:QAJ10 QKF8:QKF10 QUB8:QUB10 RDX8:RDX10 RNT8:RNT10 RXP8:RXP10 SHL8:SHL10 SRH8:SRH10 TBD8:TBD10 TKZ8:TKZ10 TUV8:TUV10 UER8:UER10 UON8:UON10 UYJ8:UYJ10 VIF8:VIF10 VSB8:VSB10 WBX8:WBX10 WLT8:WLT10 WVP8:WVP10 H65544:H65546 JD65544:JD65546 SZ65544:SZ65546 ACV65544:ACV65546 AMR65544:AMR65546 AWN65544:AWN65546 BGJ65544:BGJ65546 BQF65544:BQF65546 CAB65544:CAB65546 CJX65544:CJX65546 CTT65544:CTT65546 DDP65544:DDP65546 DNL65544:DNL65546 DXH65544:DXH65546 EHD65544:EHD65546 EQZ65544:EQZ65546 FAV65544:FAV65546 FKR65544:FKR65546 FUN65544:FUN65546 GEJ65544:GEJ65546 GOF65544:GOF65546 GYB65544:GYB65546 HHX65544:HHX65546 HRT65544:HRT65546 IBP65544:IBP65546 ILL65544:ILL65546 IVH65544:IVH65546 JFD65544:JFD65546 JOZ65544:JOZ65546 JYV65544:JYV65546 KIR65544:KIR65546 KSN65544:KSN65546 LCJ65544:LCJ65546 LMF65544:LMF65546 LWB65544:LWB65546 MFX65544:MFX65546 MPT65544:MPT65546 MZP65544:MZP65546 NJL65544:NJL65546 NTH65544:NTH65546 ODD65544:ODD65546 OMZ65544:OMZ65546 OWV65544:OWV65546 PGR65544:PGR65546 PQN65544:PQN65546 QAJ65544:QAJ65546 QKF65544:QKF65546 QUB65544:QUB65546 RDX65544:RDX65546 RNT65544:RNT65546 RXP65544:RXP65546 SHL65544:SHL65546 SRH65544:SRH65546 TBD65544:TBD65546 TKZ65544:TKZ65546 TUV65544:TUV65546 UER65544:UER65546 UON65544:UON65546 UYJ65544:UYJ65546 VIF65544:VIF65546 VSB65544:VSB65546 WBX65544:WBX65546 WLT65544:WLT65546 WVP65544:WVP65546 H131080:H131082 JD131080:JD131082 SZ131080:SZ131082 ACV131080:ACV131082 AMR131080:AMR131082 AWN131080:AWN131082 BGJ131080:BGJ131082 BQF131080:BQF131082 CAB131080:CAB131082 CJX131080:CJX131082 CTT131080:CTT131082 DDP131080:DDP131082 DNL131080:DNL131082 DXH131080:DXH131082 EHD131080:EHD131082 EQZ131080:EQZ131082 FAV131080:FAV131082 FKR131080:FKR131082 FUN131080:FUN131082 GEJ131080:GEJ131082 GOF131080:GOF131082 GYB131080:GYB131082 HHX131080:HHX131082 HRT131080:HRT131082 IBP131080:IBP131082 ILL131080:ILL131082 IVH131080:IVH131082 JFD131080:JFD131082 JOZ131080:JOZ131082 JYV131080:JYV131082 KIR131080:KIR131082 KSN131080:KSN131082 LCJ131080:LCJ131082 LMF131080:LMF131082 LWB131080:LWB131082 MFX131080:MFX131082 MPT131080:MPT131082 MZP131080:MZP131082 NJL131080:NJL131082 NTH131080:NTH131082 ODD131080:ODD131082 OMZ131080:OMZ131082 OWV131080:OWV131082 PGR131080:PGR131082 PQN131080:PQN131082 QAJ131080:QAJ131082 QKF131080:QKF131082 QUB131080:QUB131082 RDX131080:RDX131082 RNT131080:RNT131082 RXP131080:RXP131082 SHL131080:SHL131082 SRH131080:SRH131082 TBD131080:TBD131082 TKZ131080:TKZ131082 TUV131080:TUV131082 UER131080:UER131082 UON131080:UON131082 UYJ131080:UYJ131082 VIF131080:VIF131082 VSB131080:VSB131082 WBX131080:WBX131082 WLT131080:WLT131082 WVP131080:WVP131082 H196616:H196618 JD196616:JD196618 SZ196616:SZ196618 ACV196616:ACV196618 AMR196616:AMR196618 AWN196616:AWN196618 BGJ196616:BGJ196618 BQF196616:BQF196618 CAB196616:CAB196618 CJX196616:CJX196618 CTT196616:CTT196618 DDP196616:DDP196618 DNL196616:DNL196618 DXH196616:DXH196618 EHD196616:EHD196618 EQZ196616:EQZ196618 FAV196616:FAV196618 FKR196616:FKR196618 FUN196616:FUN196618 GEJ196616:GEJ196618 GOF196616:GOF196618 GYB196616:GYB196618 HHX196616:HHX196618 HRT196616:HRT196618 IBP196616:IBP196618 ILL196616:ILL196618 IVH196616:IVH196618 JFD196616:JFD196618 JOZ196616:JOZ196618 JYV196616:JYV196618 KIR196616:KIR196618 KSN196616:KSN196618 LCJ196616:LCJ196618 LMF196616:LMF196618 LWB196616:LWB196618 MFX196616:MFX196618 MPT196616:MPT196618 MZP196616:MZP196618 NJL196616:NJL196618 NTH196616:NTH196618 ODD196616:ODD196618 OMZ196616:OMZ196618 OWV196616:OWV196618 PGR196616:PGR196618 PQN196616:PQN196618 QAJ196616:QAJ196618 QKF196616:QKF196618 QUB196616:QUB196618 RDX196616:RDX196618 RNT196616:RNT196618 RXP196616:RXP196618 SHL196616:SHL196618 SRH196616:SRH196618 TBD196616:TBD196618 TKZ196616:TKZ196618 TUV196616:TUV196618 UER196616:UER196618 UON196616:UON196618 UYJ196616:UYJ196618 VIF196616:VIF196618 VSB196616:VSB196618 WBX196616:WBX196618 WLT196616:WLT196618 WVP196616:WVP196618 H262152:H262154 JD262152:JD262154 SZ262152:SZ262154 ACV262152:ACV262154 AMR262152:AMR262154 AWN262152:AWN262154 BGJ262152:BGJ262154 BQF262152:BQF262154 CAB262152:CAB262154 CJX262152:CJX262154 CTT262152:CTT262154 DDP262152:DDP262154 DNL262152:DNL262154 DXH262152:DXH262154 EHD262152:EHD262154 EQZ262152:EQZ262154 FAV262152:FAV262154 FKR262152:FKR262154 FUN262152:FUN262154 GEJ262152:GEJ262154 GOF262152:GOF262154 GYB262152:GYB262154 HHX262152:HHX262154 HRT262152:HRT262154 IBP262152:IBP262154 ILL262152:ILL262154 IVH262152:IVH262154 JFD262152:JFD262154 JOZ262152:JOZ262154 JYV262152:JYV262154 KIR262152:KIR262154 KSN262152:KSN262154 LCJ262152:LCJ262154 LMF262152:LMF262154 LWB262152:LWB262154 MFX262152:MFX262154 MPT262152:MPT262154 MZP262152:MZP262154 NJL262152:NJL262154 NTH262152:NTH262154 ODD262152:ODD262154 OMZ262152:OMZ262154 OWV262152:OWV262154 PGR262152:PGR262154 PQN262152:PQN262154 QAJ262152:QAJ262154 QKF262152:QKF262154 QUB262152:QUB262154 RDX262152:RDX262154 RNT262152:RNT262154 RXP262152:RXP262154 SHL262152:SHL262154 SRH262152:SRH262154 TBD262152:TBD262154 TKZ262152:TKZ262154 TUV262152:TUV262154 UER262152:UER262154 UON262152:UON262154 UYJ262152:UYJ262154 VIF262152:VIF262154 VSB262152:VSB262154 WBX262152:WBX262154 WLT262152:WLT262154 WVP262152:WVP262154 H327688:H327690 JD327688:JD327690 SZ327688:SZ327690 ACV327688:ACV327690 AMR327688:AMR327690 AWN327688:AWN327690 BGJ327688:BGJ327690 BQF327688:BQF327690 CAB327688:CAB327690 CJX327688:CJX327690 CTT327688:CTT327690 DDP327688:DDP327690 DNL327688:DNL327690 DXH327688:DXH327690 EHD327688:EHD327690 EQZ327688:EQZ327690 FAV327688:FAV327690 FKR327688:FKR327690 FUN327688:FUN327690 GEJ327688:GEJ327690 GOF327688:GOF327690 GYB327688:GYB327690 HHX327688:HHX327690 HRT327688:HRT327690 IBP327688:IBP327690 ILL327688:ILL327690 IVH327688:IVH327690 JFD327688:JFD327690 JOZ327688:JOZ327690 JYV327688:JYV327690 KIR327688:KIR327690 KSN327688:KSN327690 LCJ327688:LCJ327690 LMF327688:LMF327690 LWB327688:LWB327690 MFX327688:MFX327690 MPT327688:MPT327690 MZP327688:MZP327690 NJL327688:NJL327690 NTH327688:NTH327690 ODD327688:ODD327690 OMZ327688:OMZ327690 OWV327688:OWV327690 PGR327688:PGR327690 PQN327688:PQN327690 QAJ327688:QAJ327690 QKF327688:QKF327690 QUB327688:QUB327690 RDX327688:RDX327690 RNT327688:RNT327690 RXP327688:RXP327690 SHL327688:SHL327690 SRH327688:SRH327690 TBD327688:TBD327690 TKZ327688:TKZ327690 TUV327688:TUV327690 UER327688:UER327690 UON327688:UON327690 UYJ327688:UYJ327690 VIF327688:VIF327690 VSB327688:VSB327690 WBX327688:WBX327690 WLT327688:WLT327690 WVP327688:WVP327690 H393224:H393226 JD393224:JD393226 SZ393224:SZ393226 ACV393224:ACV393226 AMR393224:AMR393226 AWN393224:AWN393226 BGJ393224:BGJ393226 BQF393224:BQF393226 CAB393224:CAB393226 CJX393224:CJX393226 CTT393224:CTT393226 DDP393224:DDP393226 DNL393224:DNL393226 DXH393224:DXH393226 EHD393224:EHD393226 EQZ393224:EQZ393226 FAV393224:FAV393226 FKR393224:FKR393226 FUN393224:FUN393226 GEJ393224:GEJ393226 GOF393224:GOF393226 GYB393224:GYB393226 HHX393224:HHX393226 HRT393224:HRT393226 IBP393224:IBP393226 ILL393224:ILL393226 IVH393224:IVH393226 JFD393224:JFD393226 JOZ393224:JOZ393226 JYV393224:JYV393226 KIR393224:KIR393226 KSN393224:KSN393226 LCJ393224:LCJ393226 LMF393224:LMF393226 LWB393224:LWB393226 MFX393224:MFX393226 MPT393224:MPT393226 MZP393224:MZP393226 NJL393224:NJL393226 NTH393224:NTH393226 ODD393224:ODD393226 OMZ393224:OMZ393226 OWV393224:OWV393226 PGR393224:PGR393226 PQN393224:PQN393226 QAJ393224:QAJ393226 QKF393224:QKF393226 QUB393224:QUB393226 RDX393224:RDX393226 RNT393224:RNT393226 RXP393224:RXP393226 SHL393224:SHL393226 SRH393224:SRH393226 TBD393224:TBD393226 TKZ393224:TKZ393226 TUV393224:TUV393226 UER393224:UER393226 UON393224:UON393226 UYJ393224:UYJ393226 VIF393224:VIF393226 VSB393224:VSB393226 WBX393224:WBX393226 WLT393224:WLT393226 WVP393224:WVP393226 H458760:H458762 JD458760:JD458762 SZ458760:SZ458762 ACV458760:ACV458762 AMR458760:AMR458762 AWN458760:AWN458762 BGJ458760:BGJ458762 BQF458760:BQF458762 CAB458760:CAB458762 CJX458760:CJX458762 CTT458760:CTT458762 DDP458760:DDP458762 DNL458760:DNL458762 DXH458760:DXH458762 EHD458760:EHD458762 EQZ458760:EQZ458762 FAV458760:FAV458762 FKR458760:FKR458762 FUN458760:FUN458762 GEJ458760:GEJ458762 GOF458760:GOF458762 GYB458760:GYB458762 HHX458760:HHX458762 HRT458760:HRT458762 IBP458760:IBP458762 ILL458760:ILL458762 IVH458760:IVH458762 JFD458760:JFD458762 JOZ458760:JOZ458762 JYV458760:JYV458762 KIR458760:KIR458762 KSN458760:KSN458762 LCJ458760:LCJ458762 LMF458760:LMF458762 LWB458760:LWB458762 MFX458760:MFX458762 MPT458760:MPT458762 MZP458760:MZP458762 NJL458760:NJL458762 NTH458760:NTH458762 ODD458760:ODD458762 OMZ458760:OMZ458762 OWV458760:OWV458762 PGR458760:PGR458762 PQN458760:PQN458762 QAJ458760:QAJ458762 QKF458760:QKF458762 QUB458760:QUB458762 RDX458760:RDX458762 RNT458760:RNT458762 RXP458760:RXP458762 SHL458760:SHL458762 SRH458760:SRH458762 TBD458760:TBD458762 TKZ458760:TKZ458762 TUV458760:TUV458762 UER458760:UER458762 UON458760:UON458762 UYJ458760:UYJ458762 VIF458760:VIF458762 VSB458760:VSB458762 WBX458760:WBX458762 WLT458760:WLT458762 WVP458760:WVP458762 H524296:H524298 JD524296:JD524298 SZ524296:SZ524298 ACV524296:ACV524298 AMR524296:AMR524298 AWN524296:AWN524298 BGJ524296:BGJ524298 BQF524296:BQF524298 CAB524296:CAB524298 CJX524296:CJX524298 CTT524296:CTT524298 DDP524296:DDP524298 DNL524296:DNL524298 DXH524296:DXH524298 EHD524296:EHD524298 EQZ524296:EQZ524298 FAV524296:FAV524298 FKR524296:FKR524298 FUN524296:FUN524298 GEJ524296:GEJ524298 GOF524296:GOF524298 GYB524296:GYB524298 HHX524296:HHX524298 HRT524296:HRT524298 IBP524296:IBP524298 ILL524296:ILL524298 IVH524296:IVH524298 JFD524296:JFD524298 JOZ524296:JOZ524298 JYV524296:JYV524298 KIR524296:KIR524298 KSN524296:KSN524298 LCJ524296:LCJ524298 LMF524296:LMF524298 LWB524296:LWB524298 MFX524296:MFX524298 MPT524296:MPT524298 MZP524296:MZP524298 NJL524296:NJL524298 NTH524296:NTH524298 ODD524296:ODD524298 OMZ524296:OMZ524298 OWV524296:OWV524298 PGR524296:PGR524298 PQN524296:PQN524298 QAJ524296:QAJ524298 QKF524296:QKF524298 QUB524296:QUB524298 RDX524296:RDX524298 RNT524296:RNT524298 RXP524296:RXP524298 SHL524296:SHL524298 SRH524296:SRH524298 TBD524296:TBD524298 TKZ524296:TKZ524298 TUV524296:TUV524298 UER524296:UER524298 UON524296:UON524298 UYJ524296:UYJ524298 VIF524296:VIF524298 VSB524296:VSB524298 WBX524296:WBX524298 WLT524296:WLT524298 WVP524296:WVP524298 H589832:H589834 JD589832:JD589834 SZ589832:SZ589834 ACV589832:ACV589834 AMR589832:AMR589834 AWN589832:AWN589834 BGJ589832:BGJ589834 BQF589832:BQF589834 CAB589832:CAB589834 CJX589832:CJX589834 CTT589832:CTT589834 DDP589832:DDP589834 DNL589832:DNL589834 DXH589832:DXH589834 EHD589832:EHD589834 EQZ589832:EQZ589834 FAV589832:FAV589834 FKR589832:FKR589834 FUN589832:FUN589834 GEJ589832:GEJ589834 GOF589832:GOF589834 GYB589832:GYB589834 HHX589832:HHX589834 HRT589832:HRT589834 IBP589832:IBP589834 ILL589832:ILL589834 IVH589832:IVH589834 JFD589832:JFD589834 JOZ589832:JOZ589834 JYV589832:JYV589834 KIR589832:KIR589834 KSN589832:KSN589834 LCJ589832:LCJ589834 LMF589832:LMF589834 LWB589832:LWB589834 MFX589832:MFX589834 MPT589832:MPT589834 MZP589832:MZP589834 NJL589832:NJL589834 NTH589832:NTH589834 ODD589832:ODD589834 OMZ589832:OMZ589834 OWV589832:OWV589834 PGR589832:PGR589834 PQN589832:PQN589834 QAJ589832:QAJ589834 QKF589832:QKF589834 QUB589832:QUB589834 RDX589832:RDX589834 RNT589832:RNT589834 RXP589832:RXP589834 SHL589832:SHL589834 SRH589832:SRH589834 TBD589832:TBD589834 TKZ589832:TKZ589834 TUV589832:TUV589834 UER589832:UER589834 UON589832:UON589834 UYJ589832:UYJ589834 VIF589832:VIF589834 VSB589832:VSB589834 WBX589832:WBX589834 WLT589832:WLT589834 WVP589832:WVP589834 H655368:H655370 JD655368:JD655370 SZ655368:SZ655370 ACV655368:ACV655370 AMR655368:AMR655370 AWN655368:AWN655370 BGJ655368:BGJ655370 BQF655368:BQF655370 CAB655368:CAB655370 CJX655368:CJX655370 CTT655368:CTT655370 DDP655368:DDP655370 DNL655368:DNL655370 DXH655368:DXH655370 EHD655368:EHD655370 EQZ655368:EQZ655370 FAV655368:FAV655370 FKR655368:FKR655370 FUN655368:FUN655370 GEJ655368:GEJ655370 GOF655368:GOF655370 GYB655368:GYB655370 HHX655368:HHX655370 HRT655368:HRT655370 IBP655368:IBP655370 ILL655368:ILL655370 IVH655368:IVH655370 JFD655368:JFD655370 JOZ655368:JOZ655370 JYV655368:JYV655370 KIR655368:KIR655370 KSN655368:KSN655370 LCJ655368:LCJ655370 LMF655368:LMF655370 LWB655368:LWB655370 MFX655368:MFX655370 MPT655368:MPT655370 MZP655368:MZP655370 NJL655368:NJL655370 NTH655368:NTH655370 ODD655368:ODD655370 OMZ655368:OMZ655370 OWV655368:OWV655370 PGR655368:PGR655370 PQN655368:PQN655370 QAJ655368:QAJ655370 QKF655368:QKF655370 QUB655368:QUB655370 RDX655368:RDX655370 RNT655368:RNT655370 RXP655368:RXP655370 SHL655368:SHL655370 SRH655368:SRH655370 TBD655368:TBD655370 TKZ655368:TKZ655370 TUV655368:TUV655370 UER655368:UER655370 UON655368:UON655370 UYJ655368:UYJ655370 VIF655368:VIF655370 VSB655368:VSB655370 WBX655368:WBX655370 WLT655368:WLT655370 WVP655368:WVP655370 H720904:H720906 JD720904:JD720906 SZ720904:SZ720906 ACV720904:ACV720906 AMR720904:AMR720906 AWN720904:AWN720906 BGJ720904:BGJ720906 BQF720904:BQF720906 CAB720904:CAB720906 CJX720904:CJX720906 CTT720904:CTT720906 DDP720904:DDP720906 DNL720904:DNL720906 DXH720904:DXH720906 EHD720904:EHD720906 EQZ720904:EQZ720906 FAV720904:FAV720906 FKR720904:FKR720906 FUN720904:FUN720906 GEJ720904:GEJ720906 GOF720904:GOF720906 GYB720904:GYB720906 HHX720904:HHX720906 HRT720904:HRT720906 IBP720904:IBP720906 ILL720904:ILL720906 IVH720904:IVH720906 JFD720904:JFD720906 JOZ720904:JOZ720906 JYV720904:JYV720906 KIR720904:KIR720906 KSN720904:KSN720906 LCJ720904:LCJ720906 LMF720904:LMF720906 LWB720904:LWB720906 MFX720904:MFX720906 MPT720904:MPT720906 MZP720904:MZP720906 NJL720904:NJL720906 NTH720904:NTH720906 ODD720904:ODD720906 OMZ720904:OMZ720906 OWV720904:OWV720906 PGR720904:PGR720906 PQN720904:PQN720906 QAJ720904:QAJ720906 QKF720904:QKF720906 QUB720904:QUB720906 RDX720904:RDX720906 RNT720904:RNT720906 RXP720904:RXP720906 SHL720904:SHL720906 SRH720904:SRH720906 TBD720904:TBD720906 TKZ720904:TKZ720906 TUV720904:TUV720906 UER720904:UER720906 UON720904:UON720906 UYJ720904:UYJ720906 VIF720904:VIF720906 VSB720904:VSB720906 WBX720904:WBX720906 WLT720904:WLT720906 WVP720904:WVP720906 H786440:H786442 JD786440:JD786442 SZ786440:SZ786442 ACV786440:ACV786442 AMR786440:AMR786442 AWN786440:AWN786442 BGJ786440:BGJ786442 BQF786440:BQF786442 CAB786440:CAB786442 CJX786440:CJX786442 CTT786440:CTT786442 DDP786440:DDP786442 DNL786440:DNL786442 DXH786440:DXH786442 EHD786440:EHD786442 EQZ786440:EQZ786442 FAV786440:FAV786442 FKR786440:FKR786442 FUN786440:FUN786442 GEJ786440:GEJ786442 GOF786440:GOF786442 GYB786440:GYB786442 HHX786440:HHX786442 HRT786440:HRT786442 IBP786440:IBP786442 ILL786440:ILL786442 IVH786440:IVH786442 JFD786440:JFD786442 JOZ786440:JOZ786442 JYV786440:JYV786442 KIR786440:KIR786442 KSN786440:KSN786442 LCJ786440:LCJ786442 LMF786440:LMF786442 LWB786440:LWB786442 MFX786440:MFX786442 MPT786440:MPT786442 MZP786440:MZP786442 NJL786440:NJL786442 NTH786440:NTH786442 ODD786440:ODD786442 OMZ786440:OMZ786442 OWV786440:OWV786442 PGR786440:PGR786442 PQN786440:PQN786442 QAJ786440:QAJ786442 QKF786440:QKF786442 QUB786440:QUB786442 RDX786440:RDX786442 RNT786440:RNT786442 RXP786440:RXP786442 SHL786440:SHL786442 SRH786440:SRH786442 TBD786440:TBD786442 TKZ786440:TKZ786442 TUV786440:TUV786442 UER786440:UER786442 UON786440:UON786442 UYJ786440:UYJ786442 VIF786440:VIF786442 VSB786440:VSB786442 WBX786440:WBX786442 WLT786440:WLT786442 WVP786440:WVP786442 H851976:H851978 JD851976:JD851978 SZ851976:SZ851978 ACV851976:ACV851978 AMR851976:AMR851978 AWN851976:AWN851978 BGJ851976:BGJ851978 BQF851976:BQF851978 CAB851976:CAB851978 CJX851976:CJX851978 CTT851976:CTT851978 DDP851976:DDP851978 DNL851976:DNL851978 DXH851976:DXH851978 EHD851976:EHD851978 EQZ851976:EQZ851978 FAV851976:FAV851978 FKR851976:FKR851978 FUN851976:FUN851978 GEJ851976:GEJ851978 GOF851976:GOF851978 GYB851976:GYB851978 HHX851976:HHX851978 HRT851976:HRT851978 IBP851976:IBP851978 ILL851976:ILL851978 IVH851976:IVH851978 JFD851976:JFD851978 JOZ851976:JOZ851978 JYV851976:JYV851978 KIR851976:KIR851978 KSN851976:KSN851978 LCJ851976:LCJ851978 LMF851976:LMF851978 LWB851976:LWB851978 MFX851976:MFX851978 MPT851976:MPT851978 MZP851976:MZP851978 NJL851976:NJL851978 NTH851976:NTH851978 ODD851976:ODD851978 OMZ851976:OMZ851978 OWV851976:OWV851978 PGR851976:PGR851978 PQN851976:PQN851978 QAJ851976:QAJ851978 QKF851976:QKF851978 QUB851976:QUB851978 RDX851976:RDX851978 RNT851976:RNT851978 RXP851976:RXP851978 SHL851976:SHL851978 SRH851976:SRH851978 TBD851976:TBD851978 TKZ851976:TKZ851978 TUV851976:TUV851978 UER851976:UER851978 UON851976:UON851978 UYJ851976:UYJ851978 VIF851976:VIF851978 VSB851976:VSB851978 WBX851976:WBX851978 WLT851976:WLT851978 WVP851976:WVP851978 H917512:H917514 JD917512:JD917514 SZ917512:SZ917514 ACV917512:ACV917514 AMR917512:AMR917514 AWN917512:AWN917514 BGJ917512:BGJ917514 BQF917512:BQF917514 CAB917512:CAB917514 CJX917512:CJX917514 CTT917512:CTT917514 DDP917512:DDP917514 DNL917512:DNL917514 DXH917512:DXH917514 EHD917512:EHD917514 EQZ917512:EQZ917514 FAV917512:FAV917514 FKR917512:FKR917514 FUN917512:FUN917514 GEJ917512:GEJ917514 GOF917512:GOF917514 GYB917512:GYB917514 HHX917512:HHX917514 HRT917512:HRT917514 IBP917512:IBP917514 ILL917512:ILL917514 IVH917512:IVH917514 JFD917512:JFD917514 JOZ917512:JOZ917514 JYV917512:JYV917514 KIR917512:KIR917514 KSN917512:KSN917514 LCJ917512:LCJ917514 LMF917512:LMF917514 LWB917512:LWB917514 MFX917512:MFX917514 MPT917512:MPT917514 MZP917512:MZP917514 NJL917512:NJL917514 NTH917512:NTH917514 ODD917512:ODD917514 OMZ917512:OMZ917514 OWV917512:OWV917514 PGR917512:PGR917514 PQN917512:PQN917514 QAJ917512:QAJ917514 QKF917512:QKF917514 QUB917512:QUB917514 RDX917512:RDX917514 RNT917512:RNT917514 RXP917512:RXP917514 SHL917512:SHL917514 SRH917512:SRH917514 TBD917512:TBD917514 TKZ917512:TKZ917514 TUV917512:TUV917514 UER917512:UER917514 UON917512:UON917514 UYJ917512:UYJ917514 VIF917512:VIF917514 VSB917512:VSB917514 WBX917512:WBX917514 WLT917512:WLT917514 WVP917512:WVP917514 H983048:H983050 JD983048:JD983050 SZ983048:SZ983050 ACV983048:ACV983050 AMR983048:AMR983050 AWN983048:AWN983050 BGJ983048:BGJ983050 BQF983048:BQF983050 CAB983048:CAB983050 CJX983048:CJX983050 CTT983048:CTT983050 DDP983048:DDP983050 DNL983048:DNL983050 DXH983048:DXH983050 EHD983048:EHD983050 EQZ983048:EQZ983050 FAV983048:FAV983050 FKR983048:FKR983050 FUN983048:FUN983050 GEJ983048:GEJ983050 GOF983048:GOF983050 GYB983048:GYB983050 HHX983048:HHX983050 HRT983048:HRT983050 IBP983048:IBP983050 ILL983048:ILL983050 IVH983048:IVH983050 JFD983048:JFD983050 JOZ983048:JOZ983050 JYV983048:JYV983050 KIR983048:KIR983050 KSN983048:KSN983050 LCJ983048:LCJ983050 LMF983048:LMF983050 LWB983048:LWB983050 MFX983048:MFX983050 MPT983048:MPT983050 MZP983048:MZP983050 NJL983048:NJL983050 NTH983048:NTH983050 ODD983048:ODD983050 OMZ983048:OMZ983050 OWV983048:OWV983050 PGR983048:PGR983050 PQN983048:PQN983050 QAJ983048:QAJ983050 QKF983048:QKF983050 QUB983048:QUB983050 RDX983048:RDX983050 RNT983048:RNT983050 RXP983048:RXP983050 SHL983048:SHL983050 SRH983048:SRH983050 TBD983048:TBD983050 TKZ983048:TKZ983050 TUV983048:TUV983050 UER983048:UER983050 UON983048:UON983050 UYJ983048:UYJ983050 VIF983048:VIF983050 VSB983048:VSB983050 WBX983048:WBX983050 WLT983048:WLT983050 WVP983048:WVP983050">
      <formula1>$H$20:$H$24</formula1>
    </dataValidation>
  </dataValidations>
  <printOptions horizontalCentered="1"/>
  <pageMargins left="0.25" right="0.25" top="0.75" bottom="0.75" header="0.3" footer="0.3"/>
  <pageSetup scale="45" orientation="landscape" copies="2"/>
  <headerFooter>
    <oddFooter>&amp;C&amp;"Tahoma,Cursiva"&amp;9Si usted ha accedido a este formato a través de un medio diferente al sitio web del Sistema de Control Documental del SIGEC asegúrese que ésta es la versión vigente</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AM35"/>
  <sheetViews>
    <sheetView topLeftCell="A2" zoomScale="80" zoomScaleNormal="80" zoomScaleSheetLayoutView="100" zoomScalePageLayoutView="60" workbookViewId="0">
      <selection activeCell="P8" sqref="P8:S9"/>
    </sheetView>
  </sheetViews>
  <sheetFormatPr baseColWidth="10" defaultRowHeight="12.75"/>
  <cols>
    <col min="1" max="1" width="10.28515625" style="2" customWidth="1"/>
    <col min="2" max="2" width="13.42578125" style="2" customWidth="1"/>
    <col min="3" max="3" width="4.28515625" style="2" customWidth="1"/>
    <col min="4" max="4" width="4" style="2" customWidth="1"/>
    <col min="5" max="5" width="28" style="2" customWidth="1"/>
    <col min="6" max="6" width="4.140625" style="2" customWidth="1"/>
    <col min="7" max="7" width="11.28515625" style="2" customWidth="1"/>
    <col min="8" max="8" width="16.140625" style="2" customWidth="1"/>
    <col min="9" max="9" width="11" style="2" customWidth="1"/>
    <col min="10" max="11" width="2.140625" style="2" customWidth="1"/>
    <col min="12" max="12" width="3.28515625" style="2" customWidth="1"/>
    <col min="13" max="13" width="0.28515625" style="2" hidden="1" customWidth="1"/>
    <col min="14" max="14" width="0.42578125" style="2" hidden="1" customWidth="1"/>
    <col min="15" max="15" width="2.85546875" style="2" customWidth="1"/>
    <col min="16" max="16" width="3.28515625" style="2" customWidth="1"/>
    <col min="17" max="17" width="1.42578125" style="2" customWidth="1"/>
    <col min="18" max="18" width="1.85546875" style="2" hidden="1" customWidth="1"/>
    <col min="19" max="19" width="6.85546875" style="2" customWidth="1"/>
    <col min="20" max="20" width="3" style="2" hidden="1" customWidth="1"/>
    <col min="21" max="22" width="6.28515625" style="2" customWidth="1"/>
    <col min="23" max="23" width="17.7109375" style="2" customWidth="1"/>
    <col min="24" max="24" width="21.85546875" style="2" customWidth="1"/>
    <col min="25" max="25" width="10.85546875" style="2" customWidth="1"/>
    <col min="26" max="26" width="14.140625" style="2" customWidth="1"/>
    <col min="27" max="27" width="0.42578125" style="2" hidden="1" customWidth="1"/>
    <col min="28" max="28" width="13" style="2" customWidth="1"/>
    <col min="29" max="29" width="13.140625" style="2" customWidth="1"/>
    <col min="30" max="31" width="14" style="2" customWidth="1"/>
    <col min="32" max="32" width="11.42578125" style="2" customWidth="1"/>
    <col min="33" max="33" width="15.85546875" style="2" customWidth="1"/>
    <col min="34" max="34" width="23.7109375" style="2" customWidth="1"/>
    <col min="35" max="35" width="12" style="2" customWidth="1"/>
    <col min="36" max="37" width="0.28515625" style="2" customWidth="1"/>
    <col min="38" max="38" width="1.42578125" style="2" customWidth="1"/>
    <col min="39" max="39" width="1.28515625" style="2" hidden="1" customWidth="1"/>
    <col min="40" max="256" width="11.42578125" style="2"/>
    <col min="257" max="257" width="10.28515625" style="2" customWidth="1"/>
    <col min="258" max="258" width="13.42578125" style="2" customWidth="1"/>
    <col min="259" max="259" width="4.28515625" style="2" customWidth="1"/>
    <col min="260" max="260" width="4" style="2" customWidth="1"/>
    <col min="261" max="261" width="28" style="2" customWidth="1"/>
    <col min="262" max="262" width="4.140625" style="2" customWidth="1"/>
    <col min="263" max="263" width="11.28515625" style="2" customWidth="1"/>
    <col min="264" max="264" width="16.140625" style="2" customWidth="1"/>
    <col min="265" max="265" width="11" style="2" customWidth="1"/>
    <col min="266" max="267" width="2.140625" style="2" customWidth="1"/>
    <col min="268" max="268" width="3.28515625" style="2" customWidth="1"/>
    <col min="269" max="270" width="0" style="2" hidden="1" customWidth="1"/>
    <col min="271" max="271" width="2.85546875" style="2" customWidth="1"/>
    <col min="272" max="272" width="3.28515625" style="2" customWidth="1"/>
    <col min="273" max="273" width="1.42578125" style="2" customWidth="1"/>
    <col min="274" max="274" width="0" style="2" hidden="1" customWidth="1"/>
    <col min="275" max="275" width="6.85546875" style="2" customWidth="1"/>
    <col min="276" max="276" width="0" style="2" hidden="1" customWidth="1"/>
    <col min="277" max="278" width="6.28515625" style="2" customWidth="1"/>
    <col min="279" max="279" width="17.7109375" style="2" customWidth="1"/>
    <col min="280" max="280" width="21.85546875" style="2" customWidth="1"/>
    <col min="281" max="281" width="10.85546875" style="2" customWidth="1"/>
    <col min="282" max="282" width="14.140625" style="2" customWidth="1"/>
    <col min="283" max="283" width="0" style="2" hidden="1" customWidth="1"/>
    <col min="284" max="284" width="13" style="2" customWidth="1"/>
    <col min="285" max="285" width="13.140625" style="2" customWidth="1"/>
    <col min="286" max="287" width="14" style="2" customWidth="1"/>
    <col min="288" max="288" width="11.42578125" style="2" customWidth="1"/>
    <col min="289" max="289" width="15.85546875" style="2" customWidth="1"/>
    <col min="290" max="290" width="23.7109375" style="2" customWidth="1"/>
    <col min="291" max="291" width="12" style="2" customWidth="1"/>
    <col min="292" max="293" width="0.28515625" style="2" customWidth="1"/>
    <col min="294" max="294" width="1.42578125" style="2" customWidth="1"/>
    <col min="295" max="295" width="0" style="2" hidden="1" customWidth="1"/>
    <col min="296" max="512" width="11.42578125" style="2"/>
    <col min="513" max="513" width="10.28515625" style="2" customWidth="1"/>
    <col min="514" max="514" width="13.42578125" style="2" customWidth="1"/>
    <col min="515" max="515" width="4.28515625" style="2" customWidth="1"/>
    <col min="516" max="516" width="4" style="2" customWidth="1"/>
    <col min="517" max="517" width="28" style="2" customWidth="1"/>
    <col min="518" max="518" width="4.140625" style="2" customWidth="1"/>
    <col min="519" max="519" width="11.28515625" style="2" customWidth="1"/>
    <col min="520" max="520" width="16.140625" style="2" customWidth="1"/>
    <col min="521" max="521" width="11" style="2" customWidth="1"/>
    <col min="522" max="523" width="2.140625" style="2" customWidth="1"/>
    <col min="524" max="524" width="3.28515625" style="2" customWidth="1"/>
    <col min="525" max="526" width="0" style="2" hidden="1" customWidth="1"/>
    <col min="527" max="527" width="2.85546875" style="2" customWidth="1"/>
    <col min="528" max="528" width="3.28515625" style="2" customWidth="1"/>
    <col min="529" max="529" width="1.42578125" style="2" customWidth="1"/>
    <col min="530" max="530" width="0" style="2" hidden="1" customWidth="1"/>
    <col min="531" max="531" width="6.85546875" style="2" customWidth="1"/>
    <col min="532" max="532" width="0" style="2" hidden="1" customWidth="1"/>
    <col min="533" max="534" width="6.28515625" style="2" customWidth="1"/>
    <col min="535" max="535" width="17.7109375" style="2" customWidth="1"/>
    <col min="536" max="536" width="21.85546875" style="2" customWidth="1"/>
    <col min="537" max="537" width="10.85546875" style="2" customWidth="1"/>
    <col min="538" max="538" width="14.140625" style="2" customWidth="1"/>
    <col min="539" max="539" width="0" style="2" hidden="1" customWidth="1"/>
    <col min="540" max="540" width="13" style="2" customWidth="1"/>
    <col min="541" max="541" width="13.140625" style="2" customWidth="1"/>
    <col min="542" max="543" width="14" style="2" customWidth="1"/>
    <col min="544" max="544" width="11.42578125" style="2" customWidth="1"/>
    <col min="545" max="545" width="15.85546875" style="2" customWidth="1"/>
    <col min="546" max="546" width="23.7109375" style="2" customWidth="1"/>
    <col min="547" max="547" width="12" style="2" customWidth="1"/>
    <col min="548" max="549" width="0.28515625" style="2" customWidth="1"/>
    <col min="550" max="550" width="1.42578125" style="2" customWidth="1"/>
    <col min="551" max="551" width="0" style="2" hidden="1" customWidth="1"/>
    <col min="552" max="768" width="11.42578125" style="2"/>
    <col min="769" max="769" width="10.28515625" style="2" customWidth="1"/>
    <col min="770" max="770" width="13.42578125" style="2" customWidth="1"/>
    <col min="771" max="771" width="4.28515625" style="2" customWidth="1"/>
    <col min="772" max="772" width="4" style="2" customWidth="1"/>
    <col min="773" max="773" width="28" style="2" customWidth="1"/>
    <col min="774" max="774" width="4.140625" style="2" customWidth="1"/>
    <col min="775" max="775" width="11.28515625" style="2" customWidth="1"/>
    <col min="776" max="776" width="16.140625" style="2" customWidth="1"/>
    <col min="777" max="777" width="11" style="2" customWidth="1"/>
    <col min="778" max="779" width="2.140625" style="2" customWidth="1"/>
    <col min="780" max="780" width="3.28515625" style="2" customWidth="1"/>
    <col min="781" max="782" width="0" style="2" hidden="1" customWidth="1"/>
    <col min="783" max="783" width="2.85546875" style="2" customWidth="1"/>
    <col min="784" max="784" width="3.28515625" style="2" customWidth="1"/>
    <col min="785" max="785" width="1.42578125" style="2" customWidth="1"/>
    <col min="786" max="786" width="0" style="2" hidden="1" customWidth="1"/>
    <col min="787" max="787" width="6.85546875" style="2" customWidth="1"/>
    <col min="788" max="788" width="0" style="2" hidden="1" customWidth="1"/>
    <col min="789" max="790" width="6.28515625" style="2" customWidth="1"/>
    <col min="791" max="791" width="17.7109375" style="2" customWidth="1"/>
    <col min="792" max="792" width="21.85546875" style="2" customWidth="1"/>
    <col min="793" max="793" width="10.85546875" style="2" customWidth="1"/>
    <col min="794" max="794" width="14.140625" style="2" customWidth="1"/>
    <col min="795" max="795" width="0" style="2" hidden="1" customWidth="1"/>
    <col min="796" max="796" width="13" style="2" customWidth="1"/>
    <col min="797" max="797" width="13.140625" style="2" customWidth="1"/>
    <col min="798" max="799" width="14" style="2" customWidth="1"/>
    <col min="800" max="800" width="11.42578125" style="2" customWidth="1"/>
    <col min="801" max="801" width="15.85546875" style="2" customWidth="1"/>
    <col min="802" max="802" width="23.7109375" style="2" customWidth="1"/>
    <col min="803" max="803" width="12" style="2" customWidth="1"/>
    <col min="804" max="805" width="0.28515625" style="2" customWidth="1"/>
    <col min="806" max="806" width="1.42578125" style="2" customWidth="1"/>
    <col min="807" max="807" width="0" style="2" hidden="1" customWidth="1"/>
    <col min="808" max="1024" width="11.42578125" style="2"/>
    <col min="1025" max="1025" width="10.28515625" style="2" customWidth="1"/>
    <col min="1026" max="1026" width="13.42578125" style="2" customWidth="1"/>
    <col min="1027" max="1027" width="4.28515625" style="2" customWidth="1"/>
    <col min="1028" max="1028" width="4" style="2" customWidth="1"/>
    <col min="1029" max="1029" width="28" style="2" customWidth="1"/>
    <col min="1030" max="1030" width="4.140625" style="2" customWidth="1"/>
    <col min="1031" max="1031" width="11.28515625" style="2" customWidth="1"/>
    <col min="1032" max="1032" width="16.140625" style="2" customWidth="1"/>
    <col min="1033" max="1033" width="11" style="2" customWidth="1"/>
    <col min="1034" max="1035" width="2.140625" style="2" customWidth="1"/>
    <col min="1036" max="1036" width="3.28515625" style="2" customWidth="1"/>
    <col min="1037" max="1038" width="0" style="2" hidden="1" customWidth="1"/>
    <col min="1039" max="1039" width="2.85546875" style="2" customWidth="1"/>
    <col min="1040" max="1040" width="3.28515625" style="2" customWidth="1"/>
    <col min="1041" max="1041" width="1.42578125" style="2" customWidth="1"/>
    <col min="1042" max="1042" width="0" style="2" hidden="1" customWidth="1"/>
    <col min="1043" max="1043" width="6.85546875" style="2" customWidth="1"/>
    <col min="1044" max="1044" width="0" style="2" hidden="1" customWidth="1"/>
    <col min="1045" max="1046" width="6.28515625" style="2" customWidth="1"/>
    <col min="1047" max="1047" width="17.7109375" style="2" customWidth="1"/>
    <col min="1048" max="1048" width="21.85546875" style="2" customWidth="1"/>
    <col min="1049" max="1049" width="10.85546875" style="2" customWidth="1"/>
    <col min="1050" max="1050" width="14.140625" style="2" customWidth="1"/>
    <col min="1051" max="1051" width="0" style="2" hidden="1" customWidth="1"/>
    <col min="1052" max="1052" width="13" style="2" customWidth="1"/>
    <col min="1053" max="1053" width="13.140625" style="2" customWidth="1"/>
    <col min="1054" max="1055" width="14" style="2" customWidth="1"/>
    <col min="1056" max="1056" width="11.42578125" style="2" customWidth="1"/>
    <col min="1057" max="1057" width="15.85546875" style="2" customWidth="1"/>
    <col min="1058" max="1058" width="23.7109375" style="2" customWidth="1"/>
    <col min="1059" max="1059" width="12" style="2" customWidth="1"/>
    <col min="1060" max="1061" width="0.28515625" style="2" customWidth="1"/>
    <col min="1062" max="1062" width="1.42578125" style="2" customWidth="1"/>
    <col min="1063" max="1063" width="0" style="2" hidden="1" customWidth="1"/>
    <col min="1064" max="1280" width="11.42578125" style="2"/>
    <col min="1281" max="1281" width="10.28515625" style="2" customWidth="1"/>
    <col min="1282" max="1282" width="13.42578125" style="2" customWidth="1"/>
    <col min="1283" max="1283" width="4.28515625" style="2" customWidth="1"/>
    <col min="1284" max="1284" width="4" style="2" customWidth="1"/>
    <col min="1285" max="1285" width="28" style="2" customWidth="1"/>
    <col min="1286" max="1286" width="4.140625" style="2" customWidth="1"/>
    <col min="1287" max="1287" width="11.28515625" style="2" customWidth="1"/>
    <col min="1288" max="1288" width="16.140625" style="2" customWidth="1"/>
    <col min="1289" max="1289" width="11" style="2" customWidth="1"/>
    <col min="1290" max="1291" width="2.140625" style="2" customWidth="1"/>
    <col min="1292" max="1292" width="3.28515625" style="2" customWidth="1"/>
    <col min="1293" max="1294" width="0" style="2" hidden="1" customWidth="1"/>
    <col min="1295" max="1295" width="2.85546875" style="2" customWidth="1"/>
    <col min="1296" max="1296" width="3.28515625" style="2" customWidth="1"/>
    <col min="1297" max="1297" width="1.42578125" style="2" customWidth="1"/>
    <col min="1298" max="1298" width="0" style="2" hidden="1" customWidth="1"/>
    <col min="1299" max="1299" width="6.85546875" style="2" customWidth="1"/>
    <col min="1300" max="1300" width="0" style="2" hidden="1" customWidth="1"/>
    <col min="1301" max="1302" width="6.28515625" style="2" customWidth="1"/>
    <col min="1303" max="1303" width="17.7109375" style="2" customWidth="1"/>
    <col min="1304" max="1304" width="21.85546875" style="2" customWidth="1"/>
    <col min="1305" max="1305" width="10.85546875" style="2" customWidth="1"/>
    <col min="1306" max="1306" width="14.140625" style="2" customWidth="1"/>
    <col min="1307" max="1307" width="0" style="2" hidden="1" customWidth="1"/>
    <col min="1308" max="1308" width="13" style="2" customWidth="1"/>
    <col min="1309" max="1309" width="13.140625" style="2" customWidth="1"/>
    <col min="1310" max="1311" width="14" style="2" customWidth="1"/>
    <col min="1312" max="1312" width="11.42578125" style="2" customWidth="1"/>
    <col min="1313" max="1313" width="15.85546875" style="2" customWidth="1"/>
    <col min="1314" max="1314" width="23.7109375" style="2" customWidth="1"/>
    <col min="1315" max="1315" width="12" style="2" customWidth="1"/>
    <col min="1316" max="1317" width="0.28515625" style="2" customWidth="1"/>
    <col min="1318" max="1318" width="1.42578125" style="2" customWidth="1"/>
    <col min="1319" max="1319" width="0" style="2" hidden="1" customWidth="1"/>
    <col min="1320" max="1536" width="11.42578125" style="2"/>
    <col min="1537" max="1537" width="10.28515625" style="2" customWidth="1"/>
    <col min="1538" max="1538" width="13.42578125" style="2" customWidth="1"/>
    <col min="1539" max="1539" width="4.28515625" style="2" customWidth="1"/>
    <col min="1540" max="1540" width="4" style="2" customWidth="1"/>
    <col min="1541" max="1541" width="28" style="2" customWidth="1"/>
    <col min="1542" max="1542" width="4.140625" style="2" customWidth="1"/>
    <col min="1543" max="1543" width="11.28515625" style="2" customWidth="1"/>
    <col min="1544" max="1544" width="16.140625" style="2" customWidth="1"/>
    <col min="1545" max="1545" width="11" style="2" customWidth="1"/>
    <col min="1546" max="1547" width="2.140625" style="2" customWidth="1"/>
    <col min="1548" max="1548" width="3.28515625" style="2" customWidth="1"/>
    <col min="1549" max="1550" width="0" style="2" hidden="1" customWidth="1"/>
    <col min="1551" max="1551" width="2.85546875" style="2" customWidth="1"/>
    <col min="1552" max="1552" width="3.28515625" style="2" customWidth="1"/>
    <col min="1553" max="1553" width="1.42578125" style="2" customWidth="1"/>
    <col min="1554" max="1554" width="0" style="2" hidden="1" customWidth="1"/>
    <col min="1555" max="1555" width="6.85546875" style="2" customWidth="1"/>
    <col min="1556" max="1556" width="0" style="2" hidden="1" customWidth="1"/>
    <col min="1557" max="1558" width="6.28515625" style="2" customWidth="1"/>
    <col min="1559" max="1559" width="17.7109375" style="2" customWidth="1"/>
    <col min="1560" max="1560" width="21.85546875" style="2" customWidth="1"/>
    <col min="1561" max="1561" width="10.85546875" style="2" customWidth="1"/>
    <col min="1562" max="1562" width="14.140625" style="2" customWidth="1"/>
    <col min="1563" max="1563" width="0" style="2" hidden="1" customWidth="1"/>
    <col min="1564" max="1564" width="13" style="2" customWidth="1"/>
    <col min="1565" max="1565" width="13.140625" style="2" customWidth="1"/>
    <col min="1566" max="1567" width="14" style="2" customWidth="1"/>
    <col min="1568" max="1568" width="11.42578125" style="2" customWidth="1"/>
    <col min="1569" max="1569" width="15.85546875" style="2" customWidth="1"/>
    <col min="1570" max="1570" width="23.7109375" style="2" customWidth="1"/>
    <col min="1571" max="1571" width="12" style="2" customWidth="1"/>
    <col min="1572" max="1573" width="0.28515625" style="2" customWidth="1"/>
    <col min="1574" max="1574" width="1.42578125" style="2" customWidth="1"/>
    <col min="1575" max="1575" width="0" style="2" hidden="1" customWidth="1"/>
    <col min="1576" max="1792" width="11.42578125" style="2"/>
    <col min="1793" max="1793" width="10.28515625" style="2" customWidth="1"/>
    <col min="1794" max="1794" width="13.42578125" style="2" customWidth="1"/>
    <col min="1795" max="1795" width="4.28515625" style="2" customWidth="1"/>
    <col min="1796" max="1796" width="4" style="2" customWidth="1"/>
    <col min="1797" max="1797" width="28" style="2" customWidth="1"/>
    <col min="1798" max="1798" width="4.140625" style="2" customWidth="1"/>
    <col min="1799" max="1799" width="11.28515625" style="2" customWidth="1"/>
    <col min="1800" max="1800" width="16.140625" style="2" customWidth="1"/>
    <col min="1801" max="1801" width="11" style="2" customWidth="1"/>
    <col min="1802" max="1803" width="2.140625" style="2" customWidth="1"/>
    <col min="1804" max="1804" width="3.28515625" style="2" customWidth="1"/>
    <col min="1805" max="1806" width="0" style="2" hidden="1" customWidth="1"/>
    <col min="1807" max="1807" width="2.85546875" style="2" customWidth="1"/>
    <col min="1808" max="1808" width="3.28515625" style="2" customWidth="1"/>
    <col min="1809" max="1809" width="1.42578125" style="2" customWidth="1"/>
    <col min="1810" max="1810" width="0" style="2" hidden="1" customWidth="1"/>
    <col min="1811" max="1811" width="6.85546875" style="2" customWidth="1"/>
    <col min="1812" max="1812" width="0" style="2" hidden="1" customWidth="1"/>
    <col min="1813" max="1814" width="6.28515625" style="2" customWidth="1"/>
    <col min="1815" max="1815" width="17.7109375" style="2" customWidth="1"/>
    <col min="1816" max="1816" width="21.85546875" style="2" customWidth="1"/>
    <col min="1817" max="1817" width="10.85546875" style="2" customWidth="1"/>
    <col min="1818" max="1818" width="14.140625" style="2" customWidth="1"/>
    <col min="1819" max="1819" width="0" style="2" hidden="1" customWidth="1"/>
    <col min="1820" max="1820" width="13" style="2" customWidth="1"/>
    <col min="1821" max="1821" width="13.140625" style="2" customWidth="1"/>
    <col min="1822" max="1823" width="14" style="2" customWidth="1"/>
    <col min="1824" max="1824" width="11.42578125" style="2" customWidth="1"/>
    <col min="1825" max="1825" width="15.85546875" style="2" customWidth="1"/>
    <col min="1826" max="1826" width="23.7109375" style="2" customWidth="1"/>
    <col min="1827" max="1827" width="12" style="2" customWidth="1"/>
    <col min="1828" max="1829" width="0.28515625" style="2" customWidth="1"/>
    <col min="1830" max="1830" width="1.42578125" style="2" customWidth="1"/>
    <col min="1831" max="1831" width="0" style="2" hidden="1" customWidth="1"/>
    <col min="1832" max="2048" width="11.42578125" style="2"/>
    <col min="2049" max="2049" width="10.28515625" style="2" customWidth="1"/>
    <col min="2050" max="2050" width="13.42578125" style="2" customWidth="1"/>
    <col min="2051" max="2051" width="4.28515625" style="2" customWidth="1"/>
    <col min="2052" max="2052" width="4" style="2" customWidth="1"/>
    <col min="2053" max="2053" width="28" style="2" customWidth="1"/>
    <col min="2054" max="2054" width="4.140625" style="2" customWidth="1"/>
    <col min="2055" max="2055" width="11.28515625" style="2" customWidth="1"/>
    <col min="2056" max="2056" width="16.140625" style="2" customWidth="1"/>
    <col min="2057" max="2057" width="11" style="2" customWidth="1"/>
    <col min="2058" max="2059" width="2.140625" style="2" customWidth="1"/>
    <col min="2060" max="2060" width="3.28515625" style="2" customWidth="1"/>
    <col min="2061" max="2062" width="0" style="2" hidden="1" customWidth="1"/>
    <col min="2063" max="2063" width="2.85546875" style="2" customWidth="1"/>
    <col min="2064" max="2064" width="3.28515625" style="2" customWidth="1"/>
    <col min="2065" max="2065" width="1.42578125" style="2" customWidth="1"/>
    <col min="2066" max="2066" width="0" style="2" hidden="1" customWidth="1"/>
    <col min="2067" max="2067" width="6.85546875" style="2" customWidth="1"/>
    <col min="2068" max="2068" width="0" style="2" hidden="1" customWidth="1"/>
    <col min="2069" max="2070" width="6.28515625" style="2" customWidth="1"/>
    <col min="2071" max="2071" width="17.7109375" style="2" customWidth="1"/>
    <col min="2072" max="2072" width="21.85546875" style="2" customWidth="1"/>
    <col min="2073" max="2073" width="10.85546875" style="2" customWidth="1"/>
    <col min="2074" max="2074" width="14.140625" style="2" customWidth="1"/>
    <col min="2075" max="2075" width="0" style="2" hidden="1" customWidth="1"/>
    <col min="2076" max="2076" width="13" style="2" customWidth="1"/>
    <col min="2077" max="2077" width="13.140625" style="2" customWidth="1"/>
    <col min="2078" max="2079" width="14" style="2" customWidth="1"/>
    <col min="2080" max="2080" width="11.42578125" style="2" customWidth="1"/>
    <col min="2081" max="2081" width="15.85546875" style="2" customWidth="1"/>
    <col min="2082" max="2082" width="23.7109375" style="2" customWidth="1"/>
    <col min="2083" max="2083" width="12" style="2" customWidth="1"/>
    <col min="2084" max="2085" width="0.28515625" style="2" customWidth="1"/>
    <col min="2086" max="2086" width="1.42578125" style="2" customWidth="1"/>
    <col min="2087" max="2087" width="0" style="2" hidden="1" customWidth="1"/>
    <col min="2088" max="2304" width="11.42578125" style="2"/>
    <col min="2305" max="2305" width="10.28515625" style="2" customWidth="1"/>
    <col min="2306" max="2306" width="13.42578125" style="2" customWidth="1"/>
    <col min="2307" max="2307" width="4.28515625" style="2" customWidth="1"/>
    <col min="2308" max="2308" width="4" style="2" customWidth="1"/>
    <col min="2309" max="2309" width="28" style="2" customWidth="1"/>
    <col min="2310" max="2310" width="4.140625" style="2" customWidth="1"/>
    <col min="2311" max="2311" width="11.28515625" style="2" customWidth="1"/>
    <col min="2312" max="2312" width="16.140625" style="2" customWidth="1"/>
    <col min="2313" max="2313" width="11" style="2" customWidth="1"/>
    <col min="2314" max="2315" width="2.140625" style="2" customWidth="1"/>
    <col min="2316" max="2316" width="3.28515625" style="2" customWidth="1"/>
    <col min="2317" max="2318" width="0" style="2" hidden="1" customWidth="1"/>
    <col min="2319" max="2319" width="2.85546875" style="2" customWidth="1"/>
    <col min="2320" max="2320" width="3.28515625" style="2" customWidth="1"/>
    <col min="2321" max="2321" width="1.42578125" style="2" customWidth="1"/>
    <col min="2322" max="2322" width="0" style="2" hidden="1" customWidth="1"/>
    <col min="2323" max="2323" width="6.85546875" style="2" customWidth="1"/>
    <col min="2324" max="2324" width="0" style="2" hidden="1" customWidth="1"/>
    <col min="2325" max="2326" width="6.28515625" style="2" customWidth="1"/>
    <col min="2327" max="2327" width="17.7109375" style="2" customWidth="1"/>
    <col min="2328" max="2328" width="21.85546875" style="2" customWidth="1"/>
    <col min="2329" max="2329" width="10.85546875" style="2" customWidth="1"/>
    <col min="2330" max="2330" width="14.140625" style="2" customWidth="1"/>
    <col min="2331" max="2331" width="0" style="2" hidden="1" customWidth="1"/>
    <col min="2332" max="2332" width="13" style="2" customWidth="1"/>
    <col min="2333" max="2333" width="13.140625" style="2" customWidth="1"/>
    <col min="2334" max="2335" width="14" style="2" customWidth="1"/>
    <col min="2336" max="2336" width="11.42578125" style="2" customWidth="1"/>
    <col min="2337" max="2337" width="15.85546875" style="2" customWidth="1"/>
    <col min="2338" max="2338" width="23.7109375" style="2" customWidth="1"/>
    <col min="2339" max="2339" width="12" style="2" customWidth="1"/>
    <col min="2340" max="2341" width="0.28515625" style="2" customWidth="1"/>
    <col min="2342" max="2342" width="1.42578125" style="2" customWidth="1"/>
    <col min="2343" max="2343" width="0" style="2" hidden="1" customWidth="1"/>
    <col min="2344" max="2560" width="11.42578125" style="2"/>
    <col min="2561" max="2561" width="10.28515625" style="2" customWidth="1"/>
    <col min="2562" max="2562" width="13.42578125" style="2" customWidth="1"/>
    <col min="2563" max="2563" width="4.28515625" style="2" customWidth="1"/>
    <col min="2564" max="2564" width="4" style="2" customWidth="1"/>
    <col min="2565" max="2565" width="28" style="2" customWidth="1"/>
    <col min="2566" max="2566" width="4.140625" style="2" customWidth="1"/>
    <col min="2567" max="2567" width="11.28515625" style="2" customWidth="1"/>
    <col min="2568" max="2568" width="16.140625" style="2" customWidth="1"/>
    <col min="2569" max="2569" width="11" style="2" customWidth="1"/>
    <col min="2570" max="2571" width="2.140625" style="2" customWidth="1"/>
    <col min="2572" max="2572" width="3.28515625" style="2" customWidth="1"/>
    <col min="2573" max="2574" width="0" style="2" hidden="1" customWidth="1"/>
    <col min="2575" max="2575" width="2.85546875" style="2" customWidth="1"/>
    <col min="2576" max="2576" width="3.28515625" style="2" customWidth="1"/>
    <col min="2577" max="2577" width="1.42578125" style="2" customWidth="1"/>
    <col min="2578" max="2578" width="0" style="2" hidden="1" customWidth="1"/>
    <col min="2579" max="2579" width="6.85546875" style="2" customWidth="1"/>
    <col min="2580" max="2580" width="0" style="2" hidden="1" customWidth="1"/>
    <col min="2581" max="2582" width="6.28515625" style="2" customWidth="1"/>
    <col min="2583" max="2583" width="17.7109375" style="2" customWidth="1"/>
    <col min="2584" max="2584" width="21.85546875" style="2" customWidth="1"/>
    <col min="2585" max="2585" width="10.85546875" style="2" customWidth="1"/>
    <col min="2586" max="2586" width="14.140625" style="2" customWidth="1"/>
    <col min="2587" max="2587" width="0" style="2" hidden="1" customWidth="1"/>
    <col min="2588" max="2588" width="13" style="2" customWidth="1"/>
    <col min="2589" max="2589" width="13.140625" style="2" customWidth="1"/>
    <col min="2590" max="2591" width="14" style="2" customWidth="1"/>
    <col min="2592" max="2592" width="11.42578125" style="2" customWidth="1"/>
    <col min="2593" max="2593" width="15.85546875" style="2" customWidth="1"/>
    <col min="2594" max="2594" width="23.7109375" style="2" customWidth="1"/>
    <col min="2595" max="2595" width="12" style="2" customWidth="1"/>
    <col min="2596" max="2597" width="0.28515625" style="2" customWidth="1"/>
    <col min="2598" max="2598" width="1.42578125" style="2" customWidth="1"/>
    <col min="2599" max="2599" width="0" style="2" hidden="1" customWidth="1"/>
    <col min="2600" max="2816" width="11.42578125" style="2"/>
    <col min="2817" max="2817" width="10.28515625" style="2" customWidth="1"/>
    <col min="2818" max="2818" width="13.42578125" style="2" customWidth="1"/>
    <col min="2819" max="2819" width="4.28515625" style="2" customWidth="1"/>
    <col min="2820" max="2820" width="4" style="2" customWidth="1"/>
    <col min="2821" max="2821" width="28" style="2" customWidth="1"/>
    <col min="2822" max="2822" width="4.140625" style="2" customWidth="1"/>
    <col min="2823" max="2823" width="11.28515625" style="2" customWidth="1"/>
    <col min="2824" max="2824" width="16.140625" style="2" customWidth="1"/>
    <col min="2825" max="2825" width="11" style="2" customWidth="1"/>
    <col min="2826" max="2827" width="2.140625" style="2" customWidth="1"/>
    <col min="2828" max="2828" width="3.28515625" style="2" customWidth="1"/>
    <col min="2829" max="2830" width="0" style="2" hidden="1" customWidth="1"/>
    <col min="2831" max="2831" width="2.85546875" style="2" customWidth="1"/>
    <col min="2832" max="2832" width="3.28515625" style="2" customWidth="1"/>
    <col min="2833" max="2833" width="1.42578125" style="2" customWidth="1"/>
    <col min="2834" max="2834" width="0" style="2" hidden="1" customWidth="1"/>
    <col min="2835" max="2835" width="6.85546875" style="2" customWidth="1"/>
    <col min="2836" max="2836" width="0" style="2" hidden="1" customWidth="1"/>
    <col min="2837" max="2838" width="6.28515625" style="2" customWidth="1"/>
    <col min="2839" max="2839" width="17.7109375" style="2" customWidth="1"/>
    <col min="2840" max="2840" width="21.85546875" style="2" customWidth="1"/>
    <col min="2841" max="2841" width="10.85546875" style="2" customWidth="1"/>
    <col min="2842" max="2842" width="14.140625" style="2" customWidth="1"/>
    <col min="2843" max="2843" width="0" style="2" hidden="1" customWidth="1"/>
    <col min="2844" max="2844" width="13" style="2" customWidth="1"/>
    <col min="2845" max="2845" width="13.140625" style="2" customWidth="1"/>
    <col min="2846" max="2847" width="14" style="2" customWidth="1"/>
    <col min="2848" max="2848" width="11.42578125" style="2" customWidth="1"/>
    <col min="2849" max="2849" width="15.85546875" style="2" customWidth="1"/>
    <col min="2850" max="2850" width="23.7109375" style="2" customWidth="1"/>
    <col min="2851" max="2851" width="12" style="2" customWidth="1"/>
    <col min="2852" max="2853" width="0.28515625" style="2" customWidth="1"/>
    <col min="2854" max="2854" width="1.42578125" style="2" customWidth="1"/>
    <col min="2855" max="2855" width="0" style="2" hidden="1" customWidth="1"/>
    <col min="2856" max="3072" width="11.42578125" style="2"/>
    <col min="3073" max="3073" width="10.28515625" style="2" customWidth="1"/>
    <col min="3074" max="3074" width="13.42578125" style="2" customWidth="1"/>
    <col min="3075" max="3075" width="4.28515625" style="2" customWidth="1"/>
    <col min="3076" max="3076" width="4" style="2" customWidth="1"/>
    <col min="3077" max="3077" width="28" style="2" customWidth="1"/>
    <col min="3078" max="3078" width="4.140625" style="2" customWidth="1"/>
    <col min="3079" max="3079" width="11.28515625" style="2" customWidth="1"/>
    <col min="3080" max="3080" width="16.140625" style="2" customWidth="1"/>
    <col min="3081" max="3081" width="11" style="2" customWidth="1"/>
    <col min="3082" max="3083" width="2.140625" style="2" customWidth="1"/>
    <col min="3084" max="3084" width="3.28515625" style="2" customWidth="1"/>
    <col min="3085" max="3086" width="0" style="2" hidden="1" customWidth="1"/>
    <col min="3087" max="3087" width="2.85546875" style="2" customWidth="1"/>
    <col min="3088" max="3088" width="3.28515625" style="2" customWidth="1"/>
    <col min="3089" max="3089" width="1.42578125" style="2" customWidth="1"/>
    <col min="3090" max="3090" width="0" style="2" hidden="1" customWidth="1"/>
    <col min="3091" max="3091" width="6.85546875" style="2" customWidth="1"/>
    <col min="3092" max="3092" width="0" style="2" hidden="1" customWidth="1"/>
    <col min="3093" max="3094" width="6.28515625" style="2" customWidth="1"/>
    <col min="3095" max="3095" width="17.7109375" style="2" customWidth="1"/>
    <col min="3096" max="3096" width="21.85546875" style="2" customWidth="1"/>
    <col min="3097" max="3097" width="10.85546875" style="2" customWidth="1"/>
    <col min="3098" max="3098" width="14.140625" style="2" customWidth="1"/>
    <col min="3099" max="3099" width="0" style="2" hidden="1" customWidth="1"/>
    <col min="3100" max="3100" width="13" style="2" customWidth="1"/>
    <col min="3101" max="3101" width="13.140625" style="2" customWidth="1"/>
    <col min="3102" max="3103" width="14" style="2" customWidth="1"/>
    <col min="3104" max="3104" width="11.42578125" style="2" customWidth="1"/>
    <col min="3105" max="3105" width="15.85546875" style="2" customWidth="1"/>
    <col min="3106" max="3106" width="23.7109375" style="2" customWidth="1"/>
    <col min="3107" max="3107" width="12" style="2" customWidth="1"/>
    <col min="3108" max="3109" width="0.28515625" style="2" customWidth="1"/>
    <col min="3110" max="3110" width="1.42578125" style="2" customWidth="1"/>
    <col min="3111" max="3111" width="0" style="2" hidden="1" customWidth="1"/>
    <col min="3112" max="3328" width="11.42578125" style="2"/>
    <col min="3329" max="3329" width="10.28515625" style="2" customWidth="1"/>
    <col min="3330" max="3330" width="13.42578125" style="2" customWidth="1"/>
    <col min="3331" max="3331" width="4.28515625" style="2" customWidth="1"/>
    <col min="3332" max="3332" width="4" style="2" customWidth="1"/>
    <col min="3333" max="3333" width="28" style="2" customWidth="1"/>
    <col min="3334" max="3334" width="4.140625" style="2" customWidth="1"/>
    <col min="3335" max="3335" width="11.28515625" style="2" customWidth="1"/>
    <col min="3336" max="3336" width="16.140625" style="2" customWidth="1"/>
    <col min="3337" max="3337" width="11" style="2" customWidth="1"/>
    <col min="3338" max="3339" width="2.140625" style="2" customWidth="1"/>
    <col min="3340" max="3340" width="3.28515625" style="2" customWidth="1"/>
    <col min="3341" max="3342" width="0" style="2" hidden="1" customWidth="1"/>
    <col min="3343" max="3343" width="2.85546875" style="2" customWidth="1"/>
    <col min="3344" max="3344" width="3.28515625" style="2" customWidth="1"/>
    <col min="3345" max="3345" width="1.42578125" style="2" customWidth="1"/>
    <col min="3346" max="3346" width="0" style="2" hidden="1" customWidth="1"/>
    <col min="3347" max="3347" width="6.85546875" style="2" customWidth="1"/>
    <col min="3348" max="3348" width="0" style="2" hidden="1" customWidth="1"/>
    <col min="3349" max="3350" width="6.28515625" style="2" customWidth="1"/>
    <col min="3351" max="3351" width="17.7109375" style="2" customWidth="1"/>
    <col min="3352" max="3352" width="21.85546875" style="2" customWidth="1"/>
    <col min="3353" max="3353" width="10.85546875" style="2" customWidth="1"/>
    <col min="3354" max="3354" width="14.140625" style="2" customWidth="1"/>
    <col min="3355" max="3355" width="0" style="2" hidden="1" customWidth="1"/>
    <col min="3356" max="3356" width="13" style="2" customWidth="1"/>
    <col min="3357" max="3357" width="13.140625" style="2" customWidth="1"/>
    <col min="3358" max="3359" width="14" style="2" customWidth="1"/>
    <col min="3360" max="3360" width="11.42578125" style="2" customWidth="1"/>
    <col min="3361" max="3361" width="15.85546875" style="2" customWidth="1"/>
    <col min="3362" max="3362" width="23.7109375" style="2" customWidth="1"/>
    <col min="3363" max="3363" width="12" style="2" customWidth="1"/>
    <col min="3364" max="3365" width="0.28515625" style="2" customWidth="1"/>
    <col min="3366" max="3366" width="1.42578125" style="2" customWidth="1"/>
    <col min="3367" max="3367" width="0" style="2" hidden="1" customWidth="1"/>
    <col min="3368" max="3584" width="11.42578125" style="2"/>
    <col min="3585" max="3585" width="10.28515625" style="2" customWidth="1"/>
    <col min="3586" max="3586" width="13.42578125" style="2" customWidth="1"/>
    <col min="3587" max="3587" width="4.28515625" style="2" customWidth="1"/>
    <col min="3588" max="3588" width="4" style="2" customWidth="1"/>
    <col min="3589" max="3589" width="28" style="2" customWidth="1"/>
    <col min="3590" max="3590" width="4.140625" style="2" customWidth="1"/>
    <col min="3591" max="3591" width="11.28515625" style="2" customWidth="1"/>
    <col min="3592" max="3592" width="16.140625" style="2" customWidth="1"/>
    <col min="3593" max="3593" width="11" style="2" customWidth="1"/>
    <col min="3594" max="3595" width="2.140625" style="2" customWidth="1"/>
    <col min="3596" max="3596" width="3.28515625" style="2" customWidth="1"/>
    <col min="3597" max="3598" width="0" style="2" hidden="1" customWidth="1"/>
    <col min="3599" max="3599" width="2.85546875" style="2" customWidth="1"/>
    <col min="3600" max="3600" width="3.28515625" style="2" customWidth="1"/>
    <col min="3601" max="3601" width="1.42578125" style="2" customWidth="1"/>
    <col min="3602" max="3602" width="0" style="2" hidden="1" customWidth="1"/>
    <col min="3603" max="3603" width="6.85546875" style="2" customWidth="1"/>
    <col min="3604" max="3604" width="0" style="2" hidden="1" customWidth="1"/>
    <col min="3605" max="3606" width="6.28515625" style="2" customWidth="1"/>
    <col min="3607" max="3607" width="17.7109375" style="2" customWidth="1"/>
    <col min="3608" max="3608" width="21.85546875" style="2" customWidth="1"/>
    <col min="3609" max="3609" width="10.85546875" style="2" customWidth="1"/>
    <col min="3610" max="3610" width="14.140625" style="2" customWidth="1"/>
    <col min="3611" max="3611" width="0" style="2" hidden="1" customWidth="1"/>
    <col min="3612" max="3612" width="13" style="2" customWidth="1"/>
    <col min="3613" max="3613" width="13.140625" style="2" customWidth="1"/>
    <col min="3614" max="3615" width="14" style="2" customWidth="1"/>
    <col min="3616" max="3616" width="11.42578125" style="2" customWidth="1"/>
    <col min="3617" max="3617" width="15.85546875" style="2" customWidth="1"/>
    <col min="3618" max="3618" width="23.7109375" style="2" customWidth="1"/>
    <col min="3619" max="3619" width="12" style="2" customWidth="1"/>
    <col min="3620" max="3621" width="0.28515625" style="2" customWidth="1"/>
    <col min="3622" max="3622" width="1.42578125" style="2" customWidth="1"/>
    <col min="3623" max="3623" width="0" style="2" hidden="1" customWidth="1"/>
    <col min="3624" max="3840" width="11.42578125" style="2"/>
    <col min="3841" max="3841" width="10.28515625" style="2" customWidth="1"/>
    <col min="3842" max="3842" width="13.42578125" style="2" customWidth="1"/>
    <col min="3843" max="3843" width="4.28515625" style="2" customWidth="1"/>
    <col min="3844" max="3844" width="4" style="2" customWidth="1"/>
    <col min="3845" max="3845" width="28" style="2" customWidth="1"/>
    <col min="3846" max="3846" width="4.140625" style="2" customWidth="1"/>
    <col min="3847" max="3847" width="11.28515625" style="2" customWidth="1"/>
    <col min="3848" max="3848" width="16.140625" style="2" customWidth="1"/>
    <col min="3849" max="3849" width="11" style="2" customWidth="1"/>
    <col min="3850" max="3851" width="2.140625" style="2" customWidth="1"/>
    <col min="3852" max="3852" width="3.28515625" style="2" customWidth="1"/>
    <col min="3853" max="3854" width="0" style="2" hidden="1" customWidth="1"/>
    <col min="3855" max="3855" width="2.85546875" style="2" customWidth="1"/>
    <col min="3856" max="3856" width="3.28515625" style="2" customWidth="1"/>
    <col min="3857" max="3857" width="1.42578125" style="2" customWidth="1"/>
    <col min="3858" max="3858" width="0" style="2" hidden="1" customWidth="1"/>
    <col min="3859" max="3859" width="6.85546875" style="2" customWidth="1"/>
    <col min="3860" max="3860" width="0" style="2" hidden="1" customWidth="1"/>
    <col min="3861" max="3862" width="6.28515625" style="2" customWidth="1"/>
    <col min="3863" max="3863" width="17.7109375" style="2" customWidth="1"/>
    <col min="3864" max="3864" width="21.85546875" style="2" customWidth="1"/>
    <col min="3865" max="3865" width="10.85546875" style="2" customWidth="1"/>
    <col min="3866" max="3866" width="14.140625" style="2" customWidth="1"/>
    <col min="3867" max="3867" width="0" style="2" hidden="1" customWidth="1"/>
    <col min="3868" max="3868" width="13" style="2" customWidth="1"/>
    <col min="3869" max="3869" width="13.140625" style="2" customWidth="1"/>
    <col min="3870" max="3871" width="14" style="2" customWidth="1"/>
    <col min="3872" max="3872" width="11.42578125" style="2" customWidth="1"/>
    <col min="3873" max="3873" width="15.85546875" style="2" customWidth="1"/>
    <col min="3874" max="3874" width="23.7109375" style="2" customWidth="1"/>
    <col min="3875" max="3875" width="12" style="2" customWidth="1"/>
    <col min="3876" max="3877" width="0.28515625" style="2" customWidth="1"/>
    <col min="3878" max="3878" width="1.42578125" style="2" customWidth="1"/>
    <col min="3879" max="3879" width="0" style="2" hidden="1" customWidth="1"/>
    <col min="3880" max="4096" width="11.42578125" style="2"/>
    <col min="4097" max="4097" width="10.28515625" style="2" customWidth="1"/>
    <col min="4098" max="4098" width="13.42578125" style="2" customWidth="1"/>
    <col min="4099" max="4099" width="4.28515625" style="2" customWidth="1"/>
    <col min="4100" max="4100" width="4" style="2" customWidth="1"/>
    <col min="4101" max="4101" width="28" style="2" customWidth="1"/>
    <col min="4102" max="4102" width="4.140625" style="2" customWidth="1"/>
    <col min="4103" max="4103" width="11.28515625" style="2" customWidth="1"/>
    <col min="4104" max="4104" width="16.140625" style="2" customWidth="1"/>
    <col min="4105" max="4105" width="11" style="2" customWidth="1"/>
    <col min="4106" max="4107" width="2.140625" style="2" customWidth="1"/>
    <col min="4108" max="4108" width="3.28515625" style="2" customWidth="1"/>
    <col min="4109" max="4110" width="0" style="2" hidden="1" customWidth="1"/>
    <col min="4111" max="4111" width="2.85546875" style="2" customWidth="1"/>
    <col min="4112" max="4112" width="3.28515625" style="2" customWidth="1"/>
    <col min="4113" max="4113" width="1.42578125" style="2" customWidth="1"/>
    <col min="4114" max="4114" width="0" style="2" hidden="1" customWidth="1"/>
    <col min="4115" max="4115" width="6.85546875" style="2" customWidth="1"/>
    <col min="4116" max="4116" width="0" style="2" hidden="1" customWidth="1"/>
    <col min="4117" max="4118" width="6.28515625" style="2" customWidth="1"/>
    <col min="4119" max="4119" width="17.7109375" style="2" customWidth="1"/>
    <col min="4120" max="4120" width="21.85546875" style="2" customWidth="1"/>
    <col min="4121" max="4121" width="10.85546875" style="2" customWidth="1"/>
    <col min="4122" max="4122" width="14.140625" style="2" customWidth="1"/>
    <col min="4123" max="4123" width="0" style="2" hidden="1" customWidth="1"/>
    <col min="4124" max="4124" width="13" style="2" customWidth="1"/>
    <col min="4125" max="4125" width="13.140625" style="2" customWidth="1"/>
    <col min="4126" max="4127" width="14" style="2" customWidth="1"/>
    <col min="4128" max="4128" width="11.42578125" style="2" customWidth="1"/>
    <col min="4129" max="4129" width="15.85546875" style="2" customWidth="1"/>
    <col min="4130" max="4130" width="23.7109375" style="2" customWidth="1"/>
    <col min="4131" max="4131" width="12" style="2" customWidth="1"/>
    <col min="4132" max="4133" width="0.28515625" style="2" customWidth="1"/>
    <col min="4134" max="4134" width="1.42578125" style="2" customWidth="1"/>
    <col min="4135" max="4135" width="0" style="2" hidden="1" customWidth="1"/>
    <col min="4136" max="4352" width="11.42578125" style="2"/>
    <col min="4353" max="4353" width="10.28515625" style="2" customWidth="1"/>
    <col min="4354" max="4354" width="13.42578125" style="2" customWidth="1"/>
    <col min="4355" max="4355" width="4.28515625" style="2" customWidth="1"/>
    <col min="4356" max="4356" width="4" style="2" customWidth="1"/>
    <col min="4357" max="4357" width="28" style="2" customWidth="1"/>
    <col min="4358" max="4358" width="4.140625" style="2" customWidth="1"/>
    <col min="4359" max="4359" width="11.28515625" style="2" customWidth="1"/>
    <col min="4360" max="4360" width="16.140625" style="2" customWidth="1"/>
    <col min="4361" max="4361" width="11" style="2" customWidth="1"/>
    <col min="4362" max="4363" width="2.140625" style="2" customWidth="1"/>
    <col min="4364" max="4364" width="3.28515625" style="2" customWidth="1"/>
    <col min="4365" max="4366" width="0" style="2" hidden="1" customWidth="1"/>
    <col min="4367" max="4367" width="2.85546875" style="2" customWidth="1"/>
    <col min="4368" max="4368" width="3.28515625" style="2" customWidth="1"/>
    <col min="4369" max="4369" width="1.42578125" style="2" customWidth="1"/>
    <col min="4370" max="4370" width="0" style="2" hidden="1" customWidth="1"/>
    <col min="4371" max="4371" width="6.85546875" style="2" customWidth="1"/>
    <col min="4372" max="4372" width="0" style="2" hidden="1" customWidth="1"/>
    <col min="4373" max="4374" width="6.28515625" style="2" customWidth="1"/>
    <col min="4375" max="4375" width="17.7109375" style="2" customWidth="1"/>
    <col min="4376" max="4376" width="21.85546875" style="2" customWidth="1"/>
    <col min="4377" max="4377" width="10.85546875" style="2" customWidth="1"/>
    <col min="4378" max="4378" width="14.140625" style="2" customWidth="1"/>
    <col min="4379" max="4379" width="0" style="2" hidden="1" customWidth="1"/>
    <col min="4380" max="4380" width="13" style="2" customWidth="1"/>
    <col min="4381" max="4381" width="13.140625" style="2" customWidth="1"/>
    <col min="4382" max="4383" width="14" style="2" customWidth="1"/>
    <col min="4384" max="4384" width="11.42578125" style="2" customWidth="1"/>
    <col min="4385" max="4385" width="15.85546875" style="2" customWidth="1"/>
    <col min="4386" max="4386" width="23.7109375" style="2" customWidth="1"/>
    <col min="4387" max="4387" width="12" style="2" customWidth="1"/>
    <col min="4388" max="4389" width="0.28515625" style="2" customWidth="1"/>
    <col min="4390" max="4390" width="1.42578125" style="2" customWidth="1"/>
    <col min="4391" max="4391" width="0" style="2" hidden="1" customWidth="1"/>
    <col min="4392" max="4608" width="11.42578125" style="2"/>
    <col min="4609" max="4609" width="10.28515625" style="2" customWidth="1"/>
    <col min="4610" max="4610" width="13.42578125" style="2" customWidth="1"/>
    <col min="4611" max="4611" width="4.28515625" style="2" customWidth="1"/>
    <col min="4612" max="4612" width="4" style="2" customWidth="1"/>
    <col min="4613" max="4613" width="28" style="2" customWidth="1"/>
    <col min="4614" max="4614" width="4.140625" style="2" customWidth="1"/>
    <col min="4615" max="4615" width="11.28515625" style="2" customWidth="1"/>
    <col min="4616" max="4616" width="16.140625" style="2" customWidth="1"/>
    <col min="4617" max="4617" width="11" style="2" customWidth="1"/>
    <col min="4618" max="4619" width="2.140625" style="2" customWidth="1"/>
    <col min="4620" max="4620" width="3.28515625" style="2" customWidth="1"/>
    <col min="4621" max="4622" width="0" style="2" hidden="1" customWidth="1"/>
    <col min="4623" max="4623" width="2.85546875" style="2" customWidth="1"/>
    <col min="4624" max="4624" width="3.28515625" style="2" customWidth="1"/>
    <col min="4625" max="4625" width="1.42578125" style="2" customWidth="1"/>
    <col min="4626" max="4626" width="0" style="2" hidden="1" customWidth="1"/>
    <col min="4627" max="4627" width="6.85546875" style="2" customWidth="1"/>
    <col min="4628" max="4628" width="0" style="2" hidden="1" customWidth="1"/>
    <col min="4629" max="4630" width="6.28515625" style="2" customWidth="1"/>
    <col min="4631" max="4631" width="17.7109375" style="2" customWidth="1"/>
    <col min="4632" max="4632" width="21.85546875" style="2" customWidth="1"/>
    <col min="4633" max="4633" width="10.85546875" style="2" customWidth="1"/>
    <col min="4634" max="4634" width="14.140625" style="2" customWidth="1"/>
    <col min="4635" max="4635" width="0" style="2" hidden="1" customWidth="1"/>
    <col min="4636" max="4636" width="13" style="2" customWidth="1"/>
    <col min="4637" max="4637" width="13.140625" style="2" customWidth="1"/>
    <col min="4638" max="4639" width="14" style="2" customWidth="1"/>
    <col min="4640" max="4640" width="11.42578125" style="2" customWidth="1"/>
    <col min="4641" max="4641" width="15.85546875" style="2" customWidth="1"/>
    <col min="4642" max="4642" width="23.7109375" style="2" customWidth="1"/>
    <col min="4643" max="4643" width="12" style="2" customWidth="1"/>
    <col min="4644" max="4645" width="0.28515625" style="2" customWidth="1"/>
    <col min="4646" max="4646" width="1.42578125" style="2" customWidth="1"/>
    <col min="4647" max="4647" width="0" style="2" hidden="1" customWidth="1"/>
    <col min="4648" max="4864" width="11.42578125" style="2"/>
    <col min="4865" max="4865" width="10.28515625" style="2" customWidth="1"/>
    <col min="4866" max="4866" width="13.42578125" style="2" customWidth="1"/>
    <col min="4867" max="4867" width="4.28515625" style="2" customWidth="1"/>
    <col min="4868" max="4868" width="4" style="2" customWidth="1"/>
    <col min="4869" max="4869" width="28" style="2" customWidth="1"/>
    <col min="4870" max="4870" width="4.140625" style="2" customWidth="1"/>
    <col min="4871" max="4871" width="11.28515625" style="2" customWidth="1"/>
    <col min="4872" max="4872" width="16.140625" style="2" customWidth="1"/>
    <col min="4873" max="4873" width="11" style="2" customWidth="1"/>
    <col min="4874" max="4875" width="2.140625" style="2" customWidth="1"/>
    <col min="4876" max="4876" width="3.28515625" style="2" customWidth="1"/>
    <col min="4877" max="4878" width="0" style="2" hidden="1" customWidth="1"/>
    <col min="4879" max="4879" width="2.85546875" style="2" customWidth="1"/>
    <col min="4880" max="4880" width="3.28515625" style="2" customWidth="1"/>
    <col min="4881" max="4881" width="1.42578125" style="2" customWidth="1"/>
    <col min="4882" max="4882" width="0" style="2" hidden="1" customWidth="1"/>
    <col min="4883" max="4883" width="6.85546875" style="2" customWidth="1"/>
    <col min="4884" max="4884" width="0" style="2" hidden="1" customWidth="1"/>
    <col min="4885" max="4886" width="6.28515625" style="2" customWidth="1"/>
    <col min="4887" max="4887" width="17.7109375" style="2" customWidth="1"/>
    <col min="4888" max="4888" width="21.85546875" style="2" customWidth="1"/>
    <col min="4889" max="4889" width="10.85546875" style="2" customWidth="1"/>
    <col min="4890" max="4890" width="14.140625" style="2" customWidth="1"/>
    <col min="4891" max="4891" width="0" style="2" hidden="1" customWidth="1"/>
    <col min="4892" max="4892" width="13" style="2" customWidth="1"/>
    <col min="4893" max="4893" width="13.140625" style="2" customWidth="1"/>
    <col min="4894" max="4895" width="14" style="2" customWidth="1"/>
    <col min="4896" max="4896" width="11.42578125" style="2" customWidth="1"/>
    <col min="4897" max="4897" width="15.85546875" style="2" customWidth="1"/>
    <col min="4898" max="4898" width="23.7109375" style="2" customWidth="1"/>
    <col min="4899" max="4899" width="12" style="2" customWidth="1"/>
    <col min="4900" max="4901" width="0.28515625" style="2" customWidth="1"/>
    <col min="4902" max="4902" width="1.42578125" style="2" customWidth="1"/>
    <col min="4903" max="4903" width="0" style="2" hidden="1" customWidth="1"/>
    <col min="4904" max="5120" width="11.42578125" style="2"/>
    <col min="5121" max="5121" width="10.28515625" style="2" customWidth="1"/>
    <col min="5122" max="5122" width="13.42578125" style="2" customWidth="1"/>
    <col min="5123" max="5123" width="4.28515625" style="2" customWidth="1"/>
    <col min="5124" max="5124" width="4" style="2" customWidth="1"/>
    <col min="5125" max="5125" width="28" style="2" customWidth="1"/>
    <col min="5126" max="5126" width="4.140625" style="2" customWidth="1"/>
    <col min="5127" max="5127" width="11.28515625" style="2" customWidth="1"/>
    <col min="5128" max="5128" width="16.140625" style="2" customWidth="1"/>
    <col min="5129" max="5129" width="11" style="2" customWidth="1"/>
    <col min="5130" max="5131" width="2.140625" style="2" customWidth="1"/>
    <col min="5132" max="5132" width="3.28515625" style="2" customWidth="1"/>
    <col min="5133" max="5134" width="0" style="2" hidden="1" customWidth="1"/>
    <col min="5135" max="5135" width="2.85546875" style="2" customWidth="1"/>
    <col min="5136" max="5136" width="3.28515625" style="2" customWidth="1"/>
    <col min="5137" max="5137" width="1.42578125" style="2" customWidth="1"/>
    <col min="5138" max="5138" width="0" style="2" hidden="1" customWidth="1"/>
    <col min="5139" max="5139" width="6.85546875" style="2" customWidth="1"/>
    <col min="5140" max="5140" width="0" style="2" hidden="1" customWidth="1"/>
    <col min="5141" max="5142" width="6.28515625" style="2" customWidth="1"/>
    <col min="5143" max="5143" width="17.7109375" style="2" customWidth="1"/>
    <col min="5144" max="5144" width="21.85546875" style="2" customWidth="1"/>
    <col min="5145" max="5145" width="10.85546875" style="2" customWidth="1"/>
    <col min="5146" max="5146" width="14.140625" style="2" customWidth="1"/>
    <col min="5147" max="5147" width="0" style="2" hidden="1" customWidth="1"/>
    <col min="5148" max="5148" width="13" style="2" customWidth="1"/>
    <col min="5149" max="5149" width="13.140625" style="2" customWidth="1"/>
    <col min="5150" max="5151" width="14" style="2" customWidth="1"/>
    <col min="5152" max="5152" width="11.42578125" style="2" customWidth="1"/>
    <col min="5153" max="5153" width="15.85546875" style="2" customWidth="1"/>
    <col min="5154" max="5154" width="23.7109375" style="2" customWidth="1"/>
    <col min="5155" max="5155" width="12" style="2" customWidth="1"/>
    <col min="5156" max="5157" width="0.28515625" style="2" customWidth="1"/>
    <col min="5158" max="5158" width="1.42578125" style="2" customWidth="1"/>
    <col min="5159" max="5159" width="0" style="2" hidden="1" customWidth="1"/>
    <col min="5160" max="5376" width="11.42578125" style="2"/>
    <col min="5377" max="5377" width="10.28515625" style="2" customWidth="1"/>
    <col min="5378" max="5378" width="13.42578125" style="2" customWidth="1"/>
    <col min="5379" max="5379" width="4.28515625" style="2" customWidth="1"/>
    <col min="5380" max="5380" width="4" style="2" customWidth="1"/>
    <col min="5381" max="5381" width="28" style="2" customWidth="1"/>
    <col min="5382" max="5382" width="4.140625" style="2" customWidth="1"/>
    <col min="5383" max="5383" width="11.28515625" style="2" customWidth="1"/>
    <col min="5384" max="5384" width="16.140625" style="2" customWidth="1"/>
    <col min="5385" max="5385" width="11" style="2" customWidth="1"/>
    <col min="5386" max="5387" width="2.140625" style="2" customWidth="1"/>
    <col min="5388" max="5388" width="3.28515625" style="2" customWidth="1"/>
    <col min="5389" max="5390" width="0" style="2" hidden="1" customWidth="1"/>
    <col min="5391" max="5391" width="2.85546875" style="2" customWidth="1"/>
    <col min="5392" max="5392" width="3.28515625" style="2" customWidth="1"/>
    <col min="5393" max="5393" width="1.42578125" style="2" customWidth="1"/>
    <col min="5394" max="5394" width="0" style="2" hidden="1" customWidth="1"/>
    <col min="5395" max="5395" width="6.85546875" style="2" customWidth="1"/>
    <col min="5396" max="5396" width="0" style="2" hidden="1" customWidth="1"/>
    <col min="5397" max="5398" width="6.28515625" style="2" customWidth="1"/>
    <col min="5399" max="5399" width="17.7109375" style="2" customWidth="1"/>
    <col min="5400" max="5400" width="21.85546875" style="2" customWidth="1"/>
    <col min="5401" max="5401" width="10.85546875" style="2" customWidth="1"/>
    <col min="5402" max="5402" width="14.140625" style="2" customWidth="1"/>
    <col min="5403" max="5403" width="0" style="2" hidden="1" customWidth="1"/>
    <col min="5404" max="5404" width="13" style="2" customWidth="1"/>
    <col min="5405" max="5405" width="13.140625" style="2" customWidth="1"/>
    <col min="5406" max="5407" width="14" style="2" customWidth="1"/>
    <col min="5408" max="5408" width="11.42578125" style="2" customWidth="1"/>
    <col min="5409" max="5409" width="15.85546875" style="2" customWidth="1"/>
    <col min="5410" max="5410" width="23.7109375" style="2" customWidth="1"/>
    <col min="5411" max="5411" width="12" style="2" customWidth="1"/>
    <col min="5412" max="5413" width="0.28515625" style="2" customWidth="1"/>
    <col min="5414" max="5414" width="1.42578125" style="2" customWidth="1"/>
    <col min="5415" max="5415" width="0" style="2" hidden="1" customWidth="1"/>
    <col min="5416" max="5632" width="11.42578125" style="2"/>
    <col min="5633" max="5633" width="10.28515625" style="2" customWidth="1"/>
    <col min="5634" max="5634" width="13.42578125" style="2" customWidth="1"/>
    <col min="5635" max="5635" width="4.28515625" style="2" customWidth="1"/>
    <col min="5636" max="5636" width="4" style="2" customWidth="1"/>
    <col min="5637" max="5637" width="28" style="2" customWidth="1"/>
    <col min="5638" max="5638" width="4.140625" style="2" customWidth="1"/>
    <col min="5639" max="5639" width="11.28515625" style="2" customWidth="1"/>
    <col min="5640" max="5640" width="16.140625" style="2" customWidth="1"/>
    <col min="5641" max="5641" width="11" style="2" customWidth="1"/>
    <col min="5642" max="5643" width="2.140625" style="2" customWidth="1"/>
    <col min="5644" max="5644" width="3.28515625" style="2" customWidth="1"/>
    <col min="5645" max="5646" width="0" style="2" hidden="1" customWidth="1"/>
    <col min="5647" max="5647" width="2.85546875" style="2" customWidth="1"/>
    <col min="5648" max="5648" width="3.28515625" style="2" customWidth="1"/>
    <col min="5649" max="5649" width="1.42578125" style="2" customWidth="1"/>
    <col min="5650" max="5650" width="0" style="2" hidden="1" customWidth="1"/>
    <col min="5651" max="5651" width="6.85546875" style="2" customWidth="1"/>
    <col min="5652" max="5652" width="0" style="2" hidden="1" customWidth="1"/>
    <col min="5653" max="5654" width="6.28515625" style="2" customWidth="1"/>
    <col min="5655" max="5655" width="17.7109375" style="2" customWidth="1"/>
    <col min="5656" max="5656" width="21.85546875" style="2" customWidth="1"/>
    <col min="5657" max="5657" width="10.85546875" style="2" customWidth="1"/>
    <col min="5658" max="5658" width="14.140625" style="2" customWidth="1"/>
    <col min="5659" max="5659" width="0" style="2" hidden="1" customWidth="1"/>
    <col min="5660" max="5660" width="13" style="2" customWidth="1"/>
    <col min="5661" max="5661" width="13.140625" style="2" customWidth="1"/>
    <col min="5662" max="5663" width="14" style="2" customWidth="1"/>
    <col min="5664" max="5664" width="11.42578125" style="2" customWidth="1"/>
    <col min="5665" max="5665" width="15.85546875" style="2" customWidth="1"/>
    <col min="5666" max="5666" width="23.7109375" style="2" customWidth="1"/>
    <col min="5667" max="5667" width="12" style="2" customWidth="1"/>
    <col min="5668" max="5669" width="0.28515625" style="2" customWidth="1"/>
    <col min="5670" max="5670" width="1.42578125" style="2" customWidth="1"/>
    <col min="5671" max="5671" width="0" style="2" hidden="1" customWidth="1"/>
    <col min="5672" max="5888" width="11.42578125" style="2"/>
    <col min="5889" max="5889" width="10.28515625" style="2" customWidth="1"/>
    <col min="5890" max="5890" width="13.42578125" style="2" customWidth="1"/>
    <col min="5891" max="5891" width="4.28515625" style="2" customWidth="1"/>
    <col min="5892" max="5892" width="4" style="2" customWidth="1"/>
    <col min="5893" max="5893" width="28" style="2" customWidth="1"/>
    <col min="5894" max="5894" width="4.140625" style="2" customWidth="1"/>
    <col min="5895" max="5895" width="11.28515625" style="2" customWidth="1"/>
    <col min="5896" max="5896" width="16.140625" style="2" customWidth="1"/>
    <col min="5897" max="5897" width="11" style="2" customWidth="1"/>
    <col min="5898" max="5899" width="2.140625" style="2" customWidth="1"/>
    <col min="5900" max="5900" width="3.28515625" style="2" customWidth="1"/>
    <col min="5901" max="5902" width="0" style="2" hidden="1" customWidth="1"/>
    <col min="5903" max="5903" width="2.85546875" style="2" customWidth="1"/>
    <col min="5904" max="5904" width="3.28515625" style="2" customWidth="1"/>
    <col min="5905" max="5905" width="1.42578125" style="2" customWidth="1"/>
    <col min="5906" max="5906" width="0" style="2" hidden="1" customWidth="1"/>
    <col min="5907" max="5907" width="6.85546875" style="2" customWidth="1"/>
    <col min="5908" max="5908" width="0" style="2" hidden="1" customWidth="1"/>
    <col min="5909" max="5910" width="6.28515625" style="2" customWidth="1"/>
    <col min="5911" max="5911" width="17.7109375" style="2" customWidth="1"/>
    <col min="5912" max="5912" width="21.85546875" style="2" customWidth="1"/>
    <col min="5913" max="5913" width="10.85546875" style="2" customWidth="1"/>
    <col min="5914" max="5914" width="14.140625" style="2" customWidth="1"/>
    <col min="5915" max="5915" width="0" style="2" hidden="1" customWidth="1"/>
    <col min="5916" max="5916" width="13" style="2" customWidth="1"/>
    <col min="5917" max="5917" width="13.140625" style="2" customWidth="1"/>
    <col min="5918" max="5919" width="14" style="2" customWidth="1"/>
    <col min="5920" max="5920" width="11.42578125" style="2" customWidth="1"/>
    <col min="5921" max="5921" width="15.85546875" style="2" customWidth="1"/>
    <col min="5922" max="5922" width="23.7109375" style="2" customWidth="1"/>
    <col min="5923" max="5923" width="12" style="2" customWidth="1"/>
    <col min="5924" max="5925" width="0.28515625" style="2" customWidth="1"/>
    <col min="5926" max="5926" width="1.42578125" style="2" customWidth="1"/>
    <col min="5927" max="5927" width="0" style="2" hidden="1" customWidth="1"/>
    <col min="5928" max="6144" width="11.42578125" style="2"/>
    <col min="6145" max="6145" width="10.28515625" style="2" customWidth="1"/>
    <col min="6146" max="6146" width="13.42578125" style="2" customWidth="1"/>
    <col min="6147" max="6147" width="4.28515625" style="2" customWidth="1"/>
    <col min="6148" max="6148" width="4" style="2" customWidth="1"/>
    <col min="6149" max="6149" width="28" style="2" customWidth="1"/>
    <col min="6150" max="6150" width="4.140625" style="2" customWidth="1"/>
    <col min="6151" max="6151" width="11.28515625" style="2" customWidth="1"/>
    <col min="6152" max="6152" width="16.140625" style="2" customWidth="1"/>
    <col min="6153" max="6153" width="11" style="2" customWidth="1"/>
    <col min="6154" max="6155" width="2.140625" style="2" customWidth="1"/>
    <col min="6156" max="6156" width="3.28515625" style="2" customWidth="1"/>
    <col min="6157" max="6158" width="0" style="2" hidden="1" customWidth="1"/>
    <col min="6159" max="6159" width="2.85546875" style="2" customWidth="1"/>
    <col min="6160" max="6160" width="3.28515625" style="2" customWidth="1"/>
    <col min="6161" max="6161" width="1.42578125" style="2" customWidth="1"/>
    <col min="6162" max="6162" width="0" style="2" hidden="1" customWidth="1"/>
    <col min="6163" max="6163" width="6.85546875" style="2" customWidth="1"/>
    <col min="6164" max="6164" width="0" style="2" hidden="1" customWidth="1"/>
    <col min="6165" max="6166" width="6.28515625" style="2" customWidth="1"/>
    <col min="6167" max="6167" width="17.7109375" style="2" customWidth="1"/>
    <col min="6168" max="6168" width="21.85546875" style="2" customWidth="1"/>
    <col min="6169" max="6169" width="10.85546875" style="2" customWidth="1"/>
    <col min="6170" max="6170" width="14.140625" style="2" customWidth="1"/>
    <col min="6171" max="6171" width="0" style="2" hidden="1" customWidth="1"/>
    <col min="6172" max="6172" width="13" style="2" customWidth="1"/>
    <col min="6173" max="6173" width="13.140625" style="2" customWidth="1"/>
    <col min="6174" max="6175" width="14" style="2" customWidth="1"/>
    <col min="6176" max="6176" width="11.42578125" style="2" customWidth="1"/>
    <col min="6177" max="6177" width="15.85546875" style="2" customWidth="1"/>
    <col min="6178" max="6178" width="23.7109375" style="2" customWidth="1"/>
    <col min="6179" max="6179" width="12" style="2" customWidth="1"/>
    <col min="6180" max="6181" width="0.28515625" style="2" customWidth="1"/>
    <col min="6182" max="6182" width="1.42578125" style="2" customWidth="1"/>
    <col min="6183" max="6183" width="0" style="2" hidden="1" customWidth="1"/>
    <col min="6184" max="6400" width="11.42578125" style="2"/>
    <col min="6401" max="6401" width="10.28515625" style="2" customWidth="1"/>
    <col min="6402" max="6402" width="13.42578125" style="2" customWidth="1"/>
    <col min="6403" max="6403" width="4.28515625" style="2" customWidth="1"/>
    <col min="6404" max="6404" width="4" style="2" customWidth="1"/>
    <col min="6405" max="6405" width="28" style="2" customWidth="1"/>
    <col min="6406" max="6406" width="4.140625" style="2" customWidth="1"/>
    <col min="6407" max="6407" width="11.28515625" style="2" customWidth="1"/>
    <col min="6408" max="6408" width="16.140625" style="2" customWidth="1"/>
    <col min="6409" max="6409" width="11" style="2" customWidth="1"/>
    <col min="6410" max="6411" width="2.140625" style="2" customWidth="1"/>
    <col min="6412" max="6412" width="3.28515625" style="2" customWidth="1"/>
    <col min="6413" max="6414" width="0" style="2" hidden="1" customWidth="1"/>
    <col min="6415" max="6415" width="2.85546875" style="2" customWidth="1"/>
    <col min="6416" max="6416" width="3.28515625" style="2" customWidth="1"/>
    <col min="6417" max="6417" width="1.42578125" style="2" customWidth="1"/>
    <col min="6418" max="6418" width="0" style="2" hidden="1" customWidth="1"/>
    <col min="6419" max="6419" width="6.85546875" style="2" customWidth="1"/>
    <col min="6420" max="6420" width="0" style="2" hidden="1" customWidth="1"/>
    <col min="6421" max="6422" width="6.28515625" style="2" customWidth="1"/>
    <col min="6423" max="6423" width="17.7109375" style="2" customWidth="1"/>
    <col min="6424" max="6424" width="21.85546875" style="2" customWidth="1"/>
    <col min="6425" max="6425" width="10.85546875" style="2" customWidth="1"/>
    <col min="6426" max="6426" width="14.140625" style="2" customWidth="1"/>
    <col min="6427" max="6427" width="0" style="2" hidden="1" customWidth="1"/>
    <col min="6428" max="6428" width="13" style="2" customWidth="1"/>
    <col min="6429" max="6429" width="13.140625" style="2" customWidth="1"/>
    <col min="6430" max="6431" width="14" style="2" customWidth="1"/>
    <col min="6432" max="6432" width="11.42578125" style="2" customWidth="1"/>
    <col min="6433" max="6433" width="15.85546875" style="2" customWidth="1"/>
    <col min="6434" max="6434" width="23.7109375" style="2" customWidth="1"/>
    <col min="6435" max="6435" width="12" style="2" customWidth="1"/>
    <col min="6436" max="6437" width="0.28515625" style="2" customWidth="1"/>
    <col min="6438" max="6438" width="1.42578125" style="2" customWidth="1"/>
    <col min="6439" max="6439" width="0" style="2" hidden="1" customWidth="1"/>
    <col min="6440" max="6656" width="11.42578125" style="2"/>
    <col min="6657" max="6657" width="10.28515625" style="2" customWidth="1"/>
    <col min="6658" max="6658" width="13.42578125" style="2" customWidth="1"/>
    <col min="6659" max="6659" width="4.28515625" style="2" customWidth="1"/>
    <col min="6660" max="6660" width="4" style="2" customWidth="1"/>
    <col min="6661" max="6661" width="28" style="2" customWidth="1"/>
    <col min="6662" max="6662" width="4.140625" style="2" customWidth="1"/>
    <col min="6663" max="6663" width="11.28515625" style="2" customWidth="1"/>
    <col min="6664" max="6664" width="16.140625" style="2" customWidth="1"/>
    <col min="6665" max="6665" width="11" style="2" customWidth="1"/>
    <col min="6666" max="6667" width="2.140625" style="2" customWidth="1"/>
    <col min="6668" max="6668" width="3.28515625" style="2" customWidth="1"/>
    <col min="6669" max="6670" width="0" style="2" hidden="1" customWidth="1"/>
    <col min="6671" max="6671" width="2.85546875" style="2" customWidth="1"/>
    <col min="6672" max="6672" width="3.28515625" style="2" customWidth="1"/>
    <col min="6673" max="6673" width="1.42578125" style="2" customWidth="1"/>
    <col min="6674" max="6674" width="0" style="2" hidden="1" customWidth="1"/>
    <col min="6675" max="6675" width="6.85546875" style="2" customWidth="1"/>
    <col min="6676" max="6676" width="0" style="2" hidden="1" customWidth="1"/>
    <col min="6677" max="6678" width="6.28515625" style="2" customWidth="1"/>
    <col min="6679" max="6679" width="17.7109375" style="2" customWidth="1"/>
    <col min="6680" max="6680" width="21.85546875" style="2" customWidth="1"/>
    <col min="6681" max="6681" width="10.85546875" style="2" customWidth="1"/>
    <col min="6682" max="6682" width="14.140625" style="2" customWidth="1"/>
    <col min="6683" max="6683" width="0" style="2" hidden="1" customWidth="1"/>
    <col min="6684" max="6684" width="13" style="2" customWidth="1"/>
    <col min="6685" max="6685" width="13.140625" style="2" customWidth="1"/>
    <col min="6686" max="6687" width="14" style="2" customWidth="1"/>
    <col min="6688" max="6688" width="11.42578125" style="2" customWidth="1"/>
    <col min="6689" max="6689" width="15.85546875" style="2" customWidth="1"/>
    <col min="6690" max="6690" width="23.7109375" style="2" customWidth="1"/>
    <col min="6691" max="6691" width="12" style="2" customWidth="1"/>
    <col min="6692" max="6693" width="0.28515625" style="2" customWidth="1"/>
    <col min="6694" max="6694" width="1.42578125" style="2" customWidth="1"/>
    <col min="6695" max="6695" width="0" style="2" hidden="1" customWidth="1"/>
    <col min="6696" max="6912" width="11.42578125" style="2"/>
    <col min="6913" max="6913" width="10.28515625" style="2" customWidth="1"/>
    <col min="6914" max="6914" width="13.42578125" style="2" customWidth="1"/>
    <col min="6915" max="6915" width="4.28515625" style="2" customWidth="1"/>
    <col min="6916" max="6916" width="4" style="2" customWidth="1"/>
    <col min="6917" max="6917" width="28" style="2" customWidth="1"/>
    <col min="6918" max="6918" width="4.140625" style="2" customWidth="1"/>
    <col min="6919" max="6919" width="11.28515625" style="2" customWidth="1"/>
    <col min="6920" max="6920" width="16.140625" style="2" customWidth="1"/>
    <col min="6921" max="6921" width="11" style="2" customWidth="1"/>
    <col min="6922" max="6923" width="2.140625" style="2" customWidth="1"/>
    <col min="6924" max="6924" width="3.28515625" style="2" customWidth="1"/>
    <col min="6925" max="6926" width="0" style="2" hidden="1" customWidth="1"/>
    <col min="6927" max="6927" width="2.85546875" style="2" customWidth="1"/>
    <col min="6928" max="6928" width="3.28515625" style="2" customWidth="1"/>
    <col min="6929" max="6929" width="1.42578125" style="2" customWidth="1"/>
    <col min="6930" max="6930" width="0" style="2" hidden="1" customWidth="1"/>
    <col min="6931" max="6931" width="6.85546875" style="2" customWidth="1"/>
    <col min="6932" max="6932" width="0" style="2" hidden="1" customWidth="1"/>
    <col min="6933" max="6934" width="6.28515625" style="2" customWidth="1"/>
    <col min="6935" max="6935" width="17.7109375" style="2" customWidth="1"/>
    <col min="6936" max="6936" width="21.85546875" style="2" customWidth="1"/>
    <col min="6937" max="6937" width="10.85546875" style="2" customWidth="1"/>
    <col min="6938" max="6938" width="14.140625" style="2" customWidth="1"/>
    <col min="6939" max="6939" width="0" style="2" hidden="1" customWidth="1"/>
    <col min="6940" max="6940" width="13" style="2" customWidth="1"/>
    <col min="6941" max="6941" width="13.140625" style="2" customWidth="1"/>
    <col min="6942" max="6943" width="14" style="2" customWidth="1"/>
    <col min="6944" max="6944" width="11.42578125" style="2" customWidth="1"/>
    <col min="6945" max="6945" width="15.85546875" style="2" customWidth="1"/>
    <col min="6946" max="6946" width="23.7109375" style="2" customWidth="1"/>
    <col min="6947" max="6947" width="12" style="2" customWidth="1"/>
    <col min="6948" max="6949" width="0.28515625" style="2" customWidth="1"/>
    <col min="6950" max="6950" width="1.42578125" style="2" customWidth="1"/>
    <col min="6951" max="6951" width="0" style="2" hidden="1" customWidth="1"/>
    <col min="6952" max="7168" width="11.42578125" style="2"/>
    <col min="7169" max="7169" width="10.28515625" style="2" customWidth="1"/>
    <col min="7170" max="7170" width="13.42578125" style="2" customWidth="1"/>
    <col min="7171" max="7171" width="4.28515625" style="2" customWidth="1"/>
    <col min="7172" max="7172" width="4" style="2" customWidth="1"/>
    <col min="7173" max="7173" width="28" style="2" customWidth="1"/>
    <col min="7174" max="7174" width="4.140625" style="2" customWidth="1"/>
    <col min="7175" max="7175" width="11.28515625" style="2" customWidth="1"/>
    <col min="7176" max="7176" width="16.140625" style="2" customWidth="1"/>
    <col min="7177" max="7177" width="11" style="2" customWidth="1"/>
    <col min="7178" max="7179" width="2.140625" style="2" customWidth="1"/>
    <col min="7180" max="7180" width="3.28515625" style="2" customWidth="1"/>
    <col min="7181" max="7182" width="0" style="2" hidden="1" customWidth="1"/>
    <col min="7183" max="7183" width="2.85546875" style="2" customWidth="1"/>
    <col min="7184" max="7184" width="3.28515625" style="2" customWidth="1"/>
    <col min="7185" max="7185" width="1.42578125" style="2" customWidth="1"/>
    <col min="7186" max="7186" width="0" style="2" hidden="1" customWidth="1"/>
    <col min="7187" max="7187" width="6.85546875" style="2" customWidth="1"/>
    <col min="7188" max="7188" width="0" style="2" hidden="1" customWidth="1"/>
    <col min="7189" max="7190" width="6.28515625" style="2" customWidth="1"/>
    <col min="7191" max="7191" width="17.7109375" style="2" customWidth="1"/>
    <col min="7192" max="7192" width="21.85546875" style="2" customWidth="1"/>
    <col min="7193" max="7193" width="10.85546875" style="2" customWidth="1"/>
    <col min="7194" max="7194" width="14.140625" style="2" customWidth="1"/>
    <col min="7195" max="7195" width="0" style="2" hidden="1" customWidth="1"/>
    <col min="7196" max="7196" width="13" style="2" customWidth="1"/>
    <col min="7197" max="7197" width="13.140625" style="2" customWidth="1"/>
    <col min="7198" max="7199" width="14" style="2" customWidth="1"/>
    <col min="7200" max="7200" width="11.42578125" style="2" customWidth="1"/>
    <col min="7201" max="7201" width="15.85546875" style="2" customWidth="1"/>
    <col min="7202" max="7202" width="23.7109375" style="2" customWidth="1"/>
    <col min="7203" max="7203" width="12" style="2" customWidth="1"/>
    <col min="7204" max="7205" width="0.28515625" style="2" customWidth="1"/>
    <col min="7206" max="7206" width="1.42578125" style="2" customWidth="1"/>
    <col min="7207" max="7207" width="0" style="2" hidden="1" customWidth="1"/>
    <col min="7208" max="7424" width="11.42578125" style="2"/>
    <col min="7425" max="7425" width="10.28515625" style="2" customWidth="1"/>
    <col min="7426" max="7426" width="13.42578125" style="2" customWidth="1"/>
    <col min="7427" max="7427" width="4.28515625" style="2" customWidth="1"/>
    <col min="7428" max="7428" width="4" style="2" customWidth="1"/>
    <col min="7429" max="7429" width="28" style="2" customWidth="1"/>
    <col min="7430" max="7430" width="4.140625" style="2" customWidth="1"/>
    <col min="7431" max="7431" width="11.28515625" style="2" customWidth="1"/>
    <col min="7432" max="7432" width="16.140625" style="2" customWidth="1"/>
    <col min="7433" max="7433" width="11" style="2" customWidth="1"/>
    <col min="7434" max="7435" width="2.140625" style="2" customWidth="1"/>
    <col min="7436" max="7436" width="3.28515625" style="2" customWidth="1"/>
    <col min="7437" max="7438" width="0" style="2" hidden="1" customWidth="1"/>
    <col min="7439" max="7439" width="2.85546875" style="2" customWidth="1"/>
    <col min="7440" max="7440" width="3.28515625" style="2" customWidth="1"/>
    <col min="7441" max="7441" width="1.42578125" style="2" customWidth="1"/>
    <col min="7442" max="7442" width="0" style="2" hidden="1" customWidth="1"/>
    <col min="7443" max="7443" width="6.85546875" style="2" customWidth="1"/>
    <col min="7444" max="7444" width="0" style="2" hidden="1" customWidth="1"/>
    <col min="7445" max="7446" width="6.28515625" style="2" customWidth="1"/>
    <col min="7447" max="7447" width="17.7109375" style="2" customWidth="1"/>
    <col min="7448" max="7448" width="21.85546875" style="2" customWidth="1"/>
    <col min="7449" max="7449" width="10.85546875" style="2" customWidth="1"/>
    <col min="7450" max="7450" width="14.140625" style="2" customWidth="1"/>
    <col min="7451" max="7451" width="0" style="2" hidden="1" customWidth="1"/>
    <col min="7452" max="7452" width="13" style="2" customWidth="1"/>
    <col min="7453" max="7453" width="13.140625" style="2" customWidth="1"/>
    <col min="7454" max="7455" width="14" style="2" customWidth="1"/>
    <col min="7456" max="7456" width="11.42578125" style="2" customWidth="1"/>
    <col min="7457" max="7457" width="15.85546875" style="2" customWidth="1"/>
    <col min="7458" max="7458" width="23.7109375" style="2" customWidth="1"/>
    <col min="7459" max="7459" width="12" style="2" customWidth="1"/>
    <col min="7460" max="7461" width="0.28515625" style="2" customWidth="1"/>
    <col min="7462" max="7462" width="1.42578125" style="2" customWidth="1"/>
    <col min="7463" max="7463" width="0" style="2" hidden="1" customWidth="1"/>
    <col min="7464" max="7680" width="11.42578125" style="2"/>
    <col min="7681" max="7681" width="10.28515625" style="2" customWidth="1"/>
    <col min="7682" max="7682" width="13.42578125" style="2" customWidth="1"/>
    <col min="7683" max="7683" width="4.28515625" style="2" customWidth="1"/>
    <col min="7684" max="7684" width="4" style="2" customWidth="1"/>
    <col min="7685" max="7685" width="28" style="2" customWidth="1"/>
    <col min="7686" max="7686" width="4.140625" style="2" customWidth="1"/>
    <col min="7687" max="7687" width="11.28515625" style="2" customWidth="1"/>
    <col min="7688" max="7688" width="16.140625" style="2" customWidth="1"/>
    <col min="7689" max="7689" width="11" style="2" customWidth="1"/>
    <col min="7690" max="7691" width="2.140625" style="2" customWidth="1"/>
    <col min="7692" max="7692" width="3.28515625" style="2" customWidth="1"/>
    <col min="7693" max="7694" width="0" style="2" hidden="1" customWidth="1"/>
    <col min="7695" max="7695" width="2.85546875" style="2" customWidth="1"/>
    <col min="7696" max="7696" width="3.28515625" style="2" customWidth="1"/>
    <col min="7697" max="7697" width="1.42578125" style="2" customWidth="1"/>
    <col min="7698" max="7698" width="0" style="2" hidden="1" customWidth="1"/>
    <col min="7699" max="7699" width="6.85546875" style="2" customWidth="1"/>
    <col min="7700" max="7700" width="0" style="2" hidden="1" customWidth="1"/>
    <col min="7701" max="7702" width="6.28515625" style="2" customWidth="1"/>
    <col min="7703" max="7703" width="17.7109375" style="2" customWidth="1"/>
    <col min="7704" max="7704" width="21.85546875" style="2" customWidth="1"/>
    <col min="7705" max="7705" width="10.85546875" style="2" customWidth="1"/>
    <col min="7706" max="7706" width="14.140625" style="2" customWidth="1"/>
    <col min="7707" max="7707" width="0" style="2" hidden="1" customWidth="1"/>
    <col min="7708" max="7708" width="13" style="2" customWidth="1"/>
    <col min="7709" max="7709" width="13.140625" style="2" customWidth="1"/>
    <col min="7710" max="7711" width="14" style="2" customWidth="1"/>
    <col min="7712" max="7712" width="11.42578125" style="2" customWidth="1"/>
    <col min="7713" max="7713" width="15.85546875" style="2" customWidth="1"/>
    <col min="7714" max="7714" width="23.7109375" style="2" customWidth="1"/>
    <col min="7715" max="7715" width="12" style="2" customWidth="1"/>
    <col min="7716" max="7717" width="0.28515625" style="2" customWidth="1"/>
    <col min="7718" max="7718" width="1.42578125" style="2" customWidth="1"/>
    <col min="7719" max="7719" width="0" style="2" hidden="1" customWidth="1"/>
    <col min="7720" max="7936" width="11.42578125" style="2"/>
    <col min="7937" max="7937" width="10.28515625" style="2" customWidth="1"/>
    <col min="7938" max="7938" width="13.42578125" style="2" customWidth="1"/>
    <col min="7939" max="7939" width="4.28515625" style="2" customWidth="1"/>
    <col min="7940" max="7940" width="4" style="2" customWidth="1"/>
    <col min="7941" max="7941" width="28" style="2" customWidth="1"/>
    <col min="7942" max="7942" width="4.140625" style="2" customWidth="1"/>
    <col min="7943" max="7943" width="11.28515625" style="2" customWidth="1"/>
    <col min="7944" max="7944" width="16.140625" style="2" customWidth="1"/>
    <col min="7945" max="7945" width="11" style="2" customWidth="1"/>
    <col min="7946" max="7947" width="2.140625" style="2" customWidth="1"/>
    <col min="7948" max="7948" width="3.28515625" style="2" customWidth="1"/>
    <col min="7949" max="7950" width="0" style="2" hidden="1" customWidth="1"/>
    <col min="7951" max="7951" width="2.85546875" style="2" customWidth="1"/>
    <col min="7952" max="7952" width="3.28515625" style="2" customWidth="1"/>
    <col min="7953" max="7953" width="1.42578125" style="2" customWidth="1"/>
    <col min="7954" max="7954" width="0" style="2" hidden="1" customWidth="1"/>
    <col min="7955" max="7955" width="6.85546875" style="2" customWidth="1"/>
    <col min="7956" max="7956" width="0" style="2" hidden="1" customWidth="1"/>
    <col min="7957" max="7958" width="6.28515625" style="2" customWidth="1"/>
    <col min="7959" max="7959" width="17.7109375" style="2" customWidth="1"/>
    <col min="7960" max="7960" width="21.85546875" style="2" customWidth="1"/>
    <col min="7961" max="7961" width="10.85546875" style="2" customWidth="1"/>
    <col min="7962" max="7962" width="14.140625" style="2" customWidth="1"/>
    <col min="7963" max="7963" width="0" style="2" hidden="1" customWidth="1"/>
    <col min="7964" max="7964" width="13" style="2" customWidth="1"/>
    <col min="7965" max="7965" width="13.140625" style="2" customWidth="1"/>
    <col min="7966" max="7967" width="14" style="2" customWidth="1"/>
    <col min="7968" max="7968" width="11.42578125" style="2" customWidth="1"/>
    <col min="7969" max="7969" width="15.85546875" style="2" customWidth="1"/>
    <col min="7970" max="7970" width="23.7109375" style="2" customWidth="1"/>
    <col min="7971" max="7971" width="12" style="2" customWidth="1"/>
    <col min="7972" max="7973" width="0.28515625" style="2" customWidth="1"/>
    <col min="7974" max="7974" width="1.42578125" style="2" customWidth="1"/>
    <col min="7975" max="7975" width="0" style="2" hidden="1" customWidth="1"/>
    <col min="7976" max="8192" width="11.42578125" style="2"/>
    <col min="8193" max="8193" width="10.28515625" style="2" customWidth="1"/>
    <col min="8194" max="8194" width="13.42578125" style="2" customWidth="1"/>
    <col min="8195" max="8195" width="4.28515625" style="2" customWidth="1"/>
    <col min="8196" max="8196" width="4" style="2" customWidth="1"/>
    <col min="8197" max="8197" width="28" style="2" customWidth="1"/>
    <col min="8198" max="8198" width="4.140625" style="2" customWidth="1"/>
    <col min="8199" max="8199" width="11.28515625" style="2" customWidth="1"/>
    <col min="8200" max="8200" width="16.140625" style="2" customWidth="1"/>
    <col min="8201" max="8201" width="11" style="2" customWidth="1"/>
    <col min="8202" max="8203" width="2.140625" style="2" customWidth="1"/>
    <col min="8204" max="8204" width="3.28515625" style="2" customWidth="1"/>
    <col min="8205" max="8206" width="0" style="2" hidden="1" customWidth="1"/>
    <col min="8207" max="8207" width="2.85546875" style="2" customWidth="1"/>
    <col min="8208" max="8208" width="3.28515625" style="2" customWidth="1"/>
    <col min="8209" max="8209" width="1.42578125" style="2" customWidth="1"/>
    <col min="8210" max="8210" width="0" style="2" hidden="1" customWidth="1"/>
    <col min="8211" max="8211" width="6.85546875" style="2" customWidth="1"/>
    <col min="8212" max="8212" width="0" style="2" hidden="1" customWidth="1"/>
    <col min="8213" max="8214" width="6.28515625" style="2" customWidth="1"/>
    <col min="8215" max="8215" width="17.7109375" style="2" customWidth="1"/>
    <col min="8216" max="8216" width="21.85546875" style="2" customWidth="1"/>
    <col min="8217" max="8217" width="10.85546875" style="2" customWidth="1"/>
    <col min="8218" max="8218" width="14.140625" style="2" customWidth="1"/>
    <col min="8219" max="8219" width="0" style="2" hidden="1" customWidth="1"/>
    <col min="8220" max="8220" width="13" style="2" customWidth="1"/>
    <col min="8221" max="8221" width="13.140625" style="2" customWidth="1"/>
    <col min="8222" max="8223" width="14" style="2" customWidth="1"/>
    <col min="8224" max="8224" width="11.42578125" style="2" customWidth="1"/>
    <col min="8225" max="8225" width="15.85546875" style="2" customWidth="1"/>
    <col min="8226" max="8226" width="23.7109375" style="2" customWidth="1"/>
    <col min="8227" max="8227" width="12" style="2" customWidth="1"/>
    <col min="8228" max="8229" width="0.28515625" style="2" customWidth="1"/>
    <col min="8230" max="8230" width="1.42578125" style="2" customWidth="1"/>
    <col min="8231" max="8231" width="0" style="2" hidden="1" customWidth="1"/>
    <col min="8232" max="8448" width="11.42578125" style="2"/>
    <col min="8449" max="8449" width="10.28515625" style="2" customWidth="1"/>
    <col min="8450" max="8450" width="13.42578125" style="2" customWidth="1"/>
    <col min="8451" max="8451" width="4.28515625" style="2" customWidth="1"/>
    <col min="8452" max="8452" width="4" style="2" customWidth="1"/>
    <col min="8453" max="8453" width="28" style="2" customWidth="1"/>
    <col min="8454" max="8454" width="4.140625" style="2" customWidth="1"/>
    <col min="8455" max="8455" width="11.28515625" style="2" customWidth="1"/>
    <col min="8456" max="8456" width="16.140625" style="2" customWidth="1"/>
    <col min="8457" max="8457" width="11" style="2" customWidth="1"/>
    <col min="8458" max="8459" width="2.140625" style="2" customWidth="1"/>
    <col min="8460" max="8460" width="3.28515625" style="2" customWidth="1"/>
    <col min="8461" max="8462" width="0" style="2" hidden="1" customWidth="1"/>
    <col min="8463" max="8463" width="2.85546875" style="2" customWidth="1"/>
    <col min="8464" max="8464" width="3.28515625" style="2" customWidth="1"/>
    <col min="8465" max="8465" width="1.42578125" style="2" customWidth="1"/>
    <col min="8466" max="8466" width="0" style="2" hidden="1" customWidth="1"/>
    <col min="8467" max="8467" width="6.85546875" style="2" customWidth="1"/>
    <col min="8468" max="8468" width="0" style="2" hidden="1" customWidth="1"/>
    <col min="8469" max="8470" width="6.28515625" style="2" customWidth="1"/>
    <col min="8471" max="8471" width="17.7109375" style="2" customWidth="1"/>
    <col min="8472" max="8472" width="21.85546875" style="2" customWidth="1"/>
    <col min="8473" max="8473" width="10.85546875" style="2" customWidth="1"/>
    <col min="8474" max="8474" width="14.140625" style="2" customWidth="1"/>
    <col min="8475" max="8475" width="0" style="2" hidden="1" customWidth="1"/>
    <col min="8476" max="8476" width="13" style="2" customWidth="1"/>
    <col min="8477" max="8477" width="13.140625" style="2" customWidth="1"/>
    <col min="8478" max="8479" width="14" style="2" customWidth="1"/>
    <col min="8480" max="8480" width="11.42578125" style="2" customWidth="1"/>
    <col min="8481" max="8481" width="15.85546875" style="2" customWidth="1"/>
    <col min="8482" max="8482" width="23.7109375" style="2" customWidth="1"/>
    <col min="8483" max="8483" width="12" style="2" customWidth="1"/>
    <col min="8484" max="8485" width="0.28515625" style="2" customWidth="1"/>
    <col min="8486" max="8486" width="1.42578125" style="2" customWidth="1"/>
    <col min="8487" max="8487" width="0" style="2" hidden="1" customWidth="1"/>
    <col min="8488" max="8704" width="11.42578125" style="2"/>
    <col min="8705" max="8705" width="10.28515625" style="2" customWidth="1"/>
    <col min="8706" max="8706" width="13.42578125" style="2" customWidth="1"/>
    <col min="8707" max="8707" width="4.28515625" style="2" customWidth="1"/>
    <col min="8708" max="8708" width="4" style="2" customWidth="1"/>
    <col min="8709" max="8709" width="28" style="2" customWidth="1"/>
    <col min="8710" max="8710" width="4.140625" style="2" customWidth="1"/>
    <col min="8711" max="8711" width="11.28515625" style="2" customWidth="1"/>
    <col min="8712" max="8712" width="16.140625" style="2" customWidth="1"/>
    <col min="8713" max="8713" width="11" style="2" customWidth="1"/>
    <col min="8714" max="8715" width="2.140625" style="2" customWidth="1"/>
    <col min="8716" max="8716" width="3.28515625" style="2" customWidth="1"/>
    <col min="8717" max="8718" width="0" style="2" hidden="1" customWidth="1"/>
    <col min="8719" max="8719" width="2.85546875" style="2" customWidth="1"/>
    <col min="8720" max="8720" width="3.28515625" style="2" customWidth="1"/>
    <col min="8721" max="8721" width="1.42578125" style="2" customWidth="1"/>
    <col min="8722" max="8722" width="0" style="2" hidden="1" customWidth="1"/>
    <col min="8723" max="8723" width="6.85546875" style="2" customWidth="1"/>
    <col min="8724" max="8724" width="0" style="2" hidden="1" customWidth="1"/>
    <col min="8725" max="8726" width="6.28515625" style="2" customWidth="1"/>
    <col min="8727" max="8727" width="17.7109375" style="2" customWidth="1"/>
    <col min="8728" max="8728" width="21.85546875" style="2" customWidth="1"/>
    <col min="8729" max="8729" width="10.85546875" style="2" customWidth="1"/>
    <col min="8730" max="8730" width="14.140625" style="2" customWidth="1"/>
    <col min="8731" max="8731" width="0" style="2" hidden="1" customWidth="1"/>
    <col min="8732" max="8732" width="13" style="2" customWidth="1"/>
    <col min="8733" max="8733" width="13.140625" style="2" customWidth="1"/>
    <col min="8734" max="8735" width="14" style="2" customWidth="1"/>
    <col min="8736" max="8736" width="11.42578125" style="2" customWidth="1"/>
    <col min="8737" max="8737" width="15.85546875" style="2" customWidth="1"/>
    <col min="8738" max="8738" width="23.7109375" style="2" customWidth="1"/>
    <col min="8739" max="8739" width="12" style="2" customWidth="1"/>
    <col min="8740" max="8741" width="0.28515625" style="2" customWidth="1"/>
    <col min="8742" max="8742" width="1.42578125" style="2" customWidth="1"/>
    <col min="8743" max="8743" width="0" style="2" hidden="1" customWidth="1"/>
    <col min="8744" max="8960" width="11.42578125" style="2"/>
    <col min="8961" max="8961" width="10.28515625" style="2" customWidth="1"/>
    <col min="8962" max="8962" width="13.42578125" style="2" customWidth="1"/>
    <col min="8963" max="8963" width="4.28515625" style="2" customWidth="1"/>
    <col min="8964" max="8964" width="4" style="2" customWidth="1"/>
    <col min="8965" max="8965" width="28" style="2" customWidth="1"/>
    <col min="8966" max="8966" width="4.140625" style="2" customWidth="1"/>
    <col min="8967" max="8967" width="11.28515625" style="2" customWidth="1"/>
    <col min="8968" max="8968" width="16.140625" style="2" customWidth="1"/>
    <col min="8969" max="8969" width="11" style="2" customWidth="1"/>
    <col min="8970" max="8971" width="2.140625" style="2" customWidth="1"/>
    <col min="8972" max="8972" width="3.28515625" style="2" customWidth="1"/>
    <col min="8973" max="8974" width="0" style="2" hidden="1" customWidth="1"/>
    <col min="8975" max="8975" width="2.85546875" style="2" customWidth="1"/>
    <col min="8976" max="8976" width="3.28515625" style="2" customWidth="1"/>
    <col min="8977" max="8977" width="1.42578125" style="2" customWidth="1"/>
    <col min="8978" max="8978" width="0" style="2" hidden="1" customWidth="1"/>
    <col min="8979" max="8979" width="6.85546875" style="2" customWidth="1"/>
    <col min="8980" max="8980" width="0" style="2" hidden="1" customWidth="1"/>
    <col min="8981" max="8982" width="6.28515625" style="2" customWidth="1"/>
    <col min="8983" max="8983" width="17.7109375" style="2" customWidth="1"/>
    <col min="8984" max="8984" width="21.85546875" style="2" customWidth="1"/>
    <col min="8985" max="8985" width="10.85546875" style="2" customWidth="1"/>
    <col min="8986" max="8986" width="14.140625" style="2" customWidth="1"/>
    <col min="8987" max="8987" width="0" style="2" hidden="1" customWidth="1"/>
    <col min="8988" max="8988" width="13" style="2" customWidth="1"/>
    <col min="8989" max="8989" width="13.140625" style="2" customWidth="1"/>
    <col min="8990" max="8991" width="14" style="2" customWidth="1"/>
    <col min="8992" max="8992" width="11.42578125" style="2" customWidth="1"/>
    <col min="8993" max="8993" width="15.85546875" style="2" customWidth="1"/>
    <col min="8994" max="8994" width="23.7109375" style="2" customWidth="1"/>
    <col min="8995" max="8995" width="12" style="2" customWidth="1"/>
    <col min="8996" max="8997" width="0.28515625" style="2" customWidth="1"/>
    <col min="8998" max="8998" width="1.42578125" style="2" customWidth="1"/>
    <col min="8999" max="8999" width="0" style="2" hidden="1" customWidth="1"/>
    <col min="9000" max="9216" width="11.42578125" style="2"/>
    <col min="9217" max="9217" width="10.28515625" style="2" customWidth="1"/>
    <col min="9218" max="9218" width="13.42578125" style="2" customWidth="1"/>
    <col min="9219" max="9219" width="4.28515625" style="2" customWidth="1"/>
    <col min="9220" max="9220" width="4" style="2" customWidth="1"/>
    <col min="9221" max="9221" width="28" style="2" customWidth="1"/>
    <col min="9222" max="9222" width="4.140625" style="2" customWidth="1"/>
    <col min="9223" max="9223" width="11.28515625" style="2" customWidth="1"/>
    <col min="9224" max="9224" width="16.140625" style="2" customWidth="1"/>
    <col min="9225" max="9225" width="11" style="2" customWidth="1"/>
    <col min="9226" max="9227" width="2.140625" style="2" customWidth="1"/>
    <col min="9228" max="9228" width="3.28515625" style="2" customWidth="1"/>
    <col min="9229" max="9230" width="0" style="2" hidden="1" customWidth="1"/>
    <col min="9231" max="9231" width="2.85546875" style="2" customWidth="1"/>
    <col min="9232" max="9232" width="3.28515625" style="2" customWidth="1"/>
    <col min="9233" max="9233" width="1.42578125" style="2" customWidth="1"/>
    <col min="9234" max="9234" width="0" style="2" hidden="1" customWidth="1"/>
    <col min="9235" max="9235" width="6.85546875" style="2" customWidth="1"/>
    <col min="9236" max="9236" width="0" style="2" hidden="1" customWidth="1"/>
    <col min="9237" max="9238" width="6.28515625" style="2" customWidth="1"/>
    <col min="9239" max="9239" width="17.7109375" style="2" customWidth="1"/>
    <col min="9240" max="9240" width="21.85546875" style="2" customWidth="1"/>
    <col min="9241" max="9241" width="10.85546875" style="2" customWidth="1"/>
    <col min="9242" max="9242" width="14.140625" style="2" customWidth="1"/>
    <col min="9243" max="9243" width="0" style="2" hidden="1" customWidth="1"/>
    <col min="9244" max="9244" width="13" style="2" customWidth="1"/>
    <col min="9245" max="9245" width="13.140625" style="2" customWidth="1"/>
    <col min="9246" max="9247" width="14" style="2" customWidth="1"/>
    <col min="9248" max="9248" width="11.42578125" style="2" customWidth="1"/>
    <col min="9249" max="9249" width="15.85546875" style="2" customWidth="1"/>
    <col min="9250" max="9250" width="23.7109375" style="2" customWidth="1"/>
    <col min="9251" max="9251" width="12" style="2" customWidth="1"/>
    <col min="9252" max="9253" width="0.28515625" style="2" customWidth="1"/>
    <col min="9254" max="9254" width="1.42578125" style="2" customWidth="1"/>
    <col min="9255" max="9255" width="0" style="2" hidden="1" customWidth="1"/>
    <col min="9256" max="9472" width="11.42578125" style="2"/>
    <col min="9473" max="9473" width="10.28515625" style="2" customWidth="1"/>
    <col min="9474" max="9474" width="13.42578125" style="2" customWidth="1"/>
    <col min="9475" max="9475" width="4.28515625" style="2" customWidth="1"/>
    <col min="9476" max="9476" width="4" style="2" customWidth="1"/>
    <col min="9477" max="9477" width="28" style="2" customWidth="1"/>
    <col min="9478" max="9478" width="4.140625" style="2" customWidth="1"/>
    <col min="9479" max="9479" width="11.28515625" style="2" customWidth="1"/>
    <col min="9480" max="9480" width="16.140625" style="2" customWidth="1"/>
    <col min="9481" max="9481" width="11" style="2" customWidth="1"/>
    <col min="9482" max="9483" width="2.140625" style="2" customWidth="1"/>
    <col min="9484" max="9484" width="3.28515625" style="2" customWidth="1"/>
    <col min="9485" max="9486" width="0" style="2" hidden="1" customWidth="1"/>
    <col min="9487" max="9487" width="2.85546875" style="2" customWidth="1"/>
    <col min="9488" max="9488" width="3.28515625" style="2" customWidth="1"/>
    <col min="9489" max="9489" width="1.42578125" style="2" customWidth="1"/>
    <col min="9490" max="9490" width="0" style="2" hidden="1" customWidth="1"/>
    <col min="9491" max="9491" width="6.85546875" style="2" customWidth="1"/>
    <col min="9492" max="9492" width="0" style="2" hidden="1" customWidth="1"/>
    <col min="9493" max="9494" width="6.28515625" style="2" customWidth="1"/>
    <col min="9495" max="9495" width="17.7109375" style="2" customWidth="1"/>
    <col min="9496" max="9496" width="21.85546875" style="2" customWidth="1"/>
    <col min="9497" max="9497" width="10.85546875" style="2" customWidth="1"/>
    <col min="9498" max="9498" width="14.140625" style="2" customWidth="1"/>
    <col min="9499" max="9499" width="0" style="2" hidden="1" customWidth="1"/>
    <col min="9500" max="9500" width="13" style="2" customWidth="1"/>
    <col min="9501" max="9501" width="13.140625" style="2" customWidth="1"/>
    <col min="9502" max="9503" width="14" style="2" customWidth="1"/>
    <col min="9504" max="9504" width="11.42578125" style="2" customWidth="1"/>
    <col min="9505" max="9505" width="15.85546875" style="2" customWidth="1"/>
    <col min="9506" max="9506" width="23.7109375" style="2" customWidth="1"/>
    <col min="9507" max="9507" width="12" style="2" customWidth="1"/>
    <col min="9508" max="9509" width="0.28515625" style="2" customWidth="1"/>
    <col min="9510" max="9510" width="1.42578125" style="2" customWidth="1"/>
    <col min="9511" max="9511" width="0" style="2" hidden="1" customWidth="1"/>
    <col min="9512" max="9728" width="11.42578125" style="2"/>
    <col min="9729" max="9729" width="10.28515625" style="2" customWidth="1"/>
    <col min="9730" max="9730" width="13.42578125" style="2" customWidth="1"/>
    <col min="9731" max="9731" width="4.28515625" style="2" customWidth="1"/>
    <col min="9732" max="9732" width="4" style="2" customWidth="1"/>
    <col min="9733" max="9733" width="28" style="2" customWidth="1"/>
    <col min="9734" max="9734" width="4.140625" style="2" customWidth="1"/>
    <col min="9735" max="9735" width="11.28515625" style="2" customWidth="1"/>
    <col min="9736" max="9736" width="16.140625" style="2" customWidth="1"/>
    <col min="9737" max="9737" width="11" style="2" customWidth="1"/>
    <col min="9738" max="9739" width="2.140625" style="2" customWidth="1"/>
    <col min="9740" max="9740" width="3.28515625" style="2" customWidth="1"/>
    <col min="9741" max="9742" width="0" style="2" hidden="1" customWidth="1"/>
    <col min="9743" max="9743" width="2.85546875" style="2" customWidth="1"/>
    <col min="9744" max="9744" width="3.28515625" style="2" customWidth="1"/>
    <col min="9745" max="9745" width="1.42578125" style="2" customWidth="1"/>
    <col min="9746" max="9746" width="0" style="2" hidden="1" customWidth="1"/>
    <col min="9747" max="9747" width="6.85546875" style="2" customWidth="1"/>
    <col min="9748" max="9748" width="0" style="2" hidden="1" customWidth="1"/>
    <col min="9749" max="9750" width="6.28515625" style="2" customWidth="1"/>
    <col min="9751" max="9751" width="17.7109375" style="2" customWidth="1"/>
    <col min="9752" max="9752" width="21.85546875" style="2" customWidth="1"/>
    <col min="9753" max="9753" width="10.85546875" style="2" customWidth="1"/>
    <col min="9754" max="9754" width="14.140625" style="2" customWidth="1"/>
    <col min="9755" max="9755" width="0" style="2" hidden="1" customWidth="1"/>
    <col min="9756" max="9756" width="13" style="2" customWidth="1"/>
    <col min="9757" max="9757" width="13.140625" style="2" customWidth="1"/>
    <col min="9758" max="9759" width="14" style="2" customWidth="1"/>
    <col min="9760" max="9760" width="11.42578125" style="2" customWidth="1"/>
    <col min="9761" max="9761" width="15.85546875" style="2" customWidth="1"/>
    <col min="9762" max="9762" width="23.7109375" style="2" customWidth="1"/>
    <col min="9763" max="9763" width="12" style="2" customWidth="1"/>
    <col min="9764" max="9765" width="0.28515625" style="2" customWidth="1"/>
    <col min="9766" max="9766" width="1.42578125" style="2" customWidth="1"/>
    <col min="9767" max="9767" width="0" style="2" hidden="1" customWidth="1"/>
    <col min="9768" max="9984" width="11.42578125" style="2"/>
    <col min="9985" max="9985" width="10.28515625" style="2" customWidth="1"/>
    <col min="9986" max="9986" width="13.42578125" style="2" customWidth="1"/>
    <col min="9987" max="9987" width="4.28515625" style="2" customWidth="1"/>
    <col min="9988" max="9988" width="4" style="2" customWidth="1"/>
    <col min="9989" max="9989" width="28" style="2" customWidth="1"/>
    <col min="9990" max="9990" width="4.140625" style="2" customWidth="1"/>
    <col min="9991" max="9991" width="11.28515625" style="2" customWidth="1"/>
    <col min="9992" max="9992" width="16.140625" style="2" customWidth="1"/>
    <col min="9993" max="9993" width="11" style="2" customWidth="1"/>
    <col min="9994" max="9995" width="2.140625" style="2" customWidth="1"/>
    <col min="9996" max="9996" width="3.28515625" style="2" customWidth="1"/>
    <col min="9997" max="9998" width="0" style="2" hidden="1" customWidth="1"/>
    <col min="9999" max="9999" width="2.85546875" style="2" customWidth="1"/>
    <col min="10000" max="10000" width="3.28515625" style="2" customWidth="1"/>
    <col min="10001" max="10001" width="1.42578125" style="2" customWidth="1"/>
    <col min="10002" max="10002" width="0" style="2" hidden="1" customWidth="1"/>
    <col min="10003" max="10003" width="6.85546875" style="2" customWidth="1"/>
    <col min="10004" max="10004" width="0" style="2" hidden="1" customWidth="1"/>
    <col min="10005" max="10006" width="6.28515625" style="2" customWidth="1"/>
    <col min="10007" max="10007" width="17.7109375" style="2" customWidth="1"/>
    <col min="10008" max="10008" width="21.85546875" style="2" customWidth="1"/>
    <col min="10009" max="10009" width="10.85546875" style="2" customWidth="1"/>
    <col min="10010" max="10010" width="14.140625" style="2" customWidth="1"/>
    <col min="10011" max="10011" width="0" style="2" hidden="1" customWidth="1"/>
    <col min="10012" max="10012" width="13" style="2" customWidth="1"/>
    <col min="10013" max="10013" width="13.140625" style="2" customWidth="1"/>
    <col min="10014" max="10015" width="14" style="2" customWidth="1"/>
    <col min="10016" max="10016" width="11.42578125" style="2" customWidth="1"/>
    <col min="10017" max="10017" width="15.85546875" style="2" customWidth="1"/>
    <col min="10018" max="10018" width="23.7109375" style="2" customWidth="1"/>
    <col min="10019" max="10019" width="12" style="2" customWidth="1"/>
    <col min="10020" max="10021" width="0.28515625" style="2" customWidth="1"/>
    <col min="10022" max="10022" width="1.42578125" style="2" customWidth="1"/>
    <col min="10023" max="10023" width="0" style="2" hidden="1" customWidth="1"/>
    <col min="10024" max="10240" width="11.42578125" style="2"/>
    <col min="10241" max="10241" width="10.28515625" style="2" customWidth="1"/>
    <col min="10242" max="10242" width="13.42578125" style="2" customWidth="1"/>
    <col min="10243" max="10243" width="4.28515625" style="2" customWidth="1"/>
    <col min="10244" max="10244" width="4" style="2" customWidth="1"/>
    <col min="10245" max="10245" width="28" style="2" customWidth="1"/>
    <col min="10246" max="10246" width="4.140625" style="2" customWidth="1"/>
    <col min="10247" max="10247" width="11.28515625" style="2" customWidth="1"/>
    <col min="10248" max="10248" width="16.140625" style="2" customWidth="1"/>
    <col min="10249" max="10249" width="11" style="2" customWidth="1"/>
    <col min="10250" max="10251" width="2.140625" style="2" customWidth="1"/>
    <col min="10252" max="10252" width="3.28515625" style="2" customWidth="1"/>
    <col min="10253" max="10254" width="0" style="2" hidden="1" customWidth="1"/>
    <col min="10255" max="10255" width="2.85546875" style="2" customWidth="1"/>
    <col min="10256" max="10256" width="3.28515625" style="2" customWidth="1"/>
    <col min="10257" max="10257" width="1.42578125" style="2" customWidth="1"/>
    <col min="10258" max="10258" width="0" style="2" hidden="1" customWidth="1"/>
    <col min="10259" max="10259" width="6.85546875" style="2" customWidth="1"/>
    <col min="10260" max="10260" width="0" style="2" hidden="1" customWidth="1"/>
    <col min="10261" max="10262" width="6.28515625" style="2" customWidth="1"/>
    <col min="10263" max="10263" width="17.7109375" style="2" customWidth="1"/>
    <col min="10264" max="10264" width="21.85546875" style="2" customWidth="1"/>
    <col min="10265" max="10265" width="10.85546875" style="2" customWidth="1"/>
    <col min="10266" max="10266" width="14.140625" style="2" customWidth="1"/>
    <col min="10267" max="10267" width="0" style="2" hidden="1" customWidth="1"/>
    <col min="10268" max="10268" width="13" style="2" customWidth="1"/>
    <col min="10269" max="10269" width="13.140625" style="2" customWidth="1"/>
    <col min="10270" max="10271" width="14" style="2" customWidth="1"/>
    <col min="10272" max="10272" width="11.42578125" style="2" customWidth="1"/>
    <col min="10273" max="10273" width="15.85546875" style="2" customWidth="1"/>
    <col min="10274" max="10274" width="23.7109375" style="2" customWidth="1"/>
    <col min="10275" max="10275" width="12" style="2" customWidth="1"/>
    <col min="10276" max="10277" width="0.28515625" style="2" customWidth="1"/>
    <col min="10278" max="10278" width="1.42578125" style="2" customWidth="1"/>
    <col min="10279" max="10279" width="0" style="2" hidden="1" customWidth="1"/>
    <col min="10280" max="10496" width="11.42578125" style="2"/>
    <col min="10497" max="10497" width="10.28515625" style="2" customWidth="1"/>
    <col min="10498" max="10498" width="13.42578125" style="2" customWidth="1"/>
    <col min="10499" max="10499" width="4.28515625" style="2" customWidth="1"/>
    <col min="10500" max="10500" width="4" style="2" customWidth="1"/>
    <col min="10501" max="10501" width="28" style="2" customWidth="1"/>
    <col min="10502" max="10502" width="4.140625" style="2" customWidth="1"/>
    <col min="10503" max="10503" width="11.28515625" style="2" customWidth="1"/>
    <col min="10504" max="10504" width="16.140625" style="2" customWidth="1"/>
    <col min="10505" max="10505" width="11" style="2" customWidth="1"/>
    <col min="10506" max="10507" width="2.140625" style="2" customWidth="1"/>
    <col min="10508" max="10508" width="3.28515625" style="2" customWidth="1"/>
    <col min="10509" max="10510" width="0" style="2" hidden="1" customWidth="1"/>
    <col min="10511" max="10511" width="2.85546875" style="2" customWidth="1"/>
    <col min="10512" max="10512" width="3.28515625" style="2" customWidth="1"/>
    <col min="10513" max="10513" width="1.42578125" style="2" customWidth="1"/>
    <col min="10514" max="10514" width="0" style="2" hidden="1" customWidth="1"/>
    <col min="10515" max="10515" width="6.85546875" style="2" customWidth="1"/>
    <col min="10516" max="10516" width="0" style="2" hidden="1" customWidth="1"/>
    <col min="10517" max="10518" width="6.28515625" style="2" customWidth="1"/>
    <col min="10519" max="10519" width="17.7109375" style="2" customWidth="1"/>
    <col min="10520" max="10520" width="21.85546875" style="2" customWidth="1"/>
    <col min="10521" max="10521" width="10.85546875" style="2" customWidth="1"/>
    <col min="10522" max="10522" width="14.140625" style="2" customWidth="1"/>
    <col min="10523" max="10523" width="0" style="2" hidden="1" customWidth="1"/>
    <col min="10524" max="10524" width="13" style="2" customWidth="1"/>
    <col min="10525" max="10525" width="13.140625" style="2" customWidth="1"/>
    <col min="10526" max="10527" width="14" style="2" customWidth="1"/>
    <col min="10528" max="10528" width="11.42578125" style="2" customWidth="1"/>
    <col min="10529" max="10529" width="15.85546875" style="2" customWidth="1"/>
    <col min="10530" max="10530" width="23.7109375" style="2" customWidth="1"/>
    <col min="10531" max="10531" width="12" style="2" customWidth="1"/>
    <col min="10532" max="10533" width="0.28515625" style="2" customWidth="1"/>
    <col min="10534" max="10534" width="1.42578125" style="2" customWidth="1"/>
    <col min="10535" max="10535" width="0" style="2" hidden="1" customWidth="1"/>
    <col min="10536" max="10752" width="11.42578125" style="2"/>
    <col min="10753" max="10753" width="10.28515625" style="2" customWidth="1"/>
    <col min="10754" max="10754" width="13.42578125" style="2" customWidth="1"/>
    <col min="10755" max="10755" width="4.28515625" style="2" customWidth="1"/>
    <col min="10756" max="10756" width="4" style="2" customWidth="1"/>
    <col min="10757" max="10757" width="28" style="2" customWidth="1"/>
    <col min="10758" max="10758" width="4.140625" style="2" customWidth="1"/>
    <col min="10759" max="10759" width="11.28515625" style="2" customWidth="1"/>
    <col min="10760" max="10760" width="16.140625" style="2" customWidth="1"/>
    <col min="10761" max="10761" width="11" style="2" customWidth="1"/>
    <col min="10762" max="10763" width="2.140625" style="2" customWidth="1"/>
    <col min="10764" max="10764" width="3.28515625" style="2" customWidth="1"/>
    <col min="10765" max="10766" width="0" style="2" hidden="1" customWidth="1"/>
    <col min="10767" max="10767" width="2.85546875" style="2" customWidth="1"/>
    <col min="10768" max="10768" width="3.28515625" style="2" customWidth="1"/>
    <col min="10769" max="10769" width="1.42578125" style="2" customWidth="1"/>
    <col min="10770" max="10770" width="0" style="2" hidden="1" customWidth="1"/>
    <col min="10771" max="10771" width="6.85546875" style="2" customWidth="1"/>
    <col min="10772" max="10772" width="0" style="2" hidden="1" customWidth="1"/>
    <col min="10773" max="10774" width="6.28515625" style="2" customWidth="1"/>
    <col min="10775" max="10775" width="17.7109375" style="2" customWidth="1"/>
    <col min="10776" max="10776" width="21.85546875" style="2" customWidth="1"/>
    <col min="10777" max="10777" width="10.85546875" style="2" customWidth="1"/>
    <col min="10778" max="10778" width="14.140625" style="2" customWidth="1"/>
    <col min="10779" max="10779" width="0" style="2" hidden="1" customWidth="1"/>
    <col min="10780" max="10780" width="13" style="2" customWidth="1"/>
    <col min="10781" max="10781" width="13.140625" style="2" customWidth="1"/>
    <col min="10782" max="10783" width="14" style="2" customWidth="1"/>
    <col min="10784" max="10784" width="11.42578125" style="2" customWidth="1"/>
    <col min="10785" max="10785" width="15.85546875" style="2" customWidth="1"/>
    <col min="10786" max="10786" width="23.7109375" style="2" customWidth="1"/>
    <col min="10787" max="10787" width="12" style="2" customWidth="1"/>
    <col min="10788" max="10789" width="0.28515625" style="2" customWidth="1"/>
    <col min="10790" max="10790" width="1.42578125" style="2" customWidth="1"/>
    <col min="10791" max="10791" width="0" style="2" hidden="1" customWidth="1"/>
    <col min="10792" max="11008" width="11.42578125" style="2"/>
    <col min="11009" max="11009" width="10.28515625" style="2" customWidth="1"/>
    <col min="11010" max="11010" width="13.42578125" style="2" customWidth="1"/>
    <col min="11011" max="11011" width="4.28515625" style="2" customWidth="1"/>
    <col min="11012" max="11012" width="4" style="2" customWidth="1"/>
    <col min="11013" max="11013" width="28" style="2" customWidth="1"/>
    <col min="11014" max="11014" width="4.140625" style="2" customWidth="1"/>
    <col min="11015" max="11015" width="11.28515625" style="2" customWidth="1"/>
    <col min="11016" max="11016" width="16.140625" style="2" customWidth="1"/>
    <col min="11017" max="11017" width="11" style="2" customWidth="1"/>
    <col min="11018" max="11019" width="2.140625" style="2" customWidth="1"/>
    <col min="11020" max="11020" width="3.28515625" style="2" customWidth="1"/>
    <col min="11021" max="11022" width="0" style="2" hidden="1" customWidth="1"/>
    <col min="11023" max="11023" width="2.85546875" style="2" customWidth="1"/>
    <col min="11024" max="11024" width="3.28515625" style="2" customWidth="1"/>
    <col min="11025" max="11025" width="1.42578125" style="2" customWidth="1"/>
    <col min="11026" max="11026" width="0" style="2" hidden="1" customWidth="1"/>
    <col min="11027" max="11027" width="6.85546875" style="2" customWidth="1"/>
    <col min="11028" max="11028" width="0" style="2" hidden="1" customWidth="1"/>
    <col min="11029" max="11030" width="6.28515625" style="2" customWidth="1"/>
    <col min="11031" max="11031" width="17.7109375" style="2" customWidth="1"/>
    <col min="11032" max="11032" width="21.85546875" style="2" customWidth="1"/>
    <col min="11033" max="11033" width="10.85546875" style="2" customWidth="1"/>
    <col min="11034" max="11034" width="14.140625" style="2" customWidth="1"/>
    <col min="11035" max="11035" width="0" style="2" hidden="1" customWidth="1"/>
    <col min="11036" max="11036" width="13" style="2" customWidth="1"/>
    <col min="11037" max="11037" width="13.140625" style="2" customWidth="1"/>
    <col min="11038" max="11039" width="14" style="2" customWidth="1"/>
    <col min="11040" max="11040" width="11.42578125" style="2" customWidth="1"/>
    <col min="11041" max="11041" width="15.85546875" style="2" customWidth="1"/>
    <col min="11042" max="11042" width="23.7109375" style="2" customWidth="1"/>
    <col min="11043" max="11043" width="12" style="2" customWidth="1"/>
    <col min="11044" max="11045" width="0.28515625" style="2" customWidth="1"/>
    <col min="11046" max="11046" width="1.42578125" style="2" customWidth="1"/>
    <col min="11047" max="11047" width="0" style="2" hidden="1" customWidth="1"/>
    <col min="11048" max="11264" width="11.42578125" style="2"/>
    <col min="11265" max="11265" width="10.28515625" style="2" customWidth="1"/>
    <col min="11266" max="11266" width="13.42578125" style="2" customWidth="1"/>
    <col min="11267" max="11267" width="4.28515625" style="2" customWidth="1"/>
    <col min="11268" max="11268" width="4" style="2" customWidth="1"/>
    <col min="11269" max="11269" width="28" style="2" customWidth="1"/>
    <col min="11270" max="11270" width="4.140625" style="2" customWidth="1"/>
    <col min="11271" max="11271" width="11.28515625" style="2" customWidth="1"/>
    <col min="11272" max="11272" width="16.140625" style="2" customWidth="1"/>
    <col min="11273" max="11273" width="11" style="2" customWidth="1"/>
    <col min="11274" max="11275" width="2.140625" style="2" customWidth="1"/>
    <col min="11276" max="11276" width="3.28515625" style="2" customWidth="1"/>
    <col min="11277" max="11278" width="0" style="2" hidden="1" customWidth="1"/>
    <col min="11279" max="11279" width="2.85546875" style="2" customWidth="1"/>
    <col min="11280" max="11280" width="3.28515625" style="2" customWidth="1"/>
    <col min="11281" max="11281" width="1.42578125" style="2" customWidth="1"/>
    <col min="11282" max="11282" width="0" style="2" hidden="1" customWidth="1"/>
    <col min="11283" max="11283" width="6.85546875" style="2" customWidth="1"/>
    <col min="11284" max="11284" width="0" style="2" hidden="1" customWidth="1"/>
    <col min="11285" max="11286" width="6.28515625" style="2" customWidth="1"/>
    <col min="11287" max="11287" width="17.7109375" style="2" customWidth="1"/>
    <col min="11288" max="11288" width="21.85546875" style="2" customWidth="1"/>
    <col min="11289" max="11289" width="10.85546875" style="2" customWidth="1"/>
    <col min="11290" max="11290" width="14.140625" style="2" customWidth="1"/>
    <col min="11291" max="11291" width="0" style="2" hidden="1" customWidth="1"/>
    <col min="11292" max="11292" width="13" style="2" customWidth="1"/>
    <col min="11293" max="11293" width="13.140625" style="2" customWidth="1"/>
    <col min="11294" max="11295" width="14" style="2" customWidth="1"/>
    <col min="11296" max="11296" width="11.42578125" style="2" customWidth="1"/>
    <col min="11297" max="11297" width="15.85546875" style="2" customWidth="1"/>
    <col min="11298" max="11298" width="23.7109375" style="2" customWidth="1"/>
    <col min="11299" max="11299" width="12" style="2" customWidth="1"/>
    <col min="11300" max="11301" width="0.28515625" style="2" customWidth="1"/>
    <col min="11302" max="11302" width="1.42578125" style="2" customWidth="1"/>
    <col min="11303" max="11303" width="0" style="2" hidden="1" customWidth="1"/>
    <col min="11304" max="11520" width="11.42578125" style="2"/>
    <col min="11521" max="11521" width="10.28515625" style="2" customWidth="1"/>
    <col min="11522" max="11522" width="13.42578125" style="2" customWidth="1"/>
    <col min="11523" max="11523" width="4.28515625" style="2" customWidth="1"/>
    <col min="11524" max="11524" width="4" style="2" customWidth="1"/>
    <col min="11525" max="11525" width="28" style="2" customWidth="1"/>
    <col min="11526" max="11526" width="4.140625" style="2" customWidth="1"/>
    <col min="11527" max="11527" width="11.28515625" style="2" customWidth="1"/>
    <col min="11528" max="11528" width="16.140625" style="2" customWidth="1"/>
    <col min="11529" max="11529" width="11" style="2" customWidth="1"/>
    <col min="11530" max="11531" width="2.140625" style="2" customWidth="1"/>
    <col min="11532" max="11532" width="3.28515625" style="2" customWidth="1"/>
    <col min="11533" max="11534" width="0" style="2" hidden="1" customWidth="1"/>
    <col min="11535" max="11535" width="2.85546875" style="2" customWidth="1"/>
    <col min="11536" max="11536" width="3.28515625" style="2" customWidth="1"/>
    <col min="11537" max="11537" width="1.42578125" style="2" customWidth="1"/>
    <col min="11538" max="11538" width="0" style="2" hidden="1" customWidth="1"/>
    <col min="11539" max="11539" width="6.85546875" style="2" customWidth="1"/>
    <col min="11540" max="11540" width="0" style="2" hidden="1" customWidth="1"/>
    <col min="11541" max="11542" width="6.28515625" style="2" customWidth="1"/>
    <col min="11543" max="11543" width="17.7109375" style="2" customWidth="1"/>
    <col min="11544" max="11544" width="21.85546875" style="2" customWidth="1"/>
    <col min="11545" max="11545" width="10.85546875" style="2" customWidth="1"/>
    <col min="11546" max="11546" width="14.140625" style="2" customWidth="1"/>
    <col min="11547" max="11547" width="0" style="2" hidden="1" customWidth="1"/>
    <col min="11548" max="11548" width="13" style="2" customWidth="1"/>
    <col min="11549" max="11549" width="13.140625" style="2" customWidth="1"/>
    <col min="11550" max="11551" width="14" style="2" customWidth="1"/>
    <col min="11552" max="11552" width="11.42578125" style="2" customWidth="1"/>
    <col min="11553" max="11553" width="15.85546875" style="2" customWidth="1"/>
    <col min="11554" max="11554" width="23.7109375" style="2" customWidth="1"/>
    <col min="11555" max="11555" width="12" style="2" customWidth="1"/>
    <col min="11556" max="11557" width="0.28515625" style="2" customWidth="1"/>
    <col min="11558" max="11558" width="1.42578125" style="2" customWidth="1"/>
    <col min="11559" max="11559" width="0" style="2" hidden="1" customWidth="1"/>
    <col min="11560" max="11776" width="11.42578125" style="2"/>
    <col min="11777" max="11777" width="10.28515625" style="2" customWidth="1"/>
    <col min="11778" max="11778" width="13.42578125" style="2" customWidth="1"/>
    <col min="11779" max="11779" width="4.28515625" style="2" customWidth="1"/>
    <col min="11780" max="11780" width="4" style="2" customWidth="1"/>
    <col min="11781" max="11781" width="28" style="2" customWidth="1"/>
    <col min="11782" max="11782" width="4.140625" style="2" customWidth="1"/>
    <col min="11783" max="11783" width="11.28515625" style="2" customWidth="1"/>
    <col min="11784" max="11784" width="16.140625" style="2" customWidth="1"/>
    <col min="11785" max="11785" width="11" style="2" customWidth="1"/>
    <col min="11786" max="11787" width="2.140625" style="2" customWidth="1"/>
    <col min="11788" max="11788" width="3.28515625" style="2" customWidth="1"/>
    <col min="11789" max="11790" width="0" style="2" hidden="1" customWidth="1"/>
    <col min="11791" max="11791" width="2.85546875" style="2" customWidth="1"/>
    <col min="11792" max="11792" width="3.28515625" style="2" customWidth="1"/>
    <col min="11793" max="11793" width="1.42578125" style="2" customWidth="1"/>
    <col min="11794" max="11794" width="0" style="2" hidden="1" customWidth="1"/>
    <col min="11795" max="11795" width="6.85546875" style="2" customWidth="1"/>
    <col min="11796" max="11796" width="0" style="2" hidden="1" customWidth="1"/>
    <col min="11797" max="11798" width="6.28515625" style="2" customWidth="1"/>
    <col min="11799" max="11799" width="17.7109375" style="2" customWidth="1"/>
    <col min="11800" max="11800" width="21.85546875" style="2" customWidth="1"/>
    <col min="11801" max="11801" width="10.85546875" style="2" customWidth="1"/>
    <col min="11802" max="11802" width="14.140625" style="2" customWidth="1"/>
    <col min="11803" max="11803" width="0" style="2" hidden="1" customWidth="1"/>
    <col min="11804" max="11804" width="13" style="2" customWidth="1"/>
    <col min="11805" max="11805" width="13.140625" style="2" customWidth="1"/>
    <col min="11806" max="11807" width="14" style="2" customWidth="1"/>
    <col min="11808" max="11808" width="11.42578125" style="2" customWidth="1"/>
    <col min="11809" max="11809" width="15.85546875" style="2" customWidth="1"/>
    <col min="11810" max="11810" width="23.7109375" style="2" customWidth="1"/>
    <col min="11811" max="11811" width="12" style="2" customWidth="1"/>
    <col min="11812" max="11813" width="0.28515625" style="2" customWidth="1"/>
    <col min="11814" max="11814" width="1.42578125" style="2" customWidth="1"/>
    <col min="11815" max="11815" width="0" style="2" hidden="1" customWidth="1"/>
    <col min="11816" max="12032" width="11.42578125" style="2"/>
    <col min="12033" max="12033" width="10.28515625" style="2" customWidth="1"/>
    <col min="12034" max="12034" width="13.42578125" style="2" customWidth="1"/>
    <col min="12035" max="12035" width="4.28515625" style="2" customWidth="1"/>
    <col min="12036" max="12036" width="4" style="2" customWidth="1"/>
    <col min="12037" max="12037" width="28" style="2" customWidth="1"/>
    <col min="12038" max="12038" width="4.140625" style="2" customWidth="1"/>
    <col min="12039" max="12039" width="11.28515625" style="2" customWidth="1"/>
    <col min="12040" max="12040" width="16.140625" style="2" customWidth="1"/>
    <col min="12041" max="12041" width="11" style="2" customWidth="1"/>
    <col min="12042" max="12043" width="2.140625" style="2" customWidth="1"/>
    <col min="12044" max="12044" width="3.28515625" style="2" customWidth="1"/>
    <col min="12045" max="12046" width="0" style="2" hidden="1" customWidth="1"/>
    <col min="12047" max="12047" width="2.85546875" style="2" customWidth="1"/>
    <col min="12048" max="12048" width="3.28515625" style="2" customWidth="1"/>
    <col min="12049" max="12049" width="1.42578125" style="2" customWidth="1"/>
    <col min="12050" max="12050" width="0" style="2" hidden="1" customWidth="1"/>
    <col min="12051" max="12051" width="6.85546875" style="2" customWidth="1"/>
    <col min="12052" max="12052" width="0" style="2" hidden="1" customWidth="1"/>
    <col min="12053" max="12054" width="6.28515625" style="2" customWidth="1"/>
    <col min="12055" max="12055" width="17.7109375" style="2" customWidth="1"/>
    <col min="12056" max="12056" width="21.85546875" style="2" customWidth="1"/>
    <col min="12057" max="12057" width="10.85546875" style="2" customWidth="1"/>
    <col min="12058" max="12058" width="14.140625" style="2" customWidth="1"/>
    <col min="12059" max="12059" width="0" style="2" hidden="1" customWidth="1"/>
    <col min="12060" max="12060" width="13" style="2" customWidth="1"/>
    <col min="12061" max="12061" width="13.140625" style="2" customWidth="1"/>
    <col min="12062" max="12063" width="14" style="2" customWidth="1"/>
    <col min="12064" max="12064" width="11.42578125" style="2" customWidth="1"/>
    <col min="12065" max="12065" width="15.85546875" style="2" customWidth="1"/>
    <col min="12066" max="12066" width="23.7109375" style="2" customWidth="1"/>
    <col min="12067" max="12067" width="12" style="2" customWidth="1"/>
    <col min="12068" max="12069" width="0.28515625" style="2" customWidth="1"/>
    <col min="12070" max="12070" width="1.42578125" style="2" customWidth="1"/>
    <col min="12071" max="12071" width="0" style="2" hidden="1" customWidth="1"/>
    <col min="12072" max="12288" width="11.42578125" style="2"/>
    <col min="12289" max="12289" width="10.28515625" style="2" customWidth="1"/>
    <col min="12290" max="12290" width="13.42578125" style="2" customWidth="1"/>
    <col min="12291" max="12291" width="4.28515625" style="2" customWidth="1"/>
    <col min="12292" max="12292" width="4" style="2" customWidth="1"/>
    <col min="12293" max="12293" width="28" style="2" customWidth="1"/>
    <col min="12294" max="12294" width="4.140625" style="2" customWidth="1"/>
    <col min="12295" max="12295" width="11.28515625" style="2" customWidth="1"/>
    <col min="12296" max="12296" width="16.140625" style="2" customWidth="1"/>
    <col min="12297" max="12297" width="11" style="2" customWidth="1"/>
    <col min="12298" max="12299" width="2.140625" style="2" customWidth="1"/>
    <col min="12300" max="12300" width="3.28515625" style="2" customWidth="1"/>
    <col min="12301" max="12302" width="0" style="2" hidden="1" customWidth="1"/>
    <col min="12303" max="12303" width="2.85546875" style="2" customWidth="1"/>
    <col min="12304" max="12304" width="3.28515625" style="2" customWidth="1"/>
    <col min="12305" max="12305" width="1.42578125" style="2" customWidth="1"/>
    <col min="12306" max="12306" width="0" style="2" hidden="1" customWidth="1"/>
    <col min="12307" max="12307" width="6.85546875" style="2" customWidth="1"/>
    <col min="12308" max="12308" width="0" style="2" hidden="1" customWidth="1"/>
    <col min="12309" max="12310" width="6.28515625" style="2" customWidth="1"/>
    <col min="12311" max="12311" width="17.7109375" style="2" customWidth="1"/>
    <col min="12312" max="12312" width="21.85546875" style="2" customWidth="1"/>
    <col min="12313" max="12313" width="10.85546875" style="2" customWidth="1"/>
    <col min="12314" max="12314" width="14.140625" style="2" customWidth="1"/>
    <col min="12315" max="12315" width="0" style="2" hidden="1" customWidth="1"/>
    <col min="12316" max="12316" width="13" style="2" customWidth="1"/>
    <col min="12317" max="12317" width="13.140625" style="2" customWidth="1"/>
    <col min="12318" max="12319" width="14" style="2" customWidth="1"/>
    <col min="12320" max="12320" width="11.42578125" style="2" customWidth="1"/>
    <col min="12321" max="12321" width="15.85546875" style="2" customWidth="1"/>
    <col min="12322" max="12322" width="23.7109375" style="2" customWidth="1"/>
    <col min="12323" max="12323" width="12" style="2" customWidth="1"/>
    <col min="12324" max="12325" width="0.28515625" style="2" customWidth="1"/>
    <col min="12326" max="12326" width="1.42578125" style="2" customWidth="1"/>
    <col min="12327" max="12327" width="0" style="2" hidden="1" customWidth="1"/>
    <col min="12328" max="12544" width="11.42578125" style="2"/>
    <col min="12545" max="12545" width="10.28515625" style="2" customWidth="1"/>
    <col min="12546" max="12546" width="13.42578125" style="2" customWidth="1"/>
    <col min="12547" max="12547" width="4.28515625" style="2" customWidth="1"/>
    <col min="12548" max="12548" width="4" style="2" customWidth="1"/>
    <col min="12549" max="12549" width="28" style="2" customWidth="1"/>
    <col min="12550" max="12550" width="4.140625" style="2" customWidth="1"/>
    <col min="12551" max="12551" width="11.28515625" style="2" customWidth="1"/>
    <col min="12552" max="12552" width="16.140625" style="2" customWidth="1"/>
    <col min="12553" max="12553" width="11" style="2" customWidth="1"/>
    <col min="12554" max="12555" width="2.140625" style="2" customWidth="1"/>
    <col min="12556" max="12556" width="3.28515625" style="2" customWidth="1"/>
    <col min="12557" max="12558" width="0" style="2" hidden="1" customWidth="1"/>
    <col min="12559" max="12559" width="2.85546875" style="2" customWidth="1"/>
    <col min="12560" max="12560" width="3.28515625" style="2" customWidth="1"/>
    <col min="12561" max="12561" width="1.42578125" style="2" customWidth="1"/>
    <col min="12562" max="12562" width="0" style="2" hidden="1" customWidth="1"/>
    <col min="12563" max="12563" width="6.85546875" style="2" customWidth="1"/>
    <col min="12564" max="12564" width="0" style="2" hidden="1" customWidth="1"/>
    <col min="12565" max="12566" width="6.28515625" style="2" customWidth="1"/>
    <col min="12567" max="12567" width="17.7109375" style="2" customWidth="1"/>
    <col min="12568" max="12568" width="21.85546875" style="2" customWidth="1"/>
    <col min="12569" max="12569" width="10.85546875" style="2" customWidth="1"/>
    <col min="12570" max="12570" width="14.140625" style="2" customWidth="1"/>
    <col min="12571" max="12571" width="0" style="2" hidden="1" customWidth="1"/>
    <col min="12572" max="12572" width="13" style="2" customWidth="1"/>
    <col min="12573" max="12573" width="13.140625" style="2" customWidth="1"/>
    <col min="12574" max="12575" width="14" style="2" customWidth="1"/>
    <col min="12576" max="12576" width="11.42578125" style="2" customWidth="1"/>
    <col min="12577" max="12577" width="15.85546875" style="2" customWidth="1"/>
    <col min="12578" max="12578" width="23.7109375" style="2" customWidth="1"/>
    <col min="12579" max="12579" width="12" style="2" customWidth="1"/>
    <col min="12580" max="12581" width="0.28515625" style="2" customWidth="1"/>
    <col min="12582" max="12582" width="1.42578125" style="2" customWidth="1"/>
    <col min="12583" max="12583" width="0" style="2" hidden="1" customWidth="1"/>
    <col min="12584" max="12800" width="11.42578125" style="2"/>
    <col min="12801" max="12801" width="10.28515625" style="2" customWidth="1"/>
    <col min="12802" max="12802" width="13.42578125" style="2" customWidth="1"/>
    <col min="12803" max="12803" width="4.28515625" style="2" customWidth="1"/>
    <col min="12804" max="12804" width="4" style="2" customWidth="1"/>
    <col min="12805" max="12805" width="28" style="2" customWidth="1"/>
    <col min="12806" max="12806" width="4.140625" style="2" customWidth="1"/>
    <col min="12807" max="12807" width="11.28515625" style="2" customWidth="1"/>
    <col min="12808" max="12808" width="16.140625" style="2" customWidth="1"/>
    <col min="12809" max="12809" width="11" style="2" customWidth="1"/>
    <col min="12810" max="12811" width="2.140625" style="2" customWidth="1"/>
    <col min="12812" max="12812" width="3.28515625" style="2" customWidth="1"/>
    <col min="12813" max="12814" width="0" style="2" hidden="1" customWidth="1"/>
    <col min="12815" max="12815" width="2.85546875" style="2" customWidth="1"/>
    <col min="12816" max="12816" width="3.28515625" style="2" customWidth="1"/>
    <col min="12817" max="12817" width="1.42578125" style="2" customWidth="1"/>
    <col min="12818" max="12818" width="0" style="2" hidden="1" customWidth="1"/>
    <col min="12819" max="12819" width="6.85546875" style="2" customWidth="1"/>
    <col min="12820" max="12820" width="0" style="2" hidden="1" customWidth="1"/>
    <col min="12821" max="12822" width="6.28515625" style="2" customWidth="1"/>
    <col min="12823" max="12823" width="17.7109375" style="2" customWidth="1"/>
    <col min="12824" max="12824" width="21.85546875" style="2" customWidth="1"/>
    <col min="12825" max="12825" width="10.85546875" style="2" customWidth="1"/>
    <col min="12826" max="12826" width="14.140625" style="2" customWidth="1"/>
    <col min="12827" max="12827" width="0" style="2" hidden="1" customWidth="1"/>
    <col min="12828" max="12828" width="13" style="2" customWidth="1"/>
    <col min="12829" max="12829" width="13.140625" style="2" customWidth="1"/>
    <col min="12830" max="12831" width="14" style="2" customWidth="1"/>
    <col min="12832" max="12832" width="11.42578125" style="2" customWidth="1"/>
    <col min="12833" max="12833" width="15.85546875" style="2" customWidth="1"/>
    <col min="12834" max="12834" width="23.7109375" style="2" customWidth="1"/>
    <col min="12835" max="12835" width="12" style="2" customWidth="1"/>
    <col min="12836" max="12837" width="0.28515625" style="2" customWidth="1"/>
    <col min="12838" max="12838" width="1.42578125" style="2" customWidth="1"/>
    <col min="12839" max="12839" width="0" style="2" hidden="1" customWidth="1"/>
    <col min="12840" max="13056" width="11.42578125" style="2"/>
    <col min="13057" max="13057" width="10.28515625" style="2" customWidth="1"/>
    <col min="13058" max="13058" width="13.42578125" style="2" customWidth="1"/>
    <col min="13059" max="13059" width="4.28515625" style="2" customWidth="1"/>
    <col min="13060" max="13060" width="4" style="2" customWidth="1"/>
    <col min="13061" max="13061" width="28" style="2" customWidth="1"/>
    <col min="13062" max="13062" width="4.140625" style="2" customWidth="1"/>
    <col min="13063" max="13063" width="11.28515625" style="2" customWidth="1"/>
    <col min="13064" max="13064" width="16.140625" style="2" customWidth="1"/>
    <col min="13065" max="13065" width="11" style="2" customWidth="1"/>
    <col min="13066" max="13067" width="2.140625" style="2" customWidth="1"/>
    <col min="13068" max="13068" width="3.28515625" style="2" customWidth="1"/>
    <col min="13069" max="13070" width="0" style="2" hidden="1" customWidth="1"/>
    <col min="13071" max="13071" width="2.85546875" style="2" customWidth="1"/>
    <col min="13072" max="13072" width="3.28515625" style="2" customWidth="1"/>
    <col min="13073" max="13073" width="1.42578125" style="2" customWidth="1"/>
    <col min="13074" max="13074" width="0" style="2" hidden="1" customWidth="1"/>
    <col min="13075" max="13075" width="6.85546875" style="2" customWidth="1"/>
    <col min="13076" max="13076" width="0" style="2" hidden="1" customWidth="1"/>
    <col min="13077" max="13078" width="6.28515625" style="2" customWidth="1"/>
    <col min="13079" max="13079" width="17.7109375" style="2" customWidth="1"/>
    <col min="13080" max="13080" width="21.85546875" style="2" customWidth="1"/>
    <col min="13081" max="13081" width="10.85546875" style="2" customWidth="1"/>
    <col min="13082" max="13082" width="14.140625" style="2" customWidth="1"/>
    <col min="13083" max="13083" width="0" style="2" hidden="1" customWidth="1"/>
    <col min="13084" max="13084" width="13" style="2" customWidth="1"/>
    <col min="13085" max="13085" width="13.140625" style="2" customWidth="1"/>
    <col min="13086" max="13087" width="14" style="2" customWidth="1"/>
    <col min="13088" max="13088" width="11.42578125" style="2" customWidth="1"/>
    <col min="13089" max="13089" width="15.85546875" style="2" customWidth="1"/>
    <col min="13090" max="13090" width="23.7109375" style="2" customWidth="1"/>
    <col min="13091" max="13091" width="12" style="2" customWidth="1"/>
    <col min="13092" max="13093" width="0.28515625" style="2" customWidth="1"/>
    <col min="13094" max="13094" width="1.42578125" style="2" customWidth="1"/>
    <col min="13095" max="13095" width="0" style="2" hidden="1" customWidth="1"/>
    <col min="13096" max="13312" width="11.42578125" style="2"/>
    <col min="13313" max="13313" width="10.28515625" style="2" customWidth="1"/>
    <col min="13314" max="13314" width="13.42578125" style="2" customWidth="1"/>
    <col min="13315" max="13315" width="4.28515625" style="2" customWidth="1"/>
    <col min="13316" max="13316" width="4" style="2" customWidth="1"/>
    <col min="13317" max="13317" width="28" style="2" customWidth="1"/>
    <col min="13318" max="13318" width="4.140625" style="2" customWidth="1"/>
    <col min="13319" max="13319" width="11.28515625" style="2" customWidth="1"/>
    <col min="13320" max="13320" width="16.140625" style="2" customWidth="1"/>
    <col min="13321" max="13321" width="11" style="2" customWidth="1"/>
    <col min="13322" max="13323" width="2.140625" style="2" customWidth="1"/>
    <col min="13324" max="13324" width="3.28515625" style="2" customWidth="1"/>
    <col min="13325" max="13326" width="0" style="2" hidden="1" customWidth="1"/>
    <col min="13327" max="13327" width="2.85546875" style="2" customWidth="1"/>
    <col min="13328" max="13328" width="3.28515625" style="2" customWidth="1"/>
    <col min="13329" max="13329" width="1.42578125" style="2" customWidth="1"/>
    <col min="13330" max="13330" width="0" style="2" hidden="1" customWidth="1"/>
    <col min="13331" max="13331" width="6.85546875" style="2" customWidth="1"/>
    <col min="13332" max="13332" width="0" style="2" hidden="1" customWidth="1"/>
    <col min="13333" max="13334" width="6.28515625" style="2" customWidth="1"/>
    <col min="13335" max="13335" width="17.7109375" style="2" customWidth="1"/>
    <col min="13336" max="13336" width="21.85546875" style="2" customWidth="1"/>
    <col min="13337" max="13337" width="10.85546875" style="2" customWidth="1"/>
    <col min="13338" max="13338" width="14.140625" style="2" customWidth="1"/>
    <col min="13339" max="13339" width="0" style="2" hidden="1" customWidth="1"/>
    <col min="13340" max="13340" width="13" style="2" customWidth="1"/>
    <col min="13341" max="13341" width="13.140625" style="2" customWidth="1"/>
    <col min="13342" max="13343" width="14" style="2" customWidth="1"/>
    <col min="13344" max="13344" width="11.42578125" style="2" customWidth="1"/>
    <col min="13345" max="13345" width="15.85546875" style="2" customWidth="1"/>
    <col min="13346" max="13346" width="23.7109375" style="2" customWidth="1"/>
    <col min="13347" max="13347" width="12" style="2" customWidth="1"/>
    <col min="13348" max="13349" width="0.28515625" style="2" customWidth="1"/>
    <col min="13350" max="13350" width="1.42578125" style="2" customWidth="1"/>
    <col min="13351" max="13351" width="0" style="2" hidden="1" customWidth="1"/>
    <col min="13352" max="13568" width="11.42578125" style="2"/>
    <col min="13569" max="13569" width="10.28515625" style="2" customWidth="1"/>
    <col min="13570" max="13570" width="13.42578125" style="2" customWidth="1"/>
    <col min="13571" max="13571" width="4.28515625" style="2" customWidth="1"/>
    <col min="13572" max="13572" width="4" style="2" customWidth="1"/>
    <col min="13573" max="13573" width="28" style="2" customWidth="1"/>
    <col min="13574" max="13574" width="4.140625" style="2" customWidth="1"/>
    <col min="13575" max="13575" width="11.28515625" style="2" customWidth="1"/>
    <col min="13576" max="13576" width="16.140625" style="2" customWidth="1"/>
    <col min="13577" max="13577" width="11" style="2" customWidth="1"/>
    <col min="13578" max="13579" width="2.140625" style="2" customWidth="1"/>
    <col min="13580" max="13580" width="3.28515625" style="2" customWidth="1"/>
    <col min="13581" max="13582" width="0" style="2" hidden="1" customWidth="1"/>
    <col min="13583" max="13583" width="2.85546875" style="2" customWidth="1"/>
    <col min="13584" max="13584" width="3.28515625" style="2" customWidth="1"/>
    <col min="13585" max="13585" width="1.42578125" style="2" customWidth="1"/>
    <col min="13586" max="13586" width="0" style="2" hidden="1" customWidth="1"/>
    <col min="13587" max="13587" width="6.85546875" style="2" customWidth="1"/>
    <col min="13588" max="13588" width="0" style="2" hidden="1" customWidth="1"/>
    <col min="13589" max="13590" width="6.28515625" style="2" customWidth="1"/>
    <col min="13591" max="13591" width="17.7109375" style="2" customWidth="1"/>
    <col min="13592" max="13592" width="21.85546875" style="2" customWidth="1"/>
    <col min="13593" max="13593" width="10.85546875" style="2" customWidth="1"/>
    <col min="13594" max="13594" width="14.140625" style="2" customWidth="1"/>
    <col min="13595" max="13595" width="0" style="2" hidden="1" customWidth="1"/>
    <col min="13596" max="13596" width="13" style="2" customWidth="1"/>
    <col min="13597" max="13597" width="13.140625" style="2" customWidth="1"/>
    <col min="13598" max="13599" width="14" style="2" customWidth="1"/>
    <col min="13600" max="13600" width="11.42578125" style="2" customWidth="1"/>
    <col min="13601" max="13601" width="15.85546875" style="2" customWidth="1"/>
    <col min="13602" max="13602" width="23.7109375" style="2" customWidth="1"/>
    <col min="13603" max="13603" width="12" style="2" customWidth="1"/>
    <col min="13604" max="13605" width="0.28515625" style="2" customWidth="1"/>
    <col min="13606" max="13606" width="1.42578125" style="2" customWidth="1"/>
    <col min="13607" max="13607" width="0" style="2" hidden="1" customWidth="1"/>
    <col min="13608" max="13824" width="11.42578125" style="2"/>
    <col min="13825" max="13825" width="10.28515625" style="2" customWidth="1"/>
    <col min="13826" max="13826" width="13.42578125" style="2" customWidth="1"/>
    <col min="13827" max="13827" width="4.28515625" style="2" customWidth="1"/>
    <col min="13828" max="13828" width="4" style="2" customWidth="1"/>
    <col min="13829" max="13829" width="28" style="2" customWidth="1"/>
    <col min="13830" max="13830" width="4.140625" style="2" customWidth="1"/>
    <col min="13831" max="13831" width="11.28515625" style="2" customWidth="1"/>
    <col min="13832" max="13832" width="16.140625" style="2" customWidth="1"/>
    <col min="13833" max="13833" width="11" style="2" customWidth="1"/>
    <col min="13834" max="13835" width="2.140625" style="2" customWidth="1"/>
    <col min="13836" max="13836" width="3.28515625" style="2" customWidth="1"/>
    <col min="13837" max="13838" width="0" style="2" hidden="1" customWidth="1"/>
    <col min="13839" max="13839" width="2.85546875" style="2" customWidth="1"/>
    <col min="13840" max="13840" width="3.28515625" style="2" customWidth="1"/>
    <col min="13841" max="13841" width="1.42578125" style="2" customWidth="1"/>
    <col min="13842" max="13842" width="0" style="2" hidden="1" customWidth="1"/>
    <col min="13843" max="13843" width="6.85546875" style="2" customWidth="1"/>
    <col min="13844" max="13844" width="0" style="2" hidden="1" customWidth="1"/>
    <col min="13845" max="13846" width="6.28515625" style="2" customWidth="1"/>
    <col min="13847" max="13847" width="17.7109375" style="2" customWidth="1"/>
    <col min="13848" max="13848" width="21.85546875" style="2" customWidth="1"/>
    <col min="13849" max="13849" width="10.85546875" style="2" customWidth="1"/>
    <col min="13850" max="13850" width="14.140625" style="2" customWidth="1"/>
    <col min="13851" max="13851" width="0" style="2" hidden="1" customWidth="1"/>
    <col min="13852" max="13852" width="13" style="2" customWidth="1"/>
    <col min="13853" max="13853" width="13.140625" style="2" customWidth="1"/>
    <col min="13854" max="13855" width="14" style="2" customWidth="1"/>
    <col min="13856" max="13856" width="11.42578125" style="2" customWidth="1"/>
    <col min="13857" max="13857" width="15.85546875" style="2" customWidth="1"/>
    <col min="13858" max="13858" width="23.7109375" style="2" customWidth="1"/>
    <col min="13859" max="13859" width="12" style="2" customWidth="1"/>
    <col min="13860" max="13861" width="0.28515625" style="2" customWidth="1"/>
    <col min="13862" max="13862" width="1.42578125" style="2" customWidth="1"/>
    <col min="13863" max="13863" width="0" style="2" hidden="1" customWidth="1"/>
    <col min="13864" max="14080" width="11.42578125" style="2"/>
    <col min="14081" max="14081" width="10.28515625" style="2" customWidth="1"/>
    <col min="14082" max="14082" width="13.42578125" style="2" customWidth="1"/>
    <col min="14083" max="14083" width="4.28515625" style="2" customWidth="1"/>
    <col min="14084" max="14084" width="4" style="2" customWidth="1"/>
    <col min="14085" max="14085" width="28" style="2" customWidth="1"/>
    <col min="14086" max="14086" width="4.140625" style="2" customWidth="1"/>
    <col min="14087" max="14087" width="11.28515625" style="2" customWidth="1"/>
    <col min="14088" max="14088" width="16.140625" style="2" customWidth="1"/>
    <col min="14089" max="14089" width="11" style="2" customWidth="1"/>
    <col min="14090" max="14091" width="2.140625" style="2" customWidth="1"/>
    <col min="14092" max="14092" width="3.28515625" style="2" customWidth="1"/>
    <col min="14093" max="14094" width="0" style="2" hidden="1" customWidth="1"/>
    <col min="14095" max="14095" width="2.85546875" style="2" customWidth="1"/>
    <col min="14096" max="14096" width="3.28515625" style="2" customWidth="1"/>
    <col min="14097" max="14097" width="1.42578125" style="2" customWidth="1"/>
    <col min="14098" max="14098" width="0" style="2" hidden="1" customWidth="1"/>
    <col min="14099" max="14099" width="6.85546875" style="2" customWidth="1"/>
    <col min="14100" max="14100" width="0" style="2" hidden="1" customWidth="1"/>
    <col min="14101" max="14102" width="6.28515625" style="2" customWidth="1"/>
    <col min="14103" max="14103" width="17.7109375" style="2" customWidth="1"/>
    <col min="14104" max="14104" width="21.85546875" style="2" customWidth="1"/>
    <col min="14105" max="14105" width="10.85546875" style="2" customWidth="1"/>
    <col min="14106" max="14106" width="14.140625" style="2" customWidth="1"/>
    <col min="14107" max="14107" width="0" style="2" hidden="1" customWidth="1"/>
    <col min="14108" max="14108" width="13" style="2" customWidth="1"/>
    <col min="14109" max="14109" width="13.140625" style="2" customWidth="1"/>
    <col min="14110" max="14111" width="14" style="2" customWidth="1"/>
    <col min="14112" max="14112" width="11.42578125" style="2" customWidth="1"/>
    <col min="14113" max="14113" width="15.85546875" style="2" customWidth="1"/>
    <col min="14114" max="14114" width="23.7109375" style="2" customWidth="1"/>
    <col min="14115" max="14115" width="12" style="2" customWidth="1"/>
    <col min="14116" max="14117" width="0.28515625" style="2" customWidth="1"/>
    <col min="14118" max="14118" width="1.42578125" style="2" customWidth="1"/>
    <col min="14119" max="14119" width="0" style="2" hidden="1" customWidth="1"/>
    <col min="14120" max="14336" width="11.42578125" style="2"/>
    <col min="14337" max="14337" width="10.28515625" style="2" customWidth="1"/>
    <col min="14338" max="14338" width="13.42578125" style="2" customWidth="1"/>
    <col min="14339" max="14339" width="4.28515625" style="2" customWidth="1"/>
    <col min="14340" max="14340" width="4" style="2" customWidth="1"/>
    <col min="14341" max="14341" width="28" style="2" customWidth="1"/>
    <col min="14342" max="14342" width="4.140625" style="2" customWidth="1"/>
    <col min="14343" max="14343" width="11.28515625" style="2" customWidth="1"/>
    <col min="14344" max="14344" width="16.140625" style="2" customWidth="1"/>
    <col min="14345" max="14345" width="11" style="2" customWidth="1"/>
    <col min="14346" max="14347" width="2.140625" style="2" customWidth="1"/>
    <col min="14348" max="14348" width="3.28515625" style="2" customWidth="1"/>
    <col min="14349" max="14350" width="0" style="2" hidden="1" customWidth="1"/>
    <col min="14351" max="14351" width="2.85546875" style="2" customWidth="1"/>
    <col min="14352" max="14352" width="3.28515625" style="2" customWidth="1"/>
    <col min="14353" max="14353" width="1.42578125" style="2" customWidth="1"/>
    <col min="14354" max="14354" width="0" style="2" hidden="1" customWidth="1"/>
    <col min="14355" max="14355" width="6.85546875" style="2" customWidth="1"/>
    <col min="14356" max="14356" width="0" style="2" hidden="1" customWidth="1"/>
    <col min="14357" max="14358" width="6.28515625" style="2" customWidth="1"/>
    <col min="14359" max="14359" width="17.7109375" style="2" customWidth="1"/>
    <col min="14360" max="14360" width="21.85546875" style="2" customWidth="1"/>
    <col min="14361" max="14361" width="10.85546875" style="2" customWidth="1"/>
    <col min="14362" max="14362" width="14.140625" style="2" customWidth="1"/>
    <col min="14363" max="14363" width="0" style="2" hidden="1" customWidth="1"/>
    <col min="14364" max="14364" width="13" style="2" customWidth="1"/>
    <col min="14365" max="14365" width="13.140625" style="2" customWidth="1"/>
    <col min="14366" max="14367" width="14" style="2" customWidth="1"/>
    <col min="14368" max="14368" width="11.42578125" style="2" customWidth="1"/>
    <col min="14369" max="14369" width="15.85546875" style="2" customWidth="1"/>
    <col min="14370" max="14370" width="23.7109375" style="2" customWidth="1"/>
    <col min="14371" max="14371" width="12" style="2" customWidth="1"/>
    <col min="14372" max="14373" width="0.28515625" style="2" customWidth="1"/>
    <col min="14374" max="14374" width="1.42578125" style="2" customWidth="1"/>
    <col min="14375" max="14375" width="0" style="2" hidden="1" customWidth="1"/>
    <col min="14376" max="14592" width="11.42578125" style="2"/>
    <col min="14593" max="14593" width="10.28515625" style="2" customWidth="1"/>
    <col min="14594" max="14594" width="13.42578125" style="2" customWidth="1"/>
    <col min="14595" max="14595" width="4.28515625" style="2" customWidth="1"/>
    <col min="14596" max="14596" width="4" style="2" customWidth="1"/>
    <col min="14597" max="14597" width="28" style="2" customWidth="1"/>
    <col min="14598" max="14598" width="4.140625" style="2" customWidth="1"/>
    <col min="14599" max="14599" width="11.28515625" style="2" customWidth="1"/>
    <col min="14600" max="14600" width="16.140625" style="2" customWidth="1"/>
    <col min="14601" max="14601" width="11" style="2" customWidth="1"/>
    <col min="14602" max="14603" width="2.140625" style="2" customWidth="1"/>
    <col min="14604" max="14604" width="3.28515625" style="2" customWidth="1"/>
    <col min="14605" max="14606" width="0" style="2" hidden="1" customWidth="1"/>
    <col min="14607" max="14607" width="2.85546875" style="2" customWidth="1"/>
    <col min="14608" max="14608" width="3.28515625" style="2" customWidth="1"/>
    <col min="14609" max="14609" width="1.42578125" style="2" customWidth="1"/>
    <col min="14610" max="14610" width="0" style="2" hidden="1" customWidth="1"/>
    <col min="14611" max="14611" width="6.85546875" style="2" customWidth="1"/>
    <col min="14612" max="14612" width="0" style="2" hidden="1" customWidth="1"/>
    <col min="14613" max="14614" width="6.28515625" style="2" customWidth="1"/>
    <col min="14615" max="14615" width="17.7109375" style="2" customWidth="1"/>
    <col min="14616" max="14616" width="21.85546875" style="2" customWidth="1"/>
    <col min="14617" max="14617" width="10.85546875" style="2" customWidth="1"/>
    <col min="14618" max="14618" width="14.140625" style="2" customWidth="1"/>
    <col min="14619" max="14619" width="0" style="2" hidden="1" customWidth="1"/>
    <col min="14620" max="14620" width="13" style="2" customWidth="1"/>
    <col min="14621" max="14621" width="13.140625" style="2" customWidth="1"/>
    <col min="14622" max="14623" width="14" style="2" customWidth="1"/>
    <col min="14624" max="14624" width="11.42578125" style="2" customWidth="1"/>
    <col min="14625" max="14625" width="15.85546875" style="2" customWidth="1"/>
    <col min="14626" max="14626" width="23.7109375" style="2" customWidth="1"/>
    <col min="14627" max="14627" width="12" style="2" customWidth="1"/>
    <col min="14628" max="14629" width="0.28515625" style="2" customWidth="1"/>
    <col min="14630" max="14630" width="1.42578125" style="2" customWidth="1"/>
    <col min="14631" max="14631" width="0" style="2" hidden="1" customWidth="1"/>
    <col min="14632" max="14848" width="11.42578125" style="2"/>
    <col min="14849" max="14849" width="10.28515625" style="2" customWidth="1"/>
    <col min="14850" max="14850" width="13.42578125" style="2" customWidth="1"/>
    <col min="14851" max="14851" width="4.28515625" style="2" customWidth="1"/>
    <col min="14852" max="14852" width="4" style="2" customWidth="1"/>
    <col min="14853" max="14853" width="28" style="2" customWidth="1"/>
    <col min="14854" max="14854" width="4.140625" style="2" customWidth="1"/>
    <col min="14855" max="14855" width="11.28515625" style="2" customWidth="1"/>
    <col min="14856" max="14856" width="16.140625" style="2" customWidth="1"/>
    <col min="14857" max="14857" width="11" style="2" customWidth="1"/>
    <col min="14858" max="14859" width="2.140625" style="2" customWidth="1"/>
    <col min="14860" max="14860" width="3.28515625" style="2" customWidth="1"/>
    <col min="14861" max="14862" width="0" style="2" hidden="1" customWidth="1"/>
    <col min="14863" max="14863" width="2.85546875" style="2" customWidth="1"/>
    <col min="14864" max="14864" width="3.28515625" style="2" customWidth="1"/>
    <col min="14865" max="14865" width="1.42578125" style="2" customWidth="1"/>
    <col min="14866" max="14866" width="0" style="2" hidden="1" customWidth="1"/>
    <col min="14867" max="14867" width="6.85546875" style="2" customWidth="1"/>
    <col min="14868" max="14868" width="0" style="2" hidden="1" customWidth="1"/>
    <col min="14869" max="14870" width="6.28515625" style="2" customWidth="1"/>
    <col min="14871" max="14871" width="17.7109375" style="2" customWidth="1"/>
    <col min="14872" max="14872" width="21.85546875" style="2" customWidth="1"/>
    <col min="14873" max="14873" width="10.85546875" style="2" customWidth="1"/>
    <col min="14874" max="14874" width="14.140625" style="2" customWidth="1"/>
    <col min="14875" max="14875" width="0" style="2" hidden="1" customWidth="1"/>
    <col min="14876" max="14876" width="13" style="2" customWidth="1"/>
    <col min="14877" max="14877" width="13.140625" style="2" customWidth="1"/>
    <col min="14878" max="14879" width="14" style="2" customWidth="1"/>
    <col min="14880" max="14880" width="11.42578125" style="2" customWidth="1"/>
    <col min="14881" max="14881" width="15.85546875" style="2" customWidth="1"/>
    <col min="14882" max="14882" width="23.7109375" style="2" customWidth="1"/>
    <col min="14883" max="14883" width="12" style="2" customWidth="1"/>
    <col min="14884" max="14885" width="0.28515625" style="2" customWidth="1"/>
    <col min="14886" max="14886" width="1.42578125" style="2" customWidth="1"/>
    <col min="14887" max="14887" width="0" style="2" hidden="1" customWidth="1"/>
    <col min="14888" max="15104" width="11.42578125" style="2"/>
    <col min="15105" max="15105" width="10.28515625" style="2" customWidth="1"/>
    <col min="15106" max="15106" width="13.42578125" style="2" customWidth="1"/>
    <col min="15107" max="15107" width="4.28515625" style="2" customWidth="1"/>
    <col min="15108" max="15108" width="4" style="2" customWidth="1"/>
    <col min="15109" max="15109" width="28" style="2" customWidth="1"/>
    <col min="15110" max="15110" width="4.140625" style="2" customWidth="1"/>
    <col min="15111" max="15111" width="11.28515625" style="2" customWidth="1"/>
    <col min="15112" max="15112" width="16.140625" style="2" customWidth="1"/>
    <col min="15113" max="15113" width="11" style="2" customWidth="1"/>
    <col min="15114" max="15115" width="2.140625" style="2" customWidth="1"/>
    <col min="15116" max="15116" width="3.28515625" style="2" customWidth="1"/>
    <col min="15117" max="15118" width="0" style="2" hidden="1" customWidth="1"/>
    <col min="15119" max="15119" width="2.85546875" style="2" customWidth="1"/>
    <col min="15120" max="15120" width="3.28515625" style="2" customWidth="1"/>
    <col min="15121" max="15121" width="1.42578125" style="2" customWidth="1"/>
    <col min="15122" max="15122" width="0" style="2" hidden="1" customWidth="1"/>
    <col min="15123" max="15123" width="6.85546875" style="2" customWidth="1"/>
    <col min="15124" max="15124" width="0" style="2" hidden="1" customWidth="1"/>
    <col min="15125" max="15126" width="6.28515625" style="2" customWidth="1"/>
    <col min="15127" max="15127" width="17.7109375" style="2" customWidth="1"/>
    <col min="15128" max="15128" width="21.85546875" style="2" customWidth="1"/>
    <col min="15129" max="15129" width="10.85546875" style="2" customWidth="1"/>
    <col min="15130" max="15130" width="14.140625" style="2" customWidth="1"/>
    <col min="15131" max="15131" width="0" style="2" hidden="1" customWidth="1"/>
    <col min="15132" max="15132" width="13" style="2" customWidth="1"/>
    <col min="15133" max="15133" width="13.140625" style="2" customWidth="1"/>
    <col min="15134" max="15135" width="14" style="2" customWidth="1"/>
    <col min="15136" max="15136" width="11.42578125" style="2" customWidth="1"/>
    <col min="15137" max="15137" width="15.85546875" style="2" customWidth="1"/>
    <col min="15138" max="15138" width="23.7109375" style="2" customWidth="1"/>
    <col min="15139" max="15139" width="12" style="2" customWidth="1"/>
    <col min="15140" max="15141" width="0.28515625" style="2" customWidth="1"/>
    <col min="15142" max="15142" width="1.42578125" style="2" customWidth="1"/>
    <col min="15143" max="15143" width="0" style="2" hidden="1" customWidth="1"/>
    <col min="15144" max="15360" width="11.42578125" style="2"/>
    <col min="15361" max="15361" width="10.28515625" style="2" customWidth="1"/>
    <col min="15362" max="15362" width="13.42578125" style="2" customWidth="1"/>
    <col min="15363" max="15363" width="4.28515625" style="2" customWidth="1"/>
    <col min="15364" max="15364" width="4" style="2" customWidth="1"/>
    <col min="15365" max="15365" width="28" style="2" customWidth="1"/>
    <col min="15366" max="15366" width="4.140625" style="2" customWidth="1"/>
    <col min="15367" max="15367" width="11.28515625" style="2" customWidth="1"/>
    <col min="15368" max="15368" width="16.140625" style="2" customWidth="1"/>
    <col min="15369" max="15369" width="11" style="2" customWidth="1"/>
    <col min="15370" max="15371" width="2.140625" style="2" customWidth="1"/>
    <col min="15372" max="15372" width="3.28515625" style="2" customWidth="1"/>
    <col min="15373" max="15374" width="0" style="2" hidden="1" customWidth="1"/>
    <col min="15375" max="15375" width="2.85546875" style="2" customWidth="1"/>
    <col min="15376" max="15376" width="3.28515625" style="2" customWidth="1"/>
    <col min="15377" max="15377" width="1.42578125" style="2" customWidth="1"/>
    <col min="15378" max="15378" width="0" style="2" hidden="1" customWidth="1"/>
    <col min="15379" max="15379" width="6.85546875" style="2" customWidth="1"/>
    <col min="15380" max="15380" width="0" style="2" hidden="1" customWidth="1"/>
    <col min="15381" max="15382" width="6.28515625" style="2" customWidth="1"/>
    <col min="15383" max="15383" width="17.7109375" style="2" customWidth="1"/>
    <col min="15384" max="15384" width="21.85546875" style="2" customWidth="1"/>
    <col min="15385" max="15385" width="10.85546875" style="2" customWidth="1"/>
    <col min="15386" max="15386" width="14.140625" style="2" customWidth="1"/>
    <col min="15387" max="15387" width="0" style="2" hidden="1" customWidth="1"/>
    <col min="15388" max="15388" width="13" style="2" customWidth="1"/>
    <col min="15389" max="15389" width="13.140625" style="2" customWidth="1"/>
    <col min="15390" max="15391" width="14" style="2" customWidth="1"/>
    <col min="15392" max="15392" width="11.42578125" style="2" customWidth="1"/>
    <col min="15393" max="15393" width="15.85546875" style="2" customWidth="1"/>
    <col min="15394" max="15394" width="23.7109375" style="2" customWidth="1"/>
    <col min="15395" max="15395" width="12" style="2" customWidth="1"/>
    <col min="15396" max="15397" width="0.28515625" style="2" customWidth="1"/>
    <col min="15398" max="15398" width="1.42578125" style="2" customWidth="1"/>
    <col min="15399" max="15399" width="0" style="2" hidden="1" customWidth="1"/>
    <col min="15400" max="15616" width="11.42578125" style="2"/>
    <col min="15617" max="15617" width="10.28515625" style="2" customWidth="1"/>
    <col min="15618" max="15618" width="13.42578125" style="2" customWidth="1"/>
    <col min="15619" max="15619" width="4.28515625" style="2" customWidth="1"/>
    <col min="15620" max="15620" width="4" style="2" customWidth="1"/>
    <col min="15621" max="15621" width="28" style="2" customWidth="1"/>
    <col min="15622" max="15622" width="4.140625" style="2" customWidth="1"/>
    <col min="15623" max="15623" width="11.28515625" style="2" customWidth="1"/>
    <col min="15624" max="15624" width="16.140625" style="2" customWidth="1"/>
    <col min="15625" max="15625" width="11" style="2" customWidth="1"/>
    <col min="15626" max="15627" width="2.140625" style="2" customWidth="1"/>
    <col min="15628" max="15628" width="3.28515625" style="2" customWidth="1"/>
    <col min="15629" max="15630" width="0" style="2" hidden="1" customWidth="1"/>
    <col min="15631" max="15631" width="2.85546875" style="2" customWidth="1"/>
    <col min="15632" max="15632" width="3.28515625" style="2" customWidth="1"/>
    <col min="15633" max="15633" width="1.42578125" style="2" customWidth="1"/>
    <col min="15634" max="15634" width="0" style="2" hidden="1" customWidth="1"/>
    <col min="15635" max="15635" width="6.85546875" style="2" customWidth="1"/>
    <col min="15636" max="15636" width="0" style="2" hidden="1" customWidth="1"/>
    <col min="15637" max="15638" width="6.28515625" style="2" customWidth="1"/>
    <col min="15639" max="15639" width="17.7109375" style="2" customWidth="1"/>
    <col min="15640" max="15640" width="21.85546875" style="2" customWidth="1"/>
    <col min="15641" max="15641" width="10.85546875" style="2" customWidth="1"/>
    <col min="15642" max="15642" width="14.140625" style="2" customWidth="1"/>
    <col min="15643" max="15643" width="0" style="2" hidden="1" customWidth="1"/>
    <col min="15644" max="15644" width="13" style="2" customWidth="1"/>
    <col min="15645" max="15645" width="13.140625" style="2" customWidth="1"/>
    <col min="15646" max="15647" width="14" style="2" customWidth="1"/>
    <col min="15648" max="15648" width="11.42578125" style="2" customWidth="1"/>
    <col min="15649" max="15649" width="15.85546875" style="2" customWidth="1"/>
    <col min="15650" max="15650" width="23.7109375" style="2" customWidth="1"/>
    <col min="15651" max="15651" width="12" style="2" customWidth="1"/>
    <col min="15652" max="15653" width="0.28515625" style="2" customWidth="1"/>
    <col min="15654" max="15654" width="1.42578125" style="2" customWidth="1"/>
    <col min="15655" max="15655" width="0" style="2" hidden="1" customWidth="1"/>
    <col min="15656" max="15872" width="11.42578125" style="2"/>
    <col min="15873" max="15873" width="10.28515625" style="2" customWidth="1"/>
    <col min="15874" max="15874" width="13.42578125" style="2" customWidth="1"/>
    <col min="15875" max="15875" width="4.28515625" style="2" customWidth="1"/>
    <col min="15876" max="15876" width="4" style="2" customWidth="1"/>
    <col min="15877" max="15877" width="28" style="2" customWidth="1"/>
    <col min="15878" max="15878" width="4.140625" style="2" customWidth="1"/>
    <col min="15879" max="15879" width="11.28515625" style="2" customWidth="1"/>
    <col min="15880" max="15880" width="16.140625" style="2" customWidth="1"/>
    <col min="15881" max="15881" width="11" style="2" customWidth="1"/>
    <col min="15882" max="15883" width="2.140625" style="2" customWidth="1"/>
    <col min="15884" max="15884" width="3.28515625" style="2" customWidth="1"/>
    <col min="15885" max="15886" width="0" style="2" hidden="1" customWidth="1"/>
    <col min="15887" max="15887" width="2.85546875" style="2" customWidth="1"/>
    <col min="15888" max="15888" width="3.28515625" style="2" customWidth="1"/>
    <col min="15889" max="15889" width="1.42578125" style="2" customWidth="1"/>
    <col min="15890" max="15890" width="0" style="2" hidden="1" customWidth="1"/>
    <col min="15891" max="15891" width="6.85546875" style="2" customWidth="1"/>
    <col min="15892" max="15892" width="0" style="2" hidden="1" customWidth="1"/>
    <col min="15893" max="15894" width="6.28515625" style="2" customWidth="1"/>
    <col min="15895" max="15895" width="17.7109375" style="2" customWidth="1"/>
    <col min="15896" max="15896" width="21.85546875" style="2" customWidth="1"/>
    <col min="15897" max="15897" width="10.85546875" style="2" customWidth="1"/>
    <col min="15898" max="15898" width="14.140625" style="2" customWidth="1"/>
    <col min="15899" max="15899" width="0" style="2" hidden="1" customWidth="1"/>
    <col min="15900" max="15900" width="13" style="2" customWidth="1"/>
    <col min="15901" max="15901" width="13.140625" style="2" customWidth="1"/>
    <col min="15902" max="15903" width="14" style="2" customWidth="1"/>
    <col min="15904" max="15904" width="11.42578125" style="2" customWidth="1"/>
    <col min="15905" max="15905" width="15.85546875" style="2" customWidth="1"/>
    <col min="15906" max="15906" width="23.7109375" style="2" customWidth="1"/>
    <col min="15907" max="15907" width="12" style="2" customWidth="1"/>
    <col min="15908" max="15909" width="0.28515625" style="2" customWidth="1"/>
    <col min="15910" max="15910" width="1.42578125" style="2" customWidth="1"/>
    <col min="15911" max="15911" width="0" style="2" hidden="1" customWidth="1"/>
    <col min="15912" max="16128" width="11.42578125" style="2"/>
    <col min="16129" max="16129" width="10.28515625" style="2" customWidth="1"/>
    <col min="16130" max="16130" width="13.42578125" style="2" customWidth="1"/>
    <col min="16131" max="16131" width="4.28515625" style="2" customWidth="1"/>
    <col min="16132" max="16132" width="4" style="2" customWidth="1"/>
    <col min="16133" max="16133" width="28" style="2" customWidth="1"/>
    <col min="16134" max="16134" width="4.140625" style="2" customWidth="1"/>
    <col min="16135" max="16135" width="11.28515625" style="2" customWidth="1"/>
    <col min="16136" max="16136" width="16.140625" style="2" customWidth="1"/>
    <col min="16137" max="16137" width="11" style="2" customWidth="1"/>
    <col min="16138" max="16139" width="2.140625" style="2" customWidth="1"/>
    <col min="16140" max="16140" width="3.28515625" style="2" customWidth="1"/>
    <col min="16141" max="16142" width="0" style="2" hidden="1" customWidth="1"/>
    <col min="16143" max="16143" width="2.85546875" style="2" customWidth="1"/>
    <col min="16144" max="16144" width="3.28515625" style="2" customWidth="1"/>
    <col min="16145" max="16145" width="1.42578125" style="2" customWidth="1"/>
    <col min="16146" max="16146" width="0" style="2" hidden="1" customWidth="1"/>
    <col min="16147" max="16147" width="6.85546875" style="2" customWidth="1"/>
    <col min="16148" max="16148" width="0" style="2" hidden="1" customWidth="1"/>
    <col min="16149" max="16150" width="6.28515625" style="2" customWidth="1"/>
    <col min="16151" max="16151" width="17.7109375" style="2" customWidth="1"/>
    <col min="16152" max="16152" width="21.85546875" style="2" customWidth="1"/>
    <col min="16153" max="16153" width="10.85546875" style="2" customWidth="1"/>
    <col min="16154" max="16154" width="14.140625" style="2" customWidth="1"/>
    <col min="16155" max="16155" width="0" style="2" hidden="1" customWidth="1"/>
    <col min="16156" max="16156" width="13" style="2" customWidth="1"/>
    <col min="16157" max="16157" width="13.140625" style="2" customWidth="1"/>
    <col min="16158" max="16159" width="14" style="2" customWidth="1"/>
    <col min="16160" max="16160" width="11.42578125" style="2" customWidth="1"/>
    <col min="16161" max="16161" width="15.85546875" style="2" customWidth="1"/>
    <col min="16162" max="16162" width="23.7109375" style="2" customWidth="1"/>
    <col min="16163" max="16163" width="12" style="2" customWidth="1"/>
    <col min="16164" max="16165" width="0.28515625" style="2" customWidth="1"/>
    <col min="16166" max="16166" width="1.42578125" style="2" customWidth="1"/>
    <col min="16167" max="16167" width="0" style="2" hidden="1" customWidth="1"/>
    <col min="16168" max="16384" width="11.42578125" style="2"/>
  </cols>
  <sheetData>
    <row r="1" spans="1:37" ht="45" customHeight="1">
      <c r="A1" s="600"/>
      <c r="B1" s="600"/>
      <c r="C1" s="684" t="s">
        <v>0</v>
      </c>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6"/>
      <c r="AH1" s="689" t="s">
        <v>45</v>
      </c>
      <c r="AJ1" s="3" t="s">
        <v>17</v>
      </c>
      <c r="AK1" s="6" t="s">
        <v>23</v>
      </c>
    </row>
    <row r="2" spans="1:37" ht="45" customHeight="1">
      <c r="A2" s="600"/>
      <c r="B2" s="600"/>
      <c r="C2" s="690" t="s">
        <v>37</v>
      </c>
      <c r="D2" s="691"/>
      <c r="E2" s="691"/>
      <c r="F2" s="691"/>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2"/>
      <c r="AH2" s="689"/>
      <c r="AJ2" s="2" t="s">
        <v>18</v>
      </c>
      <c r="AK2" s="7" t="s">
        <v>24</v>
      </c>
    </row>
    <row r="3" spans="1:37"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G3" s="604"/>
      <c r="AH3" s="604"/>
      <c r="AJ3" s="3" t="s">
        <v>16</v>
      </c>
      <c r="AK3" s="6" t="s">
        <v>25</v>
      </c>
    </row>
    <row r="4" spans="1:37" ht="30.75" customHeight="1">
      <c r="A4" s="597" t="s">
        <v>5</v>
      </c>
      <c r="B4" s="597"/>
      <c r="C4" s="597"/>
      <c r="D4" s="597"/>
      <c r="E4" s="598" t="s">
        <v>1146</v>
      </c>
      <c r="F4" s="598"/>
      <c r="G4" s="598"/>
      <c r="H4" s="598"/>
      <c r="I4" s="598"/>
      <c r="J4" s="598"/>
      <c r="K4" s="598"/>
      <c r="L4" s="598"/>
      <c r="M4" s="598"/>
      <c r="N4" s="598"/>
      <c r="O4" s="598"/>
      <c r="P4" s="598"/>
      <c r="Q4" s="598"/>
      <c r="R4" s="598"/>
      <c r="S4" s="598"/>
      <c r="T4" s="598"/>
      <c r="U4" s="598"/>
      <c r="V4" s="598"/>
      <c r="W4" s="599" t="s">
        <v>20</v>
      </c>
      <c r="X4" s="599"/>
      <c r="Y4" s="599"/>
      <c r="Z4" s="679" t="s">
        <v>1147</v>
      </c>
      <c r="AA4" s="680"/>
      <c r="AB4" s="680"/>
      <c r="AC4" s="680"/>
      <c r="AD4" s="680"/>
      <c r="AE4" s="681"/>
      <c r="AF4" s="682" t="s">
        <v>48</v>
      </c>
      <c r="AG4" s="683"/>
      <c r="AH4" s="45"/>
      <c r="AJ4" s="6" t="s">
        <v>19</v>
      </c>
    </row>
    <row r="5" spans="1:37" ht="4.5" customHeight="1" thickBo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row>
    <row r="6" spans="1:37" ht="57" customHeight="1">
      <c r="A6" s="605" t="s">
        <v>39</v>
      </c>
      <c r="B6" s="606"/>
      <c r="C6" s="599" t="s">
        <v>1</v>
      </c>
      <c r="D6" s="599" t="s">
        <v>49</v>
      </c>
      <c r="E6" s="599"/>
      <c r="F6" s="608" t="s">
        <v>6</v>
      </c>
      <c r="G6" s="599" t="s">
        <v>9</v>
      </c>
      <c r="H6" s="607" t="s">
        <v>50</v>
      </c>
      <c r="I6" s="599" t="s">
        <v>2</v>
      </c>
      <c r="J6" s="599" t="s">
        <v>21</v>
      </c>
      <c r="K6" s="599"/>
      <c r="L6" s="599"/>
      <c r="M6" s="599"/>
      <c r="N6" s="599"/>
      <c r="O6" s="599"/>
      <c r="P6" s="599"/>
      <c r="Q6" s="599"/>
      <c r="R6" s="599"/>
      <c r="S6" s="599"/>
      <c r="T6" s="599"/>
      <c r="U6" s="599"/>
      <c r="V6" s="599"/>
      <c r="W6" s="599" t="s">
        <v>51</v>
      </c>
      <c r="X6" s="607" t="s">
        <v>52</v>
      </c>
      <c r="Y6" s="599" t="s">
        <v>3</v>
      </c>
      <c r="Z6" s="599"/>
      <c r="AA6" s="599"/>
      <c r="AB6" s="610" t="s">
        <v>53</v>
      </c>
      <c r="AC6" s="610" t="s">
        <v>4</v>
      </c>
      <c r="AD6" s="610"/>
      <c r="AE6" s="611" t="s">
        <v>54</v>
      </c>
      <c r="AF6" s="599" t="s">
        <v>55</v>
      </c>
      <c r="AG6" s="599" t="s">
        <v>56</v>
      </c>
      <c r="AH6" s="599" t="s">
        <v>57</v>
      </c>
    </row>
    <row r="7" spans="1:37" ht="37.5" customHeight="1">
      <c r="A7" s="1387" t="s">
        <v>40</v>
      </c>
      <c r="B7" s="284" t="s">
        <v>41</v>
      </c>
      <c r="C7" s="599"/>
      <c r="D7" s="599"/>
      <c r="E7" s="599"/>
      <c r="F7" s="608"/>
      <c r="G7" s="599"/>
      <c r="H7" s="693"/>
      <c r="I7" s="599"/>
      <c r="J7" s="599" t="s">
        <v>11</v>
      </c>
      <c r="K7" s="599"/>
      <c r="L7" s="599"/>
      <c r="M7" s="599"/>
      <c r="N7" s="599"/>
      <c r="O7" s="599"/>
      <c r="P7" s="644" t="s">
        <v>12</v>
      </c>
      <c r="Q7" s="644"/>
      <c r="R7" s="644"/>
      <c r="S7" s="644"/>
      <c r="T7" s="644"/>
      <c r="U7" s="644" t="s">
        <v>13</v>
      </c>
      <c r="V7" s="644"/>
      <c r="W7" s="599"/>
      <c r="X7" s="693"/>
      <c r="Y7" s="607"/>
      <c r="Z7" s="607"/>
      <c r="AA7" s="607"/>
      <c r="AB7" s="611"/>
      <c r="AC7" s="539" t="s">
        <v>14</v>
      </c>
      <c r="AD7" s="541" t="s">
        <v>15</v>
      </c>
      <c r="AE7" s="687"/>
      <c r="AF7" s="599"/>
      <c r="AG7" s="599"/>
      <c r="AH7" s="599"/>
    </row>
    <row r="8" spans="1:37" ht="123.95" customHeight="1">
      <c r="A8" s="773"/>
      <c r="B8" s="773"/>
      <c r="C8" s="696">
        <v>1</v>
      </c>
      <c r="D8" s="922" t="s">
        <v>1153</v>
      </c>
      <c r="E8" s="923"/>
      <c r="F8" s="701"/>
      <c r="G8" s="695" t="s">
        <v>38</v>
      </c>
      <c r="H8" s="695" t="s">
        <v>59</v>
      </c>
      <c r="I8" s="696" t="s">
        <v>25</v>
      </c>
      <c r="J8" s="915" t="s">
        <v>162</v>
      </c>
      <c r="K8" s="928"/>
      <c r="L8" s="928"/>
      <c r="M8" s="928"/>
      <c r="N8" s="928"/>
      <c r="O8" s="916"/>
      <c r="P8" s="915" t="s">
        <v>162</v>
      </c>
      <c r="Q8" s="928"/>
      <c r="R8" s="928"/>
      <c r="S8" s="916"/>
      <c r="T8" s="551"/>
      <c r="U8" s="915" t="s">
        <v>162</v>
      </c>
      <c r="V8" s="916"/>
      <c r="W8" s="700" t="s">
        <v>1148</v>
      </c>
      <c r="X8" s="700" t="s">
        <v>1149</v>
      </c>
      <c r="Y8" s="1183" t="s">
        <v>1150</v>
      </c>
      <c r="Z8" s="1183"/>
      <c r="AA8" s="1183"/>
      <c r="AB8" s="578" t="s">
        <v>1151</v>
      </c>
      <c r="AC8" s="546">
        <v>44048</v>
      </c>
      <c r="AD8" s="546">
        <v>44179</v>
      </c>
      <c r="AE8" s="66"/>
      <c r="AF8" s="587"/>
      <c r="AG8" s="5"/>
      <c r="AH8" s="67"/>
    </row>
    <row r="9" spans="1:37" ht="123.95" customHeight="1">
      <c r="A9" s="621"/>
      <c r="B9" s="621"/>
      <c r="C9" s="921"/>
      <c r="D9" s="924"/>
      <c r="E9" s="925"/>
      <c r="F9" s="926"/>
      <c r="G9" s="927"/>
      <c r="H9" s="927"/>
      <c r="I9" s="921"/>
      <c r="J9" s="919"/>
      <c r="K9" s="930"/>
      <c r="L9" s="930"/>
      <c r="M9" s="930"/>
      <c r="N9" s="930"/>
      <c r="O9" s="920"/>
      <c r="P9" s="919"/>
      <c r="Q9" s="930"/>
      <c r="R9" s="930"/>
      <c r="S9" s="920"/>
      <c r="T9" s="551"/>
      <c r="U9" s="919"/>
      <c r="V9" s="920"/>
      <c r="W9" s="627"/>
      <c r="X9" s="627"/>
      <c r="Y9" s="1183" t="s">
        <v>1152</v>
      </c>
      <c r="Z9" s="1183"/>
      <c r="AA9" s="1183"/>
      <c r="AB9" s="578" t="s">
        <v>1151</v>
      </c>
      <c r="AC9" s="546">
        <v>44048</v>
      </c>
      <c r="AD9" s="546">
        <v>44179</v>
      </c>
      <c r="AE9" s="66"/>
      <c r="AF9" s="587"/>
      <c r="AG9" s="5"/>
      <c r="AH9" s="67"/>
    </row>
    <row r="10" spans="1:37" ht="6" customHeight="1">
      <c r="A10" s="604"/>
      <c r="B10" s="604"/>
      <c r="C10" s="604"/>
      <c r="D10" s="604"/>
      <c r="E10" s="604"/>
      <c r="F10" s="604"/>
      <c r="G10" s="604"/>
      <c r="H10" s="604"/>
      <c r="I10" s="604"/>
      <c r="J10" s="604"/>
      <c r="K10" s="604"/>
      <c r="L10" s="604"/>
      <c r="M10" s="604"/>
      <c r="N10" s="604"/>
      <c r="O10" s="604"/>
      <c r="P10" s="604"/>
      <c r="Q10" s="604"/>
      <c r="R10" s="604"/>
      <c r="S10" s="604"/>
      <c r="T10" s="604"/>
      <c r="U10" s="604"/>
      <c r="V10" s="604"/>
      <c r="W10" s="604"/>
      <c r="X10" s="604"/>
      <c r="Y10" s="604"/>
      <c r="Z10" s="604"/>
      <c r="AA10" s="604"/>
      <c r="AB10" s="604"/>
      <c r="AC10" s="604"/>
      <c r="AD10" s="604"/>
      <c r="AE10" s="604"/>
      <c r="AF10" s="604"/>
      <c r="AG10" s="604"/>
      <c r="AH10" s="604"/>
    </row>
    <row r="11" spans="1:37" ht="12.75" customHeight="1">
      <c r="A11" s="644" t="s">
        <v>22</v>
      </c>
      <c r="B11" s="644"/>
      <c r="C11" s="644"/>
      <c r="D11" s="644"/>
      <c r="E11" s="644"/>
      <c r="F11" s="644"/>
      <c r="G11" s="644"/>
      <c r="H11" s="644"/>
      <c r="I11" s="644"/>
      <c r="J11" s="644"/>
      <c r="K11" s="644"/>
      <c r="L11" s="644"/>
      <c r="M11" s="4"/>
      <c r="N11" s="4"/>
      <c r="O11" s="645" t="s">
        <v>34</v>
      </c>
      <c r="P11" s="645"/>
      <c r="Q11" s="645"/>
      <c r="R11" s="645"/>
      <c r="S11" s="645"/>
      <c r="T11" s="645"/>
      <c r="U11" s="645"/>
      <c r="V11" s="645"/>
      <c r="W11" s="645"/>
      <c r="X11" s="645"/>
      <c r="Y11" s="645"/>
      <c r="Z11" s="645"/>
      <c r="AA11" s="645"/>
      <c r="AB11" s="645"/>
      <c r="AC11" s="645"/>
      <c r="AD11" s="646" t="s">
        <v>35</v>
      </c>
      <c r="AE11" s="646"/>
      <c r="AF11" s="646"/>
      <c r="AG11" s="646"/>
      <c r="AH11" s="646"/>
    </row>
    <row r="12" spans="1:37">
      <c r="A12" s="644"/>
      <c r="B12" s="644"/>
      <c r="C12" s="644"/>
      <c r="D12" s="644"/>
      <c r="E12" s="644"/>
      <c r="F12" s="644"/>
      <c r="G12" s="644"/>
      <c r="H12" s="644"/>
      <c r="I12" s="644"/>
      <c r="J12" s="644"/>
      <c r="K12" s="644"/>
      <c r="L12" s="644"/>
      <c r="M12" s="4"/>
      <c r="N12" s="4"/>
      <c r="O12" s="645"/>
      <c r="P12" s="645"/>
      <c r="Q12" s="645"/>
      <c r="R12" s="645"/>
      <c r="S12" s="645"/>
      <c r="T12" s="645"/>
      <c r="U12" s="645"/>
      <c r="V12" s="645"/>
      <c r="W12" s="645"/>
      <c r="X12" s="645"/>
      <c r="Y12" s="645"/>
      <c r="Z12" s="645"/>
      <c r="AA12" s="645"/>
      <c r="AB12" s="645"/>
      <c r="AC12" s="645"/>
      <c r="AD12" s="646"/>
      <c r="AE12" s="646"/>
      <c r="AF12" s="646"/>
      <c r="AG12" s="646"/>
      <c r="AH12" s="646"/>
    </row>
    <row r="13" spans="1:37" ht="38.25" customHeight="1">
      <c r="A13" s="715"/>
      <c r="B13" s="648"/>
      <c r="C13" s="648"/>
      <c r="D13" s="648"/>
      <c r="E13" s="648"/>
      <c r="F13" s="648"/>
      <c r="G13" s="648"/>
      <c r="H13" s="648"/>
      <c r="I13" s="648"/>
      <c r="J13" s="648"/>
      <c r="K13" s="648"/>
      <c r="L13" s="648"/>
      <c r="M13" s="4"/>
      <c r="N13" s="4"/>
      <c r="O13" s="649"/>
      <c r="P13" s="650"/>
      <c r="Q13" s="650"/>
      <c r="R13" s="650"/>
      <c r="S13" s="650"/>
      <c r="T13" s="650"/>
      <c r="U13" s="650"/>
      <c r="V13" s="650"/>
      <c r="W13" s="650"/>
      <c r="X13" s="650"/>
      <c r="Y13" s="650"/>
      <c r="Z13" s="650"/>
      <c r="AA13" s="650"/>
      <c r="AB13" s="650"/>
      <c r="AC13" s="650"/>
      <c r="AD13" s="651"/>
      <c r="AE13" s="651"/>
      <c r="AF13" s="651"/>
      <c r="AG13" s="651"/>
      <c r="AH13" s="651"/>
    </row>
    <row r="14" spans="1:37" ht="15" customHeight="1">
      <c r="A14" s="641" t="s">
        <v>36</v>
      </c>
      <c r="B14" s="641"/>
      <c r="C14" s="641"/>
      <c r="D14" s="641"/>
      <c r="E14" s="641"/>
      <c r="F14" s="641"/>
      <c r="G14" s="641"/>
      <c r="H14" s="641"/>
      <c r="I14" s="641"/>
      <c r="J14" s="641"/>
      <c r="K14" s="641"/>
      <c r="L14" s="641"/>
      <c r="M14" s="641"/>
      <c r="N14" s="641"/>
      <c r="O14" s="641"/>
      <c r="P14" s="641"/>
      <c r="Q14" s="641"/>
      <c r="R14" s="641"/>
      <c r="S14" s="641"/>
      <c r="T14" s="641"/>
      <c r="U14" s="641"/>
      <c r="V14" s="641"/>
      <c r="W14" s="641"/>
      <c r="X14" s="641"/>
      <c r="Y14" s="641"/>
      <c r="Z14" s="641"/>
      <c r="AA14" s="641"/>
      <c r="AB14" s="641"/>
      <c r="AC14" s="641"/>
      <c r="AD14" s="641"/>
      <c r="AE14" s="641"/>
      <c r="AF14" s="641"/>
      <c r="AG14" s="641"/>
      <c r="AH14" s="641"/>
    </row>
    <row r="15" spans="1:37" ht="0.95" customHeight="1">
      <c r="A15" s="642"/>
      <c r="B15" s="642"/>
      <c r="C15" s="642"/>
      <c r="D15" s="642"/>
      <c r="E15" s="642"/>
      <c r="F15" s="642"/>
      <c r="G15" s="642"/>
      <c r="H15" s="642"/>
      <c r="I15" s="642"/>
      <c r="J15" s="642"/>
      <c r="K15" s="642"/>
      <c r="L15" s="642"/>
      <c r="M15" s="642"/>
      <c r="N15" s="642"/>
      <c r="O15" s="642"/>
      <c r="P15" s="642"/>
      <c r="Q15" s="642"/>
      <c r="R15" s="642"/>
      <c r="S15" s="642"/>
      <c r="T15" s="642"/>
      <c r="U15" s="642"/>
      <c r="V15" s="642"/>
      <c r="W15" s="642"/>
      <c r="X15" s="642"/>
      <c r="Y15" s="642"/>
      <c r="Z15" s="642"/>
      <c r="AA15" s="642"/>
      <c r="AB15" s="642"/>
      <c r="AC15" s="642"/>
      <c r="AD15" s="642"/>
      <c r="AE15" s="642"/>
      <c r="AF15" s="642"/>
      <c r="AG15" s="642"/>
      <c r="AH15" s="642"/>
      <c r="AI15" s="642"/>
    </row>
    <row r="16" spans="1:37">
      <c r="A16" s="642"/>
      <c r="B16" s="642"/>
      <c r="C16" s="642"/>
      <c r="D16" s="642"/>
      <c r="E16" s="642"/>
      <c r="F16" s="642"/>
      <c r="G16" s="642"/>
      <c r="H16" s="642"/>
      <c r="I16" s="642"/>
      <c r="J16" s="642"/>
      <c r="K16" s="642"/>
      <c r="L16" s="642"/>
      <c r="M16" s="642"/>
      <c r="N16" s="642"/>
      <c r="O16" s="642"/>
      <c r="P16" s="642"/>
      <c r="Q16" s="642"/>
      <c r="R16" s="642"/>
      <c r="S16" s="642"/>
      <c r="T16" s="642"/>
      <c r="U16" s="642"/>
      <c r="V16" s="642"/>
      <c r="W16" s="642"/>
      <c r="X16" s="642"/>
      <c r="Y16" s="642"/>
      <c r="Z16" s="642"/>
      <c r="AA16" s="642"/>
      <c r="AB16" s="642"/>
      <c r="AC16" s="642"/>
      <c r="AD16" s="642"/>
      <c r="AE16" s="642"/>
      <c r="AF16" s="642"/>
      <c r="AG16" s="642"/>
      <c r="AH16" s="642"/>
      <c r="AI16" s="8"/>
      <c r="AJ16" s="8"/>
    </row>
    <row r="17" spans="1:37" ht="24" customHeight="1">
      <c r="A17" s="74"/>
      <c r="B17" s="75"/>
      <c r="C17" s="74"/>
      <c r="D17" s="74"/>
      <c r="E17" s="74"/>
      <c r="F17" s="74"/>
      <c r="G17" s="74"/>
      <c r="H17" s="76" t="s">
        <v>66</v>
      </c>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8"/>
      <c r="AJ17" s="8"/>
    </row>
    <row r="18" spans="1:37" ht="54.95" customHeight="1">
      <c r="A18" s="74"/>
      <c r="B18" s="75"/>
      <c r="C18" s="74"/>
      <c r="D18" s="74"/>
      <c r="E18" s="74"/>
      <c r="F18" s="74"/>
      <c r="G18" s="74"/>
      <c r="H18" s="76" t="s">
        <v>67</v>
      </c>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8"/>
      <c r="AJ18" s="8"/>
    </row>
    <row r="19" spans="1:37" ht="0.95" customHeight="1">
      <c r="A19" s="74"/>
      <c r="B19" s="75" t="s">
        <v>68</v>
      </c>
      <c r="C19" s="74"/>
      <c r="D19" s="74"/>
      <c r="E19" s="74"/>
      <c r="F19" s="74"/>
      <c r="G19" s="74"/>
      <c r="H19" s="76" t="s">
        <v>69</v>
      </c>
      <c r="I19" s="74"/>
      <c r="J19" s="74"/>
      <c r="K19" s="74"/>
      <c r="L19" s="74"/>
      <c r="M19" s="74"/>
      <c r="N19" s="74"/>
      <c r="O19" s="74"/>
      <c r="P19" s="74"/>
      <c r="Q19" s="74"/>
      <c r="R19" s="74"/>
      <c r="S19" s="74"/>
      <c r="T19" s="74"/>
      <c r="U19" s="74"/>
      <c r="V19" s="74"/>
      <c r="W19" s="74"/>
      <c r="X19" s="76" t="s">
        <v>23</v>
      </c>
      <c r="Y19" s="74"/>
      <c r="Z19" s="74"/>
      <c r="AA19" s="74"/>
      <c r="AB19" s="74"/>
      <c r="AC19" s="74"/>
      <c r="AD19" s="74"/>
      <c r="AE19" s="74"/>
      <c r="AF19" s="74"/>
      <c r="AG19" s="74"/>
      <c r="AH19" s="74"/>
      <c r="AI19" s="8"/>
      <c r="AJ19" s="8"/>
    </row>
    <row r="20" spans="1:37" ht="0.95" customHeight="1">
      <c r="A20" s="74"/>
      <c r="B20" s="75" t="s">
        <v>70</v>
      </c>
      <c r="C20" s="74"/>
      <c r="D20" s="74"/>
      <c r="E20" s="74"/>
      <c r="F20" s="74"/>
      <c r="G20" s="74"/>
      <c r="H20" s="77" t="s">
        <v>59</v>
      </c>
      <c r="I20" s="74"/>
      <c r="J20" s="74"/>
      <c r="K20" s="74"/>
      <c r="L20" s="74"/>
      <c r="M20" s="74"/>
      <c r="N20" s="74"/>
      <c r="O20" s="74"/>
      <c r="P20" s="74"/>
      <c r="Q20" s="74"/>
      <c r="R20" s="74"/>
      <c r="S20" s="74"/>
      <c r="T20" s="74"/>
      <c r="U20" s="74"/>
      <c r="V20" s="74"/>
      <c r="W20" s="74"/>
      <c r="X20" s="76" t="s">
        <v>25</v>
      </c>
      <c r="Y20" s="74"/>
      <c r="Z20" s="74"/>
      <c r="AA20" s="74"/>
      <c r="AB20" s="74"/>
      <c r="AC20" s="74"/>
      <c r="AD20" s="74"/>
      <c r="AE20" s="74"/>
      <c r="AF20" s="74"/>
      <c r="AG20" s="74"/>
      <c r="AH20" s="74"/>
      <c r="AI20" s="8"/>
      <c r="AJ20" s="8"/>
    </row>
    <row r="21" spans="1:37" ht="0.95" customHeight="1">
      <c r="A21" s="78"/>
      <c r="B21" s="79" t="s">
        <v>16</v>
      </c>
      <c r="C21" s="78"/>
      <c r="D21" s="78"/>
      <c r="E21" s="78"/>
      <c r="F21" s="78"/>
      <c r="G21" s="78"/>
      <c r="H21" s="80" t="s">
        <v>65</v>
      </c>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row>
    <row r="23" spans="1:37" ht="24.75" customHeight="1">
      <c r="AK23" s="6" t="s">
        <v>38</v>
      </c>
    </row>
    <row r="24" spans="1:37" ht="24.75" customHeight="1">
      <c r="AK24" s="6" t="s">
        <v>10</v>
      </c>
    </row>
    <row r="25" spans="1:37" ht="24.75" customHeight="1">
      <c r="AK25" s="6" t="s">
        <v>42</v>
      </c>
    </row>
    <row r="26" spans="1:37" ht="24.75" customHeight="1">
      <c r="AK26" s="6" t="s">
        <v>43</v>
      </c>
    </row>
    <row r="27" spans="1:37" ht="24.75" customHeight="1">
      <c r="AK27" s="6" t="s">
        <v>44</v>
      </c>
    </row>
    <row r="28" spans="1:37" ht="24.75" customHeight="1">
      <c r="AK28" s="6" t="s">
        <v>26</v>
      </c>
    </row>
    <row r="29" spans="1:37" ht="24.75" customHeight="1">
      <c r="AK29" s="6" t="s">
        <v>27</v>
      </c>
    </row>
    <row r="30" spans="1:37" ht="24.75" customHeight="1">
      <c r="AK30" s="6" t="s">
        <v>28</v>
      </c>
    </row>
    <row r="31" spans="1:37" ht="24.75" customHeight="1">
      <c r="AK31" s="6" t="s">
        <v>30</v>
      </c>
    </row>
    <row r="32" spans="1:37" ht="24.75" customHeight="1">
      <c r="AK32" s="6" t="s">
        <v>29</v>
      </c>
    </row>
    <row r="33" spans="37:37" ht="24.75" customHeight="1">
      <c r="AK33" s="6" t="s">
        <v>31</v>
      </c>
    </row>
    <row r="34" spans="37:37" ht="24.75" customHeight="1">
      <c r="AK34" s="6" t="s">
        <v>32</v>
      </c>
    </row>
    <row r="35" spans="37:37" ht="51">
      <c r="AK35" s="6" t="s">
        <v>33</v>
      </c>
    </row>
  </sheetData>
  <mergeCells count="56">
    <mergeCell ref="A13:L13"/>
    <mergeCell ref="O13:AC13"/>
    <mergeCell ref="AD13:AH13"/>
    <mergeCell ref="A14:AH14"/>
    <mergeCell ref="A15:AI15"/>
    <mergeCell ref="A16:AH16"/>
    <mergeCell ref="W8:W9"/>
    <mergeCell ref="X8:X9"/>
    <mergeCell ref="Y8:AA8"/>
    <mergeCell ref="Y9:AA9"/>
    <mergeCell ref="A10:AH10"/>
    <mergeCell ref="A11:L12"/>
    <mergeCell ref="O11:AC12"/>
    <mergeCell ref="AD11:AH12"/>
    <mergeCell ref="G8:G9"/>
    <mergeCell ref="H8:H9"/>
    <mergeCell ref="I8:I9"/>
    <mergeCell ref="J8:O9"/>
    <mergeCell ref="P8:S9"/>
    <mergeCell ref="U8:V9"/>
    <mergeCell ref="AG6:AG7"/>
    <mergeCell ref="AH6:AH7"/>
    <mergeCell ref="J7:O7"/>
    <mergeCell ref="P7:T7"/>
    <mergeCell ref="U7:V7"/>
    <mergeCell ref="A8:A9"/>
    <mergeCell ref="B8:B9"/>
    <mergeCell ref="C8:C9"/>
    <mergeCell ref="D8:E9"/>
    <mergeCell ref="F8:F9"/>
    <mergeCell ref="X6:X7"/>
    <mergeCell ref="Y6:AA7"/>
    <mergeCell ref="AB6:AB7"/>
    <mergeCell ref="AC6:AD6"/>
    <mergeCell ref="AE6:AE7"/>
    <mergeCell ref="AF6:AF7"/>
    <mergeCell ref="A5:AH5"/>
    <mergeCell ref="A6:B6"/>
    <mergeCell ref="C6:C7"/>
    <mergeCell ref="D6:E7"/>
    <mergeCell ref="F6:F7"/>
    <mergeCell ref="G6:G7"/>
    <mergeCell ref="H6:H7"/>
    <mergeCell ref="I6:I7"/>
    <mergeCell ref="J6:V6"/>
    <mergeCell ref="W6:W7"/>
    <mergeCell ref="A1:B2"/>
    <mergeCell ref="C1:AG1"/>
    <mergeCell ref="AH1:AH2"/>
    <mergeCell ref="C2:AG2"/>
    <mergeCell ref="A3:AH3"/>
    <mergeCell ref="A4:D4"/>
    <mergeCell ref="E4:V4"/>
    <mergeCell ref="W4:Y4"/>
    <mergeCell ref="Z4:AE4"/>
    <mergeCell ref="AF4:AG4"/>
  </mergeCells>
  <conditionalFormatting sqref="AG8:AG9">
    <cfRule type="cellIs" dxfId="331" priority="1" operator="between">
      <formula>0.001</formula>
      <formula>0.99</formula>
    </cfRule>
    <cfRule type="cellIs" dxfId="330" priority="2" operator="equal">
      <formula>1</formula>
    </cfRule>
    <cfRule type="cellIs" dxfId="329" priority="3" operator="equal">
      <formula>0</formula>
    </cfRule>
  </conditionalFormatting>
  <conditionalFormatting sqref="AG8:AG9">
    <cfRule type="cellIs" dxfId="328" priority="4" operator="between">
      <formula>0.01</formula>
      <formula>0.99</formula>
    </cfRule>
    <cfRule type="cellIs" dxfId="327" priority="5" operator="equal">
      <formula>1</formula>
    </cfRule>
    <cfRule type="cellIs" dxfId="326" priority="6" operator="equal">
      <formula>0</formula>
    </cfRule>
  </conditionalFormatting>
  <dataValidations count="5">
    <dataValidation type="list" allowBlank="1" showInputMessage="1" showErrorMessage="1" sqref="JD8:JD9 WVP983046:WVP983049 WLT983046:WLT983049 WBX983046:WBX983049 VSB983046:VSB983049 VIF983046:VIF983049 UYJ983046:UYJ983049 UON983046:UON983049 UER983046:UER983049 TUV983046:TUV983049 TKZ983046:TKZ983049 TBD983046:TBD983049 SRH983046:SRH983049 SHL983046:SHL983049 RXP983046:RXP983049 RNT983046:RNT983049 RDX983046:RDX983049 QUB983046:QUB983049 QKF983046:QKF983049 QAJ983046:QAJ983049 PQN983046:PQN983049 PGR983046:PGR983049 OWV983046:OWV983049 OMZ983046:OMZ983049 ODD983046:ODD983049 NTH983046:NTH983049 NJL983046:NJL983049 MZP983046:MZP983049 MPT983046:MPT983049 MFX983046:MFX983049 LWB983046:LWB983049 LMF983046:LMF983049 LCJ983046:LCJ983049 KSN983046:KSN983049 KIR983046:KIR983049 JYV983046:JYV983049 JOZ983046:JOZ983049 JFD983046:JFD983049 IVH983046:IVH983049 ILL983046:ILL983049 IBP983046:IBP983049 HRT983046:HRT983049 HHX983046:HHX983049 GYB983046:GYB983049 GOF983046:GOF983049 GEJ983046:GEJ983049 FUN983046:FUN983049 FKR983046:FKR983049 FAV983046:FAV983049 EQZ983046:EQZ983049 EHD983046:EHD983049 DXH983046:DXH983049 DNL983046:DNL983049 DDP983046:DDP983049 CTT983046:CTT983049 CJX983046:CJX983049 CAB983046:CAB983049 BQF983046:BQF983049 BGJ983046:BGJ983049 AWN983046:AWN983049 AMR983046:AMR983049 ACV983046:ACV983049 SZ983046:SZ983049 JD983046:JD983049 H983046:H983049 WVP917510:WVP917513 WLT917510:WLT917513 WBX917510:WBX917513 VSB917510:VSB917513 VIF917510:VIF917513 UYJ917510:UYJ917513 UON917510:UON917513 UER917510:UER917513 TUV917510:TUV917513 TKZ917510:TKZ917513 TBD917510:TBD917513 SRH917510:SRH917513 SHL917510:SHL917513 RXP917510:RXP917513 RNT917510:RNT917513 RDX917510:RDX917513 QUB917510:QUB917513 QKF917510:QKF917513 QAJ917510:QAJ917513 PQN917510:PQN917513 PGR917510:PGR917513 OWV917510:OWV917513 OMZ917510:OMZ917513 ODD917510:ODD917513 NTH917510:NTH917513 NJL917510:NJL917513 MZP917510:MZP917513 MPT917510:MPT917513 MFX917510:MFX917513 LWB917510:LWB917513 LMF917510:LMF917513 LCJ917510:LCJ917513 KSN917510:KSN917513 KIR917510:KIR917513 JYV917510:JYV917513 JOZ917510:JOZ917513 JFD917510:JFD917513 IVH917510:IVH917513 ILL917510:ILL917513 IBP917510:IBP917513 HRT917510:HRT917513 HHX917510:HHX917513 GYB917510:GYB917513 GOF917510:GOF917513 GEJ917510:GEJ917513 FUN917510:FUN917513 FKR917510:FKR917513 FAV917510:FAV917513 EQZ917510:EQZ917513 EHD917510:EHD917513 DXH917510:DXH917513 DNL917510:DNL917513 DDP917510:DDP917513 CTT917510:CTT917513 CJX917510:CJX917513 CAB917510:CAB917513 BQF917510:BQF917513 BGJ917510:BGJ917513 AWN917510:AWN917513 AMR917510:AMR917513 ACV917510:ACV917513 SZ917510:SZ917513 JD917510:JD917513 H917510:H917513 WVP851974:WVP851977 WLT851974:WLT851977 WBX851974:WBX851977 VSB851974:VSB851977 VIF851974:VIF851977 UYJ851974:UYJ851977 UON851974:UON851977 UER851974:UER851977 TUV851974:TUV851977 TKZ851974:TKZ851977 TBD851974:TBD851977 SRH851974:SRH851977 SHL851974:SHL851977 RXP851974:RXP851977 RNT851974:RNT851977 RDX851974:RDX851977 QUB851974:QUB851977 QKF851974:QKF851977 QAJ851974:QAJ851977 PQN851974:PQN851977 PGR851974:PGR851977 OWV851974:OWV851977 OMZ851974:OMZ851977 ODD851974:ODD851977 NTH851974:NTH851977 NJL851974:NJL851977 MZP851974:MZP851977 MPT851974:MPT851977 MFX851974:MFX851977 LWB851974:LWB851977 LMF851974:LMF851977 LCJ851974:LCJ851977 KSN851974:KSN851977 KIR851974:KIR851977 JYV851974:JYV851977 JOZ851974:JOZ851977 JFD851974:JFD851977 IVH851974:IVH851977 ILL851974:ILL851977 IBP851974:IBP851977 HRT851974:HRT851977 HHX851974:HHX851977 GYB851974:GYB851977 GOF851974:GOF851977 GEJ851974:GEJ851977 FUN851974:FUN851977 FKR851974:FKR851977 FAV851974:FAV851977 EQZ851974:EQZ851977 EHD851974:EHD851977 DXH851974:DXH851977 DNL851974:DNL851977 DDP851974:DDP851977 CTT851974:CTT851977 CJX851974:CJX851977 CAB851974:CAB851977 BQF851974:BQF851977 BGJ851974:BGJ851977 AWN851974:AWN851977 AMR851974:AMR851977 ACV851974:ACV851977 SZ851974:SZ851977 JD851974:JD851977 H851974:H851977 WVP786438:WVP786441 WLT786438:WLT786441 WBX786438:WBX786441 VSB786438:VSB786441 VIF786438:VIF786441 UYJ786438:UYJ786441 UON786438:UON786441 UER786438:UER786441 TUV786438:TUV786441 TKZ786438:TKZ786441 TBD786438:TBD786441 SRH786438:SRH786441 SHL786438:SHL786441 RXP786438:RXP786441 RNT786438:RNT786441 RDX786438:RDX786441 QUB786438:QUB786441 QKF786438:QKF786441 QAJ786438:QAJ786441 PQN786438:PQN786441 PGR786438:PGR786441 OWV786438:OWV786441 OMZ786438:OMZ786441 ODD786438:ODD786441 NTH786438:NTH786441 NJL786438:NJL786441 MZP786438:MZP786441 MPT786438:MPT786441 MFX786438:MFX786441 LWB786438:LWB786441 LMF786438:LMF786441 LCJ786438:LCJ786441 KSN786438:KSN786441 KIR786438:KIR786441 JYV786438:JYV786441 JOZ786438:JOZ786441 JFD786438:JFD786441 IVH786438:IVH786441 ILL786438:ILL786441 IBP786438:IBP786441 HRT786438:HRT786441 HHX786438:HHX786441 GYB786438:GYB786441 GOF786438:GOF786441 GEJ786438:GEJ786441 FUN786438:FUN786441 FKR786438:FKR786441 FAV786438:FAV786441 EQZ786438:EQZ786441 EHD786438:EHD786441 DXH786438:DXH786441 DNL786438:DNL786441 DDP786438:DDP786441 CTT786438:CTT786441 CJX786438:CJX786441 CAB786438:CAB786441 BQF786438:BQF786441 BGJ786438:BGJ786441 AWN786438:AWN786441 AMR786438:AMR786441 ACV786438:ACV786441 SZ786438:SZ786441 JD786438:JD786441 H786438:H786441 WVP720902:WVP720905 WLT720902:WLT720905 WBX720902:WBX720905 VSB720902:VSB720905 VIF720902:VIF720905 UYJ720902:UYJ720905 UON720902:UON720905 UER720902:UER720905 TUV720902:TUV720905 TKZ720902:TKZ720905 TBD720902:TBD720905 SRH720902:SRH720905 SHL720902:SHL720905 RXP720902:RXP720905 RNT720902:RNT720905 RDX720902:RDX720905 QUB720902:QUB720905 QKF720902:QKF720905 QAJ720902:QAJ720905 PQN720902:PQN720905 PGR720902:PGR720905 OWV720902:OWV720905 OMZ720902:OMZ720905 ODD720902:ODD720905 NTH720902:NTH720905 NJL720902:NJL720905 MZP720902:MZP720905 MPT720902:MPT720905 MFX720902:MFX720905 LWB720902:LWB720905 LMF720902:LMF720905 LCJ720902:LCJ720905 KSN720902:KSN720905 KIR720902:KIR720905 JYV720902:JYV720905 JOZ720902:JOZ720905 JFD720902:JFD720905 IVH720902:IVH720905 ILL720902:ILL720905 IBP720902:IBP720905 HRT720902:HRT720905 HHX720902:HHX720905 GYB720902:GYB720905 GOF720902:GOF720905 GEJ720902:GEJ720905 FUN720902:FUN720905 FKR720902:FKR720905 FAV720902:FAV720905 EQZ720902:EQZ720905 EHD720902:EHD720905 DXH720902:DXH720905 DNL720902:DNL720905 DDP720902:DDP720905 CTT720902:CTT720905 CJX720902:CJX720905 CAB720902:CAB720905 BQF720902:BQF720905 BGJ720902:BGJ720905 AWN720902:AWN720905 AMR720902:AMR720905 ACV720902:ACV720905 SZ720902:SZ720905 JD720902:JD720905 H720902:H720905 WVP655366:WVP655369 WLT655366:WLT655369 WBX655366:WBX655369 VSB655366:VSB655369 VIF655366:VIF655369 UYJ655366:UYJ655369 UON655366:UON655369 UER655366:UER655369 TUV655366:TUV655369 TKZ655366:TKZ655369 TBD655366:TBD655369 SRH655366:SRH655369 SHL655366:SHL655369 RXP655366:RXP655369 RNT655366:RNT655369 RDX655366:RDX655369 QUB655366:QUB655369 QKF655366:QKF655369 QAJ655366:QAJ655369 PQN655366:PQN655369 PGR655366:PGR655369 OWV655366:OWV655369 OMZ655366:OMZ655369 ODD655366:ODD655369 NTH655366:NTH655369 NJL655366:NJL655369 MZP655366:MZP655369 MPT655366:MPT655369 MFX655366:MFX655369 LWB655366:LWB655369 LMF655366:LMF655369 LCJ655366:LCJ655369 KSN655366:KSN655369 KIR655366:KIR655369 JYV655366:JYV655369 JOZ655366:JOZ655369 JFD655366:JFD655369 IVH655366:IVH655369 ILL655366:ILL655369 IBP655366:IBP655369 HRT655366:HRT655369 HHX655366:HHX655369 GYB655366:GYB655369 GOF655366:GOF655369 GEJ655366:GEJ655369 FUN655366:FUN655369 FKR655366:FKR655369 FAV655366:FAV655369 EQZ655366:EQZ655369 EHD655366:EHD655369 DXH655366:DXH655369 DNL655366:DNL655369 DDP655366:DDP655369 CTT655366:CTT655369 CJX655366:CJX655369 CAB655366:CAB655369 BQF655366:BQF655369 BGJ655366:BGJ655369 AWN655366:AWN655369 AMR655366:AMR655369 ACV655366:ACV655369 SZ655366:SZ655369 JD655366:JD655369 H655366:H655369 WVP589830:WVP589833 WLT589830:WLT589833 WBX589830:WBX589833 VSB589830:VSB589833 VIF589830:VIF589833 UYJ589830:UYJ589833 UON589830:UON589833 UER589830:UER589833 TUV589830:TUV589833 TKZ589830:TKZ589833 TBD589830:TBD589833 SRH589830:SRH589833 SHL589830:SHL589833 RXP589830:RXP589833 RNT589830:RNT589833 RDX589830:RDX589833 QUB589830:QUB589833 QKF589830:QKF589833 QAJ589830:QAJ589833 PQN589830:PQN589833 PGR589830:PGR589833 OWV589830:OWV589833 OMZ589830:OMZ589833 ODD589830:ODD589833 NTH589830:NTH589833 NJL589830:NJL589833 MZP589830:MZP589833 MPT589830:MPT589833 MFX589830:MFX589833 LWB589830:LWB589833 LMF589830:LMF589833 LCJ589830:LCJ589833 KSN589830:KSN589833 KIR589830:KIR589833 JYV589830:JYV589833 JOZ589830:JOZ589833 JFD589830:JFD589833 IVH589830:IVH589833 ILL589830:ILL589833 IBP589830:IBP589833 HRT589830:HRT589833 HHX589830:HHX589833 GYB589830:GYB589833 GOF589830:GOF589833 GEJ589830:GEJ589833 FUN589830:FUN589833 FKR589830:FKR589833 FAV589830:FAV589833 EQZ589830:EQZ589833 EHD589830:EHD589833 DXH589830:DXH589833 DNL589830:DNL589833 DDP589830:DDP589833 CTT589830:CTT589833 CJX589830:CJX589833 CAB589830:CAB589833 BQF589830:BQF589833 BGJ589830:BGJ589833 AWN589830:AWN589833 AMR589830:AMR589833 ACV589830:ACV589833 SZ589830:SZ589833 JD589830:JD589833 H589830:H589833 WVP524294:WVP524297 WLT524294:WLT524297 WBX524294:WBX524297 VSB524294:VSB524297 VIF524294:VIF524297 UYJ524294:UYJ524297 UON524294:UON524297 UER524294:UER524297 TUV524294:TUV524297 TKZ524294:TKZ524297 TBD524294:TBD524297 SRH524294:SRH524297 SHL524294:SHL524297 RXP524294:RXP524297 RNT524294:RNT524297 RDX524294:RDX524297 QUB524294:QUB524297 QKF524294:QKF524297 QAJ524294:QAJ524297 PQN524294:PQN524297 PGR524294:PGR524297 OWV524294:OWV524297 OMZ524294:OMZ524297 ODD524294:ODD524297 NTH524294:NTH524297 NJL524294:NJL524297 MZP524294:MZP524297 MPT524294:MPT524297 MFX524294:MFX524297 LWB524294:LWB524297 LMF524294:LMF524297 LCJ524294:LCJ524297 KSN524294:KSN524297 KIR524294:KIR524297 JYV524294:JYV524297 JOZ524294:JOZ524297 JFD524294:JFD524297 IVH524294:IVH524297 ILL524294:ILL524297 IBP524294:IBP524297 HRT524294:HRT524297 HHX524294:HHX524297 GYB524294:GYB524297 GOF524294:GOF524297 GEJ524294:GEJ524297 FUN524294:FUN524297 FKR524294:FKR524297 FAV524294:FAV524297 EQZ524294:EQZ524297 EHD524294:EHD524297 DXH524294:DXH524297 DNL524294:DNL524297 DDP524294:DDP524297 CTT524294:CTT524297 CJX524294:CJX524297 CAB524294:CAB524297 BQF524294:BQF524297 BGJ524294:BGJ524297 AWN524294:AWN524297 AMR524294:AMR524297 ACV524294:ACV524297 SZ524294:SZ524297 JD524294:JD524297 H524294:H524297 WVP458758:WVP458761 WLT458758:WLT458761 WBX458758:WBX458761 VSB458758:VSB458761 VIF458758:VIF458761 UYJ458758:UYJ458761 UON458758:UON458761 UER458758:UER458761 TUV458758:TUV458761 TKZ458758:TKZ458761 TBD458758:TBD458761 SRH458758:SRH458761 SHL458758:SHL458761 RXP458758:RXP458761 RNT458758:RNT458761 RDX458758:RDX458761 QUB458758:QUB458761 QKF458758:QKF458761 QAJ458758:QAJ458761 PQN458758:PQN458761 PGR458758:PGR458761 OWV458758:OWV458761 OMZ458758:OMZ458761 ODD458758:ODD458761 NTH458758:NTH458761 NJL458758:NJL458761 MZP458758:MZP458761 MPT458758:MPT458761 MFX458758:MFX458761 LWB458758:LWB458761 LMF458758:LMF458761 LCJ458758:LCJ458761 KSN458758:KSN458761 KIR458758:KIR458761 JYV458758:JYV458761 JOZ458758:JOZ458761 JFD458758:JFD458761 IVH458758:IVH458761 ILL458758:ILL458761 IBP458758:IBP458761 HRT458758:HRT458761 HHX458758:HHX458761 GYB458758:GYB458761 GOF458758:GOF458761 GEJ458758:GEJ458761 FUN458758:FUN458761 FKR458758:FKR458761 FAV458758:FAV458761 EQZ458758:EQZ458761 EHD458758:EHD458761 DXH458758:DXH458761 DNL458758:DNL458761 DDP458758:DDP458761 CTT458758:CTT458761 CJX458758:CJX458761 CAB458758:CAB458761 BQF458758:BQF458761 BGJ458758:BGJ458761 AWN458758:AWN458761 AMR458758:AMR458761 ACV458758:ACV458761 SZ458758:SZ458761 JD458758:JD458761 H458758:H458761 WVP393222:WVP393225 WLT393222:WLT393225 WBX393222:WBX393225 VSB393222:VSB393225 VIF393222:VIF393225 UYJ393222:UYJ393225 UON393222:UON393225 UER393222:UER393225 TUV393222:TUV393225 TKZ393222:TKZ393225 TBD393222:TBD393225 SRH393222:SRH393225 SHL393222:SHL393225 RXP393222:RXP393225 RNT393222:RNT393225 RDX393222:RDX393225 QUB393222:QUB393225 QKF393222:QKF393225 QAJ393222:QAJ393225 PQN393222:PQN393225 PGR393222:PGR393225 OWV393222:OWV393225 OMZ393222:OMZ393225 ODD393222:ODD393225 NTH393222:NTH393225 NJL393222:NJL393225 MZP393222:MZP393225 MPT393222:MPT393225 MFX393222:MFX393225 LWB393222:LWB393225 LMF393222:LMF393225 LCJ393222:LCJ393225 KSN393222:KSN393225 KIR393222:KIR393225 JYV393222:JYV393225 JOZ393222:JOZ393225 JFD393222:JFD393225 IVH393222:IVH393225 ILL393222:ILL393225 IBP393222:IBP393225 HRT393222:HRT393225 HHX393222:HHX393225 GYB393222:GYB393225 GOF393222:GOF393225 GEJ393222:GEJ393225 FUN393222:FUN393225 FKR393222:FKR393225 FAV393222:FAV393225 EQZ393222:EQZ393225 EHD393222:EHD393225 DXH393222:DXH393225 DNL393222:DNL393225 DDP393222:DDP393225 CTT393222:CTT393225 CJX393222:CJX393225 CAB393222:CAB393225 BQF393222:BQF393225 BGJ393222:BGJ393225 AWN393222:AWN393225 AMR393222:AMR393225 ACV393222:ACV393225 SZ393222:SZ393225 JD393222:JD393225 H393222:H393225 WVP327686:WVP327689 WLT327686:WLT327689 WBX327686:WBX327689 VSB327686:VSB327689 VIF327686:VIF327689 UYJ327686:UYJ327689 UON327686:UON327689 UER327686:UER327689 TUV327686:TUV327689 TKZ327686:TKZ327689 TBD327686:TBD327689 SRH327686:SRH327689 SHL327686:SHL327689 RXP327686:RXP327689 RNT327686:RNT327689 RDX327686:RDX327689 QUB327686:QUB327689 QKF327686:QKF327689 QAJ327686:QAJ327689 PQN327686:PQN327689 PGR327686:PGR327689 OWV327686:OWV327689 OMZ327686:OMZ327689 ODD327686:ODD327689 NTH327686:NTH327689 NJL327686:NJL327689 MZP327686:MZP327689 MPT327686:MPT327689 MFX327686:MFX327689 LWB327686:LWB327689 LMF327686:LMF327689 LCJ327686:LCJ327689 KSN327686:KSN327689 KIR327686:KIR327689 JYV327686:JYV327689 JOZ327686:JOZ327689 JFD327686:JFD327689 IVH327686:IVH327689 ILL327686:ILL327689 IBP327686:IBP327689 HRT327686:HRT327689 HHX327686:HHX327689 GYB327686:GYB327689 GOF327686:GOF327689 GEJ327686:GEJ327689 FUN327686:FUN327689 FKR327686:FKR327689 FAV327686:FAV327689 EQZ327686:EQZ327689 EHD327686:EHD327689 DXH327686:DXH327689 DNL327686:DNL327689 DDP327686:DDP327689 CTT327686:CTT327689 CJX327686:CJX327689 CAB327686:CAB327689 BQF327686:BQF327689 BGJ327686:BGJ327689 AWN327686:AWN327689 AMR327686:AMR327689 ACV327686:ACV327689 SZ327686:SZ327689 JD327686:JD327689 H327686:H327689 WVP262150:WVP262153 WLT262150:WLT262153 WBX262150:WBX262153 VSB262150:VSB262153 VIF262150:VIF262153 UYJ262150:UYJ262153 UON262150:UON262153 UER262150:UER262153 TUV262150:TUV262153 TKZ262150:TKZ262153 TBD262150:TBD262153 SRH262150:SRH262153 SHL262150:SHL262153 RXP262150:RXP262153 RNT262150:RNT262153 RDX262150:RDX262153 QUB262150:QUB262153 QKF262150:QKF262153 QAJ262150:QAJ262153 PQN262150:PQN262153 PGR262150:PGR262153 OWV262150:OWV262153 OMZ262150:OMZ262153 ODD262150:ODD262153 NTH262150:NTH262153 NJL262150:NJL262153 MZP262150:MZP262153 MPT262150:MPT262153 MFX262150:MFX262153 LWB262150:LWB262153 LMF262150:LMF262153 LCJ262150:LCJ262153 KSN262150:KSN262153 KIR262150:KIR262153 JYV262150:JYV262153 JOZ262150:JOZ262153 JFD262150:JFD262153 IVH262150:IVH262153 ILL262150:ILL262153 IBP262150:IBP262153 HRT262150:HRT262153 HHX262150:HHX262153 GYB262150:GYB262153 GOF262150:GOF262153 GEJ262150:GEJ262153 FUN262150:FUN262153 FKR262150:FKR262153 FAV262150:FAV262153 EQZ262150:EQZ262153 EHD262150:EHD262153 DXH262150:DXH262153 DNL262150:DNL262153 DDP262150:DDP262153 CTT262150:CTT262153 CJX262150:CJX262153 CAB262150:CAB262153 BQF262150:BQF262153 BGJ262150:BGJ262153 AWN262150:AWN262153 AMR262150:AMR262153 ACV262150:ACV262153 SZ262150:SZ262153 JD262150:JD262153 H262150:H262153 WVP196614:WVP196617 WLT196614:WLT196617 WBX196614:WBX196617 VSB196614:VSB196617 VIF196614:VIF196617 UYJ196614:UYJ196617 UON196614:UON196617 UER196614:UER196617 TUV196614:TUV196617 TKZ196614:TKZ196617 TBD196614:TBD196617 SRH196614:SRH196617 SHL196614:SHL196617 RXP196614:RXP196617 RNT196614:RNT196617 RDX196614:RDX196617 QUB196614:QUB196617 QKF196614:QKF196617 QAJ196614:QAJ196617 PQN196614:PQN196617 PGR196614:PGR196617 OWV196614:OWV196617 OMZ196614:OMZ196617 ODD196614:ODD196617 NTH196614:NTH196617 NJL196614:NJL196617 MZP196614:MZP196617 MPT196614:MPT196617 MFX196614:MFX196617 LWB196614:LWB196617 LMF196614:LMF196617 LCJ196614:LCJ196617 KSN196614:KSN196617 KIR196614:KIR196617 JYV196614:JYV196617 JOZ196614:JOZ196617 JFD196614:JFD196617 IVH196614:IVH196617 ILL196614:ILL196617 IBP196614:IBP196617 HRT196614:HRT196617 HHX196614:HHX196617 GYB196614:GYB196617 GOF196614:GOF196617 GEJ196614:GEJ196617 FUN196614:FUN196617 FKR196614:FKR196617 FAV196614:FAV196617 EQZ196614:EQZ196617 EHD196614:EHD196617 DXH196614:DXH196617 DNL196614:DNL196617 DDP196614:DDP196617 CTT196614:CTT196617 CJX196614:CJX196617 CAB196614:CAB196617 BQF196614:BQF196617 BGJ196614:BGJ196617 AWN196614:AWN196617 AMR196614:AMR196617 ACV196614:ACV196617 SZ196614:SZ196617 JD196614:JD196617 H196614:H196617 WVP131078:WVP131081 WLT131078:WLT131081 WBX131078:WBX131081 VSB131078:VSB131081 VIF131078:VIF131081 UYJ131078:UYJ131081 UON131078:UON131081 UER131078:UER131081 TUV131078:TUV131081 TKZ131078:TKZ131081 TBD131078:TBD131081 SRH131078:SRH131081 SHL131078:SHL131081 RXP131078:RXP131081 RNT131078:RNT131081 RDX131078:RDX131081 QUB131078:QUB131081 QKF131078:QKF131081 QAJ131078:QAJ131081 PQN131078:PQN131081 PGR131078:PGR131081 OWV131078:OWV131081 OMZ131078:OMZ131081 ODD131078:ODD131081 NTH131078:NTH131081 NJL131078:NJL131081 MZP131078:MZP131081 MPT131078:MPT131081 MFX131078:MFX131081 LWB131078:LWB131081 LMF131078:LMF131081 LCJ131078:LCJ131081 KSN131078:KSN131081 KIR131078:KIR131081 JYV131078:JYV131081 JOZ131078:JOZ131081 JFD131078:JFD131081 IVH131078:IVH131081 ILL131078:ILL131081 IBP131078:IBP131081 HRT131078:HRT131081 HHX131078:HHX131081 GYB131078:GYB131081 GOF131078:GOF131081 GEJ131078:GEJ131081 FUN131078:FUN131081 FKR131078:FKR131081 FAV131078:FAV131081 EQZ131078:EQZ131081 EHD131078:EHD131081 DXH131078:DXH131081 DNL131078:DNL131081 DDP131078:DDP131081 CTT131078:CTT131081 CJX131078:CJX131081 CAB131078:CAB131081 BQF131078:BQF131081 BGJ131078:BGJ131081 AWN131078:AWN131081 AMR131078:AMR131081 ACV131078:ACV131081 SZ131078:SZ131081 JD131078:JD131081 H131078:H131081 WVP65542:WVP65545 WLT65542:WLT65545 WBX65542:WBX65545 VSB65542:VSB65545 VIF65542:VIF65545 UYJ65542:UYJ65545 UON65542:UON65545 UER65542:UER65545 TUV65542:TUV65545 TKZ65542:TKZ65545 TBD65542:TBD65545 SRH65542:SRH65545 SHL65542:SHL65545 RXP65542:RXP65545 RNT65542:RNT65545 RDX65542:RDX65545 QUB65542:QUB65545 QKF65542:QKF65545 QAJ65542:QAJ65545 PQN65542:PQN65545 PGR65542:PGR65545 OWV65542:OWV65545 OMZ65542:OMZ65545 ODD65542:ODD65545 NTH65542:NTH65545 NJL65542:NJL65545 MZP65542:MZP65545 MPT65542:MPT65545 MFX65542:MFX65545 LWB65542:LWB65545 LMF65542:LMF65545 LCJ65542:LCJ65545 KSN65542:KSN65545 KIR65542:KIR65545 JYV65542:JYV65545 JOZ65542:JOZ65545 JFD65542:JFD65545 IVH65542:IVH65545 ILL65542:ILL65545 IBP65542:IBP65545 HRT65542:HRT65545 HHX65542:HHX65545 GYB65542:GYB65545 GOF65542:GOF65545 GEJ65542:GEJ65545 FUN65542:FUN65545 FKR65542:FKR65545 FAV65542:FAV65545 EQZ65542:EQZ65545 EHD65542:EHD65545 DXH65542:DXH65545 DNL65542:DNL65545 DDP65542:DDP65545 CTT65542:CTT65545 CJX65542:CJX65545 CAB65542:CAB65545 BQF65542:BQF65545 BGJ65542:BGJ65545 AWN65542:AWN65545 AMR65542:AMR65545 ACV65542:ACV65545 SZ65542:SZ65545 JD65542:JD65545 H65542:H65545 WVP8:WVP9 WLT8:WLT9 WBX8:WBX9 VSB8:VSB9 VIF8:VIF9 UYJ8:UYJ9 UON8:UON9 UER8:UER9 TUV8:TUV9 TKZ8:TKZ9 TBD8:TBD9 SRH8:SRH9 SHL8:SHL9 RXP8:RXP9 RNT8:RNT9 RDX8:RDX9 QUB8:QUB9 QKF8:QKF9 QAJ8:QAJ9 PQN8:PQN9 PGR8:PGR9 OWV8:OWV9 OMZ8:OMZ9 ODD8:ODD9 NTH8:NTH9 NJL8:NJL9 MZP8:MZP9 MPT8:MPT9 MFX8:MFX9 LWB8:LWB9 LMF8:LMF9 LCJ8:LCJ9 KSN8:KSN9 KIR8:KIR9 JYV8:JYV9 JOZ8:JOZ9 JFD8:JFD9 IVH8:IVH9 ILL8:ILL9 IBP8:IBP9 HRT8:HRT9 HHX8:HHX9 GYB8:GYB9 GOF8:GOF9 GEJ8:GEJ9 FUN8:FUN9 FKR8:FKR9 FAV8:FAV9 EQZ8:EQZ9 EHD8:EHD9 DXH8:DXH9 DNL8:DNL9 DDP8:DDP9 CTT8:CTT9 CJX8:CJX9 CAB8:CAB9 BQF8:BQF9 BGJ8:BGJ9 AWN8:AWN9 AMR8:AMR9 ACV8:ACV9 SZ8:SZ9 H8">
      <formula1>$H$17:$H$21</formula1>
    </dataValidation>
    <dataValidation type="list" allowBlank="1" showInputMessage="1" showErrorMessage="1" sqref="AE8:AE9 WWM983046:WWM983049 WMQ983046:WMQ983049 WCU983046:WCU983049 VSY983046:VSY983049 VJC983046:VJC983049 UZG983046:UZG983049 UPK983046:UPK983049 UFO983046:UFO983049 TVS983046:TVS983049 TLW983046:TLW983049 TCA983046:TCA983049 SSE983046:SSE983049 SII983046:SII983049 RYM983046:RYM983049 ROQ983046:ROQ983049 REU983046:REU983049 QUY983046:QUY983049 QLC983046:QLC983049 QBG983046:QBG983049 PRK983046:PRK983049 PHO983046:PHO983049 OXS983046:OXS983049 ONW983046:ONW983049 OEA983046:OEA983049 NUE983046:NUE983049 NKI983046:NKI983049 NAM983046:NAM983049 MQQ983046:MQQ983049 MGU983046:MGU983049 LWY983046:LWY983049 LNC983046:LNC983049 LDG983046:LDG983049 KTK983046:KTK983049 KJO983046:KJO983049 JZS983046:JZS983049 JPW983046:JPW983049 JGA983046:JGA983049 IWE983046:IWE983049 IMI983046:IMI983049 ICM983046:ICM983049 HSQ983046:HSQ983049 HIU983046:HIU983049 GYY983046:GYY983049 GPC983046:GPC983049 GFG983046:GFG983049 FVK983046:FVK983049 FLO983046:FLO983049 FBS983046:FBS983049 ERW983046:ERW983049 EIA983046:EIA983049 DYE983046:DYE983049 DOI983046:DOI983049 DEM983046:DEM983049 CUQ983046:CUQ983049 CKU983046:CKU983049 CAY983046:CAY983049 BRC983046:BRC983049 BHG983046:BHG983049 AXK983046:AXK983049 ANO983046:ANO983049 ADS983046:ADS983049 TW983046:TW983049 KA983046:KA983049 AE983046:AE983049 WWM917510:WWM917513 WMQ917510:WMQ917513 WCU917510:WCU917513 VSY917510:VSY917513 VJC917510:VJC917513 UZG917510:UZG917513 UPK917510:UPK917513 UFO917510:UFO917513 TVS917510:TVS917513 TLW917510:TLW917513 TCA917510:TCA917513 SSE917510:SSE917513 SII917510:SII917513 RYM917510:RYM917513 ROQ917510:ROQ917513 REU917510:REU917513 QUY917510:QUY917513 QLC917510:QLC917513 QBG917510:QBG917513 PRK917510:PRK917513 PHO917510:PHO917513 OXS917510:OXS917513 ONW917510:ONW917513 OEA917510:OEA917513 NUE917510:NUE917513 NKI917510:NKI917513 NAM917510:NAM917513 MQQ917510:MQQ917513 MGU917510:MGU917513 LWY917510:LWY917513 LNC917510:LNC917513 LDG917510:LDG917513 KTK917510:KTK917513 KJO917510:KJO917513 JZS917510:JZS917513 JPW917510:JPW917513 JGA917510:JGA917513 IWE917510:IWE917513 IMI917510:IMI917513 ICM917510:ICM917513 HSQ917510:HSQ917513 HIU917510:HIU917513 GYY917510:GYY917513 GPC917510:GPC917513 GFG917510:GFG917513 FVK917510:FVK917513 FLO917510:FLO917513 FBS917510:FBS917513 ERW917510:ERW917513 EIA917510:EIA917513 DYE917510:DYE917513 DOI917510:DOI917513 DEM917510:DEM917513 CUQ917510:CUQ917513 CKU917510:CKU917513 CAY917510:CAY917513 BRC917510:BRC917513 BHG917510:BHG917513 AXK917510:AXK917513 ANO917510:ANO917513 ADS917510:ADS917513 TW917510:TW917513 KA917510:KA917513 AE917510:AE917513 WWM851974:WWM851977 WMQ851974:WMQ851977 WCU851974:WCU851977 VSY851974:VSY851977 VJC851974:VJC851977 UZG851974:UZG851977 UPK851974:UPK851977 UFO851974:UFO851977 TVS851974:TVS851977 TLW851974:TLW851977 TCA851974:TCA851977 SSE851974:SSE851977 SII851974:SII851977 RYM851974:RYM851977 ROQ851974:ROQ851977 REU851974:REU851977 QUY851974:QUY851977 QLC851974:QLC851977 QBG851974:QBG851977 PRK851974:PRK851977 PHO851974:PHO851977 OXS851974:OXS851977 ONW851974:ONW851977 OEA851974:OEA851977 NUE851974:NUE851977 NKI851974:NKI851977 NAM851974:NAM851977 MQQ851974:MQQ851977 MGU851974:MGU851977 LWY851974:LWY851977 LNC851974:LNC851977 LDG851974:LDG851977 KTK851974:KTK851977 KJO851974:KJO851977 JZS851974:JZS851977 JPW851974:JPW851977 JGA851974:JGA851977 IWE851974:IWE851977 IMI851974:IMI851977 ICM851974:ICM851977 HSQ851974:HSQ851977 HIU851974:HIU851977 GYY851974:GYY851977 GPC851974:GPC851977 GFG851974:GFG851977 FVK851974:FVK851977 FLO851974:FLO851977 FBS851974:FBS851977 ERW851974:ERW851977 EIA851974:EIA851977 DYE851974:DYE851977 DOI851974:DOI851977 DEM851974:DEM851977 CUQ851974:CUQ851977 CKU851974:CKU851977 CAY851974:CAY851977 BRC851974:BRC851977 BHG851974:BHG851977 AXK851974:AXK851977 ANO851974:ANO851977 ADS851974:ADS851977 TW851974:TW851977 KA851974:KA851977 AE851974:AE851977 WWM786438:WWM786441 WMQ786438:WMQ786441 WCU786438:WCU786441 VSY786438:VSY786441 VJC786438:VJC786441 UZG786438:UZG786441 UPK786438:UPK786441 UFO786438:UFO786441 TVS786438:TVS786441 TLW786438:TLW786441 TCA786438:TCA786441 SSE786438:SSE786441 SII786438:SII786441 RYM786438:RYM786441 ROQ786438:ROQ786441 REU786438:REU786441 QUY786438:QUY786441 QLC786438:QLC786441 QBG786438:QBG786441 PRK786438:PRK786441 PHO786438:PHO786441 OXS786438:OXS786441 ONW786438:ONW786441 OEA786438:OEA786441 NUE786438:NUE786441 NKI786438:NKI786441 NAM786438:NAM786441 MQQ786438:MQQ786441 MGU786438:MGU786441 LWY786438:LWY786441 LNC786438:LNC786441 LDG786438:LDG786441 KTK786438:KTK786441 KJO786438:KJO786441 JZS786438:JZS786441 JPW786438:JPW786441 JGA786438:JGA786441 IWE786438:IWE786441 IMI786438:IMI786441 ICM786438:ICM786441 HSQ786438:HSQ786441 HIU786438:HIU786441 GYY786438:GYY786441 GPC786438:GPC786441 GFG786438:GFG786441 FVK786438:FVK786441 FLO786438:FLO786441 FBS786438:FBS786441 ERW786438:ERW786441 EIA786438:EIA786441 DYE786438:DYE786441 DOI786438:DOI786441 DEM786438:DEM786441 CUQ786438:CUQ786441 CKU786438:CKU786441 CAY786438:CAY786441 BRC786438:BRC786441 BHG786438:BHG786441 AXK786438:AXK786441 ANO786438:ANO786441 ADS786438:ADS786441 TW786438:TW786441 KA786438:KA786441 AE786438:AE786441 WWM720902:WWM720905 WMQ720902:WMQ720905 WCU720902:WCU720905 VSY720902:VSY720905 VJC720902:VJC720905 UZG720902:UZG720905 UPK720902:UPK720905 UFO720902:UFO720905 TVS720902:TVS720905 TLW720902:TLW720905 TCA720902:TCA720905 SSE720902:SSE720905 SII720902:SII720905 RYM720902:RYM720905 ROQ720902:ROQ720905 REU720902:REU720905 QUY720902:QUY720905 QLC720902:QLC720905 QBG720902:QBG720905 PRK720902:PRK720905 PHO720902:PHO720905 OXS720902:OXS720905 ONW720902:ONW720905 OEA720902:OEA720905 NUE720902:NUE720905 NKI720902:NKI720905 NAM720902:NAM720905 MQQ720902:MQQ720905 MGU720902:MGU720905 LWY720902:LWY720905 LNC720902:LNC720905 LDG720902:LDG720905 KTK720902:KTK720905 KJO720902:KJO720905 JZS720902:JZS720905 JPW720902:JPW720905 JGA720902:JGA720905 IWE720902:IWE720905 IMI720902:IMI720905 ICM720902:ICM720905 HSQ720902:HSQ720905 HIU720902:HIU720905 GYY720902:GYY720905 GPC720902:GPC720905 GFG720902:GFG720905 FVK720902:FVK720905 FLO720902:FLO720905 FBS720902:FBS720905 ERW720902:ERW720905 EIA720902:EIA720905 DYE720902:DYE720905 DOI720902:DOI720905 DEM720902:DEM720905 CUQ720902:CUQ720905 CKU720902:CKU720905 CAY720902:CAY720905 BRC720902:BRC720905 BHG720902:BHG720905 AXK720902:AXK720905 ANO720902:ANO720905 ADS720902:ADS720905 TW720902:TW720905 KA720902:KA720905 AE720902:AE720905 WWM655366:WWM655369 WMQ655366:WMQ655369 WCU655366:WCU655369 VSY655366:VSY655369 VJC655366:VJC655369 UZG655366:UZG655369 UPK655366:UPK655369 UFO655366:UFO655369 TVS655366:TVS655369 TLW655366:TLW655369 TCA655366:TCA655369 SSE655366:SSE655369 SII655366:SII655369 RYM655366:RYM655369 ROQ655366:ROQ655369 REU655366:REU655369 QUY655366:QUY655369 QLC655366:QLC655369 QBG655366:QBG655369 PRK655366:PRK655369 PHO655366:PHO655369 OXS655366:OXS655369 ONW655366:ONW655369 OEA655366:OEA655369 NUE655366:NUE655369 NKI655366:NKI655369 NAM655366:NAM655369 MQQ655366:MQQ655369 MGU655366:MGU655369 LWY655366:LWY655369 LNC655366:LNC655369 LDG655366:LDG655369 KTK655366:KTK655369 KJO655366:KJO655369 JZS655366:JZS655369 JPW655366:JPW655369 JGA655366:JGA655369 IWE655366:IWE655369 IMI655366:IMI655369 ICM655366:ICM655369 HSQ655366:HSQ655369 HIU655366:HIU655369 GYY655366:GYY655369 GPC655366:GPC655369 GFG655366:GFG655369 FVK655366:FVK655369 FLO655366:FLO655369 FBS655366:FBS655369 ERW655366:ERW655369 EIA655366:EIA655369 DYE655366:DYE655369 DOI655366:DOI655369 DEM655366:DEM655369 CUQ655366:CUQ655369 CKU655366:CKU655369 CAY655366:CAY655369 BRC655366:BRC655369 BHG655366:BHG655369 AXK655366:AXK655369 ANO655366:ANO655369 ADS655366:ADS655369 TW655366:TW655369 KA655366:KA655369 AE655366:AE655369 WWM589830:WWM589833 WMQ589830:WMQ589833 WCU589830:WCU589833 VSY589830:VSY589833 VJC589830:VJC589833 UZG589830:UZG589833 UPK589830:UPK589833 UFO589830:UFO589833 TVS589830:TVS589833 TLW589830:TLW589833 TCA589830:TCA589833 SSE589830:SSE589833 SII589830:SII589833 RYM589830:RYM589833 ROQ589830:ROQ589833 REU589830:REU589833 QUY589830:QUY589833 QLC589830:QLC589833 QBG589830:QBG589833 PRK589830:PRK589833 PHO589830:PHO589833 OXS589830:OXS589833 ONW589830:ONW589833 OEA589830:OEA589833 NUE589830:NUE589833 NKI589830:NKI589833 NAM589830:NAM589833 MQQ589830:MQQ589833 MGU589830:MGU589833 LWY589830:LWY589833 LNC589830:LNC589833 LDG589830:LDG589833 KTK589830:KTK589833 KJO589830:KJO589833 JZS589830:JZS589833 JPW589830:JPW589833 JGA589830:JGA589833 IWE589830:IWE589833 IMI589830:IMI589833 ICM589830:ICM589833 HSQ589830:HSQ589833 HIU589830:HIU589833 GYY589830:GYY589833 GPC589830:GPC589833 GFG589830:GFG589833 FVK589830:FVK589833 FLO589830:FLO589833 FBS589830:FBS589833 ERW589830:ERW589833 EIA589830:EIA589833 DYE589830:DYE589833 DOI589830:DOI589833 DEM589830:DEM589833 CUQ589830:CUQ589833 CKU589830:CKU589833 CAY589830:CAY589833 BRC589830:BRC589833 BHG589830:BHG589833 AXK589830:AXK589833 ANO589830:ANO589833 ADS589830:ADS589833 TW589830:TW589833 KA589830:KA589833 AE589830:AE589833 WWM524294:WWM524297 WMQ524294:WMQ524297 WCU524294:WCU524297 VSY524294:VSY524297 VJC524294:VJC524297 UZG524294:UZG524297 UPK524294:UPK524297 UFO524294:UFO524297 TVS524294:TVS524297 TLW524294:TLW524297 TCA524294:TCA524297 SSE524294:SSE524297 SII524294:SII524297 RYM524294:RYM524297 ROQ524294:ROQ524297 REU524294:REU524297 QUY524294:QUY524297 QLC524294:QLC524297 QBG524294:QBG524297 PRK524294:PRK524297 PHO524294:PHO524297 OXS524294:OXS524297 ONW524294:ONW524297 OEA524294:OEA524297 NUE524294:NUE524297 NKI524294:NKI524297 NAM524294:NAM524297 MQQ524294:MQQ524297 MGU524294:MGU524297 LWY524294:LWY524297 LNC524294:LNC524297 LDG524294:LDG524297 KTK524294:KTK524297 KJO524294:KJO524297 JZS524294:JZS524297 JPW524294:JPW524297 JGA524294:JGA524297 IWE524294:IWE524297 IMI524294:IMI524297 ICM524294:ICM524297 HSQ524294:HSQ524297 HIU524294:HIU524297 GYY524294:GYY524297 GPC524294:GPC524297 GFG524294:GFG524297 FVK524294:FVK524297 FLO524294:FLO524297 FBS524294:FBS524297 ERW524294:ERW524297 EIA524294:EIA524297 DYE524294:DYE524297 DOI524294:DOI524297 DEM524294:DEM524297 CUQ524294:CUQ524297 CKU524294:CKU524297 CAY524294:CAY524297 BRC524294:BRC524297 BHG524294:BHG524297 AXK524294:AXK524297 ANO524294:ANO524297 ADS524294:ADS524297 TW524294:TW524297 KA524294:KA524297 AE524294:AE524297 WWM458758:WWM458761 WMQ458758:WMQ458761 WCU458758:WCU458761 VSY458758:VSY458761 VJC458758:VJC458761 UZG458758:UZG458761 UPK458758:UPK458761 UFO458758:UFO458761 TVS458758:TVS458761 TLW458758:TLW458761 TCA458758:TCA458761 SSE458758:SSE458761 SII458758:SII458761 RYM458758:RYM458761 ROQ458758:ROQ458761 REU458758:REU458761 QUY458758:QUY458761 QLC458758:QLC458761 QBG458758:QBG458761 PRK458758:PRK458761 PHO458758:PHO458761 OXS458758:OXS458761 ONW458758:ONW458761 OEA458758:OEA458761 NUE458758:NUE458761 NKI458758:NKI458761 NAM458758:NAM458761 MQQ458758:MQQ458761 MGU458758:MGU458761 LWY458758:LWY458761 LNC458758:LNC458761 LDG458758:LDG458761 KTK458758:KTK458761 KJO458758:KJO458761 JZS458758:JZS458761 JPW458758:JPW458761 JGA458758:JGA458761 IWE458758:IWE458761 IMI458758:IMI458761 ICM458758:ICM458761 HSQ458758:HSQ458761 HIU458758:HIU458761 GYY458758:GYY458761 GPC458758:GPC458761 GFG458758:GFG458761 FVK458758:FVK458761 FLO458758:FLO458761 FBS458758:FBS458761 ERW458758:ERW458761 EIA458758:EIA458761 DYE458758:DYE458761 DOI458758:DOI458761 DEM458758:DEM458761 CUQ458758:CUQ458761 CKU458758:CKU458761 CAY458758:CAY458761 BRC458758:BRC458761 BHG458758:BHG458761 AXK458758:AXK458761 ANO458758:ANO458761 ADS458758:ADS458761 TW458758:TW458761 KA458758:KA458761 AE458758:AE458761 WWM393222:WWM393225 WMQ393222:WMQ393225 WCU393222:WCU393225 VSY393222:VSY393225 VJC393222:VJC393225 UZG393222:UZG393225 UPK393222:UPK393225 UFO393222:UFO393225 TVS393222:TVS393225 TLW393222:TLW393225 TCA393222:TCA393225 SSE393222:SSE393225 SII393222:SII393225 RYM393222:RYM393225 ROQ393222:ROQ393225 REU393222:REU393225 QUY393222:QUY393225 QLC393222:QLC393225 QBG393222:QBG393225 PRK393222:PRK393225 PHO393222:PHO393225 OXS393222:OXS393225 ONW393222:ONW393225 OEA393222:OEA393225 NUE393222:NUE393225 NKI393222:NKI393225 NAM393222:NAM393225 MQQ393222:MQQ393225 MGU393222:MGU393225 LWY393222:LWY393225 LNC393222:LNC393225 LDG393222:LDG393225 KTK393222:KTK393225 KJO393222:KJO393225 JZS393222:JZS393225 JPW393222:JPW393225 JGA393222:JGA393225 IWE393222:IWE393225 IMI393222:IMI393225 ICM393222:ICM393225 HSQ393222:HSQ393225 HIU393222:HIU393225 GYY393222:GYY393225 GPC393222:GPC393225 GFG393222:GFG393225 FVK393222:FVK393225 FLO393222:FLO393225 FBS393222:FBS393225 ERW393222:ERW393225 EIA393222:EIA393225 DYE393222:DYE393225 DOI393222:DOI393225 DEM393222:DEM393225 CUQ393222:CUQ393225 CKU393222:CKU393225 CAY393222:CAY393225 BRC393222:BRC393225 BHG393222:BHG393225 AXK393222:AXK393225 ANO393222:ANO393225 ADS393222:ADS393225 TW393222:TW393225 KA393222:KA393225 AE393222:AE393225 WWM327686:WWM327689 WMQ327686:WMQ327689 WCU327686:WCU327689 VSY327686:VSY327689 VJC327686:VJC327689 UZG327686:UZG327689 UPK327686:UPK327689 UFO327686:UFO327689 TVS327686:TVS327689 TLW327686:TLW327689 TCA327686:TCA327689 SSE327686:SSE327689 SII327686:SII327689 RYM327686:RYM327689 ROQ327686:ROQ327689 REU327686:REU327689 QUY327686:QUY327689 QLC327686:QLC327689 QBG327686:QBG327689 PRK327686:PRK327689 PHO327686:PHO327689 OXS327686:OXS327689 ONW327686:ONW327689 OEA327686:OEA327689 NUE327686:NUE327689 NKI327686:NKI327689 NAM327686:NAM327689 MQQ327686:MQQ327689 MGU327686:MGU327689 LWY327686:LWY327689 LNC327686:LNC327689 LDG327686:LDG327689 KTK327686:KTK327689 KJO327686:KJO327689 JZS327686:JZS327689 JPW327686:JPW327689 JGA327686:JGA327689 IWE327686:IWE327689 IMI327686:IMI327689 ICM327686:ICM327689 HSQ327686:HSQ327689 HIU327686:HIU327689 GYY327686:GYY327689 GPC327686:GPC327689 GFG327686:GFG327689 FVK327686:FVK327689 FLO327686:FLO327689 FBS327686:FBS327689 ERW327686:ERW327689 EIA327686:EIA327689 DYE327686:DYE327689 DOI327686:DOI327689 DEM327686:DEM327689 CUQ327686:CUQ327689 CKU327686:CKU327689 CAY327686:CAY327689 BRC327686:BRC327689 BHG327686:BHG327689 AXK327686:AXK327689 ANO327686:ANO327689 ADS327686:ADS327689 TW327686:TW327689 KA327686:KA327689 AE327686:AE327689 WWM262150:WWM262153 WMQ262150:WMQ262153 WCU262150:WCU262153 VSY262150:VSY262153 VJC262150:VJC262153 UZG262150:UZG262153 UPK262150:UPK262153 UFO262150:UFO262153 TVS262150:TVS262153 TLW262150:TLW262153 TCA262150:TCA262153 SSE262150:SSE262153 SII262150:SII262153 RYM262150:RYM262153 ROQ262150:ROQ262153 REU262150:REU262153 QUY262150:QUY262153 QLC262150:QLC262153 QBG262150:QBG262153 PRK262150:PRK262153 PHO262150:PHO262153 OXS262150:OXS262153 ONW262150:ONW262153 OEA262150:OEA262153 NUE262150:NUE262153 NKI262150:NKI262153 NAM262150:NAM262153 MQQ262150:MQQ262153 MGU262150:MGU262153 LWY262150:LWY262153 LNC262150:LNC262153 LDG262150:LDG262153 KTK262150:KTK262153 KJO262150:KJO262153 JZS262150:JZS262153 JPW262150:JPW262153 JGA262150:JGA262153 IWE262150:IWE262153 IMI262150:IMI262153 ICM262150:ICM262153 HSQ262150:HSQ262153 HIU262150:HIU262153 GYY262150:GYY262153 GPC262150:GPC262153 GFG262150:GFG262153 FVK262150:FVK262153 FLO262150:FLO262153 FBS262150:FBS262153 ERW262150:ERW262153 EIA262150:EIA262153 DYE262150:DYE262153 DOI262150:DOI262153 DEM262150:DEM262153 CUQ262150:CUQ262153 CKU262150:CKU262153 CAY262150:CAY262153 BRC262150:BRC262153 BHG262150:BHG262153 AXK262150:AXK262153 ANO262150:ANO262153 ADS262150:ADS262153 TW262150:TW262153 KA262150:KA262153 AE262150:AE262153 WWM196614:WWM196617 WMQ196614:WMQ196617 WCU196614:WCU196617 VSY196614:VSY196617 VJC196614:VJC196617 UZG196614:UZG196617 UPK196614:UPK196617 UFO196614:UFO196617 TVS196614:TVS196617 TLW196614:TLW196617 TCA196614:TCA196617 SSE196614:SSE196617 SII196614:SII196617 RYM196614:RYM196617 ROQ196614:ROQ196617 REU196614:REU196617 QUY196614:QUY196617 QLC196614:QLC196617 QBG196614:QBG196617 PRK196614:PRK196617 PHO196614:PHO196617 OXS196614:OXS196617 ONW196614:ONW196617 OEA196614:OEA196617 NUE196614:NUE196617 NKI196614:NKI196617 NAM196614:NAM196617 MQQ196614:MQQ196617 MGU196614:MGU196617 LWY196614:LWY196617 LNC196614:LNC196617 LDG196614:LDG196617 KTK196614:KTK196617 KJO196614:KJO196617 JZS196614:JZS196617 JPW196614:JPW196617 JGA196614:JGA196617 IWE196614:IWE196617 IMI196614:IMI196617 ICM196614:ICM196617 HSQ196614:HSQ196617 HIU196614:HIU196617 GYY196614:GYY196617 GPC196614:GPC196617 GFG196614:GFG196617 FVK196614:FVK196617 FLO196614:FLO196617 FBS196614:FBS196617 ERW196614:ERW196617 EIA196614:EIA196617 DYE196614:DYE196617 DOI196614:DOI196617 DEM196614:DEM196617 CUQ196614:CUQ196617 CKU196614:CKU196617 CAY196614:CAY196617 BRC196614:BRC196617 BHG196614:BHG196617 AXK196614:AXK196617 ANO196614:ANO196617 ADS196614:ADS196617 TW196614:TW196617 KA196614:KA196617 AE196614:AE196617 WWM131078:WWM131081 WMQ131078:WMQ131081 WCU131078:WCU131081 VSY131078:VSY131081 VJC131078:VJC131081 UZG131078:UZG131081 UPK131078:UPK131081 UFO131078:UFO131081 TVS131078:TVS131081 TLW131078:TLW131081 TCA131078:TCA131081 SSE131078:SSE131081 SII131078:SII131081 RYM131078:RYM131081 ROQ131078:ROQ131081 REU131078:REU131081 QUY131078:QUY131081 QLC131078:QLC131081 QBG131078:QBG131081 PRK131078:PRK131081 PHO131078:PHO131081 OXS131078:OXS131081 ONW131078:ONW131081 OEA131078:OEA131081 NUE131078:NUE131081 NKI131078:NKI131081 NAM131078:NAM131081 MQQ131078:MQQ131081 MGU131078:MGU131081 LWY131078:LWY131081 LNC131078:LNC131081 LDG131078:LDG131081 KTK131078:KTK131081 KJO131078:KJO131081 JZS131078:JZS131081 JPW131078:JPW131081 JGA131078:JGA131081 IWE131078:IWE131081 IMI131078:IMI131081 ICM131078:ICM131081 HSQ131078:HSQ131081 HIU131078:HIU131081 GYY131078:GYY131081 GPC131078:GPC131081 GFG131078:GFG131081 FVK131078:FVK131081 FLO131078:FLO131081 FBS131078:FBS131081 ERW131078:ERW131081 EIA131078:EIA131081 DYE131078:DYE131081 DOI131078:DOI131081 DEM131078:DEM131081 CUQ131078:CUQ131081 CKU131078:CKU131081 CAY131078:CAY131081 BRC131078:BRC131081 BHG131078:BHG131081 AXK131078:AXK131081 ANO131078:ANO131081 ADS131078:ADS131081 TW131078:TW131081 KA131078:KA131081 AE131078:AE131081 WWM65542:WWM65545 WMQ65542:WMQ65545 WCU65542:WCU65545 VSY65542:VSY65545 VJC65542:VJC65545 UZG65542:UZG65545 UPK65542:UPK65545 UFO65542:UFO65545 TVS65542:TVS65545 TLW65542:TLW65545 TCA65542:TCA65545 SSE65542:SSE65545 SII65542:SII65545 RYM65542:RYM65545 ROQ65542:ROQ65545 REU65542:REU65545 QUY65542:QUY65545 QLC65542:QLC65545 QBG65542:QBG65545 PRK65542:PRK65545 PHO65542:PHO65545 OXS65542:OXS65545 ONW65542:ONW65545 OEA65542:OEA65545 NUE65542:NUE65545 NKI65542:NKI65545 NAM65542:NAM65545 MQQ65542:MQQ65545 MGU65542:MGU65545 LWY65542:LWY65545 LNC65542:LNC65545 LDG65542:LDG65545 KTK65542:KTK65545 KJO65542:KJO65545 JZS65542:JZS65545 JPW65542:JPW65545 JGA65542:JGA65545 IWE65542:IWE65545 IMI65542:IMI65545 ICM65542:ICM65545 HSQ65542:HSQ65545 HIU65542:HIU65545 GYY65542:GYY65545 GPC65542:GPC65545 GFG65542:GFG65545 FVK65542:FVK65545 FLO65542:FLO65545 FBS65542:FBS65545 ERW65542:ERW65545 EIA65542:EIA65545 DYE65542:DYE65545 DOI65542:DOI65545 DEM65542:DEM65545 CUQ65542:CUQ65545 CKU65542:CKU65545 CAY65542:CAY65545 BRC65542:BRC65545 BHG65542:BHG65545 AXK65542:AXK65545 ANO65542:ANO65545 ADS65542:ADS65545 TW65542:TW65545 KA65542:KA65545 AE65542:AE65545 WWM8:WWM9 WMQ8:WMQ9 WCU8:WCU9 VSY8:VSY9 VJC8:VJC9 UZG8:UZG9 UPK8:UPK9 UFO8:UFO9 TVS8:TVS9 TLW8:TLW9 TCA8:TCA9 SSE8:SSE9 SII8:SII9 RYM8:RYM9 ROQ8:ROQ9 REU8:REU9 QUY8:QUY9 QLC8:QLC9 QBG8:QBG9 PRK8:PRK9 PHO8:PHO9 OXS8:OXS9 ONW8:ONW9 OEA8:OEA9 NUE8:NUE9 NKI8:NKI9 NAM8:NAM9 MQQ8:MQQ9 MGU8:MGU9 LWY8:LWY9 LNC8:LNC9 LDG8:LDG9 KTK8:KTK9 KJO8:KJO9 JZS8:JZS9 JPW8:JPW9 JGA8:JGA9 IWE8:IWE9 IMI8:IMI9 ICM8:ICM9 HSQ8:HSQ9 HIU8:HIU9 GYY8:GYY9 GPC8:GPC9 GFG8:GFG9 FVK8:FVK9 FLO8:FLO9 FBS8:FBS9 ERW8:ERW9 EIA8:EIA9 DYE8:DYE9 DOI8:DOI9 DEM8:DEM9 CUQ8:CUQ9 CKU8:CKU9 CAY8:CAY9 BRC8:BRC9 BHG8:BHG9 AXK8:AXK9 ANO8:ANO9 ADS8:ADS9 TW8:TW9 KA8:KA9">
      <formula1>$B$19:$B$21</formula1>
    </dataValidation>
    <dataValidation type="list" allowBlank="1" showInputMessage="1" showErrorMessage="1" sqref="AF8:AF9 KB8:KB9 TX8:TX9 ADT8:ADT9 ANP8:ANP9 AXL8:AXL9 BHH8:BHH9 BRD8:BRD9 CAZ8:CAZ9 CKV8:CKV9 CUR8:CUR9 DEN8:DEN9 DOJ8:DOJ9 DYF8:DYF9 EIB8:EIB9 ERX8:ERX9 FBT8:FBT9 FLP8:FLP9 FVL8:FVL9 GFH8:GFH9 GPD8:GPD9 GYZ8:GYZ9 HIV8:HIV9 HSR8:HSR9 ICN8:ICN9 IMJ8:IMJ9 IWF8:IWF9 JGB8:JGB9 JPX8:JPX9 JZT8:JZT9 KJP8:KJP9 KTL8:KTL9 LDH8:LDH9 LND8:LND9 LWZ8:LWZ9 MGV8:MGV9 MQR8:MQR9 NAN8:NAN9 NKJ8:NKJ9 NUF8:NUF9 OEB8:OEB9 ONX8:ONX9 OXT8:OXT9 PHP8:PHP9 PRL8:PRL9 QBH8:QBH9 QLD8:QLD9 QUZ8:QUZ9 REV8:REV9 ROR8:ROR9 RYN8:RYN9 SIJ8:SIJ9 SSF8:SSF9 TCB8:TCB9 TLX8:TLX9 TVT8:TVT9 UFP8:UFP9 UPL8:UPL9 UZH8:UZH9 VJD8:VJD9 VSZ8:VSZ9 WCV8:WCV9 WMR8:WMR9 WWN8:WWN9 AF65542:AF65545 KB65542:KB65545 TX65542:TX65545 ADT65542:ADT65545 ANP65542:ANP65545 AXL65542:AXL65545 BHH65542:BHH65545 BRD65542:BRD65545 CAZ65542:CAZ65545 CKV65542:CKV65545 CUR65542:CUR65545 DEN65542:DEN65545 DOJ65542:DOJ65545 DYF65542:DYF65545 EIB65542:EIB65545 ERX65542:ERX65545 FBT65542:FBT65545 FLP65542:FLP65545 FVL65542:FVL65545 GFH65542:GFH65545 GPD65542:GPD65545 GYZ65542:GYZ65545 HIV65542:HIV65545 HSR65542:HSR65545 ICN65542:ICN65545 IMJ65542:IMJ65545 IWF65542:IWF65545 JGB65542:JGB65545 JPX65542:JPX65545 JZT65542:JZT65545 KJP65542:KJP65545 KTL65542:KTL65545 LDH65542:LDH65545 LND65542:LND65545 LWZ65542:LWZ65545 MGV65542:MGV65545 MQR65542:MQR65545 NAN65542:NAN65545 NKJ65542:NKJ65545 NUF65542:NUF65545 OEB65542:OEB65545 ONX65542:ONX65545 OXT65542:OXT65545 PHP65542:PHP65545 PRL65542:PRL65545 QBH65542:QBH65545 QLD65542:QLD65545 QUZ65542:QUZ65545 REV65542:REV65545 ROR65542:ROR65545 RYN65542:RYN65545 SIJ65542:SIJ65545 SSF65542:SSF65545 TCB65542:TCB65545 TLX65542:TLX65545 TVT65542:TVT65545 UFP65542:UFP65545 UPL65542:UPL65545 UZH65542:UZH65545 VJD65542:VJD65545 VSZ65542:VSZ65545 WCV65542:WCV65545 WMR65542:WMR65545 WWN65542:WWN65545 AF131078:AF131081 KB131078:KB131081 TX131078:TX131081 ADT131078:ADT131081 ANP131078:ANP131081 AXL131078:AXL131081 BHH131078:BHH131081 BRD131078:BRD131081 CAZ131078:CAZ131081 CKV131078:CKV131081 CUR131078:CUR131081 DEN131078:DEN131081 DOJ131078:DOJ131081 DYF131078:DYF131081 EIB131078:EIB131081 ERX131078:ERX131081 FBT131078:FBT131081 FLP131078:FLP131081 FVL131078:FVL131081 GFH131078:GFH131081 GPD131078:GPD131081 GYZ131078:GYZ131081 HIV131078:HIV131081 HSR131078:HSR131081 ICN131078:ICN131081 IMJ131078:IMJ131081 IWF131078:IWF131081 JGB131078:JGB131081 JPX131078:JPX131081 JZT131078:JZT131081 KJP131078:KJP131081 KTL131078:KTL131081 LDH131078:LDH131081 LND131078:LND131081 LWZ131078:LWZ131081 MGV131078:MGV131081 MQR131078:MQR131081 NAN131078:NAN131081 NKJ131078:NKJ131081 NUF131078:NUF131081 OEB131078:OEB131081 ONX131078:ONX131081 OXT131078:OXT131081 PHP131078:PHP131081 PRL131078:PRL131081 QBH131078:QBH131081 QLD131078:QLD131081 QUZ131078:QUZ131081 REV131078:REV131081 ROR131078:ROR131081 RYN131078:RYN131081 SIJ131078:SIJ131081 SSF131078:SSF131081 TCB131078:TCB131081 TLX131078:TLX131081 TVT131078:TVT131081 UFP131078:UFP131081 UPL131078:UPL131081 UZH131078:UZH131081 VJD131078:VJD131081 VSZ131078:VSZ131081 WCV131078:WCV131081 WMR131078:WMR131081 WWN131078:WWN131081 AF196614:AF196617 KB196614:KB196617 TX196614:TX196617 ADT196614:ADT196617 ANP196614:ANP196617 AXL196614:AXL196617 BHH196614:BHH196617 BRD196614:BRD196617 CAZ196614:CAZ196617 CKV196614:CKV196617 CUR196614:CUR196617 DEN196614:DEN196617 DOJ196614:DOJ196617 DYF196614:DYF196617 EIB196614:EIB196617 ERX196614:ERX196617 FBT196614:FBT196617 FLP196614:FLP196617 FVL196614:FVL196617 GFH196614:GFH196617 GPD196614:GPD196617 GYZ196614:GYZ196617 HIV196614:HIV196617 HSR196614:HSR196617 ICN196614:ICN196617 IMJ196614:IMJ196617 IWF196614:IWF196617 JGB196614:JGB196617 JPX196614:JPX196617 JZT196614:JZT196617 KJP196614:KJP196617 KTL196614:KTL196617 LDH196614:LDH196617 LND196614:LND196617 LWZ196614:LWZ196617 MGV196614:MGV196617 MQR196614:MQR196617 NAN196614:NAN196617 NKJ196614:NKJ196617 NUF196614:NUF196617 OEB196614:OEB196617 ONX196614:ONX196617 OXT196614:OXT196617 PHP196614:PHP196617 PRL196614:PRL196617 QBH196614:QBH196617 QLD196614:QLD196617 QUZ196614:QUZ196617 REV196614:REV196617 ROR196614:ROR196617 RYN196614:RYN196617 SIJ196614:SIJ196617 SSF196614:SSF196617 TCB196614:TCB196617 TLX196614:TLX196617 TVT196614:TVT196617 UFP196614:UFP196617 UPL196614:UPL196617 UZH196614:UZH196617 VJD196614:VJD196617 VSZ196614:VSZ196617 WCV196614:WCV196617 WMR196614:WMR196617 WWN196614:WWN196617 AF262150:AF262153 KB262150:KB262153 TX262150:TX262153 ADT262150:ADT262153 ANP262150:ANP262153 AXL262150:AXL262153 BHH262150:BHH262153 BRD262150:BRD262153 CAZ262150:CAZ262153 CKV262150:CKV262153 CUR262150:CUR262153 DEN262150:DEN262153 DOJ262150:DOJ262153 DYF262150:DYF262153 EIB262150:EIB262153 ERX262150:ERX262153 FBT262150:FBT262153 FLP262150:FLP262153 FVL262150:FVL262153 GFH262150:GFH262153 GPD262150:GPD262153 GYZ262150:GYZ262153 HIV262150:HIV262153 HSR262150:HSR262153 ICN262150:ICN262153 IMJ262150:IMJ262153 IWF262150:IWF262153 JGB262150:JGB262153 JPX262150:JPX262153 JZT262150:JZT262153 KJP262150:KJP262153 KTL262150:KTL262153 LDH262150:LDH262153 LND262150:LND262153 LWZ262150:LWZ262153 MGV262150:MGV262153 MQR262150:MQR262153 NAN262150:NAN262153 NKJ262150:NKJ262153 NUF262150:NUF262153 OEB262150:OEB262153 ONX262150:ONX262153 OXT262150:OXT262153 PHP262150:PHP262153 PRL262150:PRL262153 QBH262150:QBH262153 QLD262150:QLD262153 QUZ262150:QUZ262153 REV262150:REV262153 ROR262150:ROR262153 RYN262150:RYN262153 SIJ262150:SIJ262153 SSF262150:SSF262153 TCB262150:TCB262153 TLX262150:TLX262153 TVT262150:TVT262153 UFP262150:UFP262153 UPL262150:UPL262153 UZH262150:UZH262153 VJD262150:VJD262153 VSZ262150:VSZ262153 WCV262150:WCV262153 WMR262150:WMR262153 WWN262150:WWN262153 AF327686:AF327689 KB327686:KB327689 TX327686:TX327689 ADT327686:ADT327689 ANP327686:ANP327689 AXL327686:AXL327689 BHH327686:BHH327689 BRD327686:BRD327689 CAZ327686:CAZ327689 CKV327686:CKV327689 CUR327686:CUR327689 DEN327686:DEN327689 DOJ327686:DOJ327689 DYF327686:DYF327689 EIB327686:EIB327689 ERX327686:ERX327689 FBT327686:FBT327689 FLP327686:FLP327689 FVL327686:FVL327689 GFH327686:GFH327689 GPD327686:GPD327689 GYZ327686:GYZ327689 HIV327686:HIV327689 HSR327686:HSR327689 ICN327686:ICN327689 IMJ327686:IMJ327689 IWF327686:IWF327689 JGB327686:JGB327689 JPX327686:JPX327689 JZT327686:JZT327689 KJP327686:KJP327689 KTL327686:KTL327689 LDH327686:LDH327689 LND327686:LND327689 LWZ327686:LWZ327689 MGV327686:MGV327689 MQR327686:MQR327689 NAN327686:NAN327689 NKJ327686:NKJ327689 NUF327686:NUF327689 OEB327686:OEB327689 ONX327686:ONX327689 OXT327686:OXT327689 PHP327686:PHP327689 PRL327686:PRL327689 QBH327686:QBH327689 QLD327686:QLD327689 QUZ327686:QUZ327689 REV327686:REV327689 ROR327686:ROR327689 RYN327686:RYN327689 SIJ327686:SIJ327689 SSF327686:SSF327689 TCB327686:TCB327689 TLX327686:TLX327689 TVT327686:TVT327689 UFP327686:UFP327689 UPL327686:UPL327689 UZH327686:UZH327689 VJD327686:VJD327689 VSZ327686:VSZ327689 WCV327686:WCV327689 WMR327686:WMR327689 WWN327686:WWN327689 AF393222:AF393225 KB393222:KB393225 TX393222:TX393225 ADT393222:ADT393225 ANP393222:ANP393225 AXL393222:AXL393225 BHH393222:BHH393225 BRD393222:BRD393225 CAZ393222:CAZ393225 CKV393222:CKV393225 CUR393222:CUR393225 DEN393222:DEN393225 DOJ393222:DOJ393225 DYF393222:DYF393225 EIB393222:EIB393225 ERX393222:ERX393225 FBT393222:FBT393225 FLP393222:FLP393225 FVL393222:FVL393225 GFH393222:GFH393225 GPD393222:GPD393225 GYZ393222:GYZ393225 HIV393222:HIV393225 HSR393222:HSR393225 ICN393222:ICN393225 IMJ393222:IMJ393225 IWF393222:IWF393225 JGB393222:JGB393225 JPX393222:JPX393225 JZT393222:JZT393225 KJP393222:KJP393225 KTL393222:KTL393225 LDH393222:LDH393225 LND393222:LND393225 LWZ393222:LWZ393225 MGV393222:MGV393225 MQR393222:MQR393225 NAN393222:NAN393225 NKJ393222:NKJ393225 NUF393222:NUF393225 OEB393222:OEB393225 ONX393222:ONX393225 OXT393222:OXT393225 PHP393222:PHP393225 PRL393222:PRL393225 QBH393222:QBH393225 QLD393222:QLD393225 QUZ393222:QUZ393225 REV393222:REV393225 ROR393222:ROR393225 RYN393222:RYN393225 SIJ393222:SIJ393225 SSF393222:SSF393225 TCB393222:TCB393225 TLX393222:TLX393225 TVT393222:TVT393225 UFP393222:UFP393225 UPL393222:UPL393225 UZH393222:UZH393225 VJD393222:VJD393225 VSZ393222:VSZ393225 WCV393222:WCV393225 WMR393222:WMR393225 WWN393222:WWN393225 AF458758:AF458761 KB458758:KB458761 TX458758:TX458761 ADT458758:ADT458761 ANP458758:ANP458761 AXL458758:AXL458761 BHH458758:BHH458761 BRD458758:BRD458761 CAZ458758:CAZ458761 CKV458758:CKV458761 CUR458758:CUR458761 DEN458758:DEN458761 DOJ458758:DOJ458761 DYF458758:DYF458761 EIB458758:EIB458761 ERX458758:ERX458761 FBT458758:FBT458761 FLP458758:FLP458761 FVL458758:FVL458761 GFH458758:GFH458761 GPD458758:GPD458761 GYZ458758:GYZ458761 HIV458758:HIV458761 HSR458758:HSR458761 ICN458758:ICN458761 IMJ458758:IMJ458761 IWF458758:IWF458761 JGB458758:JGB458761 JPX458758:JPX458761 JZT458758:JZT458761 KJP458758:KJP458761 KTL458758:KTL458761 LDH458758:LDH458761 LND458758:LND458761 LWZ458758:LWZ458761 MGV458758:MGV458761 MQR458758:MQR458761 NAN458758:NAN458761 NKJ458758:NKJ458761 NUF458758:NUF458761 OEB458758:OEB458761 ONX458758:ONX458761 OXT458758:OXT458761 PHP458758:PHP458761 PRL458758:PRL458761 QBH458758:QBH458761 QLD458758:QLD458761 QUZ458758:QUZ458761 REV458758:REV458761 ROR458758:ROR458761 RYN458758:RYN458761 SIJ458758:SIJ458761 SSF458758:SSF458761 TCB458758:TCB458761 TLX458758:TLX458761 TVT458758:TVT458761 UFP458758:UFP458761 UPL458758:UPL458761 UZH458758:UZH458761 VJD458758:VJD458761 VSZ458758:VSZ458761 WCV458758:WCV458761 WMR458758:WMR458761 WWN458758:WWN458761 AF524294:AF524297 KB524294:KB524297 TX524294:TX524297 ADT524294:ADT524297 ANP524294:ANP524297 AXL524294:AXL524297 BHH524294:BHH524297 BRD524294:BRD524297 CAZ524294:CAZ524297 CKV524294:CKV524297 CUR524294:CUR524297 DEN524294:DEN524297 DOJ524294:DOJ524297 DYF524294:DYF524297 EIB524294:EIB524297 ERX524294:ERX524297 FBT524294:FBT524297 FLP524294:FLP524297 FVL524294:FVL524297 GFH524294:GFH524297 GPD524294:GPD524297 GYZ524294:GYZ524297 HIV524294:HIV524297 HSR524294:HSR524297 ICN524294:ICN524297 IMJ524294:IMJ524297 IWF524294:IWF524297 JGB524294:JGB524297 JPX524294:JPX524297 JZT524294:JZT524297 KJP524294:KJP524297 KTL524294:KTL524297 LDH524294:LDH524297 LND524294:LND524297 LWZ524294:LWZ524297 MGV524294:MGV524297 MQR524294:MQR524297 NAN524294:NAN524297 NKJ524294:NKJ524297 NUF524294:NUF524297 OEB524294:OEB524297 ONX524294:ONX524297 OXT524294:OXT524297 PHP524294:PHP524297 PRL524294:PRL524297 QBH524294:QBH524297 QLD524294:QLD524297 QUZ524294:QUZ524297 REV524294:REV524297 ROR524294:ROR524297 RYN524294:RYN524297 SIJ524294:SIJ524297 SSF524294:SSF524297 TCB524294:TCB524297 TLX524294:TLX524297 TVT524294:TVT524297 UFP524294:UFP524297 UPL524294:UPL524297 UZH524294:UZH524297 VJD524294:VJD524297 VSZ524294:VSZ524297 WCV524294:WCV524297 WMR524294:WMR524297 WWN524294:WWN524297 AF589830:AF589833 KB589830:KB589833 TX589830:TX589833 ADT589830:ADT589833 ANP589830:ANP589833 AXL589830:AXL589833 BHH589830:BHH589833 BRD589830:BRD589833 CAZ589830:CAZ589833 CKV589830:CKV589833 CUR589830:CUR589833 DEN589830:DEN589833 DOJ589830:DOJ589833 DYF589830:DYF589833 EIB589830:EIB589833 ERX589830:ERX589833 FBT589830:FBT589833 FLP589830:FLP589833 FVL589830:FVL589833 GFH589830:GFH589833 GPD589830:GPD589833 GYZ589830:GYZ589833 HIV589830:HIV589833 HSR589830:HSR589833 ICN589830:ICN589833 IMJ589830:IMJ589833 IWF589830:IWF589833 JGB589830:JGB589833 JPX589830:JPX589833 JZT589830:JZT589833 KJP589830:KJP589833 KTL589830:KTL589833 LDH589830:LDH589833 LND589830:LND589833 LWZ589830:LWZ589833 MGV589830:MGV589833 MQR589830:MQR589833 NAN589830:NAN589833 NKJ589830:NKJ589833 NUF589830:NUF589833 OEB589830:OEB589833 ONX589830:ONX589833 OXT589830:OXT589833 PHP589830:PHP589833 PRL589830:PRL589833 QBH589830:QBH589833 QLD589830:QLD589833 QUZ589830:QUZ589833 REV589830:REV589833 ROR589830:ROR589833 RYN589830:RYN589833 SIJ589830:SIJ589833 SSF589830:SSF589833 TCB589830:TCB589833 TLX589830:TLX589833 TVT589830:TVT589833 UFP589830:UFP589833 UPL589830:UPL589833 UZH589830:UZH589833 VJD589830:VJD589833 VSZ589830:VSZ589833 WCV589830:WCV589833 WMR589830:WMR589833 WWN589830:WWN589833 AF655366:AF655369 KB655366:KB655369 TX655366:TX655369 ADT655366:ADT655369 ANP655366:ANP655369 AXL655366:AXL655369 BHH655366:BHH655369 BRD655366:BRD655369 CAZ655366:CAZ655369 CKV655366:CKV655369 CUR655366:CUR655369 DEN655366:DEN655369 DOJ655366:DOJ655369 DYF655366:DYF655369 EIB655366:EIB655369 ERX655366:ERX655369 FBT655366:FBT655369 FLP655366:FLP655369 FVL655366:FVL655369 GFH655366:GFH655369 GPD655366:GPD655369 GYZ655366:GYZ655369 HIV655366:HIV655369 HSR655366:HSR655369 ICN655366:ICN655369 IMJ655366:IMJ655369 IWF655366:IWF655369 JGB655366:JGB655369 JPX655366:JPX655369 JZT655366:JZT655369 KJP655366:KJP655369 KTL655366:KTL655369 LDH655366:LDH655369 LND655366:LND655369 LWZ655366:LWZ655369 MGV655366:MGV655369 MQR655366:MQR655369 NAN655366:NAN655369 NKJ655366:NKJ655369 NUF655366:NUF655369 OEB655366:OEB655369 ONX655366:ONX655369 OXT655366:OXT655369 PHP655366:PHP655369 PRL655366:PRL655369 QBH655366:QBH655369 QLD655366:QLD655369 QUZ655366:QUZ655369 REV655366:REV655369 ROR655366:ROR655369 RYN655366:RYN655369 SIJ655366:SIJ655369 SSF655366:SSF655369 TCB655366:TCB655369 TLX655366:TLX655369 TVT655366:TVT655369 UFP655366:UFP655369 UPL655366:UPL655369 UZH655366:UZH655369 VJD655366:VJD655369 VSZ655366:VSZ655369 WCV655366:WCV655369 WMR655366:WMR655369 WWN655366:WWN655369 AF720902:AF720905 KB720902:KB720905 TX720902:TX720905 ADT720902:ADT720905 ANP720902:ANP720905 AXL720902:AXL720905 BHH720902:BHH720905 BRD720902:BRD720905 CAZ720902:CAZ720905 CKV720902:CKV720905 CUR720902:CUR720905 DEN720902:DEN720905 DOJ720902:DOJ720905 DYF720902:DYF720905 EIB720902:EIB720905 ERX720902:ERX720905 FBT720902:FBT720905 FLP720902:FLP720905 FVL720902:FVL720905 GFH720902:GFH720905 GPD720902:GPD720905 GYZ720902:GYZ720905 HIV720902:HIV720905 HSR720902:HSR720905 ICN720902:ICN720905 IMJ720902:IMJ720905 IWF720902:IWF720905 JGB720902:JGB720905 JPX720902:JPX720905 JZT720902:JZT720905 KJP720902:KJP720905 KTL720902:KTL720905 LDH720902:LDH720905 LND720902:LND720905 LWZ720902:LWZ720905 MGV720902:MGV720905 MQR720902:MQR720905 NAN720902:NAN720905 NKJ720902:NKJ720905 NUF720902:NUF720905 OEB720902:OEB720905 ONX720902:ONX720905 OXT720902:OXT720905 PHP720902:PHP720905 PRL720902:PRL720905 QBH720902:QBH720905 QLD720902:QLD720905 QUZ720902:QUZ720905 REV720902:REV720905 ROR720902:ROR720905 RYN720902:RYN720905 SIJ720902:SIJ720905 SSF720902:SSF720905 TCB720902:TCB720905 TLX720902:TLX720905 TVT720902:TVT720905 UFP720902:UFP720905 UPL720902:UPL720905 UZH720902:UZH720905 VJD720902:VJD720905 VSZ720902:VSZ720905 WCV720902:WCV720905 WMR720902:WMR720905 WWN720902:WWN720905 AF786438:AF786441 KB786438:KB786441 TX786438:TX786441 ADT786438:ADT786441 ANP786438:ANP786441 AXL786438:AXL786441 BHH786438:BHH786441 BRD786438:BRD786441 CAZ786438:CAZ786441 CKV786438:CKV786441 CUR786438:CUR786441 DEN786438:DEN786441 DOJ786438:DOJ786441 DYF786438:DYF786441 EIB786438:EIB786441 ERX786438:ERX786441 FBT786438:FBT786441 FLP786438:FLP786441 FVL786438:FVL786441 GFH786438:GFH786441 GPD786438:GPD786441 GYZ786438:GYZ786441 HIV786438:HIV786441 HSR786438:HSR786441 ICN786438:ICN786441 IMJ786438:IMJ786441 IWF786438:IWF786441 JGB786438:JGB786441 JPX786438:JPX786441 JZT786438:JZT786441 KJP786438:KJP786441 KTL786438:KTL786441 LDH786438:LDH786441 LND786438:LND786441 LWZ786438:LWZ786441 MGV786438:MGV786441 MQR786438:MQR786441 NAN786438:NAN786441 NKJ786438:NKJ786441 NUF786438:NUF786441 OEB786438:OEB786441 ONX786438:ONX786441 OXT786438:OXT786441 PHP786438:PHP786441 PRL786438:PRL786441 QBH786438:QBH786441 QLD786438:QLD786441 QUZ786438:QUZ786441 REV786438:REV786441 ROR786438:ROR786441 RYN786438:RYN786441 SIJ786438:SIJ786441 SSF786438:SSF786441 TCB786438:TCB786441 TLX786438:TLX786441 TVT786438:TVT786441 UFP786438:UFP786441 UPL786438:UPL786441 UZH786438:UZH786441 VJD786438:VJD786441 VSZ786438:VSZ786441 WCV786438:WCV786441 WMR786438:WMR786441 WWN786438:WWN786441 AF851974:AF851977 KB851974:KB851977 TX851974:TX851977 ADT851974:ADT851977 ANP851974:ANP851977 AXL851974:AXL851977 BHH851974:BHH851977 BRD851974:BRD851977 CAZ851974:CAZ851977 CKV851974:CKV851977 CUR851974:CUR851977 DEN851974:DEN851977 DOJ851974:DOJ851977 DYF851974:DYF851977 EIB851974:EIB851977 ERX851974:ERX851977 FBT851974:FBT851977 FLP851974:FLP851977 FVL851974:FVL851977 GFH851974:GFH851977 GPD851974:GPD851977 GYZ851974:GYZ851977 HIV851974:HIV851977 HSR851974:HSR851977 ICN851974:ICN851977 IMJ851974:IMJ851977 IWF851974:IWF851977 JGB851974:JGB851977 JPX851974:JPX851977 JZT851974:JZT851977 KJP851974:KJP851977 KTL851974:KTL851977 LDH851974:LDH851977 LND851974:LND851977 LWZ851974:LWZ851977 MGV851974:MGV851977 MQR851974:MQR851977 NAN851974:NAN851977 NKJ851974:NKJ851977 NUF851974:NUF851977 OEB851974:OEB851977 ONX851974:ONX851977 OXT851974:OXT851977 PHP851974:PHP851977 PRL851974:PRL851977 QBH851974:QBH851977 QLD851974:QLD851977 QUZ851974:QUZ851977 REV851974:REV851977 ROR851974:ROR851977 RYN851974:RYN851977 SIJ851974:SIJ851977 SSF851974:SSF851977 TCB851974:TCB851977 TLX851974:TLX851977 TVT851974:TVT851977 UFP851974:UFP851977 UPL851974:UPL851977 UZH851974:UZH851977 VJD851974:VJD851977 VSZ851974:VSZ851977 WCV851974:WCV851977 WMR851974:WMR851977 WWN851974:WWN851977 AF917510:AF917513 KB917510:KB917513 TX917510:TX917513 ADT917510:ADT917513 ANP917510:ANP917513 AXL917510:AXL917513 BHH917510:BHH917513 BRD917510:BRD917513 CAZ917510:CAZ917513 CKV917510:CKV917513 CUR917510:CUR917513 DEN917510:DEN917513 DOJ917510:DOJ917513 DYF917510:DYF917513 EIB917510:EIB917513 ERX917510:ERX917513 FBT917510:FBT917513 FLP917510:FLP917513 FVL917510:FVL917513 GFH917510:GFH917513 GPD917510:GPD917513 GYZ917510:GYZ917513 HIV917510:HIV917513 HSR917510:HSR917513 ICN917510:ICN917513 IMJ917510:IMJ917513 IWF917510:IWF917513 JGB917510:JGB917513 JPX917510:JPX917513 JZT917510:JZT917513 KJP917510:KJP917513 KTL917510:KTL917513 LDH917510:LDH917513 LND917510:LND917513 LWZ917510:LWZ917513 MGV917510:MGV917513 MQR917510:MQR917513 NAN917510:NAN917513 NKJ917510:NKJ917513 NUF917510:NUF917513 OEB917510:OEB917513 ONX917510:ONX917513 OXT917510:OXT917513 PHP917510:PHP917513 PRL917510:PRL917513 QBH917510:QBH917513 QLD917510:QLD917513 QUZ917510:QUZ917513 REV917510:REV917513 ROR917510:ROR917513 RYN917510:RYN917513 SIJ917510:SIJ917513 SSF917510:SSF917513 TCB917510:TCB917513 TLX917510:TLX917513 TVT917510:TVT917513 UFP917510:UFP917513 UPL917510:UPL917513 UZH917510:UZH917513 VJD917510:VJD917513 VSZ917510:VSZ917513 WCV917510:WCV917513 WMR917510:WMR917513 WWN917510:WWN917513 AF983046:AF983049 KB983046:KB983049 TX983046:TX983049 ADT983046:ADT983049 ANP983046:ANP983049 AXL983046:AXL983049 BHH983046:BHH983049 BRD983046:BRD983049 CAZ983046:CAZ983049 CKV983046:CKV983049 CUR983046:CUR983049 DEN983046:DEN983049 DOJ983046:DOJ983049 DYF983046:DYF983049 EIB983046:EIB983049 ERX983046:ERX983049 FBT983046:FBT983049 FLP983046:FLP983049 FVL983046:FVL983049 GFH983046:GFH983049 GPD983046:GPD983049 GYZ983046:GYZ983049 HIV983046:HIV983049 HSR983046:HSR983049 ICN983046:ICN983049 IMJ983046:IMJ983049 IWF983046:IWF983049 JGB983046:JGB983049 JPX983046:JPX983049 JZT983046:JZT983049 KJP983046:KJP983049 KTL983046:KTL983049 LDH983046:LDH983049 LND983046:LND983049 LWZ983046:LWZ983049 MGV983046:MGV983049 MQR983046:MQR983049 NAN983046:NAN983049 NKJ983046:NKJ983049 NUF983046:NUF983049 OEB983046:OEB983049 ONX983046:ONX983049 OXT983046:OXT983049 PHP983046:PHP983049 PRL983046:PRL983049 QBH983046:QBH983049 QLD983046:QLD983049 QUZ983046:QUZ983049 REV983046:REV983049 ROR983046:ROR983049 RYN983046:RYN983049 SIJ983046:SIJ983049 SSF983046:SSF983049 TCB983046:TCB983049 TLX983046:TLX983049 TVT983046:TVT983049 UFP983046:UFP983049 UPL983046:UPL983049 UZH983046:UZH983049 VJD983046:VJD983049 VSZ983046:VSZ983049 WCV983046:WCV983049 WMR983046:WMR983049 WWN983046:WWN983049">
      <formula1>$AJ$1:$AJ$4</formula1>
    </dataValidation>
    <dataValidation type="list" allowBlank="1" showInputMessage="1" showErrorMessage="1" sqref="JE8:JE9 WVQ983046:WVQ983049 WLU983046:WLU983049 WBY983046:WBY983049 VSC983046:VSC983049 VIG983046:VIG983049 UYK983046:UYK983049 UOO983046:UOO983049 UES983046:UES983049 TUW983046:TUW983049 TLA983046:TLA983049 TBE983046:TBE983049 SRI983046:SRI983049 SHM983046:SHM983049 RXQ983046:RXQ983049 RNU983046:RNU983049 RDY983046:RDY983049 QUC983046:QUC983049 QKG983046:QKG983049 QAK983046:QAK983049 PQO983046:PQO983049 PGS983046:PGS983049 OWW983046:OWW983049 ONA983046:ONA983049 ODE983046:ODE983049 NTI983046:NTI983049 NJM983046:NJM983049 MZQ983046:MZQ983049 MPU983046:MPU983049 MFY983046:MFY983049 LWC983046:LWC983049 LMG983046:LMG983049 LCK983046:LCK983049 KSO983046:KSO983049 KIS983046:KIS983049 JYW983046:JYW983049 JPA983046:JPA983049 JFE983046:JFE983049 IVI983046:IVI983049 ILM983046:ILM983049 IBQ983046:IBQ983049 HRU983046:HRU983049 HHY983046:HHY983049 GYC983046:GYC983049 GOG983046:GOG983049 GEK983046:GEK983049 FUO983046:FUO983049 FKS983046:FKS983049 FAW983046:FAW983049 ERA983046:ERA983049 EHE983046:EHE983049 DXI983046:DXI983049 DNM983046:DNM983049 DDQ983046:DDQ983049 CTU983046:CTU983049 CJY983046:CJY983049 CAC983046:CAC983049 BQG983046:BQG983049 BGK983046:BGK983049 AWO983046:AWO983049 AMS983046:AMS983049 ACW983046:ACW983049 TA983046:TA983049 JE983046:JE983049 I983046:I983049 WVQ917510:WVQ917513 WLU917510:WLU917513 WBY917510:WBY917513 VSC917510:VSC917513 VIG917510:VIG917513 UYK917510:UYK917513 UOO917510:UOO917513 UES917510:UES917513 TUW917510:TUW917513 TLA917510:TLA917513 TBE917510:TBE917513 SRI917510:SRI917513 SHM917510:SHM917513 RXQ917510:RXQ917513 RNU917510:RNU917513 RDY917510:RDY917513 QUC917510:QUC917513 QKG917510:QKG917513 QAK917510:QAK917513 PQO917510:PQO917513 PGS917510:PGS917513 OWW917510:OWW917513 ONA917510:ONA917513 ODE917510:ODE917513 NTI917510:NTI917513 NJM917510:NJM917513 MZQ917510:MZQ917513 MPU917510:MPU917513 MFY917510:MFY917513 LWC917510:LWC917513 LMG917510:LMG917513 LCK917510:LCK917513 KSO917510:KSO917513 KIS917510:KIS917513 JYW917510:JYW917513 JPA917510:JPA917513 JFE917510:JFE917513 IVI917510:IVI917513 ILM917510:ILM917513 IBQ917510:IBQ917513 HRU917510:HRU917513 HHY917510:HHY917513 GYC917510:GYC917513 GOG917510:GOG917513 GEK917510:GEK917513 FUO917510:FUO917513 FKS917510:FKS917513 FAW917510:FAW917513 ERA917510:ERA917513 EHE917510:EHE917513 DXI917510:DXI917513 DNM917510:DNM917513 DDQ917510:DDQ917513 CTU917510:CTU917513 CJY917510:CJY917513 CAC917510:CAC917513 BQG917510:BQG917513 BGK917510:BGK917513 AWO917510:AWO917513 AMS917510:AMS917513 ACW917510:ACW917513 TA917510:TA917513 JE917510:JE917513 I917510:I917513 WVQ851974:WVQ851977 WLU851974:WLU851977 WBY851974:WBY851977 VSC851974:VSC851977 VIG851974:VIG851977 UYK851974:UYK851977 UOO851974:UOO851977 UES851974:UES851977 TUW851974:TUW851977 TLA851974:TLA851977 TBE851974:TBE851977 SRI851974:SRI851977 SHM851974:SHM851977 RXQ851974:RXQ851977 RNU851974:RNU851977 RDY851974:RDY851977 QUC851974:QUC851977 QKG851974:QKG851977 QAK851974:QAK851977 PQO851974:PQO851977 PGS851974:PGS851977 OWW851974:OWW851977 ONA851974:ONA851977 ODE851974:ODE851977 NTI851974:NTI851977 NJM851974:NJM851977 MZQ851974:MZQ851977 MPU851974:MPU851977 MFY851974:MFY851977 LWC851974:LWC851977 LMG851974:LMG851977 LCK851974:LCK851977 KSO851974:KSO851977 KIS851974:KIS851977 JYW851974:JYW851977 JPA851974:JPA851977 JFE851974:JFE851977 IVI851974:IVI851977 ILM851974:ILM851977 IBQ851974:IBQ851977 HRU851974:HRU851977 HHY851974:HHY851977 GYC851974:GYC851977 GOG851974:GOG851977 GEK851974:GEK851977 FUO851974:FUO851977 FKS851974:FKS851977 FAW851974:FAW851977 ERA851974:ERA851977 EHE851974:EHE851977 DXI851974:DXI851977 DNM851974:DNM851977 DDQ851974:DDQ851977 CTU851974:CTU851977 CJY851974:CJY851977 CAC851974:CAC851977 BQG851974:BQG851977 BGK851974:BGK851977 AWO851974:AWO851977 AMS851974:AMS851977 ACW851974:ACW851977 TA851974:TA851977 JE851974:JE851977 I851974:I851977 WVQ786438:WVQ786441 WLU786438:WLU786441 WBY786438:WBY786441 VSC786438:VSC786441 VIG786438:VIG786441 UYK786438:UYK786441 UOO786438:UOO786441 UES786438:UES786441 TUW786438:TUW786441 TLA786438:TLA786441 TBE786438:TBE786441 SRI786438:SRI786441 SHM786438:SHM786441 RXQ786438:RXQ786441 RNU786438:RNU786441 RDY786438:RDY786441 QUC786438:QUC786441 QKG786438:QKG786441 QAK786438:QAK786441 PQO786438:PQO786441 PGS786438:PGS786441 OWW786438:OWW786441 ONA786438:ONA786441 ODE786438:ODE786441 NTI786438:NTI786441 NJM786438:NJM786441 MZQ786438:MZQ786441 MPU786438:MPU786441 MFY786438:MFY786441 LWC786438:LWC786441 LMG786438:LMG786441 LCK786438:LCK786441 KSO786438:KSO786441 KIS786438:KIS786441 JYW786438:JYW786441 JPA786438:JPA786441 JFE786438:JFE786441 IVI786438:IVI786441 ILM786438:ILM786441 IBQ786438:IBQ786441 HRU786438:HRU786441 HHY786438:HHY786441 GYC786438:GYC786441 GOG786438:GOG786441 GEK786438:GEK786441 FUO786438:FUO786441 FKS786438:FKS786441 FAW786438:FAW786441 ERA786438:ERA786441 EHE786438:EHE786441 DXI786438:DXI786441 DNM786438:DNM786441 DDQ786438:DDQ786441 CTU786438:CTU786441 CJY786438:CJY786441 CAC786438:CAC786441 BQG786438:BQG786441 BGK786438:BGK786441 AWO786438:AWO786441 AMS786438:AMS786441 ACW786438:ACW786441 TA786438:TA786441 JE786438:JE786441 I786438:I786441 WVQ720902:WVQ720905 WLU720902:WLU720905 WBY720902:WBY720905 VSC720902:VSC720905 VIG720902:VIG720905 UYK720902:UYK720905 UOO720902:UOO720905 UES720902:UES720905 TUW720902:TUW720905 TLA720902:TLA720905 TBE720902:TBE720905 SRI720902:SRI720905 SHM720902:SHM720905 RXQ720902:RXQ720905 RNU720902:RNU720905 RDY720902:RDY720905 QUC720902:QUC720905 QKG720902:QKG720905 QAK720902:QAK720905 PQO720902:PQO720905 PGS720902:PGS720905 OWW720902:OWW720905 ONA720902:ONA720905 ODE720902:ODE720905 NTI720902:NTI720905 NJM720902:NJM720905 MZQ720902:MZQ720905 MPU720902:MPU720905 MFY720902:MFY720905 LWC720902:LWC720905 LMG720902:LMG720905 LCK720902:LCK720905 KSO720902:KSO720905 KIS720902:KIS720905 JYW720902:JYW720905 JPA720902:JPA720905 JFE720902:JFE720905 IVI720902:IVI720905 ILM720902:ILM720905 IBQ720902:IBQ720905 HRU720902:HRU720905 HHY720902:HHY720905 GYC720902:GYC720905 GOG720902:GOG720905 GEK720902:GEK720905 FUO720902:FUO720905 FKS720902:FKS720905 FAW720902:FAW720905 ERA720902:ERA720905 EHE720902:EHE720905 DXI720902:DXI720905 DNM720902:DNM720905 DDQ720902:DDQ720905 CTU720902:CTU720905 CJY720902:CJY720905 CAC720902:CAC720905 BQG720902:BQG720905 BGK720902:BGK720905 AWO720902:AWO720905 AMS720902:AMS720905 ACW720902:ACW720905 TA720902:TA720905 JE720902:JE720905 I720902:I720905 WVQ655366:WVQ655369 WLU655366:WLU655369 WBY655366:WBY655369 VSC655366:VSC655369 VIG655366:VIG655369 UYK655366:UYK655369 UOO655366:UOO655369 UES655366:UES655369 TUW655366:TUW655369 TLA655366:TLA655369 TBE655366:TBE655369 SRI655366:SRI655369 SHM655366:SHM655369 RXQ655366:RXQ655369 RNU655366:RNU655369 RDY655366:RDY655369 QUC655366:QUC655369 QKG655366:QKG655369 QAK655366:QAK655369 PQO655366:PQO655369 PGS655366:PGS655369 OWW655366:OWW655369 ONA655366:ONA655369 ODE655366:ODE655369 NTI655366:NTI655369 NJM655366:NJM655369 MZQ655366:MZQ655369 MPU655366:MPU655369 MFY655366:MFY655369 LWC655366:LWC655369 LMG655366:LMG655369 LCK655366:LCK655369 KSO655366:KSO655369 KIS655366:KIS655369 JYW655366:JYW655369 JPA655366:JPA655369 JFE655366:JFE655369 IVI655366:IVI655369 ILM655366:ILM655369 IBQ655366:IBQ655369 HRU655366:HRU655369 HHY655366:HHY655369 GYC655366:GYC655369 GOG655366:GOG655369 GEK655366:GEK655369 FUO655366:FUO655369 FKS655366:FKS655369 FAW655366:FAW655369 ERA655366:ERA655369 EHE655366:EHE655369 DXI655366:DXI655369 DNM655366:DNM655369 DDQ655366:DDQ655369 CTU655366:CTU655369 CJY655366:CJY655369 CAC655366:CAC655369 BQG655366:BQG655369 BGK655366:BGK655369 AWO655366:AWO655369 AMS655366:AMS655369 ACW655366:ACW655369 TA655366:TA655369 JE655366:JE655369 I655366:I655369 WVQ589830:WVQ589833 WLU589830:WLU589833 WBY589830:WBY589833 VSC589830:VSC589833 VIG589830:VIG589833 UYK589830:UYK589833 UOO589830:UOO589833 UES589830:UES589833 TUW589830:TUW589833 TLA589830:TLA589833 TBE589830:TBE589833 SRI589830:SRI589833 SHM589830:SHM589833 RXQ589830:RXQ589833 RNU589830:RNU589833 RDY589830:RDY589833 QUC589830:QUC589833 QKG589830:QKG589833 QAK589830:QAK589833 PQO589830:PQO589833 PGS589830:PGS589833 OWW589830:OWW589833 ONA589830:ONA589833 ODE589830:ODE589833 NTI589830:NTI589833 NJM589830:NJM589833 MZQ589830:MZQ589833 MPU589830:MPU589833 MFY589830:MFY589833 LWC589830:LWC589833 LMG589830:LMG589833 LCK589830:LCK589833 KSO589830:KSO589833 KIS589830:KIS589833 JYW589830:JYW589833 JPA589830:JPA589833 JFE589830:JFE589833 IVI589830:IVI589833 ILM589830:ILM589833 IBQ589830:IBQ589833 HRU589830:HRU589833 HHY589830:HHY589833 GYC589830:GYC589833 GOG589830:GOG589833 GEK589830:GEK589833 FUO589830:FUO589833 FKS589830:FKS589833 FAW589830:FAW589833 ERA589830:ERA589833 EHE589830:EHE589833 DXI589830:DXI589833 DNM589830:DNM589833 DDQ589830:DDQ589833 CTU589830:CTU589833 CJY589830:CJY589833 CAC589830:CAC589833 BQG589830:BQG589833 BGK589830:BGK589833 AWO589830:AWO589833 AMS589830:AMS589833 ACW589830:ACW589833 TA589830:TA589833 JE589830:JE589833 I589830:I589833 WVQ524294:WVQ524297 WLU524294:WLU524297 WBY524294:WBY524297 VSC524294:VSC524297 VIG524294:VIG524297 UYK524294:UYK524297 UOO524294:UOO524297 UES524294:UES524297 TUW524294:TUW524297 TLA524294:TLA524297 TBE524294:TBE524297 SRI524294:SRI524297 SHM524294:SHM524297 RXQ524294:RXQ524297 RNU524294:RNU524297 RDY524294:RDY524297 QUC524294:QUC524297 QKG524294:QKG524297 QAK524294:QAK524297 PQO524294:PQO524297 PGS524294:PGS524297 OWW524294:OWW524297 ONA524294:ONA524297 ODE524294:ODE524297 NTI524294:NTI524297 NJM524294:NJM524297 MZQ524294:MZQ524297 MPU524294:MPU524297 MFY524294:MFY524297 LWC524294:LWC524297 LMG524294:LMG524297 LCK524294:LCK524297 KSO524294:KSO524297 KIS524294:KIS524297 JYW524294:JYW524297 JPA524294:JPA524297 JFE524294:JFE524297 IVI524294:IVI524297 ILM524294:ILM524297 IBQ524294:IBQ524297 HRU524294:HRU524297 HHY524294:HHY524297 GYC524294:GYC524297 GOG524294:GOG524297 GEK524294:GEK524297 FUO524294:FUO524297 FKS524294:FKS524297 FAW524294:FAW524297 ERA524294:ERA524297 EHE524294:EHE524297 DXI524294:DXI524297 DNM524294:DNM524297 DDQ524294:DDQ524297 CTU524294:CTU524297 CJY524294:CJY524297 CAC524294:CAC524297 BQG524294:BQG524297 BGK524294:BGK524297 AWO524294:AWO524297 AMS524294:AMS524297 ACW524294:ACW524297 TA524294:TA524297 JE524294:JE524297 I524294:I524297 WVQ458758:WVQ458761 WLU458758:WLU458761 WBY458758:WBY458761 VSC458758:VSC458761 VIG458758:VIG458761 UYK458758:UYK458761 UOO458758:UOO458761 UES458758:UES458761 TUW458758:TUW458761 TLA458758:TLA458761 TBE458758:TBE458761 SRI458758:SRI458761 SHM458758:SHM458761 RXQ458758:RXQ458761 RNU458758:RNU458761 RDY458758:RDY458761 QUC458758:QUC458761 QKG458758:QKG458761 QAK458758:QAK458761 PQO458758:PQO458761 PGS458758:PGS458761 OWW458758:OWW458761 ONA458758:ONA458761 ODE458758:ODE458761 NTI458758:NTI458761 NJM458758:NJM458761 MZQ458758:MZQ458761 MPU458758:MPU458761 MFY458758:MFY458761 LWC458758:LWC458761 LMG458758:LMG458761 LCK458758:LCK458761 KSO458758:KSO458761 KIS458758:KIS458761 JYW458758:JYW458761 JPA458758:JPA458761 JFE458758:JFE458761 IVI458758:IVI458761 ILM458758:ILM458761 IBQ458758:IBQ458761 HRU458758:HRU458761 HHY458758:HHY458761 GYC458758:GYC458761 GOG458758:GOG458761 GEK458758:GEK458761 FUO458758:FUO458761 FKS458758:FKS458761 FAW458758:FAW458761 ERA458758:ERA458761 EHE458758:EHE458761 DXI458758:DXI458761 DNM458758:DNM458761 DDQ458758:DDQ458761 CTU458758:CTU458761 CJY458758:CJY458761 CAC458758:CAC458761 BQG458758:BQG458761 BGK458758:BGK458761 AWO458758:AWO458761 AMS458758:AMS458761 ACW458758:ACW458761 TA458758:TA458761 JE458758:JE458761 I458758:I458761 WVQ393222:WVQ393225 WLU393222:WLU393225 WBY393222:WBY393225 VSC393222:VSC393225 VIG393222:VIG393225 UYK393222:UYK393225 UOO393222:UOO393225 UES393222:UES393225 TUW393222:TUW393225 TLA393222:TLA393225 TBE393222:TBE393225 SRI393222:SRI393225 SHM393222:SHM393225 RXQ393222:RXQ393225 RNU393222:RNU393225 RDY393222:RDY393225 QUC393222:QUC393225 QKG393222:QKG393225 QAK393222:QAK393225 PQO393222:PQO393225 PGS393222:PGS393225 OWW393222:OWW393225 ONA393222:ONA393225 ODE393222:ODE393225 NTI393222:NTI393225 NJM393222:NJM393225 MZQ393222:MZQ393225 MPU393222:MPU393225 MFY393222:MFY393225 LWC393222:LWC393225 LMG393222:LMG393225 LCK393222:LCK393225 KSO393222:KSO393225 KIS393222:KIS393225 JYW393222:JYW393225 JPA393222:JPA393225 JFE393222:JFE393225 IVI393222:IVI393225 ILM393222:ILM393225 IBQ393222:IBQ393225 HRU393222:HRU393225 HHY393222:HHY393225 GYC393222:GYC393225 GOG393222:GOG393225 GEK393222:GEK393225 FUO393222:FUO393225 FKS393222:FKS393225 FAW393222:FAW393225 ERA393222:ERA393225 EHE393222:EHE393225 DXI393222:DXI393225 DNM393222:DNM393225 DDQ393222:DDQ393225 CTU393222:CTU393225 CJY393222:CJY393225 CAC393222:CAC393225 BQG393222:BQG393225 BGK393222:BGK393225 AWO393222:AWO393225 AMS393222:AMS393225 ACW393222:ACW393225 TA393222:TA393225 JE393222:JE393225 I393222:I393225 WVQ327686:WVQ327689 WLU327686:WLU327689 WBY327686:WBY327689 VSC327686:VSC327689 VIG327686:VIG327689 UYK327686:UYK327689 UOO327686:UOO327689 UES327686:UES327689 TUW327686:TUW327689 TLA327686:TLA327689 TBE327686:TBE327689 SRI327686:SRI327689 SHM327686:SHM327689 RXQ327686:RXQ327689 RNU327686:RNU327689 RDY327686:RDY327689 QUC327686:QUC327689 QKG327686:QKG327689 QAK327686:QAK327689 PQO327686:PQO327689 PGS327686:PGS327689 OWW327686:OWW327689 ONA327686:ONA327689 ODE327686:ODE327689 NTI327686:NTI327689 NJM327686:NJM327689 MZQ327686:MZQ327689 MPU327686:MPU327689 MFY327686:MFY327689 LWC327686:LWC327689 LMG327686:LMG327689 LCK327686:LCK327689 KSO327686:KSO327689 KIS327686:KIS327689 JYW327686:JYW327689 JPA327686:JPA327689 JFE327686:JFE327689 IVI327686:IVI327689 ILM327686:ILM327689 IBQ327686:IBQ327689 HRU327686:HRU327689 HHY327686:HHY327689 GYC327686:GYC327689 GOG327686:GOG327689 GEK327686:GEK327689 FUO327686:FUO327689 FKS327686:FKS327689 FAW327686:FAW327689 ERA327686:ERA327689 EHE327686:EHE327689 DXI327686:DXI327689 DNM327686:DNM327689 DDQ327686:DDQ327689 CTU327686:CTU327689 CJY327686:CJY327689 CAC327686:CAC327689 BQG327686:BQG327689 BGK327686:BGK327689 AWO327686:AWO327689 AMS327686:AMS327689 ACW327686:ACW327689 TA327686:TA327689 JE327686:JE327689 I327686:I327689 WVQ262150:WVQ262153 WLU262150:WLU262153 WBY262150:WBY262153 VSC262150:VSC262153 VIG262150:VIG262153 UYK262150:UYK262153 UOO262150:UOO262153 UES262150:UES262153 TUW262150:TUW262153 TLA262150:TLA262153 TBE262150:TBE262153 SRI262150:SRI262153 SHM262150:SHM262153 RXQ262150:RXQ262153 RNU262150:RNU262153 RDY262150:RDY262153 QUC262150:QUC262153 QKG262150:QKG262153 QAK262150:QAK262153 PQO262150:PQO262153 PGS262150:PGS262153 OWW262150:OWW262153 ONA262150:ONA262153 ODE262150:ODE262153 NTI262150:NTI262153 NJM262150:NJM262153 MZQ262150:MZQ262153 MPU262150:MPU262153 MFY262150:MFY262153 LWC262150:LWC262153 LMG262150:LMG262153 LCK262150:LCK262153 KSO262150:KSO262153 KIS262150:KIS262153 JYW262150:JYW262153 JPA262150:JPA262153 JFE262150:JFE262153 IVI262150:IVI262153 ILM262150:ILM262153 IBQ262150:IBQ262153 HRU262150:HRU262153 HHY262150:HHY262153 GYC262150:GYC262153 GOG262150:GOG262153 GEK262150:GEK262153 FUO262150:FUO262153 FKS262150:FKS262153 FAW262150:FAW262153 ERA262150:ERA262153 EHE262150:EHE262153 DXI262150:DXI262153 DNM262150:DNM262153 DDQ262150:DDQ262153 CTU262150:CTU262153 CJY262150:CJY262153 CAC262150:CAC262153 BQG262150:BQG262153 BGK262150:BGK262153 AWO262150:AWO262153 AMS262150:AMS262153 ACW262150:ACW262153 TA262150:TA262153 JE262150:JE262153 I262150:I262153 WVQ196614:WVQ196617 WLU196614:WLU196617 WBY196614:WBY196617 VSC196614:VSC196617 VIG196614:VIG196617 UYK196614:UYK196617 UOO196614:UOO196617 UES196614:UES196617 TUW196614:TUW196617 TLA196614:TLA196617 TBE196614:TBE196617 SRI196614:SRI196617 SHM196614:SHM196617 RXQ196614:RXQ196617 RNU196614:RNU196617 RDY196614:RDY196617 QUC196614:QUC196617 QKG196614:QKG196617 QAK196614:QAK196617 PQO196614:PQO196617 PGS196614:PGS196617 OWW196614:OWW196617 ONA196614:ONA196617 ODE196614:ODE196617 NTI196614:NTI196617 NJM196614:NJM196617 MZQ196614:MZQ196617 MPU196614:MPU196617 MFY196614:MFY196617 LWC196614:LWC196617 LMG196614:LMG196617 LCK196614:LCK196617 KSO196614:KSO196617 KIS196614:KIS196617 JYW196614:JYW196617 JPA196614:JPA196617 JFE196614:JFE196617 IVI196614:IVI196617 ILM196614:ILM196617 IBQ196614:IBQ196617 HRU196614:HRU196617 HHY196614:HHY196617 GYC196614:GYC196617 GOG196614:GOG196617 GEK196614:GEK196617 FUO196614:FUO196617 FKS196614:FKS196617 FAW196614:FAW196617 ERA196614:ERA196617 EHE196614:EHE196617 DXI196614:DXI196617 DNM196614:DNM196617 DDQ196614:DDQ196617 CTU196614:CTU196617 CJY196614:CJY196617 CAC196614:CAC196617 BQG196614:BQG196617 BGK196614:BGK196617 AWO196614:AWO196617 AMS196614:AMS196617 ACW196614:ACW196617 TA196614:TA196617 JE196614:JE196617 I196614:I196617 WVQ131078:WVQ131081 WLU131078:WLU131081 WBY131078:WBY131081 VSC131078:VSC131081 VIG131078:VIG131081 UYK131078:UYK131081 UOO131078:UOO131081 UES131078:UES131081 TUW131078:TUW131081 TLA131078:TLA131081 TBE131078:TBE131081 SRI131078:SRI131081 SHM131078:SHM131081 RXQ131078:RXQ131081 RNU131078:RNU131081 RDY131078:RDY131081 QUC131078:QUC131081 QKG131078:QKG131081 QAK131078:QAK131081 PQO131078:PQO131081 PGS131078:PGS131081 OWW131078:OWW131081 ONA131078:ONA131081 ODE131078:ODE131081 NTI131078:NTI131081 NJM131078:NJM131081 MZQ131078:MZQ131081 MPU131078:MPU131081 MFY131078:MFY131081 LWC131078:LWC131081 LMG131078:LMG131081 LCK131078:LCK131081 KSO131078:KSO131081 KIS131078:KIS131081 JYW131078:JYW131081 JPA131078:JPA131081 JFE131078:JFE131081 IVI131078:IVI131081 ILM131078:ILM131081 IBQ131078:IBQ131081 HRU131078:HRU131081 HHY131078:HHY131081 GYC131078:GYC131081 GOG131078:GOG131081 GEK131078:GEK131081 FUO131078:FUO131081 FKS131078:FKS131081 FAW131078:FAW131081 ERA131078:ERA131081 EHE131078:EHE131081 DXI131078:DXI131081 DNM131078:DNM131081 DDQ131078:DDQ131081 CTU131078:CTU131081 CJY131078:CJY131081 CAC131078:CAC131081 BQG131078:BQG131081 BGK131078:BGK131081 AWO131078:AWO131081 AMS131078:AMS131081 ACW131078:ACW131081 TA131078:TA131081 JE131078:JE131081 I131078:I131081 WVQ65542:WVQ65545 WLU65542:WLU65545 WBY65542:WBY65545 VSC65542:VSC65545 VIG65542:VIG65545 UYK65542:UYK65545 UOO65542:UOO65545 UES65542:UES65545 TUW65542:TUW65545 TLA65542:TLA65545 TBE65542:TBE65545 SRI65542:SRI65545 SHM65542:SHM65545 RXQ65542:RXQ65545 RNU65542:RNU65545 RDY65542:RDY65545 QUC65542:QUC65545 QKG65542:QKG65545 QAK65542:QAK65545 PQO65542:PQO65545 PGS65542:PGS65545 OWW65542:OWW65545 ONA65542:ONA65545 ODE65542:ODE65545 NTI65542:NTI65545 NJM65542:NJM65545 MZQ65542:MZQ65545 MPU65542:MPU65545 MFY65542:MFY65545 LWC65542:LWC65545 LMG65542:LMG65545 LCK65542:LCK65545 KSO65542:KSO65545 KIS65542:KIS65545 JYW65542:JYW65545 JPA65542:JPA65545 JFE65542:JFE65545 IVI65542:IVI65545 ILM65542:ILM65545 IBQ65542:IBQ65545 HRU65542:HRU65545 HHY65542:HHY65545 GYC65542:GYC65545 GOG65542:GOG65545 GEK65542:GEK65545 FUO65542:FUO65545 FKS65542:FKS65545 FAW65542:FAW65545 ERA65542:ERA65545 EHE65542:EHE65545 DXI65542:DXI65545 DNM65542:DNM65545 DDQ65542:DDQ65545 CTU65542:CTU65545 CJY65542:CJY65545 CAC65542:CAC65545 BQG65542:BQG65545 BGK65542:BGK65545 AWO65542:AWO65545 AMS65542:AMS65545 ACW65542:ACW65545 TA65542:TA65545 JE65542:JE65545 I65542:I65545 WVQ8:WVQ9 WLU8:WLU9 WBY8:WBY9 VSC8:VSC9 VIG8:VIG9 UYK8:UYK9 UOO8:UOO9 UES8:UES9 TUW8:TUW9 TLA8:TLA9 TBE8:TBE9 SRI8:SRI9 SHM8:SHM9 RXQ8:RXQ9 RNU8:RNU9 RDY8:RDY9 QUC8:QUC9 QKG8:QKG9 QAK8:QAK9 PQO8:PQO9 PGS8:PGS9 OWW8:OWW9 ONA8:ONA9 ODE8:ODE9 NTI8:NTI9 NJM8:NJM9 MZQ8:MZQ9 MPU8:MPU9 MFY8:MFY9 LWC8:LWC9 LMG8:LMG9 LCK8:LCK9 KSO8:KSO9 KIS8:KIS9 JYW8:JYW9 JPA8:JPA9 JFE8:JFE9 IVI8:IVI9 ILM8:ILM9 IBQ8:IBQ9 HRU8:HRU9 HHY8:HHY9 GYC8:GYC9 GOG8:GOG9 GEK8:GEK9 FUO8:FUO9 FKS8:FKS9 FAW8:FAW9 ERA8:ERA9 EHE8:EHE9 DXI8:DXI9 DNM8:DNM9 DDQ8:DDQ9 CTU8:CTU9 CJY8:CJY9 CAC8:CAC9 BQG8:BQG9 BGK8:BGK9 AWO8:AWO9 AMS8:AMS9 ACW8:ACW9 TA8:TA9 I8">
      <formula1>$X$19:$X$20</formula1>
    </dataValidation>
    <dataValidation type="list" allowBlank="1" showInputMessage="1" showErrorMessage="1" sqref="JC8:JC9 WVO983046:WVO983049 WLS983046:WLS983049 WBW983046:WBW983049 VSA983046:VSA983049 VIE983046:VIE983049 UYI983046:UYI983049 UOM983046:UOM983049 UEQ983046:UEQ983049 TUU983046:TUU983049 TKY983046:TKY983049 TBC983046:TBC983049 SRG983046:SRG983049 SHK983046:SHK983049 RXO983046:RXO983049 RNS983046:RNS983049 RDW983046:RDW983049 QUA983046:QUA983049 QKE983046:QKE983049 QAI983046:QAI983049 PQM983046:PQM983049 PGQ983046:PGQ983049 OWU983046:OWU983049 OMY983046:OMY983049 ODC983046:ODC983049 NTG983046:NTG983049 NJK983046:NJK983049 MZO983046:MZO983049 MPS983046:MPS983049 MFW983046:MFW983049 LWA983046:LWA983049 LME983046:LME983049 LCI983046:LCI983049 KSM983046:KSM983049 KIQ983046:KIQ983049 JYU983046:JYU983049 JOY983046:JOY983049 JFC983046:JFC983049 IVG983046:IVG983049 ILK983046:ILK983049 IBO983046:IBO983049 HRS983046:HRS983049 HHW983046:HHW983049 GYA983046:GYA983049 GOE983046:GOE983049 GEI983046:GEI983049 FUM983046:FUM983049 FKQ983046:FKQ983049 FAU983046:FAU983049 EQY983046:EQY983049 EHC983046:EHC983049 DXG983046:DXG983049 DNK983046:DNK983049 DDO983046:DDO983049 CTS983046:CTS983049 CJW983046:CJW983049 CAA983046:CAA983049 BQE983046:BQE983049 BGI983046:BGI983049 AWM983046:AWM983049 AMQ983046:AMQ983049 ACU983046:ACU983049 SY983046:SY983049 JC983046:JC983049 G983046:G983049 WVO917510:WVO917513 WLS917510:WLS917513 WBW917510:WBW917513 VSA917510:VSA917513 VIE917510:VIE917513 UYI917510:UYI917513 UOM917510:UOM917513 UEQ917510:UEQ917513 TUU917510:TUU917513 TKY917510:TKY917513 TBC917510:TBC917513 SRG917510:SRG917513 SHK917510:SHK917513 RXO917510:RXO917513 RNS917510:RNS917513 RDW917510:RDW917513 QUA917510:QUA917513 QKE917510:QKE917513 QAI917510:QAI917513 PQM917510:PQM917513 PGQ917510:PGQ917513 OWU917510:OWU917513 OMY917510:OMY917513 ODC917510:ODC917513 NTG917510:NTG917513 NJK917510:NJK917513 MZO917510:MZO917513 MPS917510:MPS917513 MFW917510:MFW917513 LWA917510:LWA917513 LME917510:LME917513 LCI917510:LCI917513 KSM917510:KSM917513 KIQ917510:KIQ917513 JYU917510:JYU917513 JOY917510:JOY917513 JFC917510:JFC917513 IVG917510:IVG917513 ILK917510:ILK917513 IBO917510:IBO917513 HRS917510:HRS917513 HHW917510:HHW917513 GYA917510:GYA917513 GOE917510:GOE917513 GEI917510:GEI917513 FUM917510:FUM917513 FKQ917510:FKQ917513 FAU917510:FAU917513 EQY917510:EQY917513 EHC917510:EHC917513 DXG917510:DXG917513 DNK917510:DNK917513 DDO917510:DDO917513 CTS917510:CTS917513 CJW917510:CJW917513 CAA917510:CAA917513 BQE917510:BQE917513 BGI917510:BGI917513 AWM917510:AWM917513 AMQ917510:AMQ917513 ACU917510:ACU917513 SY917510:SY917513 JC917510:JC917513 G917510:G917513 WVO851974:WVO851977 WLS851974:WLS851977 WBW851974:WBW851977 VSA851974:VSA851977 VIE851974:VIE851977 UYI851974:UYI851977 UOM851974:UOM851977 UEQ851974:UEQ851977 TUU851974:TUU851977 TKY851974:TKY851977 TBC851974:TBC851977 SRG851974:SRG851977 SHK851974:SHK851977 RXO851974:RXO851977 RNS851974:RNS851977 RDW851974:RDW851977 QUA851974:QUA851977 QKE851974:QKE851977 QAI851974:QAI851977 PQM851974:PQM851977 PGQ851974:PGQ851977 OWU851974:OWU851977 OMY851974:OMY851977 ODC851974:ODC851977 NTG851974:NTG851977 NJK851974:NJK851977 MZO851974:MZO851977 MPS851974:MPS851977 MFW851974:MFW851977 LWA851974:LWA851977 LME851974:LME851977 LCI851974:LCI851977 KSM851974:KSM851977 KIQ851974:KIQ851977 JYU851974:JYU851977 JOY851974:JOY851977 JFC851974:JFC851977 IVG851974:IVG851977 ILK851974:ILK851977 IBO851974:IBO851977 HRS851974:HRS851977 HHW851974:HHW851977 GYA851974:GYA851977 GOE851974:GOE851977 GEI851974:GEI851977 FUM851974:FUM851977 FKQ851974:FKQ851977 FAU851974:FAU851977 EQY851974:EQY851977 EHC851974:EHC851977 DXG851974:DXG851977 DNK851974:DNK851977 DDO851974:DDO851977 CTS851974:CTS851977 CJW851974:CJW851977 CAA851974:CAA851977 BQE851974:BQE851977 BGI851974:BGI851977 AWM851974:AWM851977 AMQ851974:AMQ851977 ACU851974:ACU851977 SY851974:SY851977 JC851974:JC851977 G851974:G851977 WVO786438:WVO786441 WLS786438:WLS786441 WBW786438:WBW786441 VSA786438:VSA786441 VIE786438:VIE786441 UYI786438:UYI786441 UOM786438:UOM786441 UEQ786438:UEQ786441 TUU786438:TUU786441 TKY786438:TKY786441 TBC786438:TBC786441 SRG786438:SRG786441 SHK786438:SHK786441 RXO786438:RXO786441 RNS786438:RNS786441 RDW786438:RDW786441 QUA786438:QUA786441 QKE786438:QKE786441 QAI786438:QAI786441 PQM786438:PQM786441 PGQ786438:PGQ786441 OWU786438:OWU786441 OMY786438:OMY786441 ODC786438:ODC786441 NTG786438:NTG786441 NJK786438:NJK786441 MZO786438:MZO786441 MPS786438:MPS786441 MFW786438:MFW786441 LWA786438:LWA786441 LME786438:LME786441 LCI786438:LCI786441 KSM786438:KSM786441 KIQ786438:KIQ786441 JYU786438:JYU786441 JOY786438:JOY786441 JFC786438:JFC786441 IVG786438:IVG786441 ILK786438:ILK786441 IBO786438:IBO786441 HRS786438:HRS786441 HHW786438:HHW786441 GYA786438:GYA786441 GOE786438:GOE786441 GEI786438:GEI786441 FUM786438:FUM786441 FKQ786438:FKQ786441 FAU786438:FAU786441 EQY786438:EQY786441 EHC786438:EHC786441 DXG786438:DXG786441 DNK786438:DNK786441 DDO786438:DDO786441 CTS786438:CTS786441 CJW786438:CJW786441 CAA786438:CAA786441 BQE786438:BQE786441 BGI786438:BGI786441 AWM786438:AWM786441 AMQ786438:AMQ786441 ACU786438:ACU786441 SY786438:SY786441 JC786438:JC786441 G786438:G786441 WVO720902:WVO720905 WLS720902:WLS720905 WBW720902:WBW720905 VSA720902:VSA720905 VIE720902:VIE720905 UYI720902:UYI720905 UOM720902:UOM720905 UEQ720902:UEQ720905 TUU720902:TUU720905 TKY720902:TKY720905 TBC720902:TBC720905 SRG720902:SRG720905 SHK720902:SHK720905 RXO720902:RXO720905 RNS720902:RNS720905 RDW720902:RDW720905 QUA720902:QUA720905 QKE720902:QKE720905 QAI720902:QAI720905 PQM720902:PQM720905 PGQ720902:PGQ720905 OWU720902:OWU720905 OMY720902:OMY720905 ODC720902:ODC720905 NTG720902:NTG720905 NJK720902:NJK720905 MZO720902:MZO720905 MPS720902:MPS720905 MFW720902:MFW720905 LWA720902:LWA720905 LME720902:LME720905 LCI720902:LCI720905 KSM720902:KSM720905 KIQ720902:KIQ720905 JYU720902:JYU720905 JOY720902:JOY720905 JFC720902:JFC720905 IVG720902:IVG720905 ILK720902:ILK720905 IBO720902:IBO720905 HRS720902:HRS720905 HHW720902:HHW720905 GYA720902:GYA720905 GOE720902:GOE720905 GEI720902:GEI720905 FUM720902:FUM720905 FKQ720902:FKQ720905 FAU720902:FAU720905 EQY720902:EQY720905 EHC720902:EHC720905 DXG720902:DXG720905 DNK720902:DNK720905 DDO720902:DDO720905 CTS720902:CTS720905 CJW720902:CJW720905 CAA720902:CAA720905 BQE720902:BQE720905 BGI720902:BGI720905 AWM720902:AWM720905 AMQ720902:AMQ720905 ACU720902:ACU720905 SY720902:SY720905 JC720902:JC720905 G720902:G720905 WVO655366:WVO655369 WLS655366:WLS655369 WBW655366:WBW655369 VSA655366:VSA655369 VIE655366:VIE655369 UYI655366:UYI655369 UOM655366:UOM655369 UEQ655366:UEQ655369 TUU655366:TUU655369 TKY655366:TKY655369 TBC655366:TBC655369 SRG655366:SRG655369 SHK655366:SHK655369 RXO655366:RXO655369 RNS655366:RNS655369 RDW655366:RDW655369 QUA655366:QUA655369 QKE655366:QKE655369 QAI655366:QAI655369 PQM655366:PQM655369 PGQ655366:PGQ655369 OWU655366:OWU655369 OMY655366:OMY655369 ODC655366:ODC655369 NTG655366:NTG655369 NJK655366:NJK655369 MZO655366:MZO655369 MPS655366:MPS655369 MFW655366:MFW655369 LWA655366:LWA655369 LME655366:LME655369 LCI655366:LCI655369 KSM655366:KSM655369 KIQ655366:KIQ655369 JYU655366:JYU655369 JOY655366:JOY655369 JFC655366:JFC655369 IVG655366:IVG655369 ILK655366:ILK655369 IBO655366:IBO655369 HRS655366:HRS655369 HHW655366:HHW655369 GYA655366:GYA655369 GOE655366:GOE655369 GEI655366:GEI655369 FUM655366:FUM655369 FKQ655366:FKQ655369 FAU655366:FAU655369 EQY655366:EQY655369 EHC655366:EHC655369 DXG655366:DXG655369 DNK655366:DNK655369 DDO655366:DDO655369 CTS655366:CTS655369 CJW655366:CJW655369 CAA655366:CAA655369 BQE655366:BQE655369 BGI655366:BGI655369 AWM655366:AWM655369 AMQ655366:AMQ655369 ACU655366:ACU655369 SY655366:SY655369 JC655366:JC655369 G655366:G655369 WVO589830:WVO589833 WLS589830:WLS589833 WBW589830:WBW589833 VSA589830:VSA589833 VIE589830:VIE589833 UYI589830:UYI589833 UOM589830:UOM589833 UEQ589830:UEQ589833 TUU589830:TUU589833 TKY589830:TKY589833 TBC589830:TBC589833 SRG589830:SRG589833 SHK589830:SHK589833 RXO589830:RXO589833 RNS589830:RNS589833 RDW589830:RDW589833 QUA589830:QUA589833 QKE589830:QKE589833 QAI589830:QAI589833 PQM589830:PQM589833 PGQ589830:PGQ589833 OWU589830:OWU589833 OMY589830:OMY589833 ODC589830:ODC589833 NTG589830:NTG589833 NJK589830:NJK589833 MZO589830:MZO589833 MPS589830:MPS589833 MFW589830:MFW589833 LWA589830:LWA589833 LME589830:LME589833 LCI589830:LCI589833 KSM589830:KSM589833 KIQ589830:KIQ589833 JYU589830:JYU589833 JOY589830:JOY589833 JFC589830:JFC589833 IVG589830:IVG589833 ILK589830:ILK589833 IBO589830:IBO589833 HRS589830:HRS589833 HHW589830:HHW589833 GYA589830:GYA589833 GOE589830:GOE589833 GEI589830:GEI589833 FUM589830:FUM589833 FKQ589830:FKQ589833 FAU589830:FAU589833 EQY589830:EQY589833 EHC589830:EHC589833 DXG589830:DXG589833 DNK589830:DNK589833 DDO589830:DDO589833 CTS589830:CTS589833 CJW589830:CJW589833 CAA589830:CAA589833 BQE589830:BQE589833 BGI589830:BGI589833 AWM589830:AWM589833 AMQ589830:AMQ589833 ACU589830:ACU589833 SY589830:SY589833 JC589830:JC589833 G589830:G589833 WVO524294:WVO524297 WLS524294:WLS524297 WBW524294:WBW524297 VSA524294:VSA524297 VIE524294:VIE524297 UYI524294:UYI524297 UOM524294:UOM524297 UEQ524294:UEQ524297 TUU524294:TUU524297 TKY524294:TKY524297 TBC524294:TBC524297 SRG524294:SRG524297 SHK524294:SHK524297 RXO524294:RXO524297 RNS524294:RNS524297 RDW524294:RDW524297 QUA524294:QUA524297 QKE524294:QKE524297 QAI524294:QAI524297 PQM524294:PQM524297 PGQ524294:PGQ524297 OWU524294:OWU524297 OMY524294:OMY524297 ODC524294:ODC524297 NTG524294:NTG524297 NJK524294:NJK524297 MZO524294:MZO524297 MPS524294:MPS524297 MFW524294:MFW524297 LWA524294:LWA524297 LME524294:LME524297 LCI524294:LCI524297 KSM524294:KSM524297 KIQ524294:KIQ524297 JYU524294:JYU524297 JOY524294:JOY524297 JFC524294:JFC524297 IVG524294:IVG524297 ILK524294:ILK524297 IBO524294:IBO524297 HRS524294:HRS524297 HHW524294:HHW524297 GYA524294:GYA524297 GOE524294:GOE524297 GEI524294:GEI524297 FUM524294:FUM524297 FKQ524294:FKQ524297 FAU524294:FAU524297 EQY524294:EQY524297 EHC524294:EHC524297 DXG524294:DXG524297 DNK524294:DNK524297 DDO524294:DDO524297 CTS524294:CTS524297 CJW524294:CJW524297 CAA524294:CAA524297 BQE524294:BQE524297 BGI524294:BGI524297 AWM524294:AWM524297 AMQ524294:AMQ524297 ACU524294:ACU524297 SY524294:SY524297 JC524294:JC524297 G524294:G524297 WVO458758:WVO458761 WLS458758:WLS458761 WBW458758:WBW458761 VSA458758:VSA458761 VIE458758:VIE458761 UYI458758:UYI458761 UOM458758:UOM458761 UEQ458758:UEQ458761 TUU458758:TUU458761 TKY458758:TKY458761 TBC458758:TBC458761 SRG458758:SRG458761 SHK458758:SHK458761 RXO458758:RXO458761 RNS458758:RNS458761 RDW458758:RDW458761 QUA458758:QUA458761 QKE458758:QKE458761 QAI458758:QAI458761 PQM458758:PQM458761 PGQ458758:PGQ458761 OWU458758:OWU458761 OMY458758:OMY458761 ODC458758:ODC458761 NTG458758:NTG458761 NJK458758:NJK458761 MZO458758:MZO458761 MPS458758:MPS458761 MFW458758:MFW458761 LWA458758:LWA458761 LME458758:LME458761 LCI458758:LCI458761 KSM458758:KSM458761 KIQ458758:KIQ458761 JYU458758:JYU458761 JOY458758:JOY458761 JFC458758:JFC458761 IVG458758:IVG458761 ILK458758:ILK458761 IBO458758:IBO458761 HRS458758:HRS458761 HHW458758:HHW458761 GYA458758:GYA458761 GOE458758:GOE458761 GEI458758:GEI458761 FUM458758:FUM458761 FKQ458758:FKQ458761 FAU458758:FAU458761 EQY458758:EQY458761 EHC458758:EHC458761 DXG458758:DXG458761 DNK458758:DNK458761 DDO458758:DDO458761 CTS458758:CTS458761 CJW458758:CJW458761 CAA458758:CAA458761 BQE458758:BQE458761 BGI458758:BGI458761 AWM458758:AWM458761 AMQ458758:AMQ458761 ACU458758:ACU458761 SY458758:SY458761 JC458758:JC458761 G458758:G458761 WVO393222:WVO393225 WLS393222:WLS393225 WBW393222:WBW393225 VSA393222:VSA393225 VIE393222:VIE393225 UYI393222:UYI393225 UOM393222:UOM393225 UEQ393222:UEQ393225 TUU393222:TUU393225 TKY393222:TKY393225 TBC393222:TBC393225 SRG393222:SRG393225 SHK393222:SHK393225 RXO393222:RXO393225 RNS393222:RNS393225 RDW393222:RDW393225 QUA393222:QUA393225 QKE393222:QKE393225 QAI393222:QAI393225 PQM393222:PQM393225 PGQ393222:PGQ393225 OWU393222:OWU393225 OMY393222:OMY393225 ODC393222:ODC393225 NTG393222:NTG393225 NJK393222:NJK393225 MZO393222:MZO393225 MPS393222:MPS393225 MFW393222:MFW393225 LWA393222:LWA393225 LME393222:LME393225 LCI393222:LCI393225 KSM393222:KSM393225 KIQ393222:KIQ393225 JYU393222:JYU393225 JOY393222:JOY393225 JFC393222:JFC393225 IVG393222:IVG393225 ILK393222:ILK393225 IBO393222:IBO393225 HRS393222:HRS393225 HHW393222:HHW393225 GYA393222:GYA393225 GOE393222:GOE393225 GEI393222:GEI393225 FUM393222:FUM393225 FKQ393222:FKQ393225 FAU393222:FAU393225 EQY393222:EQY393225 EHC393222:EHC393225 DXG393222:DXG393225 DNK393222:DNK393225 DDO393222:DDO393225 CTS393222:CTS393225 CJW393222:CJW393225 CAA393222:CAA393225 BQE393222:BQE393225 BGI393222:BGI393225 AWM393222:AWM393225 AMQ393222:AMQ393225 ACU393222:ACU393225 SY393222:SY393225 JC393222:JC393225 G393222:G393225 WVO327686:WVO327689 WLS327686:WLS327689 WBW327686:WBW327689 VSA327686:VSA327689 VIE327686:VIE327689 UYI327686:UYI327689 UOM327686:UOM327689 UEQ327686:UEQ327689 TUU327686:TUU327689 TKY327686:TKY327689 TBC327686:TBC327689 SRG327686:SRG327689 SHK327686:SHK327689 RXO327686:RXO327689 RNS327686:RNS327689 RDW327686:RDW327689 QUA327686:QUA327689 QKE327686:QKE327689 QAI327686:QAI327689 PQM327686:PQM327689 PGQ327686:PGQ327689 OWU327686:OWU327689 OMY327686:OMY327689 ODC327686:ODC327689 NTG327686:NTG327689 NJK327686:NJK327689 MZO327686:MZO327689 MPS327686:MPS327689 MFW327686:MFW327689 LWA327686:LWA327689 LME327686:LME327689 LCI327686:LCI327689 KSM327686:KSM327689 KIQ327686:KIQ327689 JYU327686:JYU327689 JOY327686:JOY327689 JFC327686:JFC327689 IVG327686:IVG327689 ILK327686:ILK327689 IBO327686:IBO327689 HRS327686:HRS327689 HHW327686:HHW327689 GYA327686:GYA327689 GOE327686:GOE327689 GEI327686:GEI327689 FUM327686:FUM327689 FKQ327686:FKQ327689 FAU327686:FAU327689 EQY327686:EQY327689 EHC327686:EHC327689 DXG327686:DXG327689 DNK327686:DNK327689 DDO327686:DDO327689 CTS327686:CTS327689 CJW327686:CJW327689 CAA327686:CAA327689 BQE327686:BQE327689 BGI327686:BGI327689 AWM327686:AWM327689 AMQ327686:AMQ327689 ACU327686:ACU327689 SY327686:SY327689 JC327686:JC327689 G327686:G327689 WVO262150:WVO262153 WLS262150:WLS262153 WBW262150:WBW262153 VSA262150:VSA262153 VIE262150:VIE262153 UYI262150:UYI262153 UOM262150:UOM262153 UEQ262150:UEQ262153 TUU262150:TUU262153 TKY262150:TKY262153 TBC262150:TBC262153 SRG262150:SRG262153 SHK262150:SHK262153 RXO262150:RXO262153 RNS262150:RNS262153 RDW262150:RDW262153 QUA262150:QUA262153 QKE262150:QKE262153 QAI262150:QAI262153 PQM262150:PQM262153 PGQ262150:PGQ262153 OWU262150:OWU262153 OMY262150:OMY262153 ODC262150:ODC262153 NTG262150:NTG262153 NJK262150:NJK262153 MZO262150:MZO262153 MPS262150:MPS262153 MFW262150:MFW262153 LWA262150:LWA262153 LME262150:LME262153 LCI262150:LCI262153 KSM262150:KSM262153 KIQ262150:KIQ262153 JYU262150:JYU262153 JOY262150:JOY262153 JFC262150:JFC262153 IVG262150:IVG262153 ILK262150:ILK262153 IBO262150:IBO262153 HRS262150:HRS262153 HHW262150:HHW262153 GYA262150:GYA262153 GOE262150:GOE262153 GEI262150:GEI262153 FUM262150:FUM262153 FKQ262150:FKQ262153 FAU262150:FAU262153 EQY262150:EQY262153 EHC262150:EHC262153 DXG262150:DXG262153 DNK262150:DNK262153 DDO262150:DDO262153 CTS262150:CTS262153 CJW262150:CJW262153 CAA262150:CAA262153 BQE262150:BQE262153 BGI262150:BGI262153 AWM262150:AWM262153 AMQ262150:AMQ262153 ACU262150:ACU262153 SY262150:SY262153 JC262150:JC262153 G262150:G262153 WVO196614:WVO196617 WLS196614:WLS196617 WBW196614:WBW196617 VSA196614:VSA196617 VIE196614:VIE196617 UYI196614:UYI196617 UOM196614:UOM196617 UEQ196614:UEQ196617 TUU196614:TUU196617 TKY196614:TKY196617 TBC196614:TBC196617 SRG196614:SRG196617 SHK196614:SHK196617 RXO196614:RXO196617 RNS196614:RNS196617 RDW196614:RDW196617 QUA196614:QUA196617 QKE196614:QKE196617 QAI196614:QAI196617 PQM196614:PQM196617 PGQ196614:PGQ196617 OWU196614:OWU196617 OMY196614:OMY196617 ODC196614:ODC196617 NTG196614:NTG196617 NJK196614:NJK196617 MZO196614:MZO196617 MPS196614:MPS196617 MFW196614:MFW196617 LWA196614:LWA196617 LME196614:LME196617 LCI196614:LCI196617 KSM196614:KSM196617 KIQ196614:KIQ196617 JYU196614:JYU196617 JOY196614:JOY196617 JFC196614:JFC196617 IVG196614:IVG196617 ILK196614:ILK196617 IBO196614:IBO196617 HRS196614:HRS196617 HHW196614:HHW196617 GYA196614:GYA196617 GOE196614:GOE196617 GEI196614:GEI196617 FUM196614:FUM196617 FKQ196614:FKQ196617 FAU196614:FAU196617 EQY196614:EQY196617 EHC196614:EHC196617 DXG196614:DXG196617 DNK196614:DNK196617 DDO196614:DDO196617 CTS196614:CTS196617 CJW196614:CJW196617 CAA196614:CAA196617 BQE196614:BQE196617 BGI196614:BGI196617 AWM196614:AWM196617 AMQ196614:AMQ196617 ACU196614:ACU196617 SY196614:SY196617 JC196614:JC196617 G196614:G196617 WVO131078:WVO131081 WLS131078:WLS131081 WBW131078:WBW131081 VSA131078:VSA131081 VIE131078:VIE131081 UYI131078:UYI131081 UOM131078:UOM131081 UEQ131078:UEQ131081 TUU131078:TUU131081 TKY131078:TKY131081 TBC131078:TBC131081 SRG131078:SRG131081 SHK131078:SHK131081 RXO131078:RXO131081 RNS131078:RNS131081 RDW131078:RDW131081 QUA131078:QUA131081 QKE131078:QKE131081 QAI131078:QAI131081 PQM131078:PQM131081 PGQ131078:PGQ131081 OWU131078:OWU131081 OMY131078:OMY131081 ODC131078:ODC131081 NTG131078:NTG131081 NJK131078:NJK131081 MZO131078:MZO131081 MPS131078:MPS131081 MFW131078:MFW131081 LWA131078:LWA131081 LME131078:LME131081 LCI131078:LCI131081 KSM131078:KSM131081 KIQ131078:KIQ131081 JYU131078:JYU131081 JOY131078:JOY131081 JFC131078:JFC131081 IVG131078:IVG131081 ILK131078:ILK131081 IBO131078:IBO131081 HRS131078:HRS131081 HHW131078:HHW131081 GYA131078:GYA131081 GOE131078:GOE131081 GEI131078:GEI131081 FUM131078:FUM131081 FKQ131078:FKQ131081 FAU131078:FAU131081 EQY131078:EQY131081 EHC131078:EHC131081 DXG131078:DXG131081 DNK131078:DNK131081 DDO131078:DDO131081 CTS131078:CTS131081 CJW131078:CJW131081 CAA131078:CAA131081 BQE131078:BQE131081 BGI131078:BGI131081 AWM131078:AWM131081 AMQ131078:AMQ131081 ACU131078:ACU131081 SY131078:SY131081 JC131078:JC131081 G131078:G131081 WVO65542:WVO65545 WLS65542:WLS65545 WBW65542:WBW65545 VSA65542:VSA65545 VIE65542:VIE65545 UYI65542:UYI65545 UOM65542:UOM65545 UEQ65542:UEQ65545 TUU65542:TUU65545 TKY65542:TKY65545 TBC65542:TBC65545 SRG65542:SRG65545 SHK65542:SHK65545 RXO65542:RXO65545 RNS65542:RNS65545 RDW65542:RDW65545 QUA65542:QUA65545 QKE65542:QKE65545 QAI65542:QAI65545 PQM65542:PQM65545 PGQ65542:PGQ65545 OWU65542:OWU65545 OMY65542:OMY65545 ODC65542:ODC65545 NTG65542:NTG65545 NJK65542:NJK65545 MZO65542:MZO65545 MPS65542:MPS65545 MFW65542:MFW65545 LWA65542:LWA65545 LME65542:LME65545 LCI65542:LCI65545 KSM65542:KSM65545 KIQ65542:KIQ65545 JYU65542:JYU65545 JOY65542:JOY65545 JFC65542:JFC65545 IVG65542:IVG65545 ILK65542:ILK65545 IBO65542:IBO65545 HRS65542:HRS65545 HHW65542:HHW65545 GYA65542:GYA65545 GOE65542:GOE65545 GEI65542:GEI65545 FUM65542:FUM65545 FKQ65542:FKQ65545 FAU65542:FAU65545 EQY65542:EQY65545 EHC65542:EHC65545 DXG65542:DXG65545 DNK65542:DNK65545 DDO65542:DDO65545 CTS65542:CTS65545 CJW65542:CJW65545 CAA65542:CAA65545 BQE65542:BQE65545 BGI65542:BGI65545 AWM65542:AWM65545 AMQ65542:AMQ65545 ACU65542:ACU65545 SY65542:SY65545 JC65542:JC65545 G65542:G65545 WVO8:WVO9 WLS8:WLS9 WBW8:WBW9 VSA8:VSA9 VIE8:VIE9 UYI8:UYI9 UOM8:UOM9 UEQ8:UEQ9 TUU8:TUU9 TKY8:TKY9 TBC8:TBC9 SRG8:SRG9 SHK8:SHK9 RXO8:RXO9 RNS8:RNS9 RDW8:RDW9 QUA8:QUA9 QKE8:QKE9 QAI8:QAI9 PQM8:PQM9 PGQ8:PGQ9 OWU8:OWU9 OMY8:OMY9 ODC8:ODC9 NTG8:NTG9 NJK8:NJK9 MZO8:MZO9 MPS8:MPS9 MFW8:MFW9 LWA8:LWA9 LME8:LME9 LCI8:LCI9 KSM8:KSM9 KIQ8:KIQ9 JYU8:JYU9 JOY8:JOY9 JFC8:JFC9 IVG8:IVG9 ILK8:ILK9 IBO8:IBO9 HRS8:HRS9 HHW8:HHW9 GYA8:GYA9 GOE8:GOE9 GEI8:GEI9 FUM8:FUM9 FKQ8:FKQ9 FAU8:FAU9 EQY8:EQY9 EHC8:EHC9 DXG8:DXG9 DNK8:DNK9 DDO8:DDO9 CTS8:CTS9 CJW8:CJW9 CAA8:CAA9 BQE8:BQE9 BGI8:BGI9 AWM8:AWM9 AMQ8:AMQ9 ACU8:ACU9 SY8:SY9 G8">
      <formula1>$AK$23:$AK$35</formula1>
    </dataValidation>
  </dataValidations>
  <printOptions horizontalCentered="1"/>
  <pageMargins left="0.25" right="0.25" top="0.75" bottom="0.75" header="0.3" footer="0.3"/>
  <pageSetup scale="45" orientation="landscape" copies="2"/>
  <headerFooter>
    <oddFooter>&amp;C&amp;"Tahoma,Cursiva"&amp;9Si usted ha accedido a este formato a través de un medio diferente al sitio web del Sistema de Control Documental del SIGEC asegúrese que ésta es la versión vigente</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AM41"/>
  <sheetViews>
    <sheetView topLeftCell="I10" zoomScale="80" zoomScaleNormal="80" zoomScaleSheetLayoutView="100" zoomScalePageLayoutView="60" workbookViewId="0">
      <selection activeCell="AL12" sqref="AL12"/>
    </sheetView>
  </sheetViews>
  <sheetFormatPr baseColWidth="10" defaultRowHeight="12.75"/>
  <cols>
    <col min="1" max="1" width="10.28515625" customWidth="1"/>
    <col min="2" max="2" width="13.42578125" customWidth="1"/>
    <col min="3" max="3" width="4.28515625" customWidth="1"/>
    <col min="4" max="4" width="4" customWidth="1"/>
    <col min="5" max="5" width="28" customWidth="1"/>
    <col min="6" max="6" width="4.140625" customWidth="1"/>
    <col min="7" max="7" width="11.28515625" customWidth="1"/>
    <col min="8" max="8" width="16.140625" customWidth="1"/>
    <col min="9" max="9" width="11" customWidth="1"/>
    <col min="10" max="11" width="2.140625" customWidth="1"/>
    <col min="12" max="12" width="3.28515625" customWidth="1"/>
    <col min="13" max="13" width="0.28515625" hidden="1" customWidth="1"/>
    <col min="14" max="14" width="0.42578125" hidden="1" customWidth="1"/>
    <col min="15" max="15" width="2.85546875" customWidth="1"/>
    <col min="16" max="16" width="3.28515625" customWidth="1"/>
    <col min="17" max="17" width="1.42578125" customWidth="1"/>
    <col min="18" max="18" width="1.85546875" hidden="1" customWidth="1"/>
    <col min="19" max="19" width="6.85546875" customWidth="1"/>
    <col min="20" max="20" width="3" hidden="1" customWidth="1"/>
    <col min="21" max="22" width="6.28515625" customWidth="1"/>
    <col min="23" max="23" width="17.7109375" customWidth="1"/>
    <col min="24" max="24" width="21.85546875" customWidth="1"/>
    <col min="25" max="25" width="10.85546875" customWidth="1"/>
    <col min="26" max="26" width="14.140625" customWidth="1"/>
    <col min="27" max="27" width="0.42578125" hidden="1" customWidth="1"/>
    <col min="28" max="28" width="13" customWidth="1"/>
    <col min="29" max="29" width="13.140625" customWidth="1"/>
    <col min="30" max="31" width="14" customWidth="1"/>
    <col min="32" max="32" width="11.42578125" customWidth="1"/>
    <col min="33" max="33" width="15.85546875" customWidth="1"/>
    <col min="34" max="34" width="23.7109375" customWidth="1"/>
    <col min="35" max="35" width="12" customWidth="1"/>
    <col min="36" max="37" width="0.28515625" customWidth="1"/>
    <col min="38" max="38" width="1.42578125" customWidth="1"/>
    <col min="39" max="39" width="1.28515625" hidden="1" customWidth="1"/>
    <col min="257" max="257" width="10.28515625" customWidth="1"/>
    <col min="258" max="258" width="13.42578125" customWidth="1"/>
    <col min="259" max="259" width="4.28515625" customWidth="1"/>
    <col min="260" max="260" width="4" customWidth="1"/>
    <col min="261" max="261" width="28" customWidth="1"/>
    <col min="262" max="262" width="4.140625" customWidth="1"/>
    <col min="263" max="263" width="11.28515625" customWidth="1"/>
    <col min="264" max="264" width="16.140625" customWidth="1"/>
    <col min="265" max="265" width="11" customWidth="1"/>
    <col min="266" max="267" width="2.140625" customWidth="1"/>
    <col min="268" max="268" width="3.28515625" customWidth="1"/>
    <col min="269" max="270" width="0" hidden="1" customWidth="1"/>
    <col min="271" max="271" width="2.85546875" customWidth="1"/>
    <col min="272" max="272" width="3.28515625" customWidth="1"/>
    <col min="273" max="273" width="1.42578125" customWidth="1"/>
    <col min="274" max="274" width="0" hidden="1" customWidth="1"/>
    <col min="275" max="275" width="6.85546875" customWidth="1"/>
    <col min="276" max="276" width="0" hidden="1" customWidth="1"/>
    <col min="277" max="278" width="6.28515625" customWidth="1"/>
    <col min="279" max="279" width="17.7109375" customWidth="1"/>
    <col min="280" max="280" width="21.85546875" customWidth="1"/>
    <col min="281" max="281" width="10.85546875" customWidth="1"/>
    <col min="282" max="282" width="14.140625" customWidth="1"/>
    <col min="283" max="283" width="0" hidden="1" customWidth="1"/>
    <col min="284" max="284" width="13" customWidth="1"/>
    <col min="285" max="285" width="13.140625" customWidth="1"/>
    <col min="286" max="287" width="14" customWidth="1"/>
    <col min="288" max="288" width="11.42578125" customWidth="1"/>
    <col min="289" max="289" width="15.85546875" customWidth="1"/>
    <col min="290" max="290" width="23.7109375" customWidth="1"/>
    <col min="291" max="291" width="12" customWidth="1"/>
    <col min="292" max="293" width="0.28515625" customWidth="1"/>
    <col min="294" max="294" width="1.42578125" customWidth="1"/>
    <col min="295" max="295" width="0" hidden="1" customWidth="1"/>
    <col min="513" max="513" width="10.28515625" customWidth="1"/>
    <col min="514" max="514" width="13.42578125" customWidth="1"/>
    <col min="515" max="515" width="4.28515625" customWidth="1"/>
    <col min="516" max="516" width="4" customWidth="1"/>
    <col min="517" max="517" width="28" customWidth="1"/>
    <col min="518" max="518" width="4.140625" customWidth="1"/>
    <col min="519" max="519" width="11.28515625" customWidth="1"/>
    <col min="520" max="520" width="16.140625" customWidth="1"/>
    <col min="521" max="521" width="11" customWidth="1"/>
    <col min="522" max="523" width="2.140625" customWidth="1"/>
    <col min="524" max="524" width="3.28515625" customWidth="1"/>
    <col min="525" max="526" width="0" hidden="1" customWidth="1"/>
    <col min="527" max="527" width="2.85546875" customWidth="1"/>
    <col min="528" max="528" width="3.28515625" customWidth="1"/>
    <col min="529" max="529" width="1.42578125" customWidth="1"/>
    <col min="530" max="530" width="0" hidden="1" customWidth="1"/>
    <col min="531" max="531" width="6.85546875" customWidth="1"/>
    <col min="532" max="532" width="0" hidden="1" customWidth="1"/>
    <col min="533" max="534" width="6.28515625" customWidth="1"/>
    <col min="535" max="535" width="17.7109375" customWidth="1"/>
    <col min="536" max="536" width="21.85546875" customWidth="1"/>
    <col min="537" max="537" width="10.85546875" customWidth="1"/>
    <col min="538" max="538" width="14.140625" customWidth="1"/>
    <col min="539" max="539" width="0" hidden="1" customWidth="1"/>
    <col min="540" max="540" width="13" customWidth="1"/>
    <col min="541" max="541" width="13.140625" customWidth="1"/>
    <col min="542" max="543" width="14" customWidth="1"/>
    <col min="544" max="544" width="11.42578125" customWidth="1"/>
    <col min="545" max="545" width="15.85546875" customWidth="1"/>
    <col min="546" max="546" width="23.7109375" customWidth="1"/>
    <col min="547" max="547" width="12" customWidth="1"/>
    <col min="548" max="549" width="0.28515625" customWidth="1"/>
    <col min="550" max="550" width="1.42578125" customWidth="1"/>
    <col min="551" max="551" width="0" hidden="1" customWidth="1"/>
    <col min="769" max="769" width="10.28515625" customWidth="1"/>
    <col min="770" max="770" width="13.42578125" customWidth="1"/>
    <col min="771" max="771" width="4.28515625" customWidth="1"/>
    <col min="772" max="772" width="4" customWidth="1"/>
    <col min="773" max="773" width="28" customWidth="1"/>
    <col min="774" max="774" width="4.140625" customWidth="1"/>
    <col min="775" max="775" width="11.28515625" customWidth="1"/>
    <col min="776" max="776" width="16.140625" customWidth="1"/>
    <col min="777" max="777" width="11" customWidth="1"/>
    <col min="778" max="779" width="2.140625" customWidth="1"/>
    <col min="780" max="780" width="3.28515625" customWidth="1"/>
    <col min="781" max="782" width="0" hidden="1" customWidth="1"/>
    <col min="783" max="783" width="2.85546875" customWidth="1"/>
    <col min="784" max="784" width="3.28515625" customWidth="1"/>
    <col min="785" max="785" width="1.42578125" customWidth="1"/>
    <col min="786" max="786" width="0" hidden="1" customWidth="1"/>
    <col min="787" max="787" width="6.85546875" customWidth="1"/>
    <col min="788" max="788" width="0" hidden="1" customWidth="1"/>
    <col min="789" max="790" width="6.28515625" customWidth="1"/>
    <col min="791" max="791" width="17.7109375" customWidth="1"/>
    <col min="792" max="792" width="21.85546875" customWidth="1"/>
    <col min="793" max="793" width="10.85546875" customWidth="1"/>
    <col min="794" max="794" width="14.140625" customWidth="1"/>
    <col min="795" max="795" width="0" hidden="1" customWidth="1"/>
    <col min="796" max="796" width="13" customWidth="1"/>
    <col min="797" max="797" width="13.140625" customWidth="1"/>
    <col min="798" max="799" width="14" customWidth="1"/>
    <col min="800" max="800" width="11.42578125" customWidth="1"/>
    <col min="801" max="801" width="15.85546875" customWidth="1"/>
    <col min="802" max="802" width="23.7109375" customWidth="1"/>
    <col min="803" max="803" width="12" customWidth="1"/>
    <col min="804" max="805" width="0.28515625" customWidth="1"/>
    <col min="806" max="806" width="1.42578125" customWidth="1"/>
    <col min="807" max="807" width="0" hidden="1" customWidth="1"/>
    <col min="1025" max="1025" width="10.28515625" customWidth="1"/>
    <col min="1026" max="1026" width="13.42578125" customWidth="1"/>
    <col min="1027" max="1027" width="4.28515625" customWidth="1"/>
    <col min="1028" max="1028" width="4" customWidth="1"/>
    <col min="1029" max="1029" width="28" customWidth="1"/>
    <col min="1030" max="1030" width="4.140625" customWidth="1"/>
    <col min="1031" max="1031" width="11.28515625" customWidth="1"/>
    <col min="1032" max="1032" width="16.140625" customWidth="1"/>
    <col min="1033" max="1033" width="11" customWidth="1"/>
    <col min="1034" max="1035" width="2.140625" customWidth="1"/>
    <col min="1036" max="1036" width="3.28515625" customWidth="1"/>
    <col min="1037" max="1038" width="0" hidden="1" customWidth="1"/>
    <col min="1039" max="1039" width="2.85546875" customWidth="1"/>
    <col min="1040" max="1040" width="3.28515625" customWidth="1"/>
    <col min="1041" max="1041" width="1.42578125" customWidth="1"/>
    <col min="1042" max="1042" width="0" hidden="1" customWidth="1"/>
    <col min="1043" max="1043" width="6.85546875" customWidth="1"/>
    <col min="1044" max="1044" width="0" hidden="1" customWidth="1"/>
    <col min="1045" max="1046" width="6.28515625" customWidth="1"/>
    <col min="1047" max="1047" width="17.7109375" customWidth="1"/>
    <col min="1048" max="1048" width="21.85546875" customWidth="1"/>
    <col min="1049" max="1049" width="10.85546875" customWidth="1"/>
    <col min="1050" max="1050" width="14.140625" customWidth="1"/>
    <col min="1051" max="1051" width="0" hidden="1" customWidth="1"/>
    <col min="1052" max="1052" width="13" customWidth="1"/>
    <col min="1053" max="1053" width="13.140625" customWidth="1"/>
    <col min="1054" max="1055" width="14" customWidth="1"/>
    <col min="1056" max="1056" width="11.42578125" customWidth="1"/>
    <col min="1057" max="1057" width="15.85546875" customWidth="1"/>
    <col min="1058" max="1058" width="23.7109375" customWidth="1"/>
    <col min="1059" max="1059" width="12" customWidth="1"/>
    <col min="1060" max="1061" width="0.28515625" customWidth="1"/>
    <col min="1062" max="1062" width="1.42578125" customWidth="1"/>
    <col min="1063" max="1063" width="0" hidden="1" customWidth="1"/>
    <col min="1281" max="1281" width="10.28515625" customWidth="1"/>
    <col min="1282" max="1282" width="13.42578125" customWidth="1"/>
    <col min="1283" max="1283" width="4.28515625" customWidth="1"/>
    <col min="1284" max="1284" width="4" customWidth="1"/>
    <col min="1285" max="1285" width="28" customWidth="1"/>
    <col min="1286" max="1286" width="4.140625" customWidth="1"/>
    <col min="1287" max="1287" width="11.28515625" customWidth="1"/>
    <col min="1288" max="1288" width="16.140625" customWidth="1"/>
    <col min="1289" max="1289" width="11" customWidth="1"/>
    <col min="1290" max="1291" width="2.140625" customWidth="1"/>
    <col min="1292" max="1292" width="3.28515625" customWidth="1"/>
    <col min="1293" max="1294" width="0" hidden="1" customWidth="1"/>
    <col min="1295" max="1295" width="2.85546875" customWidth="1"/>
    <col min="1296" max="1296" width="3.28515625" customWidth="1"/>
    <col min="1297" max="1297" width="1.42578125" customWidth="1"/>
    <col min="1298" max="1298" width="0" hidden="1" customWidth="1"/>
    <col min="1299" max="1299" width="6.85546875" customWidth="1"/>
    <col min="1300" max="1300" width="0" hidden="1" customWidth="1"/>
    <col min="1301" max="1302" width="6.28515625" customWidth="1"/>
    <col min="1303" max="1303" width="17.7109375" customWidth="1"/>
    <col min="1304" max="1304" width="21.85546875" customWidth="1"/>
    <col min="1305" max="1305" width="10.85546875" customWidth="1"/>
    <col min="1306" max="1306" width="14.140625" customWidth="1"/>
    <col min="1307" max="1307" width="0" hidden="1" customWidth="1"/>
    <col min="1308" max="1308" width="13" customWidth="1"/>
    <col min="1309" max="1309" width="13.140625" customWidth="1"/>
    <col min="1310" max="1311" width="14" customWidth="1"/>
    <col min="1312" max="1312" width="11.42578125" customWidth="1"/>
    <col min="1313" max="1313" width="15.85546875" customWidth="1"/>
    <col min="1314" max="1314" width="23.7109375" customWidth="1"/>
    <col min="1315" max="1315" width="12" customWidth="1"/>
    <col min="1316" max="1317" width="0.28515625" customWidth="1"/>
    <col min="1318" max="1318" width="1.42578125" customWidth="1"/>
    <col min="1319" max="1319" width="0" hidden="1" customWidth="1"/>
    <col min="1537" max="1537" width="10.28515625" customWidth="1"/>
    <col min="1538" max="1538" width="13.42578125" customWidth="1"/>
    <col min="1539" max="1539" width="4.28515625" customWidth="1"/>
    <col min="1540" max="1540" width="4" customWidth="1"/>
    <col min="1541" max="1541" width="28" customWidth="1"/>
    <col min="1542" max="1542" width="4.140625" customWidth="1"/>
    <col min="1543" max="1543" width="11.28515625" customWidth="1"/>
    <col min="1544" max="1544" width="16.140625" customWidth="1"/>
    <col min="1545" max="1545" width="11" customWidth="1"/>
    <col min="1546" max="1547" width="2.140625" customWidth="1"/>
    <col min="1548" max="1548" width="3.28515625" customWidth="1"/>
    <col min="1549" max="1550" width="0" hidden="1" customWidth="1"/>
    <col min="1551" max="1551" width="2.85546875" customWidth="1"/>
    <col min="1552" max="1552" width="3.28515625" customWidth="1"/>
    <col min="1553" max="1553" width="1.42578125" customWidth="1"/>
    <col min="1554" max="1554" width="0" hidden="1" customWidth="1"/>
    <col min="1555" max="1555" width="6.85546875" customWidth="1"/>
    <col min="1556" max="1556" width="0" hidden="1" customWidth="1"/>
    <col min="1557" max="1558" width="6.28515625" customWidth="1"/>
    <col min="1559" max="1559" width="17.7109375" customWidth="1"/>
    <col min="1560" max="1560" width="21.85546875" customWidth="1"/>
    <col min="1561" max="1561" width="10.85546875" customWidth="1"/>
    <col min="1562" max="1562" width="14.140625" customWidth="1"/>
    <col min="1563" max="1563" width="0" hidden="1" customWidth="1"/>
    <col min="1564" max="1564" width="13" customWidth="1"/>
    <col min="1565" max="1565" width="13.140625" customWidth="1"/>
    <col min="1566" max="1567" width="14" customWidth="1"/>
    <col min="1568" max="1568" width="11.42578125" customWidth="1"/>
    <col min="1569" max="1569" width="15.85546875" customWidth="1"/>
    <col min="1570" max="1570" width="23.7109375" customWidth="1"/>
    <col min="1571" max="1571" width="12" customWidth="1"/>
    <col min="1572" max="1573" width="0.28515625" customWidth="1"/>
    <col min="1574" max="1574" width="1.42578125" customWidth="1"/>
    <col min="1575" max="1575" width="0" hidden="1" customWidth="1"/>
    <col min="1793" max="1793" width="10.28515625" customWidth="1"/>
    <col min="1794" max="1794" width="13.42578125" customWidth="1"/>
    <col min="1795" max="1795" width="4.28515625" customWidth="1"/>
    <col min="1796" max="1796" width="4" customWidth="1"/>
    <col min="1797" max="1797" width="28" customWidth="1"/>
    <col min="1798" max="1798" width="4.140625" customWidth="1"/>
    <col min="1799" max="1799" width="11.28515625" customWidth="1"/>
    <col min="1800" max="1800" width="16.140625" customWidth="1"/>
    <col min="1801" max="1801" width="11" customWidth="1"/>
    <col min="1802" max="1803" width="2.140625" customWidth="1"/>
    <col min="1804" max="1804" width="3.28515625" customWidth="1"/>
    <col min="1805" max="1806" width="0" hidden="1" customWidth="1"/>
    <col min="1807" max="1807" width="2.85546875" customWidth="1"/>
    <col min="1808" max="1808" width="3.28515625" customWidth="1"/>
    <col min="1809" max="1809" width="1.42578125" customWidth="1"/>
    <col min="1810" max="1810" width="0" hidden="1" customWidth="1"/>
    <col min="1811" max="1811" width="6.85546875" customWidth="1"/>
    <col min="1812" max="1812" width="0" hidden="1" customWidth="1"/>
    <col min="1813" max="1814" width="6.28515625" customWidth="1"/>
    <col min="1815" max="1815" width="17.7109375" customWidth="1"/>
    <col min="1816" max="1816" width="21.85546875" customWidth="1"/>
    <col min="1817" max="1817" width="10.85546875" customWidth="1"/>
    <col min="1818" max="1818" width="14.140625" customWidth="1"/>
    <col min="1819" max="1819" width="0" hidden="1" customWidth="1"/>
    <col min="1820" max="1820" width="13" customWidth="1"/>
    <col min="1821" max="1821" width="13.140625" customWidth="1"/>
    <col min="1822" max="1823" width="14" customWidth="1"/>
    <col min="1824" max="1824" width="11.42578125" customWidth="1"/>
    <col min="1825" max="1825" width="15.85546875" customWidth="1"/>
    <col min="1826" max="1826" width="23.7109375" customWidth="1"/>
    <col min="1827" max="1827" width="12" customWidth="1"/>
    <col min="1828" max="1829" width="0.28515625" customWidth="1"/>
    <col min="1830" max="1830" width="1.42578125" customWidth="1"/>
    <col min="1831" max="1831" width="0" hidden="1" customWidth="1"/>
    <col min="2049" max="2049" width="10.28515625" customWidth="1"/>
    <col min="2050" max="2050" width="13.42578125" customWidth="1"/>
    <col min="2051" max="2051" width="4.28515625" customWidth="1"/>
    <col min="2052" max="2052" width="4" customWidth="1"/>
    <col min="2053" max="2053" width="28" customWidth="1"/>
    <col min="2054" max="2054" width="4.140625" customWidth="1"/>
    <col min="2055" max="2055" width="11.28515625" customWidth="1"/>
    <col min="2056" max="2056" width="16.140625" customWidth="1"/>
    <col min="2057" max="2057" width="11" customWidth="1"/>
    <col min="2058" max="2059" width="2.140625" customWidth="1"/>
    <col min="2060" max="2060" width="3.28515625" customWidth="1"/>
    <col min="2061" max="2062" width="0" hidden="1" customWidth="1"/>
    <col min="2063" max="2063" width="2.85546875" customWidth="1"/>
    <col min="2064" max="2064" width="3.28515625" customWidth="1"/>
    <col min="2065" max="2065" width="1.42578125" customWidth="1"/>
    <col min="2066" max="2066" width="0" hidden="1" customWidth="1"/>
    <col min="2067" max="2067" width="6.85546875" customWidth="1"/>
    <col min="2068" max="2068" width="0" hidden="1" customWidth="1"/>
    <col min="2069" max="2070" width="6.28515625" customWidth="1"/>
    <col min="2071" max="2071" width="17.7109375" customWidth="1"/>
    <col min="2072" max="2072" width="21.85546875" customWidth="1"/>
    <col min="2073" max="2073" width="10.85546875" customWidth="1"/>
    <col min="2074" max="2074" width="14.140625" customWidth="1"/>
    <col min="2075" max="2075" width="0" hidden="1" customWidth="1"/>
    <col min="2076" max="2076" width="13" customWidth="1"/>
    <col min="2077" max="2077" width="13.140625" customWidth="1"/>
    <col min="2078" max="2079" width="14" customWidth="1"/>
    <col min="2080" max="2080" width="11.42578125" customWidth="1"/>
    <col min="2081" max="2081" width="15.85546875" customWidth="1"/>
    <col min="2082" max="2082" width="23.7109375" customWidth="1"/>
    <col min="2083" max="2083" width="12" customWidth="1"/>
    <col min="2084" max="2085" width="0.28515625" customWidth="1"/>
    <col min="2086" max="2086" width="1.42578125" customWidth="1"/>
    <col min="2087" max="2087" width="0" hidden="1" customWidth="1"/>
    <col min="2305" max="2305" width="10.28515625" customWidth="1"/>
    <col min="2306" max="2306" width="13.42578125" customWidth="1"/>
    <col min="2307" max="2307" width="4.28515625" customWidth="1"/>
    <col min="2308" max="2308" width="4" customWidth="1"/>
    <col min="2309" max="2309" width="28" customWidth="1"/>
    <col min="2310" max="2310" width="4.140625" customWidth="1"/>
    <col min="2311" max="2311" width="11.28515625" customWidth="1"/>
    <col min="2312" max="2312" width="16.140625" customWidth="1"/>
    <col min="2313" max="2313" width="11" customWidth="1"/>
    <col min="2314" max="2315" width="2.140625" customWidth="1"/>
    <col min="2316" max="2316" width="3.28515625" customWidth="1"/>
    <col min="2317" max="2318" width="0" hidden="1" customWidth="1"/>
    <col min="2319" max="2319" width="2.85546875" customWidth="1"/>
    <col min="2320" max="2320" width="3.28515625" customWidth="1"/>
    <col min="2321" max="2321" width="1.42578125" customWidth="1"/>
    <col min="2322" max="2322" width="0" hidden="1" customWidth="1"/>
    <col min="2323" max="2323" width="6.85546875" customWidth="1"/>
    <col min="2324" max="2324" width="0" hidden="1" customWidth="1"/>
    <col min="2325" max="2326" width="6.28515625" customWidth="1"/>
    <col min="2327" max="2327" width="17.7109375" customWidth="1"/>
    <col min="2328" max="2328" width="21.85546875" customWidth="1"/>
    <col min="2329" max="2329" width="10.85546875" customWidth="1"/>
    <col min="2330" max="2330" width="14.140625" customWidth="1"/>
    <col min="2331" max="2331" width="0" hidden="1" customWidth="1"/>
    <col min="2332" max="2332" width="13" customWidth="1"/>
    <col min="2333" max="2333" width="13.140625" customWidth="1"/>
    <col min="2334" max="2335" width="14" customWidth="1"/>
    <col min="2336" max="2336" width="11.42578125" customWidth="1"/>
    <col min="2337" max="2337" width="15.85546875" customWidth="1"/>
    <col min="2338" max="2338" width="23.7109375" customWidth="1"/>
    <col min="2339" max="2339" width="12" customWidth="1"/>
    <col min="2340" max="2341" width="0.28515625" customWidth="1"/>
    <col min="2342" max="2342" width="1.42578125" customWidth="1"/>
    <col min="2343" max="2343" width="0" hidden="1" customWidth="1"/>
    <col min="2561" max="2561" width="10.28515625" customWidth="1"/>
    <col min="2562" max="2562" width="13.42578125" customWidth="1"/>
    <col min="2563" max="2563" width="4.28515625" customWidth="1"/>
    <col min="2564" max="2564" width="4" customWidth="1"/>
    <col min="2565" max="2565" width="28" customWidth="1"/>
    <col min="2566" max="2566" width="4.140625" customWidth="1"/>
    <col min="2567" max="2567" width="11.28515625" customWidth="1"/>
    <col min="2568" max="2568" width="16.140625" customWidth="1"/>
    <col min="2569" max="2569" width="11" customWidth="1"/>
    <col min="2570" max="2571" width="2.140625" customWidth="1"/>
    <col min="2572" max="2572" width="3.28515625" customWidth="1"/>
    <col min="2573" max="2574" width="0" hidden="1" customWidth="1"/>
    <col min="2575" max="2575" width="2.85546875" customWidth="1"/>
    <col min="2576" max="2576" width="3.28515625" customWidth="1"/>
    <col min="2577" max="2577" width="1.42578125" customWidth="1"/>
    <col min="2578" max="2578" width="0" hidden="1" customWidth="1"/>
    <col min="2579" max="2579" width="6.85546875" customWidth="1"/>
    <col min="2580" max="2580" width="0" hidden="1" customWidth="1"/>
    <col min="2581" max="2582" width="6.28515625" customWidth="1"/>
    <col min="2583" max="2583" width="17.7109375" customWidth="1"/>
    <col min="2584" max="2584" width="21.85546875" customWidth="1"/>
    <col min="2585" max="2585" width="10.85546875" customWidth="1"/>
    <col min="2586" max="2586" width="14.140625" customWidth="1"/>
    <col min="2587" max="2587" width="0" hidden="1" customWidth="1"/>
    <col min="2588" max="2588" width="13" customWidth="1"/>
    <col min="2589" max="2589" width="13.140625" customWidth="1"/>
    <col min="2590" max="2591" width="14" customWidth="1"/>
    <col min="2592" max="2592" width="11.42578125" customWidth="1"/>
    <col min="2593" max="2593" width="15.85546875" customWidth="1"/>
    <col min="2594" max="2594" width="23.7109375" customWidth="1"/>
    <col min="2595" max="2595" width="12" customWidth="1"/>
    <col min="2596" max="2597" width="0.28515625" customWidth="1"/>
    <col min="2598" max="2598" width="1.42578125" customWidth="1"/>
    <col min="2599" max="2599" width="0" hidden="1" customWidth="1"/>
    <col min="2817" max="2817" width="10.28515625" customWidth="1"/>
    <col min="2818" max="2818" width="13.42578125" customWidth="1"/>
    <col min="2819" max="2819" width="4.28515625" customWidth="1"/>
    <col min="2820" max="2820" width="4" customWidth="1"/>
    <col min="2821" max="2821" width="28" customWidth="1"/>
    <col min="2822" max="2822" width="4.140625" customWidth="1"/>
    <col min="2823" max="2823" width="11.28515625" customWidth="1"/>
    <col min="2824" max="2824" width="16.140625" customWidth="1"/>
    <col min="2825" max="2825" width="11" customWidth="1"/>
    <col min="2826" max="2827" width="2.140625" customWidth="1"/>
    <col min="2828" max="2828" width="3.28515625" customWidth="1"/>
    <col min="2829" max="2830" width="0" hidden="1" customWidth="1"/>
    <col min="2831" max="2831" width="2.85546875" customWidth="1"/>
    <col min="2832" max="2832" width="3.28515625" customWidth="1"/>
    <col min="2833" max="2833" width="1.42578125" customWidth="1"/>
    <col min="2834" max="2834" width="0" hidden="1" customWidth="1"/>
    <col min="2835" max="2835" width="6.85546875" customWidth="1"/>
    <col min="2836" max="2836" width="0" hidden="1" customWidth="1"/>
    <col min="2837" max="2838" width="6.28515625" customWidth="1"/>
    <col min="2839" max="2839" width="17.7109375" customWidth="1"/>
    <col min="2840" max="2840" width="21.85546875" customWidth="1"/>
    <col min="2841" max="2841" width="10.85546875" customWidth="1"/>
    <col min="2842" max="2842" width="14.140625" customWidth="1"/>
    <col min="2843" max="2843" width="0" hidden="1" customWidth="1"/>
    <col min="2844" max="2844" width="13" customWidth="1"/>
    <col min="2845" max="2845" width="13.140625" customWidth="1"/>
    <col min="2846" max="2847" width="14" customWidth="1"/>
    <col min="2848" max="2848" width="11.42578125" customWidth="1"/>
    <col min="2849" max="2849" width="15.85546875" customWidth="1"/>
    <col min="2850" max="2850" width="23.7109375" customWidth="1"/>
    <col min="2851" max="2851" width="12" customWidth="1"/>
    <col min="2852" max="2853" width="0.28515625" customWidth="1"/>
    <col min="2854" max="2854" width="1.42578125" customWidth="1"/>
    <col min="2855" max="2855" width="0" hidden="1" customWidth="1"/>
    <col min="3073" max="3073" width="10.28515625" customWidth="1"/>
    <col min="3074" max="3074" width="13.42578125" customWidth="1"/>
    <col min="3075" max="3075" width="4.28515625" customWidth="1"/>
    <col min="3076" max="3076" width="4" customWidth="1"/>
    <col min="3077" max="3077" width="28" customWidth="1"/>
    <col min="3078" max="3078" width="4.140625" customWidth="1"/>
    <col min="3079" max="3079" width="11.28515625" customWidth="1"/>
    <col min="3080" max="3080" width="16.140625" customWidth="1"/>
    <col min="3081" max="3081" width="11" customWidth="1"/>
    <col min="3082" max="3083" width="2.140625" customWidth="1"/>
    <col min="3084" max="3084" width="3.28515625" customWidth="1"/>
    <col min="3085" max="3086" width="0" hidden="1" customWidth="1"/>
    <col min="3087" max="3087" width="2.85546875" customWidth="1"/>
    <col min="3088" max="3088" width="3.28515625" customWidth="1"/>
    <col min="3089" max="3089" width="1.42578125" customWidth="1"/>
    <col min="3090" max="3090" width="0" hidden="1" customWidth="1"/>
    <col min="3091" max="3091" width="6.85546875" customWidth="1"/>
    <col min="3092" max="3092" width="0" hidden="1" customWidth="1"/>
    <col min="3093" max="3094" width="6.28515625" customWidth="1"/>
    <col min="3095" max="3095" width="17.7109375" customWidth="1"/>
    <col min="3096" max="3096" width="21.85546875" customWidth="1"/>
    <col min="3097" max="3097" width="10.85546875" customWidth="1"/>
    <col min="3098" max="3098" width="14.140625" customWidth="1"/>
    <col min="3099" max="3099" width="0" hidden="1" customWidth="1"/>
    <col min="3100" max="3100" width="13" customWidth="1"/>
    <col min="3101" max="3101" width="13.140625" customWidth="1"/>
    <col min="3102" max="3103" width="14" customWidth="1"/>
    <col min="3104" max="3104" width="11.42578125" customWidth="1"/>
    <col min="3105" max="3105" width="15.85546875" customWidth="1"/>
    <col min="3106" max="3106" width="23.7109375" customWidth="1"/>
    <col min="3107" max="3107" width="12" customWidth="1"/>
    <col min="3108" max="3109" width="0.28515625" customWidth="1"/>
    <col min="3110" max="3110" width="1.42578125" customWidth="1"/>
    <col min="3111" max="3111" width="0" hidden="1" customWidth="1"/>
    <col min="3329" max="3329" width="10.28515625" customWidth="1"/>
    <col min="3330" max="3330" width="13.42578125" customWidth="1"/>
    <col min="3331" max="3331" width="4.28515625" customWidth="1"/>
    <col min="3332" max="3332" width="4" customWidth="1"/>
    <col min="3333" max="3333" width="28" customWidth="1"/>
    <col min="3334" max="3334" width="4.140625" customWidth="1"/>
    <col min="3335" max="3335" width="11.28515625" customWidth="1"/>
    <col min="3336" max="3336" width="16.140625" customWidth="1"/>
    <col min="3337" max="3337" width="11" customWidth="1"/>
    <col min="3338" max="3339" width="2.140625" customWidth="1"/>
    <col min="3340" max="3340" width="3.28515625" customWidth="1"/>
    <col min="3341" max="3342" width="0" hidden="1" customWidth="1"/>
    <col min="3343" max="3343" width="2.85546875" customWidth="1"/>
    <col min="3344" max="3344" width="3.28515625" customWidth="1"/>
    <col min="3345" max="3345" width="1.42578125" customWidth="1"/>
    <col min="3346" max="3346" width="0" hidden="1" customWidth="1"/>
    <col min="3347" max="3347" width="6.85546875" customWidth="1"/>
    <col min="3348" max="3348" width="0" hidden="1" customWidth="1"/>
    <col min="3349" max="3350" width="6.28515625" customWidth="1"/>
    <col min="3351" max="3351" width="17.7109375" customWidth="1"/>
    <col min="3352" max="3352" width="21.85546875" customWidth="1"/>
    <col min="3353" max="3353" width="10.85546875" customWidth="1"/>
    <col min="3354" max="3354" width="14.140625" customWidth="1"/>
    <col min="3355" max="3355" width="0" hidden="1" customWidth="1"/>
    <col min="3356" max="3356" width="13" customWidth="1"/>
    <col min="3357" max="3357" width="13.140625" customWidth="1"/>
    <col min="3358" max="3359" width="14" customWidth="1"/>
    <col min="3360" max="3360" width="11.42578125" customWidth="1"/>
    <col min="3361" max="3361" width="15.85546875" customWidth="1"/>
    <col min="3362" max="3362" width="23.7109375" customWidth="1"/>
    <col min="3363" max="3363" width="12" customWidth="1"/>
    <col min="3364" max="3365" width="0.28515625" customWidth="1"/>
    <col min="3366" max="3366" width="1.42578125" customWidth="1"/>
    <col min="3367" max="3367" width="0" hidden="1" customWidth="1"/>
    <col min="3585" max="3585" width="10.28515625" customWidth="1"/>
    <col min="3586" max="3586" width="13.42578125" customWidth="1"/>
    <col min="3587" max="3587" width="4.28515625" customWidth="1"/>
    <col min="3588" max="3588" width="4" customWidth="1"/>
    <col min="3589" max="3589" width="28" customWidth="1"/>
    <col min="3590" max="3590" width="4.140625" customWidth="1"/>
    <col min="3591" max="3591" width="11.28515625" customWidth="1"/>
    <col min="3592" max="3592" width="16.140625" customWidth="1"/>
    <col min="3593" max="3593" width="11" customWidth="1"/>
    <col min="3594" max="3595" width="2.140625" customWidth="1"/>
    <col min="3596" max="3596" width="3.28515625" customWidth="1"/>
    <col min="3597" max="3598" width="0" hidden="1" customWidth="1"/>
    <col min="3599" max="3599" width="2.85546875" customWidth="1"/>
    <col min="3600" max="3600" width="3.28515625" customWidth="1"/>
    <col min="3601" max="3601" width="1.42578125" customWidth="1"/>
    <col min="3602" max="3602" width="0" hidden="1" customWidth="1"/>
    <col min="3603" max="3603" width="6.85546875" customWidth="1"/>
    <col min="3604" max="3604" width="0" hidden="1" customWidth="1"/>
    <col min="3605" max="3606" width="6.28515625" customWidth="1"/>
    <col min="3607" max="3607" width="17.7109375" customWidth="1"/>
    <col min="3608" max="3608" width="21.85546875" customWidth="1"/>
    <col min="3609" max="3609" width="10.85546875" customWidth="1"/>
    <col min="3610" max="3610" width="14.140625" customWidth="1"/>
    <col min="3611" max="3611" width="0" hidden="1" customWidth="1"/>
    <col min="3612" max="3612" width="13" customWidth="1"/>
    <col min="3613" max="3613" width="13.140625" customWidth="1"/>
    <col min="3614" max="3615" width="14" customWidth="1"/>
    <col min="3616" max="3616" width="11.42578125" customWidth="1"/>
    <col min="3617" max="3617" width="15.85546875" customWidth="1"/>
    <col min="3618" max="3618" width="23.7109375" customWidth="1"/>
    <col min="3619" max="3619" width="12" customWidth="1"/>
    <col min="3620" max="3621" width="0.28515625" customWidth="1"/>
    <col min="3622" max="3622" width="1.42578125" customWidth="1"/>
    <col min="3623" max="3623" width="0" hidden="1" customWidth="1"/>
    <col min="3841" max="3841" width="10.28515625" customWidth="1"/>
    <col min="3842" max="3842" width="13.42578125" customWidth="1"/>
    <col min="3843" max="3843" width="4.28515625" customWidth="1"/>
    <col min="3844" max="3844" width="4" customWidth="1"/>
    <col min="3845" max="3845" width="28" customWidth="1"/>
    <col min="3846" max="3846" width="4.140625" customWidth="1"/>
    <col min="3847" max="3847" width="11.28515625" customWidth="1"/>
    <col min="3848" max="3848" width="16.140625" customWidth="1"/>
    <col min="3849" max="3849" width="11" customWidth="1"/>
    <col min="3850" max="3851" width="2.140625" customWidth="1"/>
    <col min="3852" max="3852" width="3.28515625" customWidth="1"/>
    <col min="3853" max="3854" width="0" hidden="1" customWidth="1"/>
    <col min="3855" max="3855" width="2.85546875" customWidth="1"/>
    <col min="3856" max="3856" width="3.28515625" customWidth="1"/>
    <col min="3857" max="3857" width="1.42578125" customWidth="1"/>
    <col min="3858" max="3858" width="0" hidden="1" customWidth="1"/>
    <col min="3859" max="3859" width="6.85546875" customWidth="1"/>
    <col min="3860" max="3860" width="0" hidden="1" customWidth="1"/>
    <col min="3861" max="3862" width="6.28515625" customWidth="1"/>
    <col min="3863" max="3863" width="17.7109375" customWidth="1"/>
    <col min="3864" max="3864" width="21.85546875" customWidth="1"/>
    <col min="3865" max="3865" width="10.85546875" customWidth="1"/>
    <col min="3866" max="3866" width="14.140625" customWidth="1"/>
    <col min="3867" max="3867" width="0" hidden="1" customWidth="1"/>
    <col min="3868" max="3868" width="13" customWidth="1"/>
    <col min="3869" max="3869" width="13.140625" customWidth="1"/>
    <col min="3870" max="3871" width="14" customWidth="1"/>
    <col min="3872" max="3872" width="11.42578125" customWidth="1"/>
    <col min="3873" max="3873" width="15.85546875" customWidth="1"/>
    <col min="3874" max="3874" width="23.7109375" customWidth="1"/>
    <col min="3875" max="3875" width="12" customWidth="1"/>
    <col min="3876" max="3877" width="0.28515625" customWidth="1"/>
    <col min="3878" max="3878" width="1.42578125" customWidth="1"/>
    <col min="3879" max="3879" width="0" hidden="1" customWidth="1"/>
    <col min="4097" max="4097" width="10.28515625" customWidth="1"/>
    <col min="4098" max="4098" width="13.42578125" customWidth="1"/>
    <col min="4099" max="4099" width="4.28515625" customWidth="1"/>
    <col min="4100" max="4100" width="4" customWidth="1"/>
    <col min="4101" max="4101" width="28" customWidth="1"/>
    <col min="4102" max="4102" width="4.140625" customWidth="1"/>
    <col min="4103" max="4103" width="11.28515625" customWidth="1"/>
    <col min="4104" max="4104" width="16.140625" customWidth="1"/>
    <col min="4105" max="4105" width="11" customWidth="1"/>
    <col min="4106" max="4107" width="2.140625" customWidth="1"/>
    <col min="4108" max="4108" width="3.28515625" customWidth="1"/>
    <col min="4109" max="4110" width="0" hidden="1" customWidth="1"/>
    <col min="4111" max="4111" width="2.85546875" customWidth="1"/>
    <col min="4112" max="4112" width="3.28515625" customWidth="1"/>
    <col min="4113" max="4113" width="1.42578125" customWidth="1"/>
    <col min="4114" max="4114" width="0" hidden="1" customWidth="1"/>
    <col min="4115" max="4115" width="6.85546875" customWidth="1"/>
    <col min="4116" max="4116" width="0" hidden="1" customWidth="1"/>
    <col min="4117" max="4118" width="6.28515625" customWidth="1"/>
    <col min="4119" max="4119" width="17.7109375" customWidth="1"/>
    <col min="4120" max="4120" width="21.85546875" customWidth="1"/>
    <col min="4121" max="4121" width="10.85546875" customWidth="1"/>
    <col min="4122" max="4122" width="14.140625" customWidth="1"/>
    <col min="4123" max="4123" width="0" hidden="1" customWidth="1"/>
    <col min="4124" max="4124" width="13" customWidth="1"/>
    <col min="4125" max="4125" width="13.140625" customWidth="1"/>
    <col min="4126" max="4127" width="14" customWidth="1"/>
    <col min="4128" max="4128" width="11.42578125" customWidth="1"/>
    <col min="4129" max="4129" width="15.85546875" customWidth="1"/>
    <col min="4130" max="4130" width="23.7109375" customWidth="1"/>
    <col min="4131" max="4131" width="12" customWidth="1"/>
    <col min="4132" max="4133" width="0.28515625" customWidth="1"/>
    <col min="4134" max="4134" width="1.42578125" customWidth="1"/>
    <col min="4135" max="4135" width="0" hidden="1" customWidth="1"/>
    <col min="4353" max="4353" width="10.28515625" customWidth="1"/>
    <col min="4354" max="4354" width="13.42578125" customWidth="1"/>
    <col min="4355" max="4355" width="4.28515625" customWidth="1"/>
    <col min="4356" max="4356" width="4" customWidth="1"/>
    <col min="4357" max="4357" width="28" customWidth="1"/>
    <col min="4358" max="4358" width="4.140625" customWidth="1"/>
    <col min="4359" max="4359" width="11.28515625" customWidth="1"/>
    <col min="4360" max="4360" width="16.140625" customWidth="1"/>
    <col min="4361" max="4361" width="11" customWidth="1"/>
    <col min="4362" max="4363" width="2.140625" customWidth="1"/>
    <col min="4364" max="4364" width="3.28515625" customWidth="1"/>
    <col min="4365" max="4366" width="0" hidden="1" customWidth="1"/>
    <col min="4367" max="4367" width="2.85546875" customWidth="1"/>
    <col min="4368" max="4368" width="3.28515625" customWidth="1"/>
    <col min="4369" max="4369" width="1.42578125" customWidth="1"/>
    <col min="4370" max="4370" width="0" hidden="1" customWidth="1"/>
    <col min="4371" max="4371" width="6.85546875" customWidth="1"/>
    <col min="4372" max="4372" width="0" hidden="1" customWidth="1"/>
    <col min="4373" max="4374" width="6.28515625" customWidth="1"/>
    <col min="4375" max="4375" width="17.7109375" customWidth="1"/>
    <col min="4376" max="4376" width="21.85546875" customWidth="1"/>
    <col min="4377" max="4377" width="10.85546875" customWidth="1"/>
    <col min="4378" max="4378" width="14.140625" customWidth="1"/>
    <col min="4379" max="4379" width="0" hidden="1" customWidth="1"/>
    <col min="4380" max="4380" width="13" customWidth="1"/>
    <col min="4381" max="4381" width="13.140625" customWidth="1"/>
    <col min="4382" max="4383" width="14" customWidth="1"/>
    <col min="4384" max="4384" width="11.42578125" customWidth="1"/>
    <col min="4385" max="4385" width="15.85546875" customWidth="1"/>
    <col min="4386" max="4386" width="23.7109375" customWidth="1"/>
    <col min="4387" max="4387" width="12" customWidth="1"/>
    <col min="4388" max="4389" width="0.28515625" customWidth="1"/>
    <col min="4390" max="4390" width="1.42578125" customWidth="1"/>
    <col min="4391" max="4391" width="0" hidden="1" customWidth="1"/>
    <col min="4609" max="4609" width="10.28515625" customWidth="1"/>
    <col min="4610" max="4610" width="13.42578125" customWidth="1"/>
    <col min="4611" max="4611" width="4.28515625" customWidth="1"/>
    <col min="4612" max="4612" width="4" customWidth="1"/>
    <col min="4613" max="4613" width="28" customWidth="1"/>
    <col min="4614" max="4614" width="4.140625" customWidth="1"/>
    <col min="4615" max="4615" width="11.28515625" customWidth="1"/>
    <col min="4616" max="4616" width="16.140625" customWidth="1"/>
    <col min="4617" max="4617" width="11" customWidth="1"/>
    <col min="4618" max="4619" width="2.140625" customWidth="1"/>
    <col min="4620" max="4620" width="3.28515625" customWidth="1"/>
    <col min="4621" max="4622" width="0" hidden="1" customWidth="1"/>
    <col min="4623" max="4623" width="2.85546875" customWidth="1"/>
    <col min="4624" max="4624" width="3.28515625" customWidth="1"/>
    <col min="4625" max="4625" width="1.42578125" customWidth="1"/>
    <col min="4626" max="4626" width="0" hidden="1" customWidth="1"/>
    <col min="4627" max="4627" width="6.85546875" customWidth="1"/>
    <col min="4628" max="4628" width="0" hidden="1" customWidth="1"/>
    <col min="4629" max="4630" width="6.28515625" customWidth="1"/>
    <col min="4631" max="4631" width="17.7109375" customWidth="1"/>
    <col min="4632" max="4632" width="21.85546875" customWidth="1"/>
    <col min="4633" max="4633" width="10.85546875" customWidth="1"/>
    <col min="4634" max="4634" width="14.140625" customWidth="1"/>
    <col min="4635" max="4635" width="0" hidden="1" customWidth="1"/>
    <col min="4636" max="4636" width="13" customWidth="1"/>
    <col min="4637" max="4637" width="13.140625" customWidth="1"/>
    <col min="4638" max="4639" width="14" customWidth="1"/>
    <col min="4640" max="4640" width="11.42578125" customWidth="1"/>
    <col min="4641" max="4641" width="15.85546875" customWidth="1"/>
    <col min="4642" max="4642" width="23.7109375" customWidth="1"/>
    <col min="4643" max="4643" width="12" customWidth="1"/>
    <col min="4644" max="4645" width="0.28515625" customWidth="1"/>
    <col min="4646" max="4646" width="1.42578125" customWidth="1"/>
    <col min="4647" max="4647" width="0" hidden="1" customWidth="1"/>
    <col min="4865" max="4865" width="10.28515625" customWidth="1"/>
    <col min="4866" max="4866" width="13.42578125" customWidth="1"/>
    <col min="4867" max="4867" width="4.28515625" customWidth="1"/>
    <col min="4868" max="4868" width="4" customWidth="1"/>
    <col min="4869" max="4869" width="28" customWidth="1"/>
    <col min="4870" max="4870" width="4.140625" customWidth="1"/>
    <col min="4871" max="4871" width="11.28515625" customWidth="1"/>
    <col min="4872" max="4872" width="16.140625" customWidth="1"/>
    <col min="4873" max="4873" width="11" customWidth="1"/>
    <col min="4874" max="4875" width="2.140625" customWidth="1"/>
    <col min="4876" max="4876" width="3.28515625" customWidth="1"/>
    <col min="4877" max="4878" width="0" hidden="1" customWidth="1"/>
    <col min="4879" max="4879" width="2.85546875" customWidth="1"/>
    <col min="4880" max="4880" width="3.28515625" customWidth="1"/>
    <col min="4881" max="4881" width="1.42578125" customWidth="1"/>
    <col min="4882" max="4882" width="0" hidden="1" customWidth="1"/>
    <col min="4883" max="4883" width="6.85546875" customWidth="1"/>
    <col min="4884" max="4884" width="0" hidden="1" customWidth="1"/>
    <col min="4885" max="4886" width="6.28515625" customWidth="1"/>
    <col min="4887" max="4887" width="17.7109375" customWidth="1"/>
    <col min="4888" max="4888" width="21.85546875" customWidth="1"/>
    <col min="4889" max="4889" width="10.85546875" customWidth="1"/>
    <col min="4890" max="4890" width="14.140625" customWidth="1"/>
    <col min="4891" max="4891" width="0" hidden="1" customWidth="1"/>
    <col min="4892" max="4892" width="13" customWidth="1"/>
    <col min="4893" max="4893" width="13.140625" customWidth="1"/>
    <col min="4894" max="4895" width="14" customWidth="1"/>
    <col min="4896" max="4896" width="11.42578125" customWidth="1"/>
    <col min="4897" max="4897" width="15.85546875" customWidth="1"/>
    <col min="4898" max="4898" width="23.7109375" customWidth="1"/>
    <col min="4899" max="4899" width="12" customWidth="1"/>
    <col min="4900" max="4901" width="0.28515625" customWidth="1"/>
    <col min="4902" max="4902" width="1.42578125" customWidth="1"/>
    <col min="4903" max="4903" width="0" hidden="1" customWidth="1"/>
    <col min="5121" max="5121" width="10.28515625" customWidth="1"/>
    <col min="5122" max="5122" width="13.42578125" customWidth="1"/>
    <col min="5123" max="5123" width="4.28515625" customWidth="1"/>
    <col min="5124" max="5124" width="4" customWidth="1"/>
    <col min="5125" max="5125" width="28" customWidth="1"/>
    <col min="5126" max="5126" width="4.140625" customWidth="1"/>
    <col min="5127" max="5127" width="11.28515625" customWidth="1"/>
    <col min="5128" max="5128" width="16.140625" customWidth="1"/>
    <col min="5129" max="5129" width="11" customWidth="1"/>
    <col min="5130" max="5131" width="2.140625" customWidth="1"/>
    <col min="5132" max="5132" width="3.28515625" customWidth="1"/>
    <col min="5133" max="5134" width="0" hidden="1" customWidth="1"/>
    <col min="5135" max="5135" width="2.85546875" customWidth="1"/>
    <col min="5136" max="5136" width="3.28515625" customWidth="1"/>
    <col min="5137" max="5137" width="1.42578125" customWidth="1"/>
    <col min="5138" max="5138" width="0" hidden="1" customWidth="1"/>
    <col min="5139" max="5139" width="6.85546875" customWidth="1"/>
    <col min="5140" max="5140" width="0" hidden="1" customWidth="1"/>
    <col min="5141" max="5142" width="6.28515625" customWidth="1"/>
    <col min="5143" max="5143" width="17.7109375" customWidth="1"/>
    <col min="5144" max="5144" width="21.85546875" customWidth="1"/>
    <col min="5145" max="5145" width="10.85546875" customWidth="1"/>
    <col min="5146" max="5146" width="14.140625" customWidth="1"/>
    <col min="5147" max="5147" width="0" hidden="1" customWidth="1"/>
    <col min="5148" max="5148" width="13" customWidth="1"/>
    <col min="5149" max="5149" width="13.140625" customWidth="1"/>
    <col min="5150" max="5151" width="14" customWidth="1"/>
    <col min="5152" max="5152" width="11.42578125" customWidth="1"/>
    <col min="5153" max="5153" width="15.85546875" customWidth="1"/>
    <col min="5154" max="5154" width="23.7109375" customWidth="1"/>
    <col min="5155" max="5155" width="12" customWidth="1"/>
    <col min="5156" max="5157" width="0.28515625" customWidth="1"/>
    <col min="5158" max="5158" width="1.42578125" customWidth="1"/>
    <col min="5159" max="5159" width="0" hidden="1" customWidth="1"/>
    <col min="5377" max="5377" width="10.28515625" customWidth="1"/>
    <col min="5378" max="5378" width="13.42578125" customWidth="1"/>
    <col min="5379" max="5379" width="4.28515625" customWidth="1"/>
    <col min="5380" max="5380" width="4" customWidth="1"/>
    <col min="5381" max="5381" width="28" customWidth="1"/>
    <col min="5382" max="5382" width="4.140625" customWidth="1"/>
    <col min="5383" max="5383" width="11.28515625" customWidth="1"/>
    <col min="5384" max="5384" width="16.140625" customWidth="1"/>
    <col min="5385" max="5385" width="11" customWidth="1"/>
    <col min="5386" max="5387" width="2.140625" customWidth="1"/>
    <col min="5388" max="5388" width="3.28515625" customWidth="1"/>
    <col min="5389" max="5390" width="0" hidden="1" customWidth="1"/>
    <col min="5391" max="5391" width="2.85546875" customWidth="1"/>
    <col min="5392" max="5392" width="3.28515625" customWidth="1"/>
    <col min="5393" max="5393" width="1.42578125" customWidth="1"/>
    <col min="5394" max="5394" width="0" hidden="1" customWidth="1"/>
    <col min="5395" max="5395" width="6.85546875" customWidth="1"/>
    <col min="5396" max="5396" width="0" hidden="1" customWidth="1"/>
    <col min="5397" max="5398" width="6.28515625" customWidth="1"/>
    <col min="5399" max="5399" width="17.7109375" customWidth="1"/>
    <col min="5400" max="5400" width="21.85546875" customWidth="1"/>
    <col min="5401" max="5401" width="10.85546875" customWidth="1"/>
    <col min="5402" max="5402" width="14.140625" customWidth="1"/>
    <col min="5403" max="5403" width="0" hidden="1" customWidth="1"/>
    <col min="5404" max="5404" width="13" customWidth="1"/>
    <col min="5405" max="5405" width="13.140625" customWidth="1"/>
    <col min="5406" max="5407" width="14" customWidth="1"/>
    <col min="5408" max="5408" width="11.42578125" customWidth="1"/>
    <col min="5409" max="5409" width="15.85546875" customWidth="1"/>
    <col min="5410" max="5410" width="23.7109375" customWidth="1"/>
    <col min="5411" max="5411" width="12" customWidth="1"/>
    <col min="5412" max="5413" width="0.28515625" customWidth="1"/>
    <col min="5414" max="5414" width="1.42578125" customWidth="1"/>
    <col min="5415" max="5415" width="0" hidden="1" customWidth="1"/>
    <col min="5633" max="5633" width="10.28515625" customWidth="1"/>
    <col min="5634" max="5634" width="13.42578125" customWidth="1"/>
    <col min="5635" max="5635" width="4.28515625" customWidth="1"/>
    <col min="5636" max="5636" width="4" customWidth="1"/>
    <col min="5637" max="5637" width="28" customWidth="1"/>
    <col min="5638" max="5638" width="4.140625" customWidth="1"/>
    <col min="5639" max="5639" width="11.28515625" customWidth="1"/>
    <col min="5640" max="5640" width="16.140625" customWidth="1"/>
    <col min="5641" max="5641" width="11" customWidth="1"/>
    <col min="5642" max="5643" width="2.140625" customWidth="1"/>
    <col min="5644" max="5644" width="3.28515625" customWidth="1"/>
    <col min="5645" max="5646" width="0" hidden="1" customWidth="1"/>
    <col min="5647" max="5647" width="2.85546875" customWidth="1"/>
    <col min="5648" max="5648" width="3.28515625" customWidth="1"/>
    <col min="5649" max="5649" width="1.42578125" customWidth="1"/>
    <col min="5650" max="5650" width="0" hidden="1" customWidth="1"/>
    <col min="5651" max="5651" width="6.85546875" customWidth="1"/>
    <col min="5652" max="5652" width="0" hidden="1" customWidth="1"/>
    <col min="5653" max="5654" width="6.28515625" customWidth="1"/>
    <col min="5655" max="5655" width="17.7109375" customWidth="1"/>
    <col min="5656" max="5656" width="21.85546875" customWidth="1"/>
    <col min="5657" max="5657" width="10.85546875" customWidth="1"/>
    <col min="5658" max="5658" width="14.140625" customWidth="1"/>
    <col min="5659" max="5659" width="0" hidden="1" customWidth="1"/>
    <col min="5660" max="5660" width="13" customWidth="1"/>
    <col min="5661" max="5661" width="13.140625" customWidth="1"/>
    <col min="5662" max="5663" width="14" customWidth="1"/>
    <col min="5664" max="5664" width="11.42578125" customWidth="1"/>
    <col min="5665" max="5665" width="15.85546875" customWidth="1"/>
    <col min="5666" max="5666" width="23.7109375" customWidth="1"/>
    <col min="5667" max="5667" width="12" customWidth="1"/>
    <col min="5668" max="5669" width="0.28515625" customWidth="1"/>
    <col min="5670" max="5670" width="1.42578125" customWidth="1"/>
    <col min="5671" max="5671" width="0" hidden="1" customWidth="1"/>
    <col min="5889" max="5889" width="10.28515625" customWidth="1"/>
    <col min="5890" max="5890" width="13.42578125" customWidth="1"/>
    <col min="5891" max="5891" width="4.28515625" customWidth="1"/>
    <col min="5892" max="5892" width="4" customWidth="1"/>
    <col min="5893" max="5893" width="28" customWidth="1"/>
    <col min="5894" max="5894" width="4.140625" customWidth="1"/>
    <col min="5895" max="5895" width="11.28515625" customWidth="1"/>
    <col min="5896" max="5896" width="16.140625" customWidth="1"/>
    <col min="5897" max="5897" width="11" customWidth="1"/>
    <col min="5898" max="5899" width="2.140625" customWidth="1"/>
    <col min="5900" max="5900" width="3.28515625" customWidth="1"/>
    <col min="5901" max="5902" width="0" hidden="1" customWidth="1"/>
    <col min="5903" max="5903" width="2.85546875" customWidth="1"/>
    <col min="5904" max="5904" width="3.28515625" customWidth="1"/>
    <col min="5905" max="5905" width="1.42578125" customWidth="1"/>
    <col min="5906" max="5906" width="0" hidden="1" customWidth="1"/>
    <col min="5907" max="5907" width="6.85546875" customWidth="1"/>
    <col min="5908" max="5908" width="0" hidden="1" customWidth="1"/>
    <col min="5909" max="5910" width="6.28515625" customWidth="1"/>
    <col min="5911" max="5911" width="17.7109375" customWidth="1"/>
    <col min="5912" max="5912" width="21.85546875" customWidth="1"/>
    <col min="5913" max="5913" width="10.85546875" customWidth="1"/>
    <col min="5914" max="5914" width="14.140625" customWidth="1"/>
    <col min="5915" max="5915" width="0" hidden="1" customWidth="1"/>
    <col min="5916" max="5916" width="13" customWidth="1"/>
    <col min="5917" max="5917" width="13.140625" customWidth="1"/>
    <col min="5918" max="5919" width="14" customWidth="1"/>
    <col min="5920" max="5920" width="11.42578125" customWidth="1"/>
    <col min="5921" max="5921" width="15.85546875" customWidth="1"/>
    <col min="5922" max="5922" width="23.7109375" customWidth="1"/>
    <col min="5923" max="5923" width="12" customWidth="1"/>
    <col min="5924" max="5925" width="0.28515625" customWidth="1"/>
    <col min="5926" max="5926" width="1.42578125" customWidth="1"/>
    <col min="5927" max="5927" width="0" hidden="1" customWidth="1"/>
    <col min="6145" max="6145" width="10.28515625" customWidth="1"/>
    <col min="6146" max="6146" width="13.42578125" customWidth="1"/>
    <col min="6147" max="6147" width="4.28515625" customWidth="1"/>
    <col min="6148" max="6148" width="4" customWidth="1"/>
    <col min="6149" max="6149" width="28" customWidth="1"/>
    <col min="6150" max="6150" width="4.140625" customWidth="1"/>
    <col min="6151" max="6151" width="11.28515625" customWidth="1"/>
    <col min="6152" max="6152" width="16.140625" customWidth="1"/>
    <col min="6153" max="6153" width="11" customWidth="1"/>
    <col min="6154" max="6155" width="2.140625" customWidth="1"/>
    <col min="6156" max="6156" width="3.28515625" customWidth="1"/>
    <col min="6157" max="6158" width="0" hidden="1" customWidth="1"/>
    <col min="6159" max="6159" width="2.85546875" customWidth="1"/>
    <col min="6160" max="6160" width="3.28515625" customWidth="1"/>
    <col min="6161" max="6161" width="1.42578125" customWidth="1"/>
    <col min="6162" max="6162" width="0" hidden="1" customWidth="1"/>
    <col min="6163" max="6163" width="6.85546875" customWidth="1"/>
    <col min="6164" max="6164" width="0" hidden="1" customWidth="1"/>
    <col min="6165" max="6166" width="6.28515625" customWidth="1"/>
    <col min="6167" max="6167" width="17.7109375" customWidth="1"/>
    <col min="6168" max="6168" width="21.85546875" customWidth="1"/>
    <col min="6169" max="6169" width="10.85546875" customWidth="1"/>
    <col min="6170" max="6170" width="14.140625" customWidth="1"/>
    <col min="6171" max="6171" width="0" hidden="1" customWidth="1"/>
    <col min="6172" max="6172" width="13" customWidth="1"/>
    <col min="6173" max="6173" width="13.140625" customWidth="1"/>
    <col min="6174" max="6175" width="14" customWidth="1"/>
    <col min="6176" max="6176" width="11.42578125" customWidth="1"/>
    <col min="6177" max="6177" width="15.85546875" customWidth="1"/>
    <col min="6178" max="6178" width="23.7109375" customWidth="1"/>
    <col min="6179" max="6179" width="12" customWidth="1"/>
    <col min="6180" max="6181" width="0.28515625" customWidth="1"/>
    <col min="6182" max="6182" width="1.42578125" customWidth="1"/>
    <col min="6183" max="6183" width="0" hidden="1" customWidth="1"/>
    <col min="6401" max="6401" width="10.28515625" customWidth="1"/>
    <col min="6402" max="6402" width="13.42578125" customWidth="1"/>
    <col min="6403" max="6403" width="4.28515625" customWidth="1"/>
    <col min="6404" max="6404" width="4" customWidth="1"/>
    <col min="6405" max="6405" width="28" customWidth="1"/>
    <col min="6406" max="6406" width="4.140625" customWidth="1"/>
    <col min="6407" max="6407" width="11.28515625" customWidth="1"/>
    <col min="6408" max="6408" width="16.140625" customWidth="1"/>
    <col min="6409" max="6409" width="11" customWidth="1"/>
    <col min="6410" max="6411" width="2.140625" customWidth="1"/>
    <col min="6412" max="6412" width="3.28515625" customWidth="1"/>
    <col min="6413" max="6414" width="0" hidden="1" customWidth="1"/>
    <col min="6415" max="6415" width="2.85546875" customWidth="1"/>
    <col min="6416" max="6416" width="3.28515625" customWidth="1"/>
    <col min="6417" max="6417" width="1.42578125" customWidth="1"/>
    <col min="6418" max="6418" width="0" hidden="1" customWidth="1"/>
    <col min="6419" max="6419" width="6.85546875" customWidth="1"/>
    <col min="6420" max="6420" width="0" hidden="1" customWidth="1"/>
    <col min="6421" max="6422" width="6.28515625" customWidth="1"/>
    <col min="6423" max="6423" width="17.7109375" customWidth="1"/>
    <col min="6424" max="6424" width="21.85546875" customWidth="1"/>
    <col min="6425" max="6425" width="10.85546875" customWidth="1"/>
    <col min="6426" max="6426" width="14.140625" customWidth="1"/>
    <col min="6427" max="6427" width="0" hidden="1" customWidth="1"/>
    <col min="6428" max="6428" width="13" customWidth="1"/>
    <col min="6429" max="6429" width="13.140625" customWidth="1"/>
    <col min="6430" max="6431" width="14" customWidth="1"/>
    <col min="6432" max="6432" width="11.42578125" customWidth="1"/>
    <col min="6433" max="6433" width="15.85546875" customWidth="1"/>
    <col min="6434" max="6434" width="23.7109375" customWidth="1"/>
    <col min="6435" max="6435" width="12" customWidth="1"/>
    <col min="6436" max="6437" width="0.28515625" customWidth="1"/>
    <col min="6438" max="6438" width="1.42578125" customWidth="1"/>
    <col min="6439" max="6439" width="0" hidden="1" customWidth="1"/>
    <col min="6657" max="6657" width="10.28515625" customWidth="1"/>
    <col min="6658" max="6658" width="13.42578125" customWidth="1"/>
    <col min="6659" max="6659" width="4.28515625" customWidth="1"/>
    <col min="6660" max="6660" width="4" customWidth="1"/>
    <col min="6661" max="6661" width="28" customWidth="1"/>
    <col min="6662" max="6662" width="4.140625" customWidth="1"/>
    <col min="6663" max="6663" width="11.28515625" customWidth="1"/>
    <col min="6664" max="6664" width="16.140625" customWidth="1"/>
    <col min="6665" max="6665" width="11" customWidth="1"/>
    <col min="6666" max="6667" width="2.140625" customWidth="1"/>
    <col min="6668" max="6668" width="3.28515625" customWidth="1"/>
    <col min="6669" max="6670" width="0" hidden="1" customWidth="1"/>
    <col min="6671" max="6671" width="2.85546875" customWidth="1"/>
    <col min="6672" max="6672" width="3.28515625" customWidth="1"/>
    <col min="6673" max="6673" width="1.42578125" customWidth="1"/>
    <col min="6674" max="6674" width="0" hidden="1" customWidth="1"/>
    <col min="6675" max="6675" width="6.85546875" customWidth="1"/>
    <col min="6676" max="6676" width="0" hidden="1" customWidth="1"/>
    <col min="6677" max="6678" width="6.28515625" customWidth="1"/>
    <col min="6679" max="6679" width="17.7109375" customWidth="1"/>
    <col min="6680" max="6680" width="21.85546875" customWidth="1"/>
    <col min="6681" max="6681" width="10.85546875" customWidth="1"/>
    <col min="6682" max="6682" width="14.140625" customWidth="1"/>
    <col min="6683" max="6683" width="0" hidden="1" customWidth="1"/>
    <col min="6684" max="6684" width="13" customWidth="1"/>
    <col min="6685" max="6685" width="13.140625" customWidth="1"/>
    <col min="6686" max="6687" width="14" customWidth="1"/>
    <col min="6688" max="6688" width="11.42578125" customWidth="1"/>
    <col min="6689" max="6689" width="15.85546875" customWidth="1"/>
    <col min="6690" max="6690" width="23.7109375" customWidth="1"/>
    <col min="6691" max="6691" width="12" customWidth="1"/>
    <col min="6692" max="6693" width="0.28515625" customWidth="1"/>
    <col min="6694" max="6694" width="1.42578125" customWidth="1"/>
    <col min="6695" max="6695" width="0" hidden="1" customWidth="1"/>
    <col min="6913" max="6913" width="10.28515625" customWidth="1"/>
    <col min="6914" max="6914" width="13.42578125" customWidth="1"/>
    <col min="6915" max="6915" width="4.28515625" customWidth="1"/>
    <col min="6916" max="6916" width="4" customWidth="1"/>
    <col min="6917" max="6917" width="28" customWidth="1"/>
    <col min="6918" max="6918" width="4.140625" customWidth="1"/>
    <col min="6919" max="6919" width="11.28515625" customWidth="1"/>
    <col min="6920" max="6920" width="16.140625" customWidth="1"/>
    <col min="6921" max="6921" width="11" customWidth="1"/>
    <col min="6922" max="6923" width="2.140625" customWidth="1"/>
    <col min="6924" max="6924" width="3.28515625" customWidth="1"/>
    <col min="6925" max="6926" width="0" hidden="1" customWidth="1"/>
    <col min="6927" max="6927" width="2.85546875" customWidth="1"/>
    <col min="6928" max="6928" width="3.28515625" customWidth="1"/>
    <col min="6929" max="6929" width="1.42578125" customWidth="1"/>
    <col min="6930" max="6930" width="0" hidden="1" customWidth="1"/>
    <col min="6931" max="6931" width="6.85546875" customWidth="1"/>
    <col min="6932" max="6932" width="0" hidden="1" customWidth="1"/>
    <col min="6933" max="6934" width="6.28515625" customWidth="1"/>
    <col min="6935" max="6935" width="17.7109375" customWidth="1"/>
    <col min="6936" max="6936" width="21.85546875" customWidth="1"/>
    <col min="6937" max="6937" width="10.85546875" customWidth="1"/>
    <col min="6938" max="6938" width="14.140625" customWidth="1"/>
    <col min="6939" max="6939" width="0" hidden="1" customWidth="1"/>
    <col min="6940" max="6940" width="13" customWidth="1"/>
    <col min="6941" max="6941" width="13.140625" customWidth="1"/>
    <col min="6942" max="6943" width="14" customWidth="1"/>
    <col min="6944" max="6944" width="11.42578125" customWidth="1"/>
    <col min="6945" max="6945" width="15.85546875" customWidth="1"/>
    <col min="6946" max="6946" width="23.7109375" customWidth="1"/>
    <col min="6947" max="6947" width="12" customWidth="1"/>
    <col min="6948" max="6949" width="0.28515625" customWidth="1"/>
    <col min="6950" max="6950" width="1.42578125" customWidth="1"/>
    <col min="6951" max="6951" width="0" hidden="1" customWidth="1"/>
    <col min="7169" max="7169" width="10.28515625" customWidth="1"/>
    <col min="7170" max="7170" width="13.42578125" customWidth="1"/>
    <col min="7171" max="7171" width="4.28515625" customWidth="1"/>
    <col min="7172" max="7172" width="4" customWidth="1"/>
    <col min="7173" max="7173" width="28" customWidth="1"/>
    <col min="7174" max="7174" width="4.140625" customWidth="1"/>
    <col min="7175" max="7175" width="11.28515625" customWidth="1"/>
    <col min="7176" max="7176" width="16.140625" customWidth="1"/>
    <col min="7177" max="7177" width="11" customWidth="1"/>
    <col min="7178" max="7179" width="2.140625" customWidth="1"/>
    <col min="7180" max="7180" width="3.28515625" customWidth="1"/>
    <col min="7181" max="7182" width="0" hidden="1" customWidth="1"/>
    <col min="7183" max="7183" width="2.85546875" customWidth="1"/>
    <col min="7184" max="7184" width="3.28515625" customWidth="1"/>
    <col min="7185" max="7185" width="1.42578125" customWidth="1"/>
    <col min="7186" max="7186" width="0" hidden="1" customWidth="1"/>
    <col min="7187" max="7187" width="6.85546875" customWidth="1"/>
    <col min="7188" max="7188" width="0" hidden="1" customWidth="1"/>
    <col min="7189" max="7190" width="6.28515625" customWidth="1"/>
    <col min="7191" max="7191" width="17.7109375" customWidth="1"/>
    <col min="7192" max="7192" width="21.85546875" customWidth="1"/>
    <col min="7193" max="7193" width="10.85546875" customWidth="1"/>
    <col min="7194" max="7194" width="14.140625" customWidth="1"/>
    <col min="7195" max="7195" width="0" hidden="1" customWidth="1"/>
    <col min="7196" max="7196" width="13" customWidth="1"/>
    <col min="7197" max="7197" width="13.140625" customWidth="1"/>
    <col min="7198" max="7199" width="14" customWidth="1"/>
    <col min="7200" max="7200" width="11.42578125" customWidth="1"/>
    <col min="7201" max="7201" width="15.85546875" customWidth="1"/>
    <col min="7202" max="7202" width="23.7109375" customWidth="1"/>
    <col min="7203" max="7203" width="12" customWidth="1"/>
    <col min="7204" max="7205" width="0.28515625" customWidth="1"/>
    <col min="7206" max="7206" width="1.42578125" customWidth="1"/>
    <col min="7207" max="7207" width="0" hidden="1" customWidth="1"/>
    <col min="7425" max="7425" width="10.28515625" customWidth="1"/>
    <col min="7426" max="7426" width="13.42578125" customWidth="1"/>
    <col min="7427" max="7427" width="4.28515625" customWidth="1"/>
    <col min="7428" max="7428" width="4" customWidth="1"/>
    <col min="7429" max="7429" width="28" customWidth="1"/>
    <col min="7430" max="7430" width="4.140625" customWidth="1"/>
    <col min="7431" max="7431" width="11.28515625" customWidth="1"/>
    <col min="7432" max="7432" width="16.140625" customWidth="1"/>
    <col min="7433" max="7433" width="11" customWidth="1"/>
    <col min="7434" max="7435" width="2.140625" customWidth="1"/>
    <col min="7436" max="7436" width="3.28515625" customWidth="1"/>
    <col min="7437" max="7438" width="0" hidden="1" customWidth="1"/>
    <col min="7439" max="7439" width="2.85546875" customWidth="1"/>
    <col min="7440" max="7440" width="3.28515625" customWidth="1"/>
    <col min="7441" max="7441" width="1.42578125" customWidth="1"/>
    <col min="7442" max="7442" width="0" hidden="1" customWidth="1"/>
    <col min="7443" max="7443" width="6.85546875" customWidth="1"/>
    <col min="7444" max="7444" width="0" hidden="1" customWidth="1"/>
    <col min="7445" max="7446" width="6.28515625" customWidth="1"/>
    <col min="7447" max="7447" width="17.7109375" customWidth="1"/>
    <col min="7448" max="7448" width="21.85546875" customWidth="1"/>
    <col min="7449" max="7449" width="10.85546875" customWidth="1"/>
    <col min="7450" max="7450" width="14.140625" customWidth="1"/>
    <col min="7451" max="7451" width="0" hidden="1" customWidth="1"/>
    <col min="7452" max="7452" width="13" customWidth="1"/>
    <col min="7453" max="7453" width="13.140625" customWidth="1"/>
    <col min="7454" max="7455" width="14" customWidth="1"/>
    <col min="7456" max="7456" width="11.42578125" customWidth="1"/>
    <col min="7457" max="7457" width="15.85546875" customWidth="1"/>
    <col min="7458" max="7458" width="23.7109375" customWidth="1"/>
    <col min="7459" max="7459" width="12" customWidth="1"/>
    <col min="7460" max="7461" width="0.28515625" customWidth="1"/>
    <col min="7462" max="7462" width="1.42578125" customWidth="1"/>
    <col min="7463" max="7463" width="0" hidden="1" customWidth="1"/>
    <col min="7681" max="7681" width="10.28515625" customWidth="1"/>
    <col min="7682" max="7682" width="13.42578125" customWidth="1"/>
    <col min="7683" max="7683" width="4.28515625" customWidth="1"/>
    <col min="7684" max="7684" width="4" customWidth="1"/>
    <col min="7685" max="7685" width="28" customWidth="1"/>
    <col min="7686" max="7686" width="4.140625" customWidth="1"/>
    <col min="7687" max="7687" width="11.28515625" customWidth="1"/>
    <col min="7688" max="7688" width="16.140625" customWidth="1"/>
    <col min="7689" max="7689" width="11" customWidth="1"/>
    <col min="7690" max="7691" width="2.140625" customWidth="1"/>
    <col min="7692" max="7692" width="3.28515625" customWidth="1"/>
    <col min="7693" max="7694" width="0" hidden="1" customWidth="1"/>
    <col min="7695" max="7695" width="2.85546875" customWidth="1"/>
    <col min="7696" max="7696" width="3.28515625" customWidth="1"/>
    <col min="7697" max="7697" width="1.42578125" customWidth="1"/>
    <col min="7698" max="7698" width="0" hidden="1" customWidth="1"/>
    <col min="7699" max="7699" width="6.85546875" customWidth="1"/>
    <col min="7700" max="7700" width="0" hidden="1" customWidth="1"/>
    <col min="7701" max="7702" width="6.28515625" customWidth="1"/>
    <col min="7703" max="7703" width="17.7109375" customWidth="1"/>
    <col min="7704" max="7704" width="21.85546875" customWidth="1"/>
    <col min="7705" max="7705" width="10.85546875" customWidth="1"/>
    <col min="7706" max="7706" width="14.140625" customWidth="1"/>
    <col min="7707" max="7707" width="0" hidden="1" customWidth="1"/>
    <col min="7708" max="7708" width="13" customWidth="1"/>
    <col min="7709" max="7709" width="13.140625" customWidth="1"/>
    <col min="7710" max="7711" width="14" customWidth="1"/>
    <col min="7712" max="7712" width="11.42578125" customWidth="1"/>
    <col min="7713" max="7713" width="15.85546875" customWidth="1"/>
    <col min="7714" max="7714" width="23.7109375" customWidth="1"/>
    <col min="7715" max="7715" width="12" customWidth="1"/>
    <col min="7716" max="7717" width="0.28515625" customWidth="1"/>
    <col min="7718" max="7718" width="1.42578125" customWidth="1"/>
    <col min="7719" max="7719" width="0" hidden="1" customWidth="1"/>
    <col min="7937" max="7937" width="10.28515625" customWidth="1"/>
    <col min="7938" max="7938" width="13.42578125" customWidth="1"/>
    <col min="7939" max="7939" width="4.28515625" customWidth="1"/>
    <col min="7940" max="7940" width="4" customWidth="1"/>
    <col min="7941" max="7941" width="28" customWidth="1"/>
    <col min="7942" max="7942" width="4.140625" customWidth="1"/>
    <col min="7943" max="7943" width="11.28515625" customWidth="1"/>
    <col min="7944" max="7944" width="16.140625" customWidth="1"/>
    <col min="7945" max="7945" width="11" customWidth="1"/>
    <col min="7946" max="7947" width="2.140625" customWidth="1"/>
    <col min="7948" max="7948" width="3.28515625" customWidth="1"/>
    <col min="7949" max="7950" width="0" hidden="1" customWidth="1"/>
    <col min="7951" max="7951" width="2.85546875" customWidth="1"/>
    <col min="7952" max="7952" width="3.28515625" customWidth="1"/>
    <col min="7953" max="7953" width="1.42578125" customWidth="1"/>
    <col min="7954" max="7954" width="0" hidden="1" customWidth="1"/>
    <col min="7955" max="7955" width="6.85546875" customWidth="1"/>
    <col min="7956" max="7956" width="0" hidden="1" customWidth="1"/>
    <col min="7957" max="7958" width="6.28515625" customWidth="1"/>
    <col min="7959" max="7959" width="17.7109375" customWidth="1"/>
    <col min="7960" max="7960" width="21.85546875" customWidth="1"/>
    <col min="7961" max="7961" width="10.85546875" customWidth="1"/>
    <col min="7962" max="7962" width="14.140625" customWidth="1"/>
    <col min="7963" max="7963" width="0" hidden="1" customWidth="1"/>
    <col min="7964" max="7964" width="13" customWidth="1"/>
    <col min="7965" max="7965" width="13.140625" customWidth="1"/>
    <col min="7966" max="7967" width="14" customWidth="1"/>
    <col min="7968" max="7968" width="11.42578125" customWidth="1"/>
    <col min="7969" max="7969" width="15.85546875" customWidth="1"/>
    <col min="7970" max="7970" width="23.7109375" customWidth="1"/>
    <col min="7971" max="7971" width="12" customWidth="1"/>
    <col min="7972" max="7973" width="0.28515625" customWidth="1"/>
    <col min="7974" max="7974" width="1.42578125" customWidth="1"/>
    <col min="7975" max="7975" width="0" hidden="1" customWidth="1"/>
    <col min="8193" max="8193" width="10.28515625" customWidth="1"/>
    <col min="8194" max="8194" width="13.42578125" customWidth="1"/>
    <col min="8195" max="8195" width="4.28515625" customWidth="1"/>
    <col min="8196" max="8196" width="4" customWidth="1"/>
    <col min="8197" max="8197" width="28" customWidth="1"/>
    <col min="8198" max="8198" width="4.140625" customWidth="1"/>
    <col min="8199" max="8199" width="11.28515625" customWidth="1"/>
    <col min="8200" max="8200" width="16.140625" customWidth="1"/>
    <col min="8201" max="8201" width="11" customWidth="1"/>
    <col min="8202" max="8203" width="2.140625" customWidth="1"/>
    <col min="8204" max="8204" width="3.28515625" customWidth="1"/>
    <col min="8205" max="8206" width="0" hidden="1" customWidth="1"/>
    <col min="8207" max="8207" width="2.85546875" customWidth="1"/>
    <col min="8208" max="8208" width="3.28515625" customWidth="1"/>
    <col min="8209" max="8209" width="1.42578125" customWidth="1"/>
    <col min="8210" max="8210" width="0" hidden="1" customWidth="1"/>
    <col min="8211" max="8211" width="6.85546875" customWidth="1"/>
    <col min="8212" max="8212" width="0" hidden="1" customWidth="1"/>
    <col min="8213" max="8214" width="6.28515625" customWidth="1"/>
    <col min="8215" max="8215" width="17.7109375" customWidth="1"/>
    <col min="8216" max="8216" width="21.85546875" customWidth="1"/>
    <col min="8217" max="8217" width="10.85546875" customWidth="1"/>
    <col min="8218" max="8218" width="14.140625" customWidth="1"/>
    <col min="8219" max="8219" width="0" hidden="1" customWidth="1"/>
    <col min="8220" max="8220" width="13" customWidth="1"/>
    <col min="8221" max="8221" width="13.140625" customWidth="1"/>
    <col min="8222" max="8223" width="14" customWidth="1"/>
    <col min="8224" max="8224" width="11.42578125" customWidth="1"/>
    <col min="8225" max="8225" width="15.85546875" customWidth="1"/>
    <col min="8226" max="8226" width="23.7109375" customWidth="1"/>
    <col min="8227" max="8227" width="12" customWidth="1"/>
    <col min="8228" max="8229" width="0.28515625" customWidth="1"/>
    <col min="8230" max="8230" width="1.42578125" customWidth="1"/>
    <col min="8231" max="8231" width="0" hidden="1" customWidth="1"/>
    <col min="8449" max="8449" width="10.28515625" customWidth="1"/>
    <col min="8450" max="8450" width="13.42578125" customWidth="1"/>
    <col min="8451" max="8451" width="4.28515625" customWidth="1"/>
    <col min="8452" max="8452" width="4" customWidth="1"/>
    <col min="8453" max="8453" width="28" customWidth="1"/>
    <col min="8454" max="8454" width="4.140625" customWidth="1"/>
    <col min="8455" max="8455" width="11.28515625" customWidth="1"/>
    <col min="8456" max="8456" width="16.140625" customWidth="1"/>
    <col min="8457" max="8457" width="11" customWidth="1"/>
    <col min="8458" max="8459" width="2.140625" customWidth="1"/>
    <col min="8460" max="8460" width="3.28515625" customWidth="1"/>
    <col min="8461" max="8462" width="0" hidden="1" customWidth="1"/>
    <col min="8463" max="8463" width="2.85546875" customWidth="1"/>
    <col min="8464" max="8464" width="3.28515625" customWidth="1"/>
    <col min="8465" max="8465" width="1.42578125" customWidth="1"/>
    <col min="8466" max="8466" width="0" hidden="1" customWidth="1"/>
    <col min="8467" max="8467" width="6.85546875" customWidth="1"/>
    <col min="8468" max="8468" width="0" hidden="1" customWidth="1"/>
    <col min="8469" max="8470" width="6.28515625" customWidth="1"/>
    <col min="8471" max="8471" width="17.7109375" customWidth="1"/>
    <col min="8472" max="8472" width="21.85546875" customWidth="1"/>
    <col min="8473" max="8473" width="10.85546875" customWidth="1"/>
    <col min="8474" max="8474" width="14.140625" customWidth="1"/>
    <col min="8475" max="8475" width="0" hidden="1" customWidth="1"/>
    <col min="8476" max="8476" width="13" customWidth="1"/>
    <col min="8477" max="8477" width="13.140625" customWidth="1"/>
    <col min="8478" max="8479" width="14" customWidth="1"/>
    <col min="8480" max="8480" width="11.42578125" customWidth="1"/>
    <col min="8481" max="8481" width="15.85546875" customWidth="1"/>
    <col min="8482" max="8482" width="23.7109375" customWidth="1"/>
    <col min="8483" max="8483" width="12" customWidth="1"/>
    <col min="8484" max="8485" width="0.28515625" customWidth="1"/>
    <col min="8486" max="8486" width="1.42578125" customWidth="1"/>
    <col min="8487" max="8487" width="0" hidden="1" customWidth="1"/>
    <col min="8705" max="8705" width="10.28515625" customWidth="1"/>
    <col min="8706" max="8706" width="13.42578125" customWidth="1"/>
    <col min="8707" max="8707" width="4.28515625" customWidth="1"/>
    <col min="8708" max="8708" width="4" customWidth="1"/>
    <col min="8709" max="8709" width="28" customWidth="1"/>
    <col min="8710" max="8710" width="4.140625" customWidth="1"/>
    <col min="8711" max="8711" width="11.28515625" customWidth="1"/>
    <col min="8712" max="8712" width="16.140625" customWidth="1"/>
    <col min="8713" max="8713" width="11" customWidth="1"/>
    <col min="8714" max="8715" width="2.140625" customWidth="1"/>
    <col min="8716" max="8716" width="3.28515625" customWidth="1"/>
    <col min="8717" max="8718" width="0" hidden="1" customWidth="1"/>
    <col min="8719" max="8719" width="2.85546875" customWidth="1"/>
    <col min="8720" max="8720" width="3.28515625" customWidth="1"/>
    <col min="8721" max="8721" width="1.42578125" customWidth="1"/>
    <col min="8722" max="8722" width="0" hidden="1" customWidth="1"/>
    <col min="8723" max="8723" width="6.85546875" customWidth="1"/>
    <col min="8724" max="8724" width="0" hidden="1" customWidth="1"/>
    <col min="8725" max="8726" width="6.28515625" customWidth="1"/>
    <col min="8727" max="8727" width="17.7109375" customWidth="1"/>
    <col min="8728" max="8728" width="21.85546875" customWidth="1"/>
    <col min="8729" max="8729" width="10.85546875" customWidth="1"/>
    <col min="8730" max="8730" width="14.140625" customWidth="1"/>
    <col min="8731" max="8731" width="0" hidden="1" customWidth="1"/>
    <col min="8732" max="8732" width="13" customWidth="1"/>
    <col min="8733" max="8733" width="13.140625" customWidth="1"/>
    <col min="8734" max="8735" width="14" customWidth="1"/>
    <col min="8736" max="8736" width="11.42578125" customWidth="1"/>
    <col min="8737" max="8737" width="15.85546875" customWidth="1"/>
    <col min="8738" max="8738" width="23.7109375" customWidth="1"/>
    <col min="8739" max="8739" width="12" customWidth="1"/>
    <col min="8740" max="8741" width="0.28515625" customWidth="1"/>
    <col min="8742" max="8742" width="1.42578125" customWidth="1"/>
    <col min="8743" max="8743" width="0" hidden="1" customWidth="1"/>
    <col min="8961" max="8961" width="10.28515625" customWidth="1"/>
    <col min="8962" max="8962" width="13.42578125" customWidth="1"/>
    <col min="8963" max="8963" width="4.28515625" customWidth="1"/>
    <col min="8964" max="8964" width="4" customWidth="1"/>
    <col min="8965" max="8965" width="28" customWidth="1"/>
    <col min="8966" max="8966" width="4.140625" customWidth="1"/>
    <col min="8967" max="8967" width="11.28515625" customWidth="1"/>
    <col min="8968" max="8968" width="16.140625" customWidth="1"/>
    <col min="8969" max="8969" width="11" customWidth="1"/>
    <col min="8970" max="8971" width="2.140625" customWidth="1"/>
    <col min="8972" max="8972" width="3.28515625" customWidth="1"/>
    <col min="8973" max="8974" width="0" hidden="1" customWidth="1"/>
    <col min="8975" max="8975" width="2.85546875" customWidth="1"/>
    <col min="8976" max="8976" width="3.28515625" customWidth="1"/>
    <col min="8977" max="8977" width="1.42578125" customWidth="1"/>
    <col min="8978" max="8978" width="0" hidden="1" customWidth="1"/>
    <col min="8979" max="8979" width="6.85546875" customWidth="1"/>
    <col min="8980" max="8980" width="0" hidden="1" customWidth="1"/>
    <col min="8981" max="8982" width="6.28515625" customWidth="1"/>
    <col min="8983" max="8983" width="17.7109375" customWidth="1"/>
    <col min="8984" max="8984" width="21.85546875" customWidth="1"/>
    <col min="8985" max="8985" width="10.85546875" customWidth="1"/>
    <col min="8986" max="8986" width="14.140625" customWidth="1"/>
    <col min="8987" max="8987" width="0" hidden="1" customWidth="1"/>
    <col min="8988" max="8988" width="13" customWidth="1"/>
    <col min="8989" max="8989" width="13.140625" customWidth="1"/>
    <col min="8990" max="8991" width="14" customWidth="1"/>
    <col min="8992" max="8992" width="11.42578125" customWidth="1"/>
    <col min="8993" max="8993" width="15.85546875" customWidth="1"/>
    <col min="8994" max="8994" width="23.7109375" customWidth="1"/>
    <col min="8995" max="8995" width="12" customWidth="1"/>
    <col min="8996" max="8997" width="0.28515625" customWidth="1"/>
    <col min="8998" max="8998" width="1.42578125" customWidth="1"/>
    <col min="8999" max="8999" width="0" hidden="1" customWidth="1"/>
    <col min="9217" max="9217" width="10.28515625" customWidth="1"/>
    <col min="9218" max="9218" width="13.42578125" customWidth="1"/>
    <col min="9219" max="9219" width="4.28515625" customWidth="1"/>
    <col min="9220" max="9220" width="4" customWidth="1"/>
    <col min="9221" max="9221" width="28" customWidth="1"/>
    <col min="9222" max="9222" width="4.140625" customWidth="1"/>
    <col min="9223" max="9223" width="11.28515625" customWidth="1"/>
    <col min="9224" max="9224" width="16.140625" customWidth="1"/>
    <col min="9225" max="9225" width="11" customWidth="1"/>
    <col min="9226" max="9227" width="2.140625" customWidth="1"/>
    <col min="9228" max="9228" width="3.28515625" customWidth="1"/>
    <col min="9229" max="9230" width="0" hidden="1" customWidth="1"/>
    <col min="9231" max="9231" width="2.85546875" customWidth="1"/>
    <col min="9232" max="9232" width="3.28515625" customWidth="1"/>
    <col min="9233" max="9233" width="1.42578125" customWidth="1"/>
    <col min="9234" max="9234" width="0" hidden="1" customWidth="1"/>
    <col min="9235" max="9235" width="6.85546875" customWidth="1"/>
    <col min="9236" max="9236" width="0" hidden="1" customWidth="1"/>
    <col min="9237" max="9238" width="6.28515625" customWidth="1"/>
    <col min="9239" max="9239" width="17.7109375" customWidth="1"/>
    <col min="9240" max="9240" width="21.85546875" customWidth="1"/>
    <col min="9241" max="9241" width="10.85546875" customWidth="1"/>
    <col min="9242" max="9242" width="14.140625" customWidth="1"/>
    <col min="9243" max="9243" width="0" hidden="1" customWidth="1"/>
    <col min="9244" max="9244" width="13" customWidth="1"/>
    <col min="9245" max="9245" width="13.140625" customWidth="1"/>
    <col min="9246" max="9247" width="14" customWidth="1"/>
    <col min="9248" max="9248" width="11.42578125" customWidth="1"/>
    <col min="9249" max="9249" width="15.85546875" customWidth="1"/>
    <col min="9250" max="9250" width="23.7109375" customWidth="1"/>
    <col min="9251" max="9251" width="12" customWidth="1"/>
    <col min="9252" max="9253" width="0.28515625" customWidth="1"/>
    <col min="9254" max="9254" width="1.42578125" customWidth="1"/>
    <col min="9255" max="9255" width="0" hidden="1" customWidth="1"/>
    <col min="9473" max="9473" width="10.28515625" customWidth="1"/>
    <col min="9474" max="9474" width="13.42578125" customWidth="1"/>
    <col min="9475" max="9475" width="4.28515625" customWidth="1"/>
    <col min="9476" max="9476" width="4" customWidth="1"/>
    <col min="9477" max="9477" width="28" customWidth="1"/>
    <col min="9478" max="9478" width="4.140625" customWidth="1"/>
    <col min="9479" max="9479" width="11.28515625" customWidth="1"/>
    <col min="9480" max="9480" width="16.140625" customWidth="1"/>
    <col min="9481" max="9481" width="11" customWidth="1"/>
    <col min="9482" max="9483" width="2.140625" customWidth="1"/>
    <col min="9484" max="9484" width="3.28515625" customWidth="1"/>
    <col min="9485" max="9486" width="0" hidden="1" customWidth="1"/>
    <col min="9487" max="9487" width="2.85546875" customWidth="1"/>
    <col min="9488" max="9488" width="3.28515625" customWidth="1"/>
    <col min="9489" max="9489" width="1.42578125" customWidth="1"/>
    <col min="9490" max="9490" width="0" hidden="1" customWidth="1"/>
    <col min="9491" max="9491" width="6.85546875" customWidth="1"/>
    <col min="9492" max="9492" width="0" hidden="1" customWidth="1"/>
    <col min="9493" max="9494" width="6.28515625" customWidth="1"/>
    <col min="9495" max="9495" width="17.7109375" customWidth="1"/>
    <col min="9496" max="9496" width="21.85546875" customWidth="1"/>
    <col min="9497" max="9497" width="10.85546875" customWidth="1"/>
    <col min="9498" max="9498" width="14.140625" customWidth="1"/>
    <col min="9499" max="9499" width="0" hidden="1" customWidth="1"/>
    <col min="9500" max="9500" width="13" customWidth="1"/>
    <col min="9501" max="9501" width="13.140625" customWidth="1"/>
    <col min="9502" max="9503" width="14" customWidth="1"/>
    <col min="9504" max="9504" width="11.42578125" customWidth="1"/>
    <col min="9505" max="9505" width="15.85546875" customWidth="1"/>
    <col min="9506" max="9506" width="23.7109375" customWidth="1"/>
    <col min="9507" max="9507" width="12" customWidth="1"/>
    <col min="9508" max="9509" width="0.28515625" customWidth="1"/>
    <col min="9510" max="9510" width="1.42578125" customWidth="1"/>
    <col min="9511" max="9511" width="0" hidden="1" customWidth="1"/>
    <col min="9729" max="9729" width="10.28515625" customWidth="1"/>
    <col min="9730" max="9730" width="13.42578125" customWidth="1"/>
    <col min="9731" max="9731" width="4.28515625" customWidth="1"/>
    <col min="9732" max="9732" width="4" customWidth="1"/>
    <col min="9733" max="9733" width="28" customWidth="1"/>
    <col min="9734" max="9734" width="4.140625" customWidth="1"/>
    <col min="9735" max="9735" width="11.28515625" customWidth="1"/>
    <col min="9736" max="9736" width="16.140625" customWidth="1"/>
    <col min="9737" max="9737" width="11" customWidth="1"/>
    <col min="9738" max="9739" width="2.140625" customWidth="1"/>
    <col min="9740" max="9740" width="3.28515625" customWidth="1"/>
    <col min="9741" max="9742" width="0" hidden="1" customWidth="1"/>
    <col min="9743" max="9743" width="2.85546875" customWidth="1"/>
    <col min="9744" max="9744" width="3.28515625" customWidth="1"/>
    <col min="9745" max="9745" width="1.42578125" customWidth="1"/>
    <col min="9746" max="9746" width="0" hidden="1" customWidth="1"/>
    <col min="9747" max="9747" width="6.85546875" customWidth="1"/>
    <col min="9748" max="9748" width="0" hidden="1" customWidth="1"/>
    <col min="9749" max="9750" width="6.28515625" customWidth="1"/>
    <col min="9751" max="9751" width="17.7109375" customWidth="1"/>
    <col min="9752" max="9752" width="21.85546875" customWidth="1"/>
    <col min="9753" max="9753" width="10.85546875" customWidth="1"/>
    <col min="9754" max="9754" width="14.140625" customWidth="1"/>
    <col min="9755" max="9755" width="0" hidden="1" customWidth="1"/>
    <col min="9756" max="9756" width="13" customWidth="1"/>
    <col min="9757" max="9757" width="13.140625" customWidth="1"/>
    <col min="9758" max="9759" width="14" customWidth="1"/>
    <col min="9760" max="9760" width="11.42578125" customWidth="1"/>
    <col min="9761" max="9761" width="15.85546875" customWidth="1"/>
    <col min="9762" max="9762" width="23.7109375" customWidth="1"/>
    <col min="9763" max="9763" width="12" customWidth="1"/>
    <col min="9764" max="9765" width="0.28515625" customWidth="1"/>
    <col min="9766" max="9766" width="1.42578125" customWidth="1"/>
    <col min="9767" max="9767" width="0" hidden="1" customWidth="1"/>
    <col min="9985" max="9985" width="10.28515625" customWidth="1"/>
    <col min="9986" max="9986" width="13.42578125" customWidth="1"/>
    <col min="9987" max="9987" width="4.28515625" customWidth="1"/>
    <col min="9988" max="9988" width="4" customWidth="1"/>
    <col min="9989" max="9989" width="28" customWidth="1"/>
    <col min="9990" max="9990" width="4.140625" customWidth="1"/>
    <col min="9991" max="9991" width="11.28515625" customWidth="1"/>
    <col min="9992" max="9992" width="16.140625" customWidth="1"/>
    <col min="9993" max="9993" width="11" customWidth="1"/>
    <col min="9994" max="9995" width="2.140625" customWidth="1"/>
    <col min="9996" max="9996" width="3.28515625" customWidth="1"/>
    <col min="9997" max="9998" width="0" hidden="1" customWidth="1"/>
    <col min="9999" max="9999" width="2.85546875" customWidth="1"/>
    <col min="10000" max="10000" width="3.28515625" customWidth="1"/>
    <col min="10001" max="10001" width="1.42578125" customWidth="1"/>
    <col min="10002" max="10002" width="0" hidden="1" customWidth="1"/>
    <col min="10003" max="10003" width="6.85546875" customWidth="1"/>
    <col min="10004" max="10004" width="0" hidden="1" customWidth="1"/>
    <col min="10005" max="10006" width="6.28515625" customWidth="1"/>
    <col min="10007" max="10007" width="17.7109375" customWidth="1"/>
    <col min="10008" max="10008" width="21.85546875" customWidth="1"/>
    <col min="10009" max="10009" width="10.85546875" customWidth="1"/>
    <col min="10010" max="10010" width="14.140625" customWidth="1"/>
    <col min="10011" max="10011" width="0" hidden="1" customWidth="1"/>
    <col min="10012" max="10012" width="13" customWidth="1"/>
    <col min="10013" max="10013" width="13.140625" customWidth="1"/>
    <col min="10014" max="10015" width="14" customWidth="1"/>
    <col min="10016" max="10016" width="11.42578125" customWidth="1"/>
    <col min="10017" max="10017" width="15.85546875" customWidth="1"/>
    <col min="10018" max="10018" width="23.7109375" customWidth="1"/>
    <col min="10019" max="10019" width="12" customWidth="1"/>
    <col min="10020" max="10021" width="0.28515625" customWidth="1"/>
    <col min="10022" max="10022" width="1.42578125" customWidth="1"/>
    <col min="10023" max="10023" width="0" hidden="1" customWidth="1"/>
    <col min="10241" max="10241" width="10.28515625" customWidth="1"/>
    <col min="10242" max="10242" width="13.42578125" customWidth="1"/>
    <col min="10243" max="10243" width="4.28515625" customWidth="1"/>
    <col min="10244" max="10244" width="4" customWidth="1"/>
    <col min="10245" max="10245" width="28" customWidth="1"/>
    <col min="10246" max="10246" width="4.140625" customWidth="1"/>
    <col min="10247" max="10247" width="11.28515625" customWidth="1"/>
    <col min="10248" max="10248" width="16.140625" customWidth="1"/>
    <col min="10249" max="10249" width="11" customWidth="1"/>
    <col min="10250" max="10251" width="2.140625" customWidth="1"/>
    <col min="10252" max="10252" width="3.28515625" customWidth="1"/>
    <col min="10253" max="10254" width="0" hidden="1" customWidth="1"/>
    <col min="10255" max="10255" width="2.85546875" customWidth="1"/>
    <col min="10256" max="10256" width="3.28515625" customWidth="1"/>
    <col min="10257" max="10257" width="1.42578125" customWidth="1"/>
    <col min="10258" max="10258" width="0" hidden="1" customWidth="1"/>
    <col min="10259" max="10259" width="6.85546875" customWidth="1"/>
    <col min="10260" max="10260" width="0" hidden="1" customWidth="1"/>
    <col min="10261" max="10262" width="6.28515625" customWidth="1"/>
    <col min="10263" max="10263" width="17.7109375" customWidth="1"/>
    <col min="10264" max="10264" width="21.85546875" customWidth="1"/>
    <col min="10265" max="10265" width="10.85546875" customWidth="1"/>
    <col min="10266" max="10266" width="14.140625" customWidth="1"/>
    <col min="10267" max="10267" width="0" hidden="1" customWidth="1"/>
    <col min="10268" max="10268" width="13" customWidth="1"/>
    <col min="10269" max="10269" width="13.140625" customWidth="1"/>
    <col min="10270" max="10271" width="14" customWidth="1"/>
    <col min="10272" max="10272" width="11.42578125" customWidth="1"/>
    <col min="10273" max="10273" width="15.85546875" customWidth="1"/>
    <col min="10274" max="10274" width="23.7109375" customWidth="1"/>
    <col min="10275" max="10275" width="12" customWidth="1"/>
    <col min="10276" max="10277" width="0.28515625" customWidth="1"/>
    <col min="10278" max="10278" width="1.42578125" customWidth="1"/>
    <col min="10279" max="10279" width="0" hidden="1" customWidth="1"/>
    <col min="10497" max="10497" width="10.28515625" customWidth="1"/>
    <col min="10498" max="10498" width="13.42578125" customWidth="1"/>
    <col min="10499" max="10499" width="4.28515625" customWidth="1"/>
    <col min="10500" max="10500" width="4" customWidth="1"/>
    <col min="10501" max="10501" width="28" customWidth="1"/>
    <col min="10502" max="10502" width="4.140625" customWidth="1"/>
    <col min="10503" max="10503" width="11.28515625" customWidth="1"/>
    <col min="10504" max="10504" width="16.140625" customWidth="1"/>
    <col min="10505" max="10505" width="11" customWidth="1"/>
    <col min="10506" max="10507" width="2.140625" customWidth="1"/>
    <col min="10508" max="10508" width="3.28515625" customWidth="1"/>
    <col min="10509" max="10510" width="0" hidden="1" customWidth="1"/>
    <col min="10511" max="10511" width="2.85546875" customWidth="1"/>
    <col min="10512" max="10512" width="3.28515625" customWidth="1"/>
    <col min="10513" max="10513" width="1.42578125" customWidth="1"/>
    <col min="10514" max="10514" width="0" hidden="1" customWidth="1"/>
    <col min="10515" max="10515" width="6.85546875" customWidth="1"/>
    <col min="10516" max="10516" width="0" hidden="1" customWidth="1"/>
    <col min="10517" max="10518" width="6.28515625" customWidth="1"/>
    <col min="10519" max="10519" width="17.7109375" customWidth="1"/>
    <col min="10520" max="10520" width="21.85546875" customWidth="1"/>
    <col min="10521" max="10521" width="10.85546875" customWidth="1"/>
    <col min="10522" max="10522" width="14.140625" customWidth="1"/>
    <col min="10523" max="10523" width="0" hidden="1" customWidth="1"/>
    <col min="10524" max="10524" width="13" customWidth="1"/>
    <col min="10525" max="10525" width="13.140625" customWidth="1"/>
    <col min="10526" max="10527" width="14" customWidth="1"/>
    <col min="10528" max="10528" width="11.42578125" customWidth="1"/>
    <col min="10529" max="10529" width="15.85546875" customWidth="1"/>
    <col min="10530" max="10530" width="23.7109375" customWidth="1"/>
    <col min="10531" max="10531" width="12" customWidth="1"/>
    <col min="10532" max="10533" width="0.28515625" customWidth="1"/>
    <col min="10534" max="10534" width="1.42578125" customWidth="1"/>
    <col min="10535" max="10535" width="0" hidden="1" customWidth="1"/>
    <col min="10753" max="10753" width="10.28515625" customWidth="1"/>
    <col min="10754" max="10754" width="13.42578125" customWidth="1"/>
    <col min="10755" max="10755" width="4.28515625" customWidth="1"/>
    <col min="10756" max="10756" width="4" customWidth="1"/>
    <col min="10757" max="10757" width="28" customWidth="1"/>
    <col min="10758" max="10758" width="4.140625" customWidth="1"/>
    <col min="10759" max="10759" width="11.28515625" customWidth="1"/>
    <col min="10760" max="10760" width="16.140625" customWidth="1"/>
    <col min="10761" max="10761" width="11" customWidth="1"/>
    <col min="10762" max="10763" width="2.140625" customWidth="1"/>
    <col min="10764" max="10764" width="3.28515625" customWidth="1"/>
    <col min="10765" max="10766" width="0" hidden="1" customWidth="1"/>
    <col min="10767" max="10767" width="2.85546875" customWidth="1"/>
    <col min="10768" max="10768" width="3.28515625" customWidth="1"/>
    <col min="10769" max="10769" width="1.42578125" customWidth="1"/>
    <col min="10770" max="10770" width="0" hidden="1" customWidth="1"/>
    <col min="10771" max="10771" width="6.85546875" customWidth="1"/>
    <col min="10772" max="10772" width="0" hidden="1" customWidth="1"/>
    <col min="10773" max="10774" width="6.28515625" customWidth="1"/>
    <col min="10775" max="10775" width="17.7109375" customWidth="1"/>
    <col min="10776" max="10776" width="21.85546875" customWidth="1"/>
    <col min="10777" max="10777" width="10.85546875" customWidth="1"/>
    <col min="10778" max="10778" width="14.140625" customWidth="1"/>
    <col min="10779" max="10779" width="0" hidden="1" customWidth="1"/>
    <col min="10780" max="10780" width="13" customWidth="1"/>
    <col min="10781" max="10781" width="13.140625" customWidth="1"/>
    <col min="10782" max="10783" width="14" customWidth="1"/>
    <col min="10784" max="10784" width="11.42578125" customWidth="1"/>
    <col min="10785" max="10785" width="15.85546875" customWidth="1"/>
    <col min="10786" max="10786" width="23.7109375" customWidth="1"/>
    <col min="10787" max="10787" width="12" customWidth="1"/>
    <col min="10788" max="10789" width="0.28515625" customWidth="1"/>
    <col min="10790" max="10790" width="1.42578125" customWidth="1"/>
    <col min="10791" max="10791" width="0" hidden="1" customWidth="1"/>
    <col min="11009" max="11009" width="10.28515625" customWidth="1"/>
    <col min="11010" max="11010" width="13.42578125" customWidth="1"/>
    <col min="11011" max="11011" width="4.28515625" customWidth="1"/>
    <col min="11012" max="11012" width="4" customWidth="1"/>
    <col min="11013" max="11013" width="28" customWidth="1"/>
    <col min="11014" max="11014" width="4.140625" customWidth="1"/>
    <col min="11015" max="11015" width="11.28515625" customWidth="1"/>
    <col min="11016" max="11016" width="16.140625" customWidth="1"/>
    <col min="11017" max="11017" width="11" customWidth="1"/>
    <col min="11018" max="11019" width="2.140625" customWidth="1"/>
    <col min="11020" max="11020" width="3.28515625" customWidth="1"/>
    <col min="11021" max="11022" width="0" hidden="1" customWidth="1"/>
    <col min="11023" max="11023" width="2.85546875" customWidth="1"/>
    <col min="11024" max="11024" width="3.28515625" customWidth="1"/>
    <col min="11025" max="11025" width="1.42578125" customWidth="1"/>
    <col min="11026" max="11026" width="0" hidden="1" customWidth="1"/>
    <col min="11027" max="11027" width="6.85546875" customWidth="1"/>
    <col min="11028" max="11028" width="0" hidden="1" customWidth="1"/>
    <col min="11029" max="11030" width="6.28515625" customWidth="1"/>
    <col min="11031" max="11031" width="17.7109375" customWidth="1"/>
    <col min="11032" max="11032" width="21.85546875" customWidth="1"/>
    <col min="11033" max="11033" width="10.85546875" customWidth="1"/>
    <col min="11034" max="11034" width="14.140625" customWidth="1"/>
    <col min="11035" max="11035" width="0" hidden="1" customWidth="1"/>
    <col min="11036" max="11036" width="13" customWidth="1"/>
    <col min="11037" max="11037" width="13.140625" customWidth="1"/>
    <col min="11038" max="11039" width="14" customWidth="1"/>
    <col min="11040" max="11040" width="11.42578125" customWidth="1"/>
    <col min="11041" max="11041" width="15.85546875" customWidth="1"/>
    <col min="11042" max="11042" width="23.7109375" customWidth="1"/>
    <col min="11043" max="11043" width="12" customWidth="1"/>
    <col min="11044" max="11045" width="0.28515625" customWidth="1"/>
    <col min="11046" max="11046" width="1.42578125" customWidth="1"/>
    <col min="11047" max="11047" width="0" hidden="1" customWidth="1"/>
    <col min="11265" max="11265" width="10.28515625" customWidth="1"/>
    <col min="11266" max="11266" width="13.42578125" customWidth="1"/>
    <col min="11267" max="11267" width="4.28515625" customWidth="1"/>
    <col min="11268" max="11268" width="4" customWidth="1"/>
    <col min="11269" max="11269" width="28" customWidth="1"/>
    <col min="11270" max="11270" width="4.140625" customWidth="1"/>
    <col min="11271" max="11271" width="11.28515625" customWidth="1"/>
    <col min="11272" max="11272" width="16.140625" customWidth="1"/>
    <col min="11273" max="11273" width="11" customWidth="1"/>
    <col min="11274" max="11275" width="2.140625" customWidth="1"/>
    <col min="11276" max="11276" width="3.28515625" customWidth="1"/>
    <col min="11277" max="11278" width="0" hidden="1" customWidth="1"/>
    <col min="11279" max="11279" width="2.85546875" customWidth="1"/>
    <col min="11280" max="11280" width="3.28515625" customWidth="1"/>
    <col min="11281" max="11281" width="1.42578125" customWidth="1"/>
    <col min="11282" max="11282" width="0" hidden="1" customWidth="1"/>
    <col min="11283" max="11283" width="6.85546875" customWidth="1"/>
    <col min="11284" max="11284" width="0" hidden="1" customWidth="1"/>
    <col min="11285" max="11286" width="6.28515625" customWidth="1"/>
    <col min="11287" max="11287" width="17.7109375" customWidth="1"/>
    <col min="11288" max="11288" width="21.85546875" customWidth="1"/>
    <col min="11289" max="11289" width="10.85546875" customWidth="1"/>
    <col min="11290" max="11290" width="14.140625" customWidth="1"/>
    <col min="11291" max="11291" width="0" hidden="1" customWidth="1"/>
    <col min="11292" max="11292" width="13" customWidth="1"/>
    <col min="11293" max="11293" width="13.140625" customWidth="1"/>
    <col min="11294" max="11295" width="14" customWidth="1"/>
    <col min="11296" max="11296" width="11.42578125" customWidth="1"/>
    <col min="11297" max="11297" width="15.85546875" customWidth="1"/>
    <col min="11298" max="11298" width="23.7109375" customWidth="1"/>
    <col min="11299" max="11299" width="12" customWidth="1"/>
    <col min="11300" max="11301" width="0.28515625" customWidth="1"/>
    <col min="11302" max="11302" width="1.42578125" customWidth="1"/>
    <col min="11303" max="11303" width="0" hidden="1" customWidth="1"/>
    <col min="11521" max="11521" width="10.28515625" customWidth="1"/>
    <col min="11522" max="11522" width="13.42578125" customWidth="1"/>
    <col min="11523" max="11523" width="4.28515625" customWidth="1"/>
    <col min="11524" max="11524" width="4" customWidth="1"/>
    <col min="11525" max="11525" width="28" customWidth="1"/>
    <col min="11526" max="11526" width="4.140625" customWidth="1"/>
    <col min="11527" max="11527" width="11.28515625" customWidth="1"/>
    <col min="11528" max="11528" width="16.140625" customWidth="1"/>
    <col min="11529" max="11529" width="11" customWidth="1"/>
    <col min="11530" max="11531" width="2.140625" customWidth="1"/>
    <col min="11532" max="11532" width="3.28515625" customWidth="1"/>
    <col min="11533" max="11534" width="0" hidden="1" customWidth="1"/>
    <col min="11535" max="11535" width="2.85546875" customWidth="1"/>
    <col min="11536" max="11536" width="3.28515625" customWidth="1"/>
    <col min="11537" max="11537" width="1.42578125" customWidth="1"/>
    <col min="11538" max="11538" width="0" hidden="1" customWidth="1"/>
    <col min="11539" max="11539" width="6.85546875" customWidth="1"/>
    <col min="11540" max="11540" width="0" hidden="1" customWidth="1"/>
    <col min="11541" max="11542" width="6.28515625" customWidth="1"/>
    <col min="11543" max="11543" width="17.7109375" customWidth="1"/>
    <col min="11544" max="11544" width="21.85546875" customWidth="1"/>
    <col min="11545" max="11545" width="10.85546875" customWidth="1"/>
    <col min="11546" max="11546" width="14.140625" customWidth="1"/>
    <col min="11547" max="11547" width="0" hidden="1" customWidth="1"/>
    <col min="11548" max="11548" width="13" customWidth="1"/>
    <col min="11549" max="11549" width="13.140625" customWidth="1"/>
    <col min="11550" max="11551" width="14" customWidth="1"/>
    <col min="11552" max="11552" width="11.42578125" customWidth="1"/>
    <col min="11553" max="11553" width="15.85546875" customWidth="1"/>
    <col min="11554" max="11554" width="23.7109375" customWidth="1"/>
    <col min="11555" max="11555" width="12" customWidth="1"/>
    <col min="11556" max="11557" width="0.28515625" customWidth="1"/>
    <col min="11558" max="11558" width="1.42578125" customWidth="1"/>
    <col min="11559" max="11559" width="0" hidden="1" customWidth="1"/>
    <col min="11777" max="11777" width="10.28515625" customWidth="1"/>
    <col min="11778" max="11778" width="13.42578125" customWidth="1"/>
    <col min="11779" max="11779" width="4.28515625" customWidth="1"/>
    <col min="11780" max="11780" width="4" customWidth="1"/>
    <col min="11781" max="11781" width="28" customWidth="1"/>
    <col min="11782" max="11782" width="4.140625" customWidth="1"/>
    <col min="11783" max="11783" width="11.28515625" customWidth="1"/>
    <col min="11784" max="11784" width="16.140625" customWidth="1"/>
    <col min="11785" max="11785" width="11" customWidth="1"/>
    <col min="11786" max="11787" width="2.140625" customWidth="1"/>
    <col min="11788" max="11788" width="3.28515625" customWidth="1"/>
    <col min="11789" max="11790" width="0" hidden="1" customWidth="1"/>
    <col min="11791" max="11791" width="2.85546875" customWidth="1"/>
    <col min="11792" max="11792" width="3.28515625" customWidth="1"/>
    <col min="11793" max="11793" width="1.42578125" customWidth="1"/>
    <col min="11794" max="11794" width="0" hidden="1" customWidth="1"/>
    <col min="11795" max="11795" width="6.85546875" customWidth="1"/>
    <col min="11796" max="11796" width="0" hidden="1" customWidth="1"/>
    <col min="11797" max="11798" width="6.28515625" customWidth="1"/>
    <col min="11799" max="11799" width="17.7109375" customWidth="1"/>
    <col min="11800" max="11800" width="21.85546875" customWidth="1"/>
    <col min="11801" max="11801" width="10.85546875" customWidth="1"/>
    <col min="11802" max="11802" width="14.140625" customWidth="1"/>
    <col min="11803" max="11803" width="0" hidden="1" customWidth="1"/>
    <col min="11804" max="11804" width="13" customWidth="1"/>
    <col min="11805" max="11805" width="13.140625" customWidth="1"/>
    <col min="11806" max="11807" width="14" customWidth="1"/>
    <col min="11808" max="11808" width="11.42578125" customWidth="1"/>
    <col min="11809" max="11809" width="15.85546875" customWidth="1"/>
    <col min="11810" max="11810" width="23.7109375" customWidth="1"/>
    <col min="11811" max="11811" width="12" customWidth="1"/>
    <col min="11812" max="11813" width="0.28515625" customWidth="1"/>
    <col min="11814" max="11814" width="1.42578125" customWidth="1"/>
    <col min="11815" max="11815" width="0" hidden="1" customWidth="1"/>
    <col min="12033" max="12033" width="10.28515625" customWidth="1"/>
    <col min="12034" max="12034" width="13.42578125" customWidth="1"/>
    <col min="12035" max="12035" width="4.28515625" customWidth="1"/>
    <col min="12036" max="12036" width="4" customWidth="1"/>
    <col min="12037" max="12037" width="28" customWidth="1"/>
    <col min="12038" max="12038" width="4.140625" customWidth="1"/>
    <col min="12039" max="12039" width="11.28515625" customWidth="1"/>
    <col min="12040" max="12040" width="16.140625" customWidth="1"/>
    <col min="12041" max="12041" width="11" customWidth="1"/>
    <col min="12042" max="12043" width="2.140625" customWidth="1"/>
    <col min="12044" max="12044" width="3.28515625" customWidth="1"/>
    <col min="12045" max="12046" width="0" hidden="1" customWidth="1"/>
    <col min="12047" max="12047" width="2.85546875" customWidth="1"/>
    <col min="12048" max="12048" width="3.28515625" customWidth="1"/>
    <col min="12049" max="12049" width="1.42578125" customWidth="1"/>
    <col min="12050" max="12050" width="0" hidden="1" customWidth="1"/>
    <col min="12051" max="12051" width="6.85546875" customWidth="1"/>
    <col min="12052" max="12052" width="0" hidden="1" customWidth="1"/>
    <col min="12053" max="12054" width="6.28515625" customWidth="1"/>
    <col min="12055" max="12055" width="17.7109375" customWidth="1"/>
    <col min="12056" max="12056" width="21.85546875" customWidth="1"/>
    <col min="12057" max="12057" width="10.85546875" customWidth="1"/>
    <col min="12058" max="12058" width="14.140625" customWidth="1"/>
    <col min="12059" max="12059" width="0" hidden="1" customWidth="1"/>
    <col min="12060" max="12060" width="13" customWidth="1"/>
    <col min="12061" max="12061" width="13.140625" customWidth="1"/>
    <col min="12062" max="12063" width="14" customWidth="1"/>
    <col min="12064" max="12064" width="11.42578125" customWidth="1"/>
    <col min="12065" max="12065" width="15.85546875" customWidth="1"/>
    <col min="12066" max="12066" width="23.7109375" customWidth="1"/>
    <col min="12067" max="12067" width="12" customWidth="1"/>
    <col min="12068" max="12069" width="0.28515625" customWidth="1"/>
    <col min="12070" max="12070" width="1.42578125" customWidth="1"/>
    <col min="12071" max="12071" width="0" hidden="1" customWidth="1"/>
    <col min="12289" max="12289" width="10.28515625" customWidth="1"/>
    <col min="12290" max="12290" width="13.42578125" customWidth="1"/>
    <col min="12291" max="12291" width="4.28515625" customWidth="1"/>
    <col min="12292" max="12292" width="4" customWidth="1"/>
    <col min="12293" max="12293" width="28" customWidth="1"/>
    <col min="12294" max="12294" width="4.140625" customWidth="1"/>
    <col min="12295" max="12295" width="11.28515625" customWidth="1"/>
    <col min="12296" max="12296" width="16.140625" customWidth="1"/>
    <col min="12297" max="12297" width="11" customWidth="1"/>
    <col min="12298" max="12299" width="2.140625" customWidth="1"/>
    <col min="12300" max="12300" width="3.28515625" customWidth="1"/>
    <col min="12301" max="12302" width="0" hidden="1" customWidth="1"/>
    <col min="12303" max="12303" width="2.85546875" customWidth="1"/>
    <col min="12304" max="12304" width="3.28515625" customWidth="1"/>
    <col min="12305" max="12305" width="1.42578125" customWidth="1"/>
    <col min="12306" max="12306" width="0" hidden="1" customWidth="1"/>
    <col min="12307" max="12307" width="6.85546875" customWidth="1"/>
    <col min="12308" max="12308" width="0" hidden="1" customWidth="1"/>
    <col min="12309" max="12310" width="6.28515625" customWidth="1"/>
    <col min="12311" max="12311" width="17.7109375" customWidth="1"/>
    <col min="12312" max="12312" width="21.85546875" customWidth="1"/>
    <col min="12313" max="12313" width="10.85546875" customWidth="1"/>
    <col min="12314" max="12314" width="14.140625" customWidth="1"/>
    <col min="12315" max="12315" width="0" hidden="1" customWidth="1"/>
    <col min="12316" max="12316" width="13" customWidth="1"/>
    <col min="12317" max="12317" width="13.140625" customWidth="1"/>
    <col min="12318" max="12319" width="14" customWidth="1"/>
    <col min="12320" max="12320" width="11.42578125" customWidth="1"/>
    <col min="12321" max="12321" width="15.85546875" customWidth="1"/>
    <col min="12322" max="12322" width="23.7109375" customWidth="1"/>
    <col min="12323" max="12323" width="12" customWidth="1"/>
    <col min="12324" max="12325" width="0.28515625" customWidth="1"/>
    <col min="12326" max="12326" width="1.42578125" customWidth="1"/>
    <col min="12327" max="12327" width="0" hidden="1" customWidth="1"/>
    <col min="12545" max="12545" width="10.28515625" customWidth="1"/>
    <col min="12546" max="12546" width="13.42578125" customWidth="1"/>
    <col min="12547" max="12547" width="4.28515625" customWidth="1"/>
    <col min="12548" max="12548" width="4" customWidth="1"/>
    <col min="12549" max="12549" width="28" customWidth="1"/>
    <col min="12550" max="12550" width="4.140625" customWidth="1"/>
    <col min="12551" max="12551" width="11.28515625" customWidth="1"/>
    <col min="12552" max="12552" width="16.140625" customWidth="1"/>
    <col min="12553" max="12553" width="11" customWidth="1"/>
    <col min="12554" max="12555" width="2.140625" customWidth="1"/>
    <col min="12556" max="12556" width="3.28515625" customWidth="1"/>
    <col min="12557" max="12558" width="0" hidden="1" customWidth="1"/>
    <col min="12559" max="12559" width="2.85546875" customWidth="1"/>
    <col min="12560" max="12560" width="3.28515625" customWidth="1"/>
    <col min="12561" max="12561" width="1.42578125" customWidth="1"/>
    <col min="12562" max="12562" width="0" hidden="1" customWidth="1"/>
    <col min="12563" max="12563" width="6.85546875" customWidth="1"/>
    <col min="12564" max="12564" width="0" hidden="1" customWidth="1"/>
    <col min="12565" max="12566" width="6.28515625" customWidth="1"/>
    <col min="12567" max="12567" width="17.7109375" customWidth="1"/>
    <col min="12568" max="12568" width="21.85546875" customWidth="1"/>
    <col min="12569" max="12569" width="10.85546875" customWidth="1"/>
    <col min="12570" max="12570" width="14.140625" customWidth="1"/>
    <col min="12571" max="12571" width="0" hidden="1" customWidth="1"/>
    <col min="12572" max="12572" width="13" customWidth="1"/>
    <col min="12573" max="12573" width="13.140625" customWidth="1"/>
    <col min="12574" max="12575" width="14" customWidth="1"/>
    <col min="12576" max="12576" width="11.42578125" customWidth="1"/>
    <col min="12577" max="12577" width="15.85546875" customWidth="1"/>
    <col min="12578" max="12578" width="23.7109375" customWidth="1"/>
    <col min="12579" max="12579" width="12" customWidth="1"/>
    <col min="12580" max="12581" width="0.28515625" customWidth="1"/>
    <col min="12582" max="12582" width="1.42578125" customWidth="1"/>
    <col min="12583" max="12583" width="0" hidden="1" customWidth="1"/>
    <col min="12801" max="12801" width="10.28515625" customWidth="1"/>
    <col min="12802" max="12802" width="13.42578125" customWidth="1"/>
    <col min="12803" max="12803" width="4.28515625" customWidth="1"/>
    <col min="12804" max="12804" width="4" customWidth="1"/>
    <col min="12805" max="12805" width="28" customWidth="1"/>
    <col min="12806" max="12806" width="4.140625" customWidth="1"/>
    <col min="12807" max="12807" width="11.28515625" customWidth="1"/>
    <col min="12808" max="12808" width="16.140625" customWidth="1"/>
    <col min="12809" max="12809" width="11" customWidth="1"/>
    <col min="12810" max="12811" width="2.140625" customWidth="1"/>
    <col min="12812" max="12812" width="3.28515625" customWidth="1"/>
    <col min="12813" max="12814" width="0" hidden="1" customWidth="1"/>
    <col min="12815" max="12815" width="2.85546875" customWidth="1"/>
    <col min="12816" max="12816" width="3.28515625" customWidth="1"/>
    <col min="12817" max="12817" width="1.42578125" customWidth="1"/>
    <col min="12818" max="12818" width="0" hidden="1" customWidth="1"/>
    <col min="12819" max="12819" width="6.85546875" customWidth="1"/>
    <col min="12820" max="12820" width="0" hidden="1" customWidth="1"/>
    <col min="12821" max="12822" width="6.28515625" customWidth="1"/>
    <col min="12823" max="12823" width="17.7109375" customWidth="1"/>
    <col min="12824" max="12824" width="21.85546875" customWidth="1"/>
    <col min="12825" max="12825" width="10.85546875" customWidth="1"/>
    <col min="12826" max="12826" width="14.140625" customWidth="1"/>
    <col min="12827" max="12827" width="0" hidden="1" customWidth="1"/>
    <col min="12828" max="12828" width="13" customWidth="1"/>
    <col min="12829" max="12829" width="13.140625" customWidth="1"/>
    <col min="12830" max="12831" width="14" customWidth="1"/>
    <col min="12832" max="12832" width="11.42578125" customWidth="1"/>
    <col min="12833" max="12833" width="15.85546875" customWidth="1"/>
    <col min="12834" max="12834" width="23.7109375" customWidth="1"/>
    <col min="12835" max="12835" width="12" customWidth="1"/>
    <col min="12836" max="12837" width="0.28515625" customWidth="1"/>
    <col min="12838" max="12838" width="1.42578125" customWidth="1"/>
    <col min="12839" max="12839" width="0" hidden="1" customWidth="1"/>
    <col min="13057" max="13057" width="10.28515625" customWidth="1"/>
    <col min="13058" max="13058" width="13.42578125" customWidth="1"/>
    <col min="13059" max="13059" width="4.28515625" customWidth="1"/>
    <col min="13060" max="13060" width="4" customWidth="1"/>
    <col min="13061" max="13061" width="28" customWidth="1"/>
    <col min="13062" max="13062" width="4.140625" customWidth="1"/>
    <col min="13063" max="13063" width="11.28515625" customWidth="1"/>
    <col min="13064" max="13064" width="16.140625" customWidth="1"/>
    <col min="13065" max="13065" width="11" customWidth="1"/>
    <col min="13066" max="13067" width="2.140625" customWidth="1"/>
    <col min="13068" max="13068" width="3.28515625" customWidth="1"/>
    <col min="13069" max="13070" width="0" hidden="1" customWidth="1"/>
    <col min="13071" max="13071" width="2.85546875" customWidth="1"/>
    <col min="13072" max="13072" width="3.28515625" customWidth="1"/>
    <col min="13073" max="13073" width="1.42578125" customWidth="1"/>
    <col min="13074" max="13074" width="0" hidden="1" customWidth="1"/>
    <col min="13075" max="13075" width="6.85546875" customWidth="1"/>
    <col min="13076" max="13076" width="0" hidden="1" customWidth="1"/>
    <col min="13077" max="13078" width="6.28515625" customWidth="1"/>
    <col min="13079" max="13079" width="17.7109375" customWidth="1"/>
    <col min="13080" max="13080" width="21.85546875" customWidth="1"/>
    <col min="13081" max="13081" width="10.85546875" customWidth="1"/>
    <col min="13082" max="13082" width="14.140625" customWidth="1"/>
    <col min="13083" max="13083" width="0" hidden="1" customWidth="1"/>
    <col min="13084" max="13084" width="13" customWidth="1"/>
    <col min="13085" max="13085" width="13.140625" customWidth="1"/>
    <col min="13086" max="13087" width="14" customWidth="1"/>
    <col min="13088" max="13088" width="11.42578125" customWidth="1"/>
    <col min="13089" max="13089" width="15.85546875" customWidth="1"/>
    <col min="13090" max="13090" width="23.7109375" customWidth="1"/>
    <col min="13091" max="13091" width="12" customWidth="1"/>
    <col min="13092" max="13093" width="0.28515625" customWidth="1"/>
    <col min="13094" max="13094" width="1.42578125" customWidth="1"/>
    <col min="13095" max="13095" width="0" hidden="1" customWidth="1"/>
    <col min="13313" max="13313" width="10.28515625" customWidth="1"/>
    <col min="13314" max="13314" width="13.42578125" customWidth="1"/>
    <col min="13315" max="13315" width="4.28515625" customWidth="1"/>
    <col min="13316" max="13316" width="4" customWidth="1"/>
    <col min="13317" max="13317" width="28" customWidth="1"/>
    <col min="13318" max="13318" width="4.140625" customWidth="1"/>
    <col min="13319" max="13319" width="11.28515625" customWidth="1"/>
    <col min="13320" max="13320" width="16.140625" customWidth="1"/>
    <col min="13321" max="13321" width="11" customWidth="1"/>
    <col min="13322" max="13323" width="2.140625" customWidth="1"/>
    <col min="13324" max="13324" width="3.28515625" customWidth="1"/>
    <col min="13325" max="13326" width="0" hidden="1" customWidth="1"/>
    <col min="13327" max="13327" width="2.85546875" customWidth="1"/>
    <col min="13328" max="13328" width="3.28515625" customWidth="1"/>
    <col min="13329" max="13329" width="1.42578125" customWidth="1"/>
    <col min="13330" max="13330" width="0" hidden="1" customWidth="1"/>
    <col min="13331" max="13331" width="6.85546875" customWidth="1"/>
    <col min="13332" max="13332" width="0" hidden="1" customWidth="1"/>
    <col min="13333" max="13334" width="6.28515625" customWidth="1"/>
    <col min="13335" max="13335" width="17.7109375" customWidth="1"/>
    <col min="13336" max="13336" width="21.85546875" customWidth="1"/>
    <col min="13337" max="13337" width="10.85546875" customWidth="1"/>
    <col min="13338" max="13338" width="14.140625" customWidth="1"/>
    <col min="13339" max="13339" width="0" hidden="1" customWidth="1"/>
    <col min="13340" max="13340" width="13" customWidth="1"/>
    <col min="13341" max="13341" width="13.140625" customWidth="1"/>
    <col min="13342" max="13343" width="14" customWidth="1"/>
    <col min="13344" max="13344" width="11.42578125" customWidth="1"/>
    <col min="13345" max="13345" width="15.85546875" customWidth="1"/>
    <col min="13346" max="13346" width="23.7109375" customWidth="1"/>
    <col min="13347" max="13347" width="12" customWidth="1"/>
    <col min="13348" max="13349" width="0.28515625" customWidth="1"/>
    <col min="13350" max="13350" width="1.42578125" customWidth="1"/>
    <col min="13351" max="13351" width="0" hidden="1" customWidth="1"/>
    <col min="13569" max="13569" width="10.28515625" customWidth="1"/>
    <col min="13570" max="13570" width="13.42578125" customWidth="1"/>
    <col min="13571" max="13571" width="4.28515625" customWidth="1"/>
    <col min="13572" max="13572" width="4" customWidth="1"/>
    <col min="13573" max="13573" width="28" customWidth="1"/>
    <col min="13574" max="13574" width="4.140625" customWidth="1"/>
    <col min="13575" max="13575" width="11.28515625" customWidth="1"/>
    <col min="13576" max="13576" width="16.140625" customWidth="1"/>
    <col min="13577" max="13577" width="11" customWidth="1"/>
    <col min="13578" max="13579" width="2.140625" customWidth="1"/>
    <col min="13580" max="13580" width="3.28515625" customWidth="1"/>
    <col min="13581" max="13582" width="0" hidden="1" customWidth="1"/>
    <col min="13583" max="13583" width="2.85546875" customWidth="1"/>
    <col min="13584" max="13584" width="3.28515625" customWidth="1"/>
    <col min="13585" max="13585" width="1.42578125" customWidth="1"/>
    <col min="13586" max="13586" width="0" hidden="1" customWidth="1"/>
    <col min="13587" max="13587" width="6.85546875" customWidth="1"/>
    <col min="13588" max="13588" width="0" hidden="1" customWidth="1"/>
    <col min="13589" max="13590" width="6.28515625" customWidth="1"/>
    <col min="13591" max="13591" width="17.7109375" customWidth="1"/>
    <col min="13592" max="13592" width="21.85546875" customWidth="1"/>
    <col min="13593" max="13593" width="10.85546875" customWidth="1"/>
    <col min="13594" max="13594" width="14.140625" customWidth="1"/>
    <col min="13595" max="13595" width="0" hidden="1" customWidth="1"/>
    <col min="13596" max="13596" width="13" customWidth="1"/>
    <col min="13597" max="13597" width="13.140625" customWidth="1"/>
    <col min="13598" max="13599" width="14" customWidth="1"/>
    <col min="13600" max="13600" width="11.42578125" customWidth="1"/>
    <col min="13601" max="13601" width="15.85546875" customWidth="1"/>
    <col min="13602" max="13602" width="23.7109375" customWidth="1"/>
    <col min="13603" max="13603" width="12" customWidth="1"/>
    <col min="13604" max="13605" width="0.28515625" customWidth="1"/>
    <col min="13606" max="13606" width="1.42578125" customWidth="1"/>
    <col min="13607" max="13607" width="0" hidden="1" customWidth="1"/>
    <col min="13825" max="13825" width="10.28515625" customWidth="1"/>
    <col min="13826" max="13826" width="13.42578125" customWidth="1"/>
    <col min="13827" max="13827" width="4.28515625" customWidth="1"/>
    <col min="13828" max="13828" width="4" customWidth="1"/>
    <col min="13829" max="13829" width="28" customWidth="1"/>
    <col min="13830" max="13830" width="4.140625" customWidth="1"/>
    <col min="13831" max="13831" width="11.28515625" customWidth="1"/>
    <col min="13832" max="13832" width="16.140625" customWidth="1"/>
    <col min="13833" max="13833" width="11" customWidth="1"/>
    <col min="13834" max="13835" width="2.140625" customWidth="1"/>
    <col min="13836" max="13836" width="3.28515625" customWidth="1"/>
    <col min="13837" max="13838" width="0" hidden="1" customWidth="1"/>
    <col min="13839" max="13839" width="2.85546875" customWidth="1"/>
    <col min="13840" max="13840" width="3.28515625" customWidth="1"/>
    <col min="13841" max="13841" width="1.42578125" customWidth="1"/>
    <col min="13842" max="13842" width="0" hidden="1" customWidth="1"/>
    <col min="13843" max="13843" width="6.85546875" customWidth="1"/>
    <col min="13844" max="13844" width="0" hidden="1" customWidth="1"/>
    <col min="13845" max="13846" width="6.28515625" customWidth="1"/>
    <col min="13847" max="13847" width="17.7109375" customWidth="1"/>
    <col min="13848" max="13848" width="21.85546875" customWidth="1"/>
    <col min="13849" max="13849" width="10.85546875" customWidth="1"/>
    <col min="13850" max="13850" width="14.140625" customWidth="1"/>
    <col min="13851" max="13851" width="0" hidden="1" customWidth="1"/>
    <col min="13852" max="13852" width="13" customWidth="1"/>
    <col min="13853" max="13853" width="13.140625" customWidth="1"/>
    <col min="13854" max="13855" width="14" customWidth="1"/>
    <col min="13856" max="13856" width="11.42578125" customWidth="1"/>
    <col min="13857" max="13857" width="15.85546875" customWidth="1"/>
    <col min="13858" max="13858" width="23.7109375" customWidth="1"/>
    <col min="13859" max="13859" width="12" customWidth="1"/>
    <col min="13860" max="13861" width="0.28515625" customWidth="1"/>
    <col min="13862" max="13862" width="1.42578125" customWidth="1"/>
    <col min="13863" max="13863" width="0" hidden="1" customWidth="1"/>
    <col min="14081" max="14081" width="10.28515625" customWidth="1"/>
    <col min="14082" max="14082" width="13.42578125" customWidth="1"/>
    <col min="14083" max="14083" width="4.28515625" customWidth="1"/>
    <col min="14084" max="14084" width="4" customWidth="1"/>
    <col min="14085" max="14085" width="28" customWidth="1"/>
    <col min="14086" max="14086" width="4.140625" customWidth="1"/>
    <col min="14087" max="14087" width="11.28515625" customWidth="1"/>
    <col min="14088" max="14088" width="16.140625" customWidth="1"/>
    <col min="14089" max="14089" width="11" customWidth="1"/>
    <col min="14090" max="14091" width="2.140625" customWidth="1"/>
    <col min="14092" max="14092" width="3.28515625" customWidth="1"/>
    <col min="14093" max="14094" width="0" hidden="1" customWidth="1"/>
    <col min="14095" max="14095" width="2.85546875" customWidth="1"/>
    <col min="14096" max="14096" width="3.28515625" customWidth="1"/>
    <col min="14097" max="14097" width="1.42578125" customWidth="1"/>
    <col min="14098" max="14098" width="0" hidden="1" customWidth="1"/>
    <col min="14099" max="14099" width="6.85546875" customWidth="1"/>
    <col min="14100" max="14100" width="0" hidden="1" customWidth="1"/>
    <col min="14101" max="14102" width="6.28515625" customWidth="1"/>
    <col min="14103" max="14103" width="17.7109375" customWidth="1"/>
    <col min="14104" max="14104" width="21.85546875" customWidth="1"/>
    <col min="14105" max="14105" width="10.85546875" customWidth="1"/>
    <col min="14106" max="14106" width="14.140625" customWidth="1"/>
    <col min="14107" max="14107" width="0" hidden="1" customWidth="1"/>
    <col min="14108" max="14108" width="13" customWidth="1"/>
    <col min="14109" max="14109" width="13.140625" customWidth="1"/>
    <col min="14110" max="14111" width="14" customWidth="1"/>
    <col min="14112" max="14112" width="11.42578125" customWidth="1"/>
    <col min="14113" max="14113" width="15.85546875" customWidth="1"/>
    <col min="14114" max="14114" width="23.7109375" customWidth="1"/>
    <col min="14115" max="14115" width="12" customWidth="1"/>
    <col min="14116" max="14117" width="0.28515625" customWidth="1"/>
    <col min="14118" max="14118" width="1.42578125" customWidth="1"/>
    <col min="14119" max="14119" width="0" hidden="1" customWidth="1"/>
    <col min="14337" max="14337" width="10.28515625" customWidth="1"/>
    <col min="14338" max="14338" width="13.42578125" customWidth="1"/>
    <col min="14339" max="14339" width="4.28515625" customWidth="1"/>
    <col min="14340" max="14340" width="4" customWidth="1"/>
    <col min="14341" max="14341" width="28" customWidth="1"/>
    <col min="14342" max="14342" width="4.140625" customWidth="1"/>
    <col min="14343" max="14343" width="11.28515625" customWidth="1"/>
    <col min="14344" max="14344" width="16.140625" customWidth="1"/>
    <col min="14345" max="14345" width="11" customWidth="1"/>
    <col min="14346" max="14347" width="2.140625" customWidth="1"/>
    <col min="14348" max="14348" width="3.28515625" customWidth="1"/>
    <col min="14349" max="14350" width="0" hidden="1" customWidth="1"/>
    <col min="14351" max="14351" width="2.85546875" customWidth="1"/>
    <col min="14352" max="14352" width="3.28515625" customWidth="1"/>
    <col min="14353" max="14353" width="1.42578125" customWidth="1"/>
    <col min="14354" max="14354" width="0" hidden="1" customWidth="1"/>
    <col min="14355" max="14355" width="6.85546875" customWidth="1"/>
    <col min="14356" max="14356" width="0" hidden="1" customWidth="1"/>
    <col min="14357" max="14358" width="6.28515625" customWidth="1"/>
    <col min="14359" max="14359" width="17.7109375" customWidth="1"/>
    <col min="14360" max="14360" width="21.85546875" customWidth="1"/>
    <col min="14361" max="14361" width="10.85546875" customWidth="1"/>
    <col min="14362" max="14362" width="14.140625" customWidth="1"/>
    <col min="14363" max="14363" width="0" hidden="1" customWidth="1"/>
    <col min="14364" max="14364" width="13" customWidth="1"/>
    <col min="14365" max="14365" width="13.140625" customWidth="1"/>
    <col min="14366" max="14367" width="14" customWidth="1"/>
    <col min="14368" max="14368" width="11.42578125" customWidth="1"/>
    <col min="14369" max="14369" width="15.85546875" customWidth="1"/>
    <col min="14370" max="14370" width="23.7109375" customWidth="1"/>
    <col min="14371" max="14371" width="12" customWidth="1"/>
    <col min="14372" max="14373" width="0.28515625" customWidth="1"/>
    <col min="14374" max="14374" width="1.42578125" customWidth="1"/>
    <col min="14375" max="14375" width="0" hidden="1" customWidth="1"/>
    <col min="14593" max="14593" width="10.28515625" customWidth="1"/>
    <col min="14594" max="14594" width="13.42578125" customWidth="1"/>
    <col min="14595" max="14595" width="4.28515625" customWidth="1"/>
    <col min="14596" max="14596" width="4" customWidth="1"/>
    <col min="14597" max="14597" width="28" customWidth="1"/>
    <col min="14598" max="14598" width="4.140625" customWidth="1"/>
    <col min="14599" max="14599" width="11.28515625" customWidth="1"/>
    <col min="14600" max="14600" width="16.140625" customWidth="1"/>
    <col min="14601" max="14601" width="11" customWidth="1"/>
    <col min="14602" max="14603" width="2.140625" customWidth="1"/>
    <col min="14604" max="14604" width="3.28515625" customWidth="1"/>
    <col min="14605" max="14606" width="0" hidden="1" customWidth="1"/>
    <col min="14607" max="14607" width="2.85546875" customWidth="1"/>
    <col min="14608" max="14608" width="3.28515625" customWidth="1"/>
    <col min="14609" max="14609" width="1.42578125" customWidth="1"/>
    <col min="14610" max="14610" width="0" hidden="1" customWidth="1"/>
    <col min="14611" max="14611" width="6.85546875" customWidth="1"/>
    <col min="14612" max="14612" width="0" hidden="1" customWidth="1"/>
    <col min="14613" max="14614" width="6.28515625" customWidth="1"/>
    <col min="14615" max="14615" width="17.7109375" customWidth="1"/>
    <col min="14616" max="14616" width="21.85546875" customWidth="1"/>
    <col min="14617" max="14617" width="10.85546875" customWidth="1"/>
    <col min="14618" max="14618" width="14.140625" customWidth="1"/>
    <col min="14619" max="14619" width="0" hidden="1" customWidth="1"/>
    <col min="14620" max="14620" width="13" customWidth="1"/>
    <col min="14621" max="14621" width="13.140625" customWidth="1"/>
    <col min="14622" max="14623" width="14" customWidth="1"/>
    <col min="14624" max="14624" width="11.42578125" customWidth="1"/>
    <col min="14625" max="14625" width="15.85546875" customWidth="1"/>
    <col min="14626" max="14626" width="23.7109375" customWidth="1"/>
    <col min="14627" max="14627" width="12" customWidth="1"/>
    <col min="14628" max="14629" width="0.28515625" customWidth="1"/>
    <col min="14630" max="14630" width="1.42578125" customWidth="1"/>
    <col min="14631" max="14631" width="0" hidden="1" customWidth="1"/>
    <col min="14849" max="14849" width="10.28515625" customWidth="1"/>
    <col min="14850" max="14850" width="13.42578125" customWidth="1"/>
    <col min="14851" max="14851" width="4.28515625" customWidth="1"/>
    <col min="14852" max="14852" width="4" customWidth="1"/>
    <col min="14853" max="14853" width="28" customWidth="1"/>
    <col min="14854" max="14854" width="4.140625" customWidth="1"/>
    <col min="14855" max="14855" width="11.28515625" customWidth="1"/>
    <col min="14856" max="14856" width="16.140625" customWidth="1"/>
    <col min="14857" max="14857" width="11" customWidth="1"/>
    <col min="14858" max="14859" width="2.140625" customWidth="1"/>
    <col min="14860" max="14860" width="3.28515625" customWidth="1"/>
    <col min="14861" max="14862" width="0" hidden="1" customWidth="1"/>
    <col min="14863" max="14863" width="2.85546875" customWidth="1"/>
    <col min="14864" max="14864" width="3.28515625" customWidth="1"/>
    <col min="14865" max="14865" width="1.42578125" customWidth="1"/>
    <col min="14866" max="14866" width="0" hidden="1" customWidth="1"/>
    <col min="14867" max="14867" width="6.85546875" customWidth="1"/>
    <col min="14868" max="14868" width="0" hidden="1" customWidth="1"/>
    <col min="14869" max="14870" width="6.28515625" customWidth="1"/>
    <col min="14871" max="14871" width="17.7109375" customWidth="1"/>
    <col min="14872" max="14872" width="21.85546875" customWidth="1"/>
    <col min="14873" max="14873" width="10.85546875" customWidth="1"/>
    <col min="14874" max="14874" width="14.140625" customWidth="1"/>
    <col min="14875" max="14875" width="0" hidden="1" customWidth="1"/>
    <col min="14876" max="14876" width="13" customWidth="1"/>
    <col min="14877" max="14877" width="13.140625" customWidth="1"/>
    <col min="14878" max="14879" width="14" customWidth="1"/>
    <col min="14880" max="14880" width="11.42578125" customWidth="1"/>
    <col min="14881" max="14881" width="15.85546875" customWidth="1"/>
    <col min="14882" max="14882" width="23.7109375" customWidth="1"/>
    <col min="14883" max="14883" width="12" customWidth="1"/>
    <col min="14884" max="14885" width="0.28515625" customWidth="1"/>
    <col min="14886" max="14886" width="1.42578125" customWidth="1"/>
    <col min="14887" max="14887" width="0" hidden="1" customWidth="1"/>
    <col min="15105" max="15105" width="10.28515625" customWidth="1"/>
    <col min="15106" max="15106" width="13.42578125" customWidth="1"/>
    <col min="15107" max="15107" width="4.28515625" customWidth="1"/>
    <col min="15108" max="15108" width="4" customWidth="1"/>
    <col min="15109" max="15109" width="28" customWidth="1"/>
    <col min="15110" max="15110" width="4.140625" customWidth="1"/>
    <col min="15111" max="15111" width="11.28515625" customWidth="1"/>
    <col min="15112" max="15112" width="16.140625" customWidth="1"/>
    <col min="15113" max="15113" width="11" customWidth="1"/>
    <col min="15114" max="15115" width="2.140625" customWidth="1"/>
    <col min="15116" max="15116" width="3.28515625" customWidth="1"/>
    <col min="15117" max="15118" width="0" hidden="1" customWidth="1"/>
    <col min="15119" max="15119" width="2.85546875" customWidth="1"/>
    <col min="15120" max="15120" width="3.28515625" customWidth="1"/>
    <col min="15121" max="15121" width="1.42578125" customWidth="1"/>
    <col min="15122" max="15122" width="0" hidden="1" customWidth="1"/>
    <col min="15123" max="15123" width="6.85546875" customWidth="1"/>
    <col min="15124" max="15124" width="0" hidden="1" customWidth="1"/>
    <col min="15125" max="15126" width="6.28515625" customWidth="1"/>
    <col min="15127" max="15127" width="17.7109375" customWidth="1"/>
    <col min="15128" max="15128" width="21.85546875" customWidth="1"/>
    <col min="15129" max="15129" width="10.85546875" customWidth="1"/>
    <col min="15130" max="15130" width="14.140625" customWidth="1"/>
    <col min="15131" max="15131" width="0" hidden="1" customWidth="1"/>
    <col min="15132" max="15132" width="13" customWidth="1"/>
    <col min="15133" max="15133" width="13.140625" customWidth="1"/>
    <col min="15134" max="15135" width="14" customWidth="1"/>
    <col min="15136" max="15136" width="11.42578125" customWidth="1"/>
    <col min="15137" max="15137" width="15.85546875" customWidth="1"/>
    <col min="15138" max="15138" width="23.7109375" customWidth="1"/>
    <col min="15139" max="15139" width="12" customWidth="1"/>
    <col min="15140" max="15141" width="0.28515625" customWidth="1"/>
    <col min="15142" max="15142" width="1.42578125" customWidth="1"/>
    <col min="15143" max="15143" width="0" hidden="1" customWidth="1"/>
    <col min="15361" max="15361" width="10.28515625" customWidth="1"/>
    <col min="15362" max="15362" width="13.42578125" customWidth="1"/>
    <col min="15363" max="15363" width="4.28515625" customWidth="1"/>
    <col min="15364" max="15364" width="4" customWidth="1"/>
    <col min="15365" max="15365" width="28" customWidth="1"/>
    <col min="15366" max="15366" width="4.140625" customWidth="1"/>
    <col min="15367" max="15367" width="11.28515625" customWidth="1"/>
    <col min="15368" max="15368" width="16.140625" customWidth="1"/>
    <col min="15369" max="15369" width="11" customWidth="1"/>
    <col min="15370" max="15371" width="2.140625" customWidth="1"/>
    <col min="15372" max="15372" width="3.28515625" customWidth="1"/>
    <col min="15373" max="15374" width="0" hidden="1" customWidth="1"/>
    <col min="15375" max="15375" width="2.85546875" customWidth="1"/>
    <col min="15376" max="15376" width="3.28515625" customWidth="1"/>
    <col min="15377" max="15377" width="1.42578125" customWidth="1"/>
    <col min="15378" max="15378" width="0" hidden="1" customWidth="1"/>
    <col min="15379" max="15379" width="6.85546875" customWidth="1"/>
    <col min="15380" max="15380" width="0" hidden="1" customWidth="1"/>
    <col min="15381" max="15382" width="6.28515625" customWidth="1"/>
    <col min="15383" max="15383" width="17.7109375" customWidth="1"/>
    <col min="15384" max="15384" width="21.85546875" customWidth="1"/>
    <col min="15385" max="15385" width="10.85546875" customWidth="1"/>
    <col min="15386" max="15386" width="14.140625" customWidth="1"/>
    <col min="15387" max="15387" width="0" hidden="1" customWidth="1"/>
    <col min="15388" max="15388" width="13" customWidth="1"/>
    <col min="15389" max="15389" width="13.140625" customWidth="1"/>
    <col min="15390" max="15391" width="14" customWidth="1"/>
    <col min="15392" max="15392" width="11.42578125" customWidth="1"/>
    <col min="15393" max="15393" width="15.85546875" customWidth="1"/>
    <col min="15394" max="15394" width="23.7109375" customWidth="1"/>
    <col min="15395" max="15395" width="12" customWidth="1"/>
    <col min="15396" max="15397" width="0.28515625" customWidth="1"/>
    <col min="15398" max="15398" width="1.42578125" customWidth="1"/>
    <col min="15399" max="15399" width="0" hidden="1" customWidth="1"/>
    <col min="15617" max="15617" width="10.28515625" customWidth="1"/>
    <col min="15618" max="15618" width="13.42578125" customWidth="1"/>
    <col min="15619" max="15619" width="4.28515625" customWidth="1"/>
    <col min="15620" max="15620" width="4" customWidth="1"/>
    <col min="15621" max="15621" width="28" customWidth="1"/>
    <col min="15622" max="15622" width="4.140625" customWidth="1"/>
    <col min="15623" max="15623" width="11.28515625" customWidth="1"/>
    <col min="15624" max="15624" width="16.140625" customWidth="1"/>
    <col min="15625" max="15625" width="11" customWidth="1"/>
    <col min="15626" max="15627" width="2.140625" customWidth="1"/>
    <col min="15628" max="15628" width="3.28515625" customWidth="1"/>
    <col min="15629" max="15630" width="0" hidden="1" customWidth="1"/>
    <col min="15631" max="15631" width="2.85546875" customWidth="1"/>
    <col min="15632" max="15632" width="3.28515625" customWidth="1"/>
    <col min="15633" max="15633" width="1.42578125" customWidth="1"/>
    <col min="15634" max="15634" width="0" hidden="1" customWidth="1"/>
    <col min="15635" max="15635" width="6.85546875" customWidth="1"/>
    <col min="15636" max="15636" width="0" hidden="1" customWidth="1"/>
    <col min="15637" max="15638" width="6.28515625" customWidth="1"/>
    <col min="15639" max="15639" width="17.7109375" customWidth="1"/>
    <col min="15640" max="15640" width="21.85546875" customWidth="1"/>
    <col min="15641" max="15641" width="10.85546875" customWidth="1"/>
    <col min="15642" max="15642" width="14.140625" customWidth="1"/>
    <col min="15643" max="15643" width="0" hidden="1" customWidth="1"/>
    <col min="15644" max="15644" width="13" customWidth="1"/>
    <col min="15645" max="15645" width="13.140625" customWidth="1"/>
    <col min="15646" max="15647" width="14" customWidth="1"/>
    <col min="15648" max="15648" width="11.42578125" customWidth="1"/>
    <col min="15649" max="15649" width="15.85546875" customWidth="1"/>
    <col min="15650" max="15650" width="23.7109375" customWidth="1"/>
    <col min="15651" max="15651" width="12" customWidth="1"/>
    <col min="15652" max="15653" width="0.28515625" customWidth="1"/>
    <col min="15654" max="15654" width="1.42578125" customWidth="1"/>
    <col min="15655" max="15655" width="0" hidden="1" customWidth="1"/>
    <col min="15873" max="15873" width="10.28515625" customWidth="1"/>
    <col min="15874" max="15874" width="13.42578125" customWidth="1"/>
    <col min="15875" max="15875" width="4.28515625" customWidth="1"/>
    <col min="15876" max="15876" width="4" customWidth="1"/>
    <col min="15877" max="15877" width="28" customWidth="1"/>
    <col min="15878" max="15878" width="4.140625" customWidth="1"/>
    <col min="15879" max="15879" width="11.28515625" customWidth="1"/>
    <col min="15880" max="15880" width="16.140625" customWidth="1"/>
    <col min="15881" max="15881" width="11" customWidth="1"/>
    <col min="15882" max="15883" width="2.140625" customWidth="1"/>
    <col min="15884" max="15884" width="3.28515625" customWidth="1"/>
    <col min="15885" max="15886" width="0" hidden="1" customWidth="1"/>
    <col min="15887" max="15887" width="2.85546875" customWidth="1"/>
    <col min="15888" max="15888" width="3.28515625" customWidth="1"/>
    <col min="15889" max="15889" width="1.42578125" customWidth="1"/>
    <col min="15890" max="15890" width="0" hidden="1" customWidth="1"/>
    <col min="15891" max="15891" width="6.85546875" customWidth="1"/>
    <col min="15892" max="15892" width="0" hidden="1" customWidth="1"/>
    <col min="15893" max="15894" width="6.28515625" customWidth="1"/>
    <col min="15895" max="15895" width="17.7109375" customWidth="1"/>
    <col min="15896" max="15896" width="21.85546875" customWidth="1"/>
    <col min="15897" max="15897" width="10.85546875" customWidth="1"/>
    <col min="15898" max="15898" width="14.140625" customWidth="1"/>
    <col min="15899" max="15899" width="0" hidden="1" customWidth="1"/>
    <col min="15900" max="15900" width="13" customWidth="1"/>
    <col min="15901" max="15901" width="13.140625" customWidth="1"/>
    <col min="15902" max="15903" width="14" customWidth="1"/>
    <col min="15904" max="15904" width="11.42578125" customWidth="1"/>
    <col min="15905" max="15905" width="15.85546875" customWidth="1"/>
    <col min="15906" max="15906" width="23.7109375" customWidth="1"/>
    <col min="15907" max="15907" width="12" customWidth="1"/>
    <col min="15908" max="15909" width="0.28515625" customWidth="1"/>
    <col min="15910" max="15910" width="1.42578125" customWidth="1"/>
    <col min="15911" max="15911" width="0" hidden="1" customWidth="1"/>
    <col min="16129" max="16129" width="10.28515625" customWidth="1"/>
    <col min="16130" max="16130" width="13.42578125" customWidth="1"/>
    <col min="16131" max="16131" width="4.28515625" customWidth="1"/>
    <col min="16132" max="16132" width="4" customWidth="1"/>
    <col min="16133" max="16133" width="28" customWidth="1"/>
    <col min="16134" max="16134" width="4.140625" customWidth="1"/>
    <col min="16135" max="16135" width="11.28515625" customWidth="1"/>
    <col min="16136" max="16136" width="16.140625" customWidth="1"/>
    <col min="16137" max="16137" width="11" customWidth="1"/>
    <col min="16138" max="16139" width="2.140625" customWidth="1"/>
    <col min="16140" max="16140" width="3.28515625" customWidth="1"/>
    <col min="16141" max="16142" width="0" hidden="1" customWidth="1"/>
    <col min="16143" max="16143" width="2.85546875" customWidth="1"/>
    <col min="16144" max="16144" width="3.28515625" customWidth="1"/>
    <col min="16145" max="16145" width="1.42578125" customWidth="1"/>
    <col min="16146" max="16146" width="0" hidden="1" customWidth="1"/>
    <col min="16147" max="16147" width="6.85546875" customWidth="1"/>
    <col min="16148" max="16148" width="0" hidden="1" customWidth="1"/>
    <col min="16149" max="16150" width="6.28515625" customWidth="1"/>
    <col min="16151" max="16151" width="17.7109375" customWidth="1"/>
    <col min="16152" max="16152" width="21.85546875" customWidth="1"/>
    <col min="16153" max="16153" width="10.85546875" customWidth="1"/>
    <col min="16154" max="16154" width="14.140625" customWidth="1"/>
    <col min="16155" max="16155" width="0" hidden="1" customWidth="1"/>
    <col min="16156" max="16156" width="13" customWidth="1"/>
    <col min="16157" max="16157" width="13.140625" customWidth="1"/>
    <col min="16158" max="16159" width="14" customWidth="1"/>
    <col min="16160" max="16160" width="11.42578125" customWidth="1"/>
    <col min="16161" max="16161" width="15.85546875" customWidth="1"/>
    <col min="16162" max="16162" width="23.7109375" customWidth="1"/>
    <col min="16163" max="16163" width="12" customWidth="1"/>
    <col min="16164" max="16165" width="0.28515625" customWidth="1"/>
    <col min="16166" max="16166" width="1.42578125" customWidth="1"/>
    <col min="16167" max="16167" width="0" hidden="1" customWidth="1"/>
  </cols>
  <sheetData>
    <row r="1" spans="1:37" ht="45" customHeight="1">
      <c r="A1" s="886"/>
      <c r="B1" s="886"/>
      <c r="C1" s="887" t="s">
        <v>0</v>
      </c>
      <c r="D1" s="888"/>
      <c r="E1" s="888"/>
      <c r="F1" s="888"/>
      <c r="G1" s="888"/>
      <c r="H1" s="888"/>
      <c r="I1" s="888"/>
      <c r="J1" s="888"/>
      <c r="K1" s="888"/>
      <c r="L1" s="888"/>
      <c r="M1" s="888"/>
      <c r="N1" s="888"/>
      <c r="O1" s="888"/>
      <c r="P1" s="888"/>
      <c r="Q1" s="888"/>
      <c r="R1" s="888"/>
      <c r="S1" s="888"/>
      <c r="T1" s="888"/>
      <c r="U1" s="888"/>
      <c r="V1" s="888"/>
      <c r="W1" s="888"/>
      <c r="X1" s="888"/>
      <c r="Y1" s="888"/>
      <c r="Z1" s="888"/>
      <c r="AA1" s="888"/>
      <c r="AB1" s="888"/>
      <c r="AC1" s="888"/>
      <c r="AD1" s="888"/>
      <c r="AE1" s="888"/>
      <c r="AF1" s="888"/>
      <c r="AG1" s="889"/>
      <c r="AH1" s="890" t="s">
        <v>45</v>
      </c>
      <c r="AJ1" s="10" t="s">
        <v>17</v>
      </c>
      <c r="AK1" s="11" t="s">
        <v>23</v>
      </c>
    </row>
    <row r="2" spans="1:37" ht="45" customHeight="1">
      <c r="A2" s="886"/>
      <c r="B2" s="886"/>
      <c r="C2" s="891" t="s">
        <v>37</v>
      </c>
      <c r="D2" s="892"/>
      <c r="E2" s="892"/>
      <c r="F2" s="892"/>
      <c r="G2" s="892"/>
      <c r="H2" s="892"/>
      <c r="I2" s="892"/>
      <c r="J2" s="892"/>
      <c r="K2" s="892"/>
      <c r="L2" s="892"/>
      <c r="M2" s="892"/>
      <c r="N2" s="892"/>
      <c r="O2" s="892"/>
      <c r="P2" s="892"/>
      <c r="Q2" s="892"/>
      <c r="R2" s="892"/>
      <c r="S2" s="892"/>
      <c r="T2" s="892"/>
      <c r="U2" s="892"/>
      <c r="V2" s="892"/>
      <c r="W2" s="892"/>
      <c r="X2" s="892"/>
      <c r="Y2" s="892"/>
      <c r="Z2" s="892"/>
      <c r="AA2" s="892"/>
      <c r="AB2" s="892"/>
      <c r="AC2" s="892"/>
      <c r="AD2" s="892"/>
      <c r="AE2" s="892"/>
      <c r="AF2" s="892"/>
      <c r="AG2" s="893"/>
      <c r="AH2" s="890"/>
      <c r="AJ2" t="s">
        <v>18</v>
      </c>
      <c r="AK2" s="12" t="s">
        <v>24</v>
      </c>
    </row>
    <row r="3" spans="1:37" ht="6.75" customHeight="1">
      <c r="A3" s="866"/>
      <c r="B3" s="866"/>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c r="AE3" s="866"/>
      <c r="AF3" s="866"/>
      <c r="AG3" s="866"/>
      <c r="AH3" s="866"/>
      <c r="AJ3" s="10" t="s">
        <v>16</v>
      </c>
      <c r="AK3" s="11" t="s">
        <v>25</v>
      </c>
    </row>
    <row r="4" spans="1:37" ht="30.75" customHeight="1">
      <c r="A4" s="894" t="s">
        <v>5</v>
      </c>
      <c r="B4" s="894"/>
      <c r="C4" s="894"/>
      <c r="D4" s="894"/>
      <c r="E4" s="895" t="s">
        <v>46</v>
      </c>
      <c r="F4" s="895"/>
      <c r="G4" s="895"/>
      <c r="H4" s="895"/>
      <c r="I4" s="895"/>
      <c r="J4" s="895"/>
      <c r="K4" s="895"/>
      <c r="L4" s="895"/>
      <c r="M4" s="895"/>
      <c r="N4" s="895"/>
      <c r="O4" s="895"/>
      <c r="P4" s="895"/>
      <c r="Q4" s="895"/>
      <c r="R4" s="895"/>
      <c r="S4" s="895"/>
      <c r="T4" s="895"/>
      <c r="U4" s="895"/>
      <c r="V4" s="895"/>
      <c r="W4" s="874" t="s">
        <v>20</v>
      </c>
      <c r="X4" s="874"/>
      <c r="Y4" s="874"/>
      <c r="Z4" s="896" t="s">
        <v>47</v>
      </c>
      <c r="AA4" s="897"/>
      <c r="AB4" s="897"/>
      <c r="AC4" s="897"/>
      <c r="AD4" s="897"/>
      <c r="AE4" s="898"/>
      <c r="AF4" s="899" t="s">
        <v>48</v>
      </c>
      <c r="AG4" s="900"/>
      <c r="AH4" s="13" t="s">
        <v>71</v>
      </c>
      <c r="AJ4" s="11" t="s">
        <v>19</v>
      </c>
    </row>
    <row r="5" spans="1:37" ht="4.5" customHeight="1" thickBot="1">
      <c r="A5" s="866"/>
      <c r="B5" s="866"/>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c r="AE5" s="866"/>
      <c r="AF5" s="866"/>
      <c r="AG5" s="866"/>
      <c r="AH5" s="866"/>
    </row>
    <row r="6" spans="1:37" ht="57" customHeight="1">
      <c r="A6" s="881" t="s">
        <v>39</v>
      </c>
      <c r="B6" s="882"/>
      <c r="C6" s="874" t="s">
        <v>1</v>
      </c>
      <c r="D6" s="874" t="s">
        <v>49</v>
      </c>
      <c r="E6" s="874"/>
      <c r="F6" s="883" t="s">
        <v>6</v>
      </c>
      <c r="G6" s="874" t="s">
        <v>9</v>
      </c>
      <c r="H6" s="884" t="s">
        <v>50</v>
      </c>
      <c r="I6" s="874" t="s">
        <v>2</v>
      </c>
      <c r="J6" s="874" t="s">
        <v>21</v>
      </c>
      <c r="K6" s="874"/>
      <c r="L6" s="874"/>
      <c r="M6" s="874"/>
      <c r="N6" s="874"/>
      <c r="O6" s="874"/>
      <c r="P6" s="874"/>
      <c r="Q6" s="874"/>
      <c r="R6" s="874"/>
      <c r="S6" s="874"/>
      <c r="T6" s="874"/>
      <c r="U6" s="874"/>
      <c r="V6" s="874"/>
      <c r="W6" s="874" t="s">
        <v>51</v>
      </c>
      <c r="X6" s="884" t="s">
        <v>52</v>
      </c>
      <c r="Y6" s="874" t="s">
        <v>3</v>
      </c>
      <c r="Z6" s="874"/>
      <c r="AA6" s="874"/>
      <c r="AB6" s="875" t="s">
        <v>53</v>
      </c>
      <c r="AC6" s="875" t="s">
        <v>4</v>
      </c>
      <c r="AD6" s="875"/>
      <c r="AE6" s="876" t="s">
        <v>54</v>
      </c>
      <c r="AF6" s="874" t="s">
        <v>55</v>
      </c>
      <c r="AG6" s="874" t="s">
        <v>56</v>
      </c>
      <c r="AH6" s="874" t="s">
        <v>57</v>
      </c>
    </row>
    <row r="7" spans="1:37" ht="37.5" customHeight="1">
      <c r="A7" s="14" t="s">
        <v>40</v>
      </c>
      <c r="B7" s="15" t="s">
        <v>41</v>
      </c>
      <c r="C7" s="874"/>
      <c r="D7" s="874"/>
      <c r="E7" s="874"/>
      <c r="F7" s="883"/>
      <c r="G7" s="874"/>
      <c r="H7" s="885"/>
      <c r="I7" s="874"/>
      <c r="J7" s="874" t="s">
        <v>11</v>
      </c>
      <c r="K7" s="874"/>
      <c r="L7" s="874"/>
      <c r="M7" s="874"/>
      <c r="N7" s="874"/>
      <c r="O7" s="874"/>
      <c r="P7" s="858" t="s">
        <v>12</v>
      </c>
      <c r="Q7" s="858"/>
      <c r="R7" s="858"/>
      <c r="S7" s="858"/>
      <c r="T7" s="858"/>
      <c r="U7" s="858" t="s">
        <v>13</v>
      </c>
      <c r="V7" s="858"/>
      <c r="W7" s="874"/>
      <c r="X7" s="885"/>
      <c r="Y7" s="874"/>
      <c r="Z7" s="874"/>
      <c r="AA7" s="874"/>
      <c r="AB7" s="875"/>
      <c r="AC7" s="16" t="s">
        <v>14</v>
      </c>
      <c r="AD7" s="17" t="s">
        <v>15</v>
      </c>
      <c r="AE7" s="877"/>
      <c r="AF7" s="874"/>
      <c r="AG7" s="874"/>
      <c r="AH7" s="874"/>
    </row>
    <row r="8" spans="1:37" ht="123.95" customHeight="1">
      <c r="A8" s="18"/>
      <c r="B8" s="19"/>
      <c r="C8" s="20">
        <v>1</v>
      </c>
      <c r="D8" s="878" t="s">
        <v>58</v>
      </c>
      <c r="E8" s="878"/>
      <c r="F8" s="21">
        <v>43948</v>
      </c>
      <c r="G8" s="22" t="s">
        <v>44</v>
      </c>
      <c r="H8" s="23" t="s">
        <v>59</v>
      </c>
      <c r="I8" s="24" t="s">
        <v>25</v>
      </c>
      <c r="J8" s="879"/>
      <c r="K8" s="879"/>
      <c r="L8" s="879"/>
      <c r="M8" s="879"/>
      <c r="N8" s="879"/>
      <c r="O8" s="879"/>
      <c r="P8" s="879"/>
      <c r="Q8" s="879"/>
      <c r="R8" s="879"/>
      <c r="S8" s="879"/>
      <c r="T8" s="25"/>
      <c r="U8" s="879"/>
      <c r="V8" s="879"/>
      <c r="W8" s="26" t="s">
        <v>60</v>
      </c>
      <c r="X8" s="27" t="s">
        <v>61</v>
      </c>
      <c r="Y8" s="880" t="s">
        <v>62</v>
      </c>
      <c r="Z8" s="880"/>
      <c r="AA8" s="880"/>
      <c r="AB8" s="44" t="s">
        <v>73</v>
      </c>
      <c r="AC8" s="28">
        <v>43932</v>
      </c>
      <c r="AD8" s="28">
        <v>44155</v>
      </c>
      <c r="AE8" s="29" t="s">
        <v>68</v>
      </c>
      <c r="AF8" s="30" t="s">
        <v>16</v>
      </c>
      <c r="AG8" s="31">
        <v>0.5</v>
      </c>
      <c r="AH8" s="32" t="s">
        <v>72</v>
      </c>
    </row>
    <row r="9" spans="1:37" ht="123.95" customHeight="1">
      <c r="A9" s="33"/>
      <c r="B9" s="30"/>
      <c r="C9" s="20">
        <v>2</v>
      </c>
      <c r="D9" s="867" t="s">
        <v>63</v>
      </c>
      <c r="E9" s="868"/>
      <c r="F9" s="21">
        <v>43948</v>
      </c>
      <c r="G9" s="22" t="s">
        <v>44</v>
      </c>
      <c r="H9" s="23" t="s">
        <v>59</v>
      </c>
      <c r="I9" s="24" t="s">
        <v>25</v>
      </c>
      <c r="J9" s="869"/>
      <c r="K9" s="870"/>
      <c r="L9" s="870"/>
      <c r="M9" s="870"/>
      <c r="N9" s="870"/>
      <c r="O9" s="871"/>
      <c r="P9" s="869"/>
      <c r="Q9" s="870"/>
      <c r="R9" s="870"/>
      <c r="S9" s="871"/>
      <c r="T9" s="25"/>
      <c r="U9" s="869"/>
      <c r="V9" s="871"/>
      <c r="W9" s="26" t="s">
        <v>60</v>
      </c>
      <c r="X9" s="27" t="s">
        <v>61</v>
      </c>
      <c r="Y9" s="872" t="s">
        <v>64</v>
      </c>
      <c r="Z9" s="873"/>
      <c r="AA9" s="9"/>
      <c r="AB9" s="44" t="s">
        <v>73</v>
      </c>
      <c r="AC9" s="34">
        <v>43932</v>
      </c>
      <c r="AD9" s="34">
        <v>44155</v>
      </c>
      <c r="AE9" s="29" t="s">
        <v>68</v>
      </c>
      <c r="AF9" s="30" t="s">
        <v>16</v>
      </c>
      <c r="AG9" s="31">
        <v>0.5</v>
      </c>
      <c r="AH9" s="32" t="s">
        <v>74</v>
      </c>
    </row>
    <row r="10" spans="1:37" ht="93" customHeight="1">
      <c r="A10" s="1041"/>
      <c r="B10" s="1041"/>
      <c r="C10" s="1230">
        <v>3</v>
      </c>
      <c r="D10" s="1217" t="s">
        <v>1154</v>
      </c>
      <c r="E10" s="1218"/>
      <c r="F10" s="1219">
        <v>44093</v>
      </c>
      <c r="G10" s="1228" t="s">
        <v>38</v>
      </c>
      <c r="H10" s="1228" t="s">
        <v>59</v>
      </c>
      <c r="I10" s="1230"/>
      <c r="J10" s="1232" t="s">
        <v>162</v>
      </c>
      <c r="K10" s="1233"/>
      <c r="L10" s="1233"/>
      <c r="M10" s="1233"/>
      <c r="N10" s="1233"/>
      <c r="O10" s="1234"/>
      <c r="P10" s="1232" t="s">
        <v>162</v>
      </c>
      <c r="Q10" s="1233"/>
      <c r="R10" s="1233"/>
      <c r="S10" s="1234"/>
      <c r="T10" s="561"/>
      <c r="U10" s="1232" t="s">
        <v>162</v>
      </c>
      <c r="V10" s="1234"/>
      <c r="W10" s="1221" t="s">
        <v>1155</v>
      </c>
      <c r="X10" s="1221" t="s">
        <v>1156</v>
      </c>
      <c r="Y10" s="1388" t="s">
        <v>1157</v>
      </c>
      <c r="Z10" s="1388"/>
      <c r="AA10" s="1388"/>
      <c r="AB10" s="1389" t="s">
        <v>1158</v>
      </c>
      <c r="AC10" s="28">
        <v>44084</v>
      </c>
      <c r="AD10" s="28">
        <v>44242</v>
      </c>
      <c r="AE10" s="528"/>
      <c r="AF10" s="24"/>
      <c r="AG10" s="1390"/>
      <c r="AH10" s="1391"/>
    </row>
    <row r="11" spans="1:37" ht="76.5" customHeight="1">
      <c r="A11" s="945"/>
      <c r="B11" s="945"/>
      <c r="C11" s="1231"/>
      <c r="D11" s="967"/>
      <c r="E11" s="968"/>
      <c r="F11" s="1220"/>
      <c r="G11" s="1229"/>
      <c r="H11" s="1229"/>
      <c r="I11" s="1231"/>
      <c r="J11" s="1235"/>
      <c r="K11" s="1236"/>
      <c r="L11" s="1236"/>
      <c r="M11" s="1236"/>
      <c r="N11" s="1236"/>
      <c r="O11" s="1237"/>
      <c r="P11" s="1235"/>
      <c r="Q11" s="1236"/>
      <c r="R11" s="1236"/>
      <c r="S11" s="1237"/>
      <c r="T11" s="561"/>
      <c r="U11" s="1235"/>
      <c r="V11" s="1237"/>
      <c r="W11" s="957"/>
      <c r="X11" s="957"/>
      <c r="Y11" s="1388" t="s">
        <v>1159</v>
      </c>
      <c r="Z11" s="1388"/>
      <c r="AA11" s="1388"/>
      <c r="AB11" s="1389" t="s">
        <v>1160</v>
      </c>
      <c r="AC11" s="28">
        <v>44084</v>
      </c>
      <c r="AD11" s="28">
        <v>44242</v>
      </c>
      <c r="AE11" s="528"/>
      <c r="AF11" s="24"/>
      <c r="AG11" s="1390"/>
      <c r="AH11" s="1391"/>
    </row>
    <row r="12" spans="1:37" ht="88.5" customHeight="1">
      <c r="A12" s="1070"/>
      <c r="B12" s="1070"/>
      <c r="C12" s="1392"/>
      <c r="D12" s="1393"/>
      <c r="E12" s="1394"/>
      <c r="F12" s="1395"/>
      <c r="G12" s="1396"/>
      <c r="H12" s="1396"/>
      <c r="I12" s="1392"/>
      <c r="J12" s="1397"/>
      <c r="K12" s="1398"/>
      <c r="L12" s="1398"/>
      <c r="M12" s="1398"/>
      <c r="N12" s="1398"/>
      <c r="O12" s="1399"/>
      <c r="P12" s="1397"/>
      <c r="Q12" s="1398"/>
      <c r="R12" s="1398"/>
      <c r="S12" s="1399"/>
      <c r="T12" s="561"/>
      <c r="U12" s="1397"/>
      <c r="V12" s="1399"/>
      <c r="W12" s="1400"/>
      <c r="X12" s="1400"/>
      <c r="Y12" s="1388" t="s">
        <v>1161</v>
      </c>
      <c r="Z12" s="1388"/>
      <c r="AA12" s="1388"/>
      <c r="AB12" s="1389" t="s">
        <v>1162</v>
      </c>
      <c r="AC12" s="28">
        <v>44084</v>
      </c>
      <c r="AD12" s="28">
        <v>44242</v>
      </c>
      <c r="AE12" s="528"/>
      <c r="AF12" s="24"/>
      <c r="AG12" s="1390"/>
      <c r="AH12" s="1391"/>
    </row>
    <row r="13" spans="1:37" ht="96.75" customHeight="1">
      <c r="A13" s="1041"/>
      <c r="B13" s="1041"/>
      <c r="C13" s="1230">
        <v>4</v>
      </c>
      <c r="D13" s="1217" t="s">
        <v>1163</v>
      </c>
      <c r="E13" s="1218"/>
      <c r="F13" s="1219">
        <v>44093</v>
      </c>
      <c r="G13" s="1228" t="s">
        <v>38</v>
      </c>
      <c r="H13" s="1228" t="s">
        <v>59</v>
      </c>
      <c r="I13" s="1230"/>
      <c r="J13" s="1232" t="s">
        <v>162</v>
      </c>
      <c r="K13" s="1233"/>
      <c r="L13" s="1233"/>
      <c r="M13" s="1233"/>
      <c r="N13" s="1233"/>
      <c r="O13" s="1234"/>
      <c r="P13" s="1232" t="s">
        <v>162</v>
      </c>
      <c r="Q13" s="1233"/>
      <c r="R13" s="1233"/>
      <c r="S13" s="1234"/>
      <c r="T13" s="561"/>
      <c r="U13" s="1232" t="s">
        <v>162</v>
      </c>
      <c r="V13" s="1234"/>
      <c r="W13" s="1221" t="s">
        <v>1164</v>
      </c>
      <c r="X13" s="1221" t="s">
        <v>1165</v>
      </c>
      <c r="Y13" s="1401" t="s">
        <v>1166</v>
      </c>
      <c r="Z13" s="1401"/>
      <c r="AA13" s="1401"/>
      <c r="AB13" s="1402" t="s">
        <v>1167</v>
      </c>
      <c r="AC13" s="28">
        <v>44084</v>
      </c>
      <c r="AD13" s="28">
        <v>44242</v>
      </c>
      <c r="AE13" s="528"/>
      <c r="AF13" s="24"/>
      <c r="AG13" s="1390"/>
      <c r="AH13" s="1391"/>
    </row>
    <row r="14" spans="1:37" ht="123.95" customHeight="1">
      <c r="A14" s="945"/>
      <c r="B14" s="945"/>
      <c r="C14" s="1231"/>
      <c r="D14" s="967"/>
      <c r="E14" s="968"/>
      <c r="F14" s="1220"/>
      <c r="G14" s="1229"/>
      <c r="H14" s="1229"/>
      <c r="I14" s="1231"/>
      <c r="J14" s="1235"/>
      <c r="K14" s="1236"/>
      <c r="L14" s="1236"/>
      <c r="M14" s="1236"/>
      <c r="N14" s="1236"/>
      <c r="O14" s="1237"/>
      <c r="P14" s="1235"/>
      <c r="Q14" s="1236"/>
      <c r="R14" s="1236"/>
      <c r="S14" s="1237"/>
      <c r="T14" s="561"/>
      <c r="U14" s="1235"/>
      <c r="V14" s="1237"/>
      <c r="W14" s="957"/>
      <c r="X14" s="957"/>
      <c r="Y14" s="1401" t="s">
        <v>1168</v>
      </c>
      <c r="Z14" s="1401"/>
      <c r="AA14" s="1401"/>
      <c r="AB14" s="1389" t="s">
        <v>1169</v>
      </c>
      <c r="AC14" s="28">
        <v>44084</v>
      </c>
      <c r="AD14" s="28">
        <v>44242</v>
      </c>
      <c r="AE14" s="528"/>
      <c r="AF14" s="24"/>
      <c r="AG14" s="1390"/>
      <c r="AH14" s="1391"/>
    </row>
    <row r="15" spans="1:37" ht="123.95" customHeight="1">
      <c r="A15" s="1070"/>
      <c r="B15" s="1070"/>
      <c r="C15" s="1392"/>
      <c r="D15" s="1393"/>
      <c r="E15" s="1394"/>
      <c r="F15" s="1395"/>
      <c r="G15" s="1396"/>
      <c r="H15" s="1396"/>
      <c r="I15" s="1392"/>
      <c r="J15" s="1397"/>
      <c r="K15" s="1398"/>
      <c r="L15" s="1398"/>
      <c r="M15" s="1398"/>
      <c r="N15" s="1398"/>
      <c r="O15" s="1399"/>
      <c r="P15" s="1397"/>
      <c r="Q15" s="1398"/>
      <c r="R15" s="1398"/>
      <c r="S15" s="1399"/>
      <c r="T15" s="561"/>
      <c r="U15" s="1397"/>
      <c r="V15" s="1399"/>
      <c r="W15" s="1400"/>
      <c r="X15" s="1400"/>
      <c r="Y15" s="1401" t="s">
        <v>1170</v>
      </c>
      <c r="Z15" s="1401"/>
      <c r="AA15" s="1401"/>
      <c r="AB15" s="1402" t="s">
        <v>1171</v>
      </c>
      <c r="AC15" s="28">
        <v>44084</v>
      </c>
      <c r="AD15" s="28">
        <v>44242</v>
      </c>
      <c r="AE15" s="528"/>
      <c r="AF15" s="24"/>
      <c r="AG15" s="1390"/>
      <c r="AH15" s="1391"/>
    </row>
    <row r="16" spans="1:37" ht="6" customHeight="1">
      <c r="A16" s="866"/>
      <c r="B16" s="866"/>
      <c r="C16" s="866"/>
      <c r="D16" s="866"/>
      <c r="E16" s="866"/>
      <c r="F16" s="866"/>
      <c r="G16" s="866"/>
      <c r="H16" s="866"/>
      <c r="I16" s="866"/>
      <c r="J16" s="866"/>
      <c r="K16" s="866"/>
      <c r="L16" s="866"/>
      <c r="M16" s="866"/>
      <c r="N16" s="866"/>
      <c r="O16" s="866"/>
      <c r="P16" s="866"/>
      <c r="Q16" s="866"/>
      <c r="R16" s="866"/>
      <c r="S16" s="866"/>
      <c r="T16" s="866"/>
      <c r="U16" s="866"/>
      <c r="V16" s="866"/>
      <c r="W16" s="866"/>
      <c r="X16" s="866"/>
      <c r="Y16" s="866"/>
      <c r="Z16" s="866"/>
      <c r="AA16" s="866"/>
      <c r="AB16" s="866"/>
      <c r="AC16" s="866"/>
      <c r="AD16" s="866"/>
      <c r="AE16" s="866"/>
      <c r="AF16" s="866"/>
      <c r="AG16" s="866"/>
      <c r="AH16" s="866"/>
    </row>
    <row r="17" spans="1:37" ht="12.75" customHeight="1">
      <c r="A17" s="858" t="s">
        <v>22</v>
      </c>
      <c r="B17" s="858"/>
      <c r="C17" s="858"/>
      <c r="D17" s="858"/>
      <c r="E17" s="858"/>
      <c r="F17" s="858"/>
      <c r="G17" s="858"/>
      <c r="H17" s="858"/>
      <c r="I17" s="858"/>
      <c r="J17" s="858"/>
      <c r="K17" s="858"/>
      <c r="L17" s="858"/>
      <c r="M17" s="35"/>
      <c r="N17" s="35"/>
      <c r="O17" s="859" t="s">
        <v>34</v>
      </c>
      <c r="P17" s="859"/>
      <c r="Q17" s="859"/>
      <c r="R17" s="859"/>
      <c r="S17" s="859"/>
      <c r="T17" s="859"/>
      <c r="U17" s="859"/>
      <c r="V17" s="859"/>
      <c r="W17" s="859"/>
      <c r="X17" s="859"/>
      <c r="Y17" s="859"/>
      <c r="Z17" s="859"/>
      <c r="AA17" s="859"/>
      <c r="AB17" s="859"/>
      <c r="AC17" s="859"/>
      <c r="AD17" s="860" t="s">
        <v>35</v>
      </c>
      <c r="AE17" s="860"/>
      <c r="AF17" s="860"/>
      <c r="AG17" s="860"/>
      <c r="AH17" s="860"/>
    </row>
    <row r="18" spans="1:37">
      <c r="A18" s="858"/>
      <c r="B18" s="858"/>
      <c r="C18" s="858"/>
      <c r="D18" s="858"/>
      <c r="E18" s="858"/>
      <c r="F18" s="858"/>
      <c r="G18" s="858"/>
      <c r="H18" s="858"/>
      <c r="I18" s="858"/>
      <c r="J18" s="858"/>
      <c r="K18" s="858"/>
      <c r="L18" s="858"/>
      <c r="M18" s="35"/>
      <c r="N18" s="35"/>
      <c r="O18" s="859"/>
      <c r="P18" s="859"/>
      <c r="Q18" s="859"/>
      <c r="R18" s="859"/>
      <c r="S18" s="859"/>
      <c r="T18" s="859"/>
      <c r="U18" s="859"/>
      <c r="V18" s="859"/>
      <c r="W18" s="859"/>
      <c r="X18" s="859"/>
      <c r="Y18" s="859"/>
      <c r="Z18" s="859"/>
      <c r="AA18" s="859"/>
      <c r="AB18" s="859"/>
      <c r="AC18" s="859"/>
      <c r="AD18" s="860"/>
      <c r="AE18" s="860"/>
      <c r="AF18" s="860"/>
      <c r="AG18" s="860"/>
      <c r="AH18" s="860"/>
    </row>
    <row r="19" spans="1:37" ht="38.25" customHeight="1">
      <c r="A19" s="861" t="s">
        <v>75</v>
      </c>
      <c r="B19" s="862"/>
      <c r="C19" s="862"/>
      <c r="D19" s="862"/>
      <c r="E19" s="862"/>
      <c r="F19" s="862"/>
      <c r="G19" s="862"/>
      <c r="H19" s="862"/>
      <c r="I19" s="862"/>
      <c r="J19" s="862"/>
      <c r="K19" s="862"/>
      <c r="L19" s="862"/>
      <c r="M19" s="35"/>
      <c r="N19" s="35"/>
      <c r="O19" s="863" t="s">
        <v>76</v>
      </c>
      <c r="P19" s="864"/>
      <c r="Q19" s="864"/>
      <c r="R19" s="864"/>
      <c r="S19" s="864"/>
      <c r="T19" s="864"/>
      <c r="U19" s="864"/>
      <c r="V19" s="864"/>
      <c r="W19" s="864"/>
      <c r="X19" s="864"/>
      <c r="Y19" s="864"/>
      <c r="Z19" s="864"/>
      <c r="AA19" s="864"/>
      <c r="AB19" s="864"/>
      <c r="AC19" s="864"/>
      <c r="AD19" s="865" t="s">
        <v>77</v>
      </c>
      <c r="AE19" s="865"/>
      <c r="AF19" s="865"/>
      <c r="AG19" s="865"/>
      <c r="AH19" s="865"/>
    </row>
    <row r="20" spans="1:37" ht="15" customHeight="1">
      <c r="A20" s="856" t="s">
        <v>36</v>
      </c>
      <c r="B20" s="856"/>
      <c r="C20" s="856"/>
      <c r="D20" s="856"/>
      <c r="E20" s="856"/>
      <c r="F20" s="856"/>
      <c r="G20" s="856"/>
      <c r="H20" s="856"/>
      <c r="I20" s="856"/>
      <c r="J20" s="856"/>
      <c r="K20" s="856"/>
      <c r="L20" s="856"/>
      <c r="M20" s="856"/>
      <c r="N20" s="856"/>
      <c r="O20" s="856"/>
      <c r="P20" s="856"/>
      <c r="Q20" s="856"/>
      <c r="R20" s="856"/>
      <c r="S20" s="856"/>
      <c r="T20" s="856"/>
      <c r="U20" s="856"/>
      <c r="V20" s="856"/>
      <c r="W20" s="856"/>
      <c r="X20" s="856"/>
      <c r="Y20" s="856"/>
      <c r="Z20" s="856"/>
      <c r="AA20" s="856"/>
      <c r="AB20" s="856"/>
      <c r="AC20" s="856"/>
      <c r="AD20" s="856"/>
      <c r="AE20" s="856"/>
      <c r="AF20" s="856"/>
      <c r="AG20" s="856"/>
      <c r="AH20" s="856"/>
    </row>
    <row r="21" spans="1:37" ht="0.95" customHeight="1">
      <c r="A21" s="857"/>
      <c r="B21" s="857"/>
      <c r="C21" s="857"/>
      <c r="D21" s="857"/>
      <c r="E21" s="857"/>
      <c r="F21" s="857"/>
      <c r="G21" s="857"/>
      <c r="H21" s="857"/>
      <c r="I21" s="857"/>
      <c r="J21" s="857"/>
      <c r="K21" s="857"/>
      <c r="L21" s="857"/>
      <c r="M21" s="857"/>
      <c r="N21" s="857"/>
      <c r="O21" s="857"/>
      <c r="P21" s="857"/>
      <c r="Q21" s="857"/>
      <c r="R21" s="857"/>
      <c r="S21" s="857"/>
      <c r="T21" s="857"/>
      <c r="U21" s="857"/>
      <c r="V21" s="857"/>
      <c r="W21" s="857"/>
      <c r="X21" s="857"/>
      <c r="Y21" s="857"/>
      <c r="Z21" s="857"/>
      <c r="AA21" s="857"/>
      <c r="AB21" s="857"/>
      <c r="AC21" s="857"/>
      <c r="AD21" s="857"/>
      <c r="AE21" s="857"/>
      <c r="AF21" s="857"/>
      <c r="AG21" s="857"/>
      <c r="AH21" s="857"/>
      <c r="AI21" s="857"/>
    </row>
    <row r="22" spans="1:37">
      <c r="A22" s="857"/>
      <c r="B22" s="857"/>
      <c r="C22" s="857"/>
      <c r="D22" s="857"/>
      <c r="E22" s="857"/>
      <c r="F22" s="857"/>
      <c r="G22" s="857"/>
      <c r="H22" s="857"/>
      <c r="I22" s="857"/>
      <c r="J22" s="857"/>
      <c r="K22" s="857"/>
      <c r="L22" s="857"/>
      <c r="M22" s="857"/>
      <c r="N22" s="857"/>
      <c r="O22" s="857"/>
      <c r="P22" s="857"/>
      <c r="Q22" s="857"/>
      <c r="R22" s="857"/>
      <c r="S22" s="857"/>
      <c r="T22" s="857"/>
      <c r="U22" s="857"/>
      <c r="V22" s="857"/>
      <c r="W22" s="857"/>
      <c r="X22" s="857"/>
      <c r="Y22" s="857"/>
      <c r="Z22" s="857"/>
      <c r="AA22" s="857"/>
      <c r="AB22" s="857"/>
      <c r="AC22" s="857"/>
      <c r="AD22" s="857"/>
      <c r="AE22" s="857"/>
      <c r="AF22" s="857"/>
      <c r="AG22" s="857"/>
      <c r="AH22" s="857"/>
      <c r="AI22" s="36"/>
      <c r="AJ22" s="36"/>
    </row>
    <row r="23" spans="1:37" ht="24" customHeight="1">
      <c r="A23" s="37"/>
      <c r="B23" s="38"/>
      <c r="C23" s="37"/>
      <c r="D23" s="37"/>
      <c r="E23" s="37"/>
      <c r="F23" s="37"/>
      <c r="G23" s="37"/>
      <c r="H23" s="39" t="s">
        <v>66</v>
      </c>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6"/>
      <c r="AJ23" s="36"/>
    </row>
    <row r="24" spans="1:37" ht="54.95" customHeight="1">
      <c r="A24" s="37"/>
      <c r="B24" s="38"/>
      <c r="C24" s="37"/>
      <c r="D24" s="37"/>
      <c r="E24" s="37"/>
      <c r="F24" s="37"/>
      <c r="G24" s="37"/>
      <c r="H24" s="39" t="s">
        <v>67</v>
      </c>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6"/>
      <c r="AJ24" s="36"/>
    </row>
    <row r="25" spans="1:37" ht="0.95" customHeight="1">
      <c r="A25" s="37"/>
      <c r="B25" s="38" t="s">
        <v>68</v>
      </c>
      <c r="C25" s="37"/>
      <c r="D25" s="37"/>
      <c r="E25" s="37"/>
      <c r="F25" s="37"/>
      <c r="G25" s="37"/>
      <c r="H25" s="39" t="s">
        <v>69</v>
      </c>
      <c r="I25" s="37"/>
      <c r="J25" s="37"/>
      <c r="K25" s="37"/>
      <c r="L25" s="37"/>
      <c r="M25" s="37"/>
      <c r="N25" s="37"/>
      <c r="O25" s="37"/>
      <c r="P25" s="37"/>
      <c r="Q25" s="37"/>
      <c r="R25" s="37"/>
      <c r="S25" s="37"/>
      <c r="T25" s="37"/>
      <c r="U25" s="37"/>
      <c r="V25" s="37"/>
      <c r="W25" s="37"/>
      <c r="X25" s="39" t="s">
        <v>23</v>
      </c>
      <c r="Y25" s="37"/>
      <c r="Z25" s="37"/>
      <c r="AA25" s="37"/>
      <c r="AB25" s="37"/>
      <c r="AC25" s="37"/>
      <c r="AD25" s="37"/>
      <c r="AE25" s="37"/>
      <c r="AF25" s="37"/>
      <c r="AG25" s="37"/>
      <c r="AH25" s="37"/>
      <c r="AI25" s="36"/>
      <c r="AJ25" s="36"/>
    </row>
    <row r="26" spans="1:37" ht="0.95" customHeight="1">
      <c r="A26" s="37"/>
      <c r="B26" s="38" t="s">
        <v>70</v>
      </c>
      <c r="C26" s="37"/>
      <c r="D26" s="37"/>
      <c r="E26" s="37"/>
      <c r="F26" s="37"/>
      <c r="G26" s="37"/>
      <c r="H26" s="40" t="s">
        <v>59</v>
      </c>
      <c r="I26" s="37"/>
      <c r="J26" s="37"/>
      <c r="K26" s="37"/>
      <c r="L26" s="37"/>
      <c r="M26" s="37"/>
      <c r="N26" s="37"/>
      <c r="O26" s="37"/>
      <c r="P26" s="37"/>
      <c r="Q26" s="37"/>
      <c r="R26" s="37"/>
      <c r="S26" s="37"/>
      <c r="T26" s="37"/>
      <c r="U26" s="37"/>
      <c r="V26" s="37"/>
      <c r="W26" s="37"/>
      <c r="X26" s="39" t="s">
        <v>25</v>
      </c>
      <c r="Y26" s="37"/>
      <c r="Z26" s="37"/>
      <c r="AA26" s="37"/>
      <c r="AB26" s="37"/>
      <c r="AC26" s="37"/>
      <c r="AD26" s="37"/>
      <c r="AE26" s="37"/>
      <c r="AF26" s="37"/>
      <c r="AG26" s="37"/>
      <c r="AH26" s="37"/>
      <c r="AI26" s="36"/>
      <c r="AJ26" s="36"/>
    </row>
    <row r="27" spans="1:37" ht="0.95" customHeight="1">
      <c r="A27" s="41"/>
      <c r="B27" s="42" t="s">
        <v>16</v>
      </c>
      <c r="C27" s="41"/>
      <c r="D27" s="41"/>
      <c r="E27" s="41"/>
      <c r="F27" s="41"/>
      <c r="G27" s="41"/>
      <c r="H27" s="43" t="s">
        <v>65</v>
      </c>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row>
    <row r="29" spans="1:37" ht="24.75" customHeight="1">
      <c r="AK29" s="11" t="s">
        <v>38</v>
      </c>
    </row>
    <row r="30" spans="1:37" ht="24.75" customHeight="1">
      <c r="AK30" s="11" t="s">
        <v>10</v>
      </c>
    </row>
    <row r="31" spans="1:37" ht="24.75" customHeight="1">
      <c r="AK31" s="11" t="s">
        <v>42</v>
      </c>
    </row>
    <row r="32" spans="1:37" ht="24.75" customHeight="1">
      <c r="AK32" s="11" t="s">
        <v>43</v>
      </c>
    </row>
    <row r="33" spans="37:37" ht="24.75" customHeight="1">
      <c r="AK33" s="11" t="s">
        <v>44</v>
      </c>
    </row>
    <row r="34" spans="37:37" ht="24.75" customHeight="1">
      <c r="AK34" s="11" t="s">
        <v>26</v>
      </c>
    </row>
    <row r="35" spans="37:37" ht="24.75" customHeight="1">
      <c r="AK35" s="11" t="s">
        <v>27</v>
      </c>
    </row>
    <row r="36" spans="37:37" ht="24.75" customHeight="1">
      <c r="AK36" s="11" t="s">
        <v>28</v>
      </c>
    </row>
    <row r="37" spans="37:37" ht="24.75" customHeight="1">
      <c r="AK37" s="11" t="s">
        <v>30</v>
      </c>
    </row>
    <row r="38" spans="37:37" ht="24.75" customHeight="1">
      <c r="AK38" s="11" t="s">
        <v>29</v>
      </c>
    </row>
    <row r="39" spans="37:37" ht="24.75" customHeight="1">
      <c r="AK39" s="11" t="s">
        <v>31</v>
      </c>
    </row>
    <row r="40" spans="37:37" ht="24.75" customHeight="1">
      <c r="AK40" s="11" t="s">
        <v>32</v>
      </c>
    </row>
    <row r="41" spans="37:37" ht="51">
      <c r="AK41" s="11" t="s">
        <v>33</v>
      </c>
    </row>
  </sheetData>
  <mergeCells count="83">
    <mergeCell ref="U13:V15"/>
    <mergeCell ref="W13:W15"/>
    <mergeCell ref="X13:X15"/>
    <mergeCell ref="Y13:AA13"/>
    <mergeCell ref="Y14:AA14"/>
    <mergeCell ref="Y15:AA15"/>
    <mergeCell ref="G13:G15"/>
    <mergeCell ref="H13:H15"/>
    <mergeCell ref="I13:I15"/>
    <mergeCell ref="J13:O15"/>
    <mergeCell ref="P13:S15"/>
    <mergeCell ref="A13:A15"/>
    <mergeCell ref="B13:B15"/>
    <mergeCell ref="C13:C15"/>
    <mergeCell ref="D13:E15"/>
    <mergeCell ref="F13:F15"/>
    <mergeCell ref="U10:V12"/>
    <mergeCell ref="W10:W12"/>
    <mergeCell ref="X10:X12"/>
    <mergeCell ref="Y10:AA10"/>
    <mergeCell ref="Y11:AA11"/>
    <mergeCell ref="Y12:AA12"/>
    <mergeCell ref="A4:D4"/>
    <mergeCell ref="E4:V4"/>
    <mergeCell ref="W4:Y4"/>
    <mergeCell ref="Z4:AE4"/>
    <mergeCell ref="AF4:AG4"/>
    <mergeCell ref="A1:B2"/>
    <mergeCell ref="C1:AG1"/>
    <mergeCell ref="AH1:AH2"/>
    <mergeCell ref="C2:AG2"/>
    <mergeCell ref="A3:AH3"/>
    <mergeCell ref="A5:AH5"/>
    <mergeCell ref="A6:B6"/>
    <mergeCell ref="C6:C7"/>
    <mergeCell ref="D6:E7"/>
    <mergeCell ref="F6:F7"/>
    <mergeCell ref="G6:G7"/>
    <mergeCell ref="H6:H7"/>
    <mergeCell ref="I6:I7"/>
    <mergeCell ref="J6:V6"/>
    <mergeCell ref="W6:W7"/>
    <mergeCell ref="AG6:AG7"/>
    <mergeCell ref="AH6:AH7"/>
    <mergeCell ref="J7:O7"/>
    <mergeCell ref="P7:T7"/>
    <mergeCell ref="U7:V7"/>
    <mergeCell ref="X6:X7"/>
    <mergeCell ref="D8:E8"/>
    <mergeCell ref="J8:O8"/>
    <mergeCell ref="P8:S8"/>
    <mergeCell ref="U8:V8"/>
    <mergeCell ref="Y8:AA8"/>
    <mergeCell ref="Y6:AA7"/>
    <mergeCell ref="AB6:AB7"/>
    <mergeCell ref="AC6:AD6"/>
    <mergeCell ref="AE6:AE7"/>
    <mergeCell ref="AF6:AF7"/>
    <mergeCell ref="A16:AH16"/>
    <mergeCell ref="D9:E9"/>
    <mergeCell ref="J9:O9"/>
    <mergeCell ref="P9:S9"/>
    <mergeCell ref="U9:V9"/>
    <mergeCell ref="Y9:Z9"/>
    <mergeCell ref="A10:A12"/>
    <mergeCell ref="B10:B12"/>
    <mergeCell ref="C10:C12"/>
    <mergeCell ref="D10:E12"/>
    <mergeCell ref="F10:F12"/>
    <mergeCell ref="G10:G12"/>
    <mergeCell ref="H10:H12"/>
    <mergeCell ref="I10:I12"/>
    <mergeCell ref="J10:O12"/>
    <mergeCell ref="P10:S12"/>
    <mergeCell ref="A20:AH20"/>
    <mergeCell ref="A21:AI21"/>
    <mergeCell ref="A22:AH22"/>
    <mergeCell ref="A17:L18"/>
    <mergeCell ref="O17:AC18"/>
    <mergeCell ref="AD17:AH18"/>
    <mergeCell ref="A19:L19"/>
    <mergeCell ref="O19:AC19"/>
    <mergeCell ref="AD19:AH19"/>
  </mergeCells>
  <conditionalFormatting sqref="AG8:AG9">
    <cfRule type="cellIs" dxfId="325" priority="7" operator="between">
      <formula>0.001</formula>
      <formula>0.99</formula>
    </cfRule>
    <cfRule type="cellIs" dxfId="324" priority="8" operator="equal">
      <formula>1</formula>
    </cfRule>
    <cfRule type="cellIs" dxfId="323" priority="9" operator="equal">
      <formula>0</formula>
    </cfRule>
  </conditionalFormatting>
  <conditionalFormatting sqref="AG8:AG9">
    <cfRule type="cellIs" dxfId="322" priority="10" operator="between">
      <formula>0.01</formula>
      <formula>0.99</formula>
    </cfRule>
    <cfRule type="cellIs" dxfId="321" priority="11" operator="equal">
      <formula>1</formula>
    </cfRule>
    <cfRule type="cellIs" dxfId="320" priority="12" operator="equal">
      <formula>0</formula>
    </cfRule>
  </conditionalFormatting>
  <conditionalFormatting sqref="AG10:AG15">
    <cfRule type="cellIs" dxfId="319" priority="1" operator="between">
      <formula>0.001</formula>
      <formula>0.99</formula>
    </cfRule>
    <cfRule type="cellIs" dxfId="318" priority="2" operator="equal">
      <formula>1</formula>
    </cfRule>
    <cfRule type="cellIs" dxfId="317" priority="3" operator="equal">
      <formula>0</formula>
    </cfRule>
  </conditionalFormatting>
  <conditionalFormatting sqref="AG10:AG15">
    <cfRule type="cellIs" dxfId="316" priority="4" operator="between">
      <formula>0.01</formula>
      <formula>0.99</formula>
    </cfRule>
    <cfRule type="cellIs" dxfId="315" priority="5" operator="equal">
      <formula>1</formula>
    </cfRule>
    <cfRule type="cellIs" dxfId="314" priority="6" operator="equal">
      <formula>0</formula>
    </cfRule>
  </conditionalFormatting>
  <dataValidations count="5">
    <dataValidation type="list" allowBlank="1" showInputMessage="1" showErrorMessage="1" sqref="JD8:JD15 SZ8:SZ15 ACV8:ACV15 AMR8:AMR15 AWN8:AWN15 BGJ8:BGJ15 BQF8:BQF15 CAB8:CAB15 CJX8:CJX15 CTT8:CTT15 DDP8:DDP15 DNL8:DNL15 DXH8:DXH15 EHD8:EHD15 EQZ8:EQZ15 FAV8:FAV15 FKR8:FKR15 FUN8:FUN15 GEJ8:GEJ15 GOF8:GOF15 GYB8:GYB15 HHX8:HHX15 HRT8:HRT15 IBP8:IBP15 ILL8:ILL15 IVH8:IVH15 JFD8:JFD15 JOZ8:JOZ15 JYV8:JYV15 KIR8:KIR15 KSN8:KSN15 LCJ8:LCJ15 LMF8:LMF15 LWB8:LWB15 MFX8:MFX15 MPT8:MPT15 MZP8:MZP15 NJL8:NJL15 NTH8:NTH15 ODD8:ODD15 OMZ8:OMZ15 OWV8:OWV15 PGR8:PGR15 PQN8:PQN15 QAJ8:QAJ15 QKF8:QKF15 QUB8:QUB15 RDX8:RDX15 RNT8:RNT15 RXP8:RXP15 SHL8:SHL15 SRH8:SRH15 TBD8:TBD15 TKZ8:TKZ15 TUV8:TUV15 UER8:UER15 UON8:UON15 UYJ8:UYJ15 VIF8:VIF15 VSB8:VSB15 WBX8:WBX15 WLT8:WLT15 WVP8:WVP15 WVP983052:WVP983055 H65548:H65551 JD65548:JD65551 SZ65548:SZ65551 ACV65548:ACV65551 AMR65548:AMR65551 AWN65548:AWN65551 BGJ65548:BGJ65551 BQF65548:BQF65551 CAB65548:CAB65551 CJX65548:CJX65551 CTT65548:CTT65551 DDP65548:DDP65551 DNL65548:DNL65551 DXH65548:DXH65551 EHD65548:EHD65551 EQZ65548:EQZ65551 FAV65548:FAV65551 FKR65548:FKR65551 FUN65548:FUN65551 GEJ65548:GEJ65551 GOF65548:GOF65551 GYB65548:GYB65551 HHX65548:HHX65551 HRT65548:HRT65551 IBP65548:IBP65551 ILL65548:ILL65551 IVH65548:IVH65551 JFD65548:JFD65551 JOZ65548:JOZ65551 JYV65548:JYV65551 KIR65548:KIR65551 KSN65548:KSN65551 LCJ65548:LCJ65551 LMF65548:LMF65551 LWB65548:LWB65551 MFX65548:MFX65551 MPT65548:MPT65551 MZP65548:MZP65551 NJL65548:NJL65551 NTH65548:NTH65551 ODD65548:ODD65551 OMZ65548:OMZ65551 OWV65548:OWV65551 PGR65548:PGR65551 PQN65548:PQN65551 QAJ65548:QAJ65551 QKF65548:QKF65551 QUB65548:QUB65551 RDX65548:RDX65551 RNT65548:RNT65551 RXP65548:RXP65551 SHL65548:SHL65551 SRH65548:SRH65551 TBD65548:TBD65551 TKZ65548:TKZ65551 TUV65548:TUV65551 UER65548:UER65551 UON65548:UON65551 UYJ65548:UYJ65551 VIF65548:VIF65551 VSB65548:VSB65551 WBX65548:WBX65551 WLT65548:WLT65551 WVP65548:WVP65551 H131084:H131087 JD131084:JD131087 SZ131084:SZ131087 ACV131084:ACV131087 AMR131084:AMR131087 AWN131084:AWN131087 BGJ131084:BGJ131087 BQF131084:BQF131087 CAB131084:CAB131087 CJX131084:CJX131087 CTT131084:CTT131087 DDP131084:DDP131087 DNL131084:DNL131087 DXH131084:DXH131087 EHD131084:EHD131087 EQZ131084:EQZ131087 FAV131084:FAV131087 FKR131084:FKR131087 FUN131084:FUN131087 GEJ131084:GEJ131087 GOF131084:GOF131087 GYB131084:GYB131087 HHX131084:HHX131087 HRT131084:HRT131087 IBP131084:IBP131087 ILL131084:ILL131087 IVH131084:IVH131087 JFD131084:JFD131087 JOZ131084:JOZ131087 JYV131084:JYV131087 KIR131084:KIR131087 KSN131084:KSN131087 LCJ131084:LCJ131087 LMF131084:LMF131087 LWB131084:LWB131087 MFX131084:MFX131087 MPT131084:MPT131087 MZP131084:MZP131087 NJL131084:NJL131087 NTH131084:NTH131087 ODD131084:ODD131087 OMZ131084:OMZ131087 OWV131084:OWV131087 PGR131084:PGR131087 PQN131084:PQN131087 QAJ131084:QAJ131087 QKF131084:QKF131087 QUB131084:QUB131087 RDX131084:RDX131087 RNT131084:RNT131087 RXP131084:RXP131087 SHL131084:SHL131087 SRH131084:SRH131087 TBD131084:TBD131087 TKZ131084:TKZ131087 TUV131084:TUV131087 UER131084:UER131087 UON131084:UON131087 UYJ131084:UYJ131087 VIF131084:VIF131087 VSB131084:VSB131087 WBX131084:WBX131087 WLT131084:WLT131087 WVP131084:WVP131087 H196620:H196623 JD196620:JD196623 SZ196620:SZ196623 ACV196620:ACV196623 AMR196620:AMR196623 AWN196620:AWN196623 BGJ196620:BGJ196623 BQF196620:BQF196623 CAB196620:CAB196623 CJX196620:CJX196623 CTT196620:CTT196623 DDP196620:DDP196623 DNL196620:DNL196623 DXH196620:DXH196623 EHD196620:EHD196623 EQZ196620:EQZ196623 FAV196620:FAV196623 FKR196620:FKR196623 FUN196620:FUN196623 GEJ196620:GEJ196623 GOF196620:GOF196623 GYB196620:GYB196623 HHX196620:HHX196623 HRT196620:HRT196623 IBP196620:IBP196623 ILL196620:ILL196623 IVH196620:IVH196623 JFD196620:JFD196623 JOZ196620:JOZ196623 JYV196620:JYV196623 KIR196620:KIR196623 KSN196620:KSN196623 LCJ196620:LCJ196623 LMF196620:LMF196623 LWB196620:LWB196623 MFX196620:MFX196623 MPT196620:MPT196623 MZP196620:MZP196623 NJL196620:NJL196623 NTH196620:NTH196623 ODD196620:ODD196623 OMZ196620:OMZ196623 OWV196620:OWV196623 PGR196620:PGR196623 PQN196620:PQN196623 QAJ196620:QAJ196623 QKF196620:QKF196623 QUB196620:QUB196623 RDX196620:RDX196623 RNT196620:RNT196623 RXP196620:RXP196623 SHL196620:SHL196623 SRH196620:SRH196623 TBD196620:TBD196623 TKZ196620:TKZ196623 TUV196620:TUV196623 UER196620:UER196623 UON196620:UON196623 UYJ196620:UYJ196623 VIF196620:VIF196623 VSB196620:VSB196623 WBX196620:WBX196623 WLT196620:WLT196623 WVP196620:WVP196623 H262156:H262159 JD262156:JD262159 SZ262156:SZ262159 ACV262156:ACV262159 AMR262156:AMR262159 AWN262156:AWN262159 BGJ262156:BGJ262159 BQF262156:BQF262159 CAB262156:CAB262159 CJX262156:CJX262159 CTT262156:CTT262159 DDP262156:DDP262159 DNL262156:DNL262159 DXH262156:DXH262159 EHD262156:EHD262159 EQZ262156:EQZ262159 FAV262156:FAV262159 FKR262156:FKR262159 FUN262156:FUN262159 GEJ262156:GEJ262159 GOF262156:GOF262159 GYB262156:GYB262159 HHX262156:HHX262159 HRT262156:HRT262159 IBP262156:IBP262159 ILL262156:ILL262159 IVH262156:IVH262159 JFD262156:JFD262159 JOZ262156:JOZ262159 JYV262156:JYV262159 KIR262156:KIR262159 KSN262156:KSN262159 LCJ262156:LCJ262159 LMF262156:LMF262159 LWB262156:LWB262159 MFX262156:MFX262159 MPT262156:MPT262159 MZP262156:MZP262159 NJL262156:NJL262159 NTH262156:NTH262159 ODD262156:ODD262159 OMZ262156:OMZ262159 OWV262156:OWV262159 PGR262156:PGR262159 PQN262156:PQN262159 QAJ262156:QAJ262159 QKF262156:QKF262159 QUB262156:QUB262159 RDX262156:RDX262159 RNT262156:RNT262159 RXP262156:RXP262159 SHL262156:SHL262159 SRH262156:SRH262159 TBD262156:TBD262159 TKZ262156:TKZ262159 TUV262156:TUV262159 UER262156:UER262159 UON262156:UON262159 UYJ262156:UYJ262159 VIF262156:VIF262159 VSB262156:VSB262159 WBX262156:WBX262159 WLT262156:WLT262159 WVP262156:WVP262159 H327692:H327695 JD327692:JD327695 SZ327692:SZ327695 ACV327692:ACV327695 AMR327692:AMR327695 AWN327692:AWN327695 BGJ327692:BGJ327695 BQF327692:BQF327695 CAB327692:CAB327695 CJX327692:CJX327695 CTT327692:CTT327695 DDP327692:DDP327695 DNL327692:DNL327695 DXH327692:DXH327695 EHD327692:EHD327695 EQZ327692:EQZ327695 FAV327692:FAV327695 FKR327692:FKR327695 FUN327692:FUN327695 GEJ327692:GEJ327695 GOF327692:GOF327695 GYB327692:GYB327695 HHX327692:HHX327695 HRT327692:HRT327695 IBP327692:IBP327695 ILL327692:ILL327695 IVH327692:IVH327695 JFD327692:JFD327695 JOZ327692:JOZ327695 JYV327692:JYV327695 KIR327692:KIR327695 KSN327692:KSN327695 LCJ327692:LCJ327695 LMF327692:LMF327695 LWB327692:LWB327695 MFX327692:MFX327695 MPT327692:MPT327695 MZP327692:MZP327695 NJL327692:NJL327695 NTH327692:NTH327695 ODD327692:ODD327695 OMZ327692:OMZ327695 OWV327692:OWV327695 PGR327692:PGR327695 PQN327692:PQN327695 QAJ327692:QAJ327695 QKF327692:QKF327695 QUB327692:QUB327695 RDX327692:RDX327695 RNT327692:RNT327695 RXP327692:RXP327695 SHL327692:SHL327695 SRH327692:SRH327695 TBD327692:TBD327695 TKZ327692:TKZ327695 TUV327692:TUV327695 UER327692:UER327695 UON327692:UON327695 UYJ327692:UYJ327695 VIF327692:VIF327695 VSB327692:VSB327695 WBX327692:WBX327695 WLT327692:WLT327695 WVP327692:WVP327695 H393228:H393231 JD393228:JD393231 SZ393228:SZ393231 ACV393228:ACV393231 AMR393228:AMR393231 AWN393228:AWN393231 BGJ393228:BGJ393231 BQF393228:BQF393231 CAB393228:CAB393231 CJX393228:CJX393231 CTT393228:CTT393231 DDP393228:DDP393231 DNL393228:DNL393231 DXH393228:DXH393231 EHD393228:EHD393231 EQZ393228:EQZ393231 FAV393228:FAV393231 FKR393228:FKR393231 FUN393228:FUN393231 GEJ393228:GEJ393231 GOF393228:GOF393231 GYB393228:GYB393231 HHX393228:HHX393231 HRT393228:HRT393231 IBP393228:IBP393231 ILL393228:ILL393231 IVH393228:IVH393231 JFD393228:JFD393231 JOZ393228:JOZ393231 JYV393228:JYV393231 KIR393228:KIR393231 KSN393228:KSN393231 LCJ393228:LCJ393231 LMF393228:LMF393231 LWB393228:LWB393231 MFX393228:MFX393231 MPT393228:MPT393231 MZP393228:MZP393231 NJL393228:NJL393231 NTH393228:NTH393231 ODD393228:ODD393231 OMZ393228:OMZ393231 OWV393228:OWV393231 PGR393228:PGR393231 PQN393228:PQN393231 QAJ393228:QAJ393231 QKF393228:QKF393231 QUB393228:QUB393231 RDX393228:RDX393231 RNT393228:RNT393231 RXP393228:RXP393231 SHL393228:SHL393231 SRH393228:SRH393231 TBD393228:TBD393231 TKZ393228:TKZ393231 TUV393228:TUV393231 UER393228:UER393231 UON393228:UON393231 UYJ393228:UYJ393231 VIF393228:VIF393231 VSB393228:VSB393231 WBX393228:WBX393231 WLT393228:WLT393231 WVP393228:WVP393231 H458764:H458767 JD458764:JD458767 SZ458764:SZ458767 ACV458764:ACV458767 AMR458764:AMR458767 AWN458764:AWN458767 BGJ458764:BGJ458767 BQF458764:BQF458767 CAB458764:CAB458767 CJX458764:CJX458767 CTT458764:CTT458767 DDP458764:DDP458767 DNL458764:DNL458767 DXH458764:DXH458767 EHD458764:EHD458767 EQZ458764:EQZ458767 FAV458764:FAV458767 FKR458764:FKR458767 FUN458764:FUN458767 GEJ458764:GEJ458767 GOF458764:GOF458767 GYB458764:GYB458767 HHX458764:HHX458767 HRT458764:HRT458767 IBP458764:IBP458767 ILL458764:ILL458767 IVH458764:IVH458767 JFD458764:JFD458767 JOZ458764:JOZ458767 JYV458764:JYV458767 KIR458764:KIR458767 KSN458764:KSN458767 LCJ458764:LCJ458767 LMF458764:LMF458767 LWB458764:LWB458767 MFX458764:MFX458767 MPT458764:MPT458767 MZP458764:MZP458767 NJL458764:NJL458767 NTH458764:NTH458767 ODD458764:ODD458767 OMZ458764:OMZ458767 OWV458764:OWV458767 PGR458764:PGR458767 PQN458764:PQN458767 QAJ458764:QAJ458767 QKF458764:QKF458767 QUB458764:QUB458767 RDX458764:RDX458767 RNT458764:RNT458767 RXP458764:RXP458767 SHL458764:SHL458767 SRH458764:SRH458767 TBD458764:TBD458767 TKZ458764:TKZ458767 TUV458764:TUV458767 UER458764:UER458767 UON458764:UON458767 UYJ458764:UYJ458767 VIF458764:VIF458767 VSB458764:VSB458767 WBX458764:WBX458767 WLT458764:WLT458767 WVP458764:WVP458767 H524300:H524303 JD524300:JD524303 SZ524300:SZ524303 ACV524300:ACV524303 AMR524300:AMR524303 AWN524300:AWN524303 BGJ524300:BGJ524303 BQF524300:BQF524303 CAB524300:CAB524303 CJX524300:CJX524303 CTT524300:CTT524303 DDP524300:DDP524303 DNL524300:DNL524303 DXH524300:DXH524303 EHD524300:EHD524303 EQZ524300:EQZ524303 FAV524300:FAV524303 FKR524300:FKR524303 FUN524300:FUN524303 GEJ524300:GEJ524303 GOF524300:GOF524303 GYB524300:GYB524303 HHX524300:HHX524303 HRT524300:HRT524303 IBP524300:IBP524303 ILL524300:ILL524303 IVH524300:IVH524303 JFD524300:JFD524303 JOZ524300:JOZ524303 JYV524300:JYV524303 KIR524300:KIR524303 KSN524300:KSN524303 LCJ524300:LCJ524303 LMF524300:LMF524303 LWB524300:LWB524303 MFX524300:MFX524303 MPT524300:MPT524303 MZP524300:MZP524303 NJL524300:NJL524303 NTH524300:NTH524303 ODD524300:ODD524303 OMZ524300:OMZ524303 OWV524300:OWV524303 PGR524300:PGR524303 PQN524300:PQN524303 QAJ524300:QAJ524303 QKF524300:QKF524303 QUB524300:QUB524303 RDX524300:RDX524303 RNT524300:RNT524303 RXP524300:RXP524303 SHL524300:SHL524303 SRH524300:SRH524303 TBD524300:TBD524303 TKZ524300:TKZ524303 TUV524300:TUV524303 UER524300:UER524303 UON524300:UON524303 UYJ524300:UYJ524303 VIF524300:VIF524303 VSB524300:VSB524303 WBX524300:WBX524303 WLT524300:WLT524303 WVP524300:WVP524303 H589836:H589839 JD589836:JD589839 SZ589836:SZ589839 ACV589836:ACV589839 AMR589836:AMR589839 AWN589836:AWN589839 BGJ589836:BGJ589839 BQF589836:BQF589839 CAB589836:CAB589839 CJX589836:CJX589839 CTT589836:CTT589839 DDP589836:DDP589839 DNL589836:DNL589839 DXH589836:DXH589839 EHD589836:EHD589839 EQZ589836:EQZ589839 FAV589836:FAV589839 FKR589836:FKR589839 FUN589836:FUN589839 GEJ589836:GEJ589839 GOF589836:GOF589839 GYB589836:GYB589839 HHX589836:HHX589839 HRT589836:HRT589839 IBP589836:IBP589839 ILL589836:ILL589839 IVH589836:IVH589839 JFD589836:JFD589839 JOZ589836:JOZ589839 JYV589836:JYV589839 KIR589836:KIR589839 KSN589836:KSN589839 LCJ589836:LCJ589839 LMF589836:LMF589839 LWB589836:LWB589839 MFX589836:MFX589839 MPT589836:MPT589839 MZP589836:MZP589839 NJL589836:NJL589839 NTH589836:NTH589839 ODD589836:ODD589839 OMZ589836:OMZ589839 OWV589836:OWV589839 PGR589836:PGR589839 PQN589836:PQN589839 QAJ589836:QAJ589839 QKF589836:QKF589839 QUB589836:QUB589839 RDX589836:RDX589839 RNT589836:RNT589839 RXP589836:RXP589839 SHL589836:SHL589839 SRH589836:SRH589839 TBD589836:TBD589839 TKZ589836:TKZ589839 TUV589836:TUV589839 UER589836:UER589839 UON589836:UON589839 UYJ589836:UYJ589839 VIF589836:VIF589839 VSB589836:VSB589839 WBX589836:WBX589839 WLT589836:WLT589839 WVP589836:WVP589839 H655372:H655375 JD655372:JD655375 SZ655372:SZ655375 ACV655372:ACV655375 AMR655372:AMR655375 AWN655372:AWN655375 BGJ655372:BGJ655375 BQF655372:BQF655375 CAB655372:CAB655375 CJX655372:CJX655375 CTT655372:CTT655375 DDP655372:DDP655375 DNL655372:DNL655375 DXH655372:DXH655375 EHD655372:EHD655375 EQZ655372:EQZ655375 FAV655372:FAV655375 FKR655372:FKR655375 FUN655372:FUN655375 GEJ655372:GEJ655375 GOF655372:GOF655375 GYB655372:GYB655375 HHX655372:HHX655375 HRT655372:HRT655375 IBP655372:IBP655375 ILL655372:ILL655375 IVH655372:IVH655375 JFD655372:JFD655375 JOZ655372:JOZ655375 JYV655372:JYV655375 KIR655372:KIR655375 KSN655372:KSN655375 LCJ655372:LCJ655375 LMF655372:LMF655375 LWB655372:LWB655375 MFX655372:MFX655375 MPT655372:MPT655375 MZP655372:MZP655375 NJL655372:NJL655375 NTH655372:NTH655375 ODD655372:ODD655375 OMZ655372:OMZ655375 OWV655372:OWV655375 PGR655372:PGR655375 PQN655372:PQN655375 QAJ655372:QAJ655375 QKF655372:QKF655375 QUB655372:QUB655375 RDX655372:RDX655375 RNT655372:RNT655375 RXP655372:RXP655375 SHL655372:SHL655375 SRH655372:SRH655375 TBD655372:TBD655375 TKZ655372:TKZ655375 TUV655372:TUV655375 UER655372:UER655375 UON655372:UON655375 UYJ655372:UYJ655375 VIF655372:VIF655375 VSB655372:VSB655375 WBX655372:WBX655375 WLT655372:WLT655375 WVP655372:WVP655375 H720908:H720911 JD720908:JD720911 SZ720908:SZ720911 ACV720908:ACV720911 AMR720908:AMR720911 AWN720908:AWN720911 BGJ720908:BGJ720911 BQF720908:BQF720911 CAB720908:CAB720911 CJX720908:CJX720911 CTT720908:CTT720911 DDP720908:DDP720911 DNL720908:DNL720911 DXH720908:DXH720911 EHD720908:EHD720911 EQZ720908:EQZ720911 FAV720908:FAV720911 FKR720908:FKR720911 FUN720908:FUN720911 GEJ720908:GEJ720911 GOF720908:GOF720911 GYB720908:GYB720911 HHX720908:HHX720911 HRT720908:HRT720911 IBP720908:IBP720911 ILL720908:ILL720911 IVH720908:IVH720911 JFD720908:JFD720911 JOZ720908:JOZ720911 JYV720908:JYV720911 KIR720908:KIR720911 KSN720908:KSN720911 LCJ720908:LCJ720911 LMF720908:LMF720911 LWB720908:LWB720911 MFX720908:MFX720911 MPT720908:MPT720911 MZP720908:MZP720911 NJL720908:NJL720911 NTH720908:NTH720911 ODD720908:ODD720911 OMZ720908:OMZ720911 OWV720908:OWV720911 PGR720908:PGR720911 PQN720908:PQN720911 QAJ720908:QAJ720911 QKF720908:QKF720911 QUB720908:QUB720911 RDX720908:RDX720911 RNT720908:RNT720911 RXP720908:RXP720911 SHL720908:SHL720911 SRH720908:SRH720911 TBD720908:TBD720911 TKZ720908:TKZ720911 TUV720908:TUV720911 UER720908:UER720911 UON720908:UON720911 UYJ720908:UYJ720911 VIF720908:VIF720911 VSB720908:VSB720911 WBX720908:WBX720911 WLT720908:WLT720911 WVP720908:WVP720911 H786444:H786447 JD786444:JD786447 SZ786444:SZ786447 ACV786444:ACV786447 AMR786444:AMR786447 AWN786444:AWN786447 BGJ786444:BGJ786447 BQF786444:BQF786447 CAB786444:CAB786447 CJX786444:CJX786447 CTT786444:CTT786447 DDP786444:DDP786447 DNL786444:DNL786447 DXH786444:DXH786447 EHD786444:EHD786447 EQZ786444:EQZ786447 FAV786444:FAV786447 FKR786444:FKR786447 FUN786444:FUN786447 GEJ786444:GEJ786447 GOF786444:GOF786447 GYB786444:GYB786447 HHX786444:HHX786447 HRT786444:HRT786447 IBP786444:IBP786447 ILL786444:ILL786447 IVH786444:IVH786447 JFD786444:JFD786447 JOZ786444:JOZ786447 JYV786444:JYV786447 KIR786444:KIR786447 KSN786444:KSN786447 LCJ786444:LCJ786447 LMF786444:LMF786447 LWB786444:LWB786447 MFX786444:MFX786447 MPT786444:MPT786447 MZP786444:MZP786447 NJL786444:NJL786447 NTH786444:NTH786447 ODD786444:ODD786447 OMZ786444:OMZ786447 OWV786444:OWV786447 PGR786444:PGR786447 PQN786444:PQN786447 QAJ786444:QAJ786447 QKF786444:QKF786447 QUB786444:QUB786447 RDX786444:RDX786447 RNT786444:RNT786447 RXP786444:RXP786447 SHL786444:SHL786447 SRH786444:SRH786447 TBD786444:TBD786447 TKZ786444:TKZ786447 TUV786444:TUV786447 UER786444:UER786447 UON786444:UON786447 UYJ786444:UYJ786447 VIF786444:VIF786447 VSB786444:VSB786447 WBX786444:WBX786447 WLT786444:WLT786447 WVP786444:WVP786447 H851980:H851983 JD851980:JD851983 SZ851980:SZ851983 ACV851980:ACV851983 AMR851980:AMR851983 AWN851980:AWN851983 BGJ851980:BGJ851983 BQF851980:BQF851983 CAB851980:CAB851983 CJX851980:CJX851983 CTT851980:CTT851983 DDP851980:DDP851983 DNL851980:DNL851983 DXH851980:DXH851983 EHD851980:EHD851983 EQZ851980:EQZ851983 FAV851980:FAV851983 FKR851980:FKR851983 FUN851980:FUN851983 GEJ851980:GEJ851983 GOF851980:GOF851983 GYB851980:GYB851983 HHX851980:HHX851983 HRT851980:HRT851983 IBP851980:IBP851983 ILL851980:ILL851983 IVH851980:IVH851983 JFD851980:JFD851983 JOZ851980:JOZ851983 JYV851980:JYV851983 KIR851980:KIR851983 KSN851980:KSN851983 LCJ851980:LCJ851983 LMF851980:LMF851983 LWB851980:LWB851983 MFX851980:MFX851983 MPT851980:MPT851983 MZP851980:MZP851983 NJL851980:NJL851983 NTH851980:NTH851983 ODD851980:ODD851983 OMZ851980:OMZ851983 OWV851980:OWV851983 PGR851980:PGR851983 PQN851980:PQN851983 QAJ851980:QAJ851983 QKF851980:QKF851983 QUB851980:QUB851983 RDX851980:RDX851983 RNT851980:RNT851983 RXP851980:RXP851983 SHL851980:SHL851983 SRH851980:SRH851983 TBD851980:TBD851983 TKZ851980:TKZ851983 TUV851980:TUV851983 UER851980:UER851983 UON851980:UON851983 UYJ851980:UYJ851983 VIF851980:VIF851983 VSB851980:VSB851983 WBX851980:WBX851983 WLT851980:WLT851983 WVP851980:WVP851983 H917516:H917519 JD917516:JD917519 SZ917516:SZ917519 ACV917516:ACV917519 AMR917516:AMR917519 AWN917516:AWN917519 BGJ917516:BGJ917519 BQF917516:BQF917519 CAB917516:CAB917519 CJX917516:CJX917519 CTT917516:CTT917519 DDP917516:DDP917519 DNL917516:DNL917519 DXH917516:DXH917519 EHD917516:EHD917519 EQZ917516:EQZ917519 FAV917516:FAV917519 FKR917516:FKR917519 FUN917516:FUN917519 GEJ917516:GEJ917519 GOF917516:GOF917519 GYB917516:GYB917519 HHX917516:HHX917519 HRT917516:HRT917519 IBP917516:IBP917519 ILL917516:ILL917519 IVH917516:IVH917519 JFD917516:JFD917519 JOZ917516:JOZ917519 JYV917516:JYV917519 KIR917516:KIR917519 KSN917516:KSN917519 LCJ917516:LCJ917519 LMF917516:LMF917519 LWB917516:LWB917519 MFX917516:MFX917519 MPT917516:MPT917519 MZP917516:MZP917519 NJL917516:NJL917519 NTH917516:NTH917519 ODD917516:ODD917519 OMZ917516:OMZ917519 OWV917516:OWV917519 PGR917516:PGR917519 PQN917516:PQN917519 QAJ917516:QAJ917519 QKF917516:QKF917519 QUB917516:QUB917519 RDX917516:RDX917519 RNT917516:RNT917519 RXP917516:RXP917519 SHL917516:SHL917519 SRH917516:SRH917519 TBD917516:TBD917519 TKZ917516:TKZ917519 TUV917516:TUV917519 UER917516:UER917519 UON917516:UON917519 UYJ917516:UYJ917519 VIF917516:VIF917519 VSB917516:VSB917519 WBX917516:WBX917519 WLT917516:WLT917519 WVP917516:WVP917519 H983052:H983055 JD983052:JD983055 SZ983052:SZ983055 ACV983052:ACV983055 AMR983052:AMR983055 AWN983052:AWN983055 BGJ983052:BGJ983055 BQF983052:BQF983055 CAB983052:CAB983055 CJX983052:CJX983055 CTT983052:CTT983055 DDP983052:DDP983055 DNL983052:DNL983055 DXH983052:DXH983055 EHD983052:EHD983055 EQZ983052:EQZ983055 FAV983052:FAV983055 FKR983052:FKR983055 FUN983052:FUN983055 GEJ983052:GEJ983055 GOF983052:GOF983055 GYB983052:GYB983055 HHX983052:HHX983055 HRT983052:HRT983055 IBP983052:IBP983055 ILL983052:ILL983055 IVH983052:IVH983055 JFD983052:JFD983055 JOZ983052:JOZ983055 JYV983052:JYV983055 KIR983052:KIR983055 KSN983052:KSN983055 LCJ983052:LCJ983055 LMF983052:LMF983055 LWB983052:LWB983055 MFX983052:MFX983055 MPT983052:MPT983055 MZP983052:MZP983055 NJL983052:NJL983055 NTH983052:NTH983055 ODD983052:ODD983055 OMZ983052:OMZ983055 OWV983052:OWV983055 PGR983052:PGR983055 PQN983052:PQN983055 QAJ983052:QAJ983055 QKF983052:QKF983055 QUB983052:QUB983055 RDX983052:RDX983055 RNT983052:RNT983055 RXP983052:RXP983055 SHL983052:SHL983055 SRH983052:SRH983055 TBD983052:TBD983055 TKZ983052:TKZ983055 TUV983052:TUV983055 UER983052:UER983055 UON983052:UON983055 UYJ983052:UYJ983055 VIF983052:VIF983055 VSB983052:VSB983055 WBX983052:WBX983055 WLT983052:WLT983055 H8:H10 H13">
      <formula1>$H$23:$H$27</formula1>
    </dataValidation>
    <dataValidation type="list" allowBlank="1" showInputMessage="1" showErrorMessage="1" sqref="KA8:KA15 TW8:TW15 ADS8:ADS15 ANO8:ANO15 AXK8:AXK15 BHG8:BHG15 BRC8:BRC15 CAY8:CAY15 CKU8:CKU15 CUQ8:CUQ15 DEM8:DEM15 DOI8:DOI15 DYE8:DYE15 EIA8:EIA15 ERW8:ERW15 FBS8:FBS15 FLO8:FLO15 FVK8:FVK15 GFG8:GFG15 GPC8:GPC15 GYY8:GYY15 HIU8:HIU15 HSQ8:HSQ15 ICM8:ICM15 IMI8:IMI15 IWE8:IWE15 JGA8:JGA15 JPW8:JPW15 JZS8:JZS15 KJO8:KJO15 KTK8:KTK15 LDG8:LDG15 LNC8:LNC15 LWY8:LWY15 MGU8:MGU15 MQQ8:MQQ15 NAM8:NAM15 NKI8:NKI15 NUE8:NUE15 OEA8:OEA15 ONW8:ONW15 OXS8:OXS15 PHO8:PHO15 PRK8:PRK15 QBG8:QBG15 QLC8:QLC15 QUY8:QUY15 REU8:REU15 ROQ8:ROQ15 RYM8:RYM15 SII8:SII15 SSE8:SSE15 TCA8:TCA15 TLW8:TLW15 TVS8:TVS15 UFO8:UFO15 UPK8:UPK15 UZG8:UZG15 VJC8:VJC15 VSY8:VSY15 WCU8:WCU15 WMQ8:WMQ15 WWM8:WWM15 WWM983052:WWM983055 AE65548:AE65551 KA65548:KA65551 TW65548:TW65551 ADS65548:ADS65551 ANO65548:ANO65551 AXK65548:AXK65551 BHG65548:BHG65551 BRC65548:BRC65551 CAY65548:CAY65551 CKU65548:CKU65551 CUQ65548:CUQ65551 DEM65548:DEM65551 DOI65548:DOI65551 DYE65548:DYE65551 EIA65548:EIA65551 ERW65548:ERW65551 FBS65548:FBS65551 FLO65548:FLO65551 FVK65548:FVK65551 GFG65548:GFG65551 GPC65548:GPC65551 GYY65548:GYY65551 HIU65548:HIU65551 HSQ65548:HSQ65551 ICM65548:ICM65551 IMI65548:IMI65551 IWE65548:IWE65551 JGA65548:JGA65551 JPW65548:JPW65551 JZS65548:JZS65551 KJO65548:KJO65551 KTK65548:KTK65551 LDG65548:LDG65551 LNC65548:LNC65551 LWY65548:LWY65551 MGU65548:MGU65551 MQQ65548:MQQ65551 NAM65548:NAM65551 NKI65548:NKI65551 NUE65548:NUE65551 OEA65548:OEA65551 ONW65548:ONW65551 OXS65548:OXS65551 PHO65548:PHO65551 PRK65548:PRK65551 QBG65548:QBG65551 QLC65548:QLC65551 QUY65548:QUY65551 REU65548:REU65551 ROQ65548:ROQ65551 RYM65548:RYM65551 SII65548:SII65551 SSE65548:SSE65551 TCA65548:TCA65551 TLW65548:TLW65551 TVS65548:TVS65551 UFO65548:UFO65551 UPK65548:UPK65551 UZG65548:UZG65551 VJC65548:VJC65551 VSY65548:VSY65551 WCU65548:WCU65551 WMQ65548:WMQ65551 WWM65548:WWM65551 AE131084:AE131087 KA131084:KA131087 TW131084:TW131087 ADS131084:ADS131087 ANO131084:ANO131087 AXK131084:AXK131087 BHG131084:BHG131087 BRC131084:BRC131087 CAY131084:CAY131087 CKU131084:CKU131087 CUQ131084:CUQ131087 DEM131084:DEM131087 DOI131084:DOI131087 DYE131084:DYE131087 EIA131084:EIA131087 ERW131084:ERW131087 FBS131084:FBS131087 FLO131084:FLO131087 FVK131084:FVK131087 GFG131084:GFG131087 GPC131084:GPC131087 GYY131084:GYY131087 HIU131084:HIU131087 HSQ131084:HSQ131087 ICM131084:ICM131087 IMI131084:IMI131087 IWE131084:IWE131087 JGA131084:JGA131087 JPW131084:JPW131087 JZS131084:JZS131087 KJO131084:KJO131087 KTK131084:KTK131087 LDG131084:LDG131087 LNC131084:LNC131087 LWY131084:LWY131087 MGU131084:MGU131087 MQQ131084:MQQ131087 NAM131084:NAM131087 NKI131084:NKI131087 NUE131084:NUE131087 OEA131084:OEA131087 ONW131084:ONW131087 OXS131084:OXS131087 PHO131084:PHO131087 PRK131084:PRK131087 QBG131084:QBG131087 QLC131084:QLC131087 QUY131084:QUY131087 REU131084:REU131087 ROQ131084:ROQ131087 RYM131084:RYM131087 SII131084:SII131087 SSE131084:SSE131087 TCA131084:TCA131087 TLW131084:TLW131087 TVS131084:TVS131087 UFO131084:UFO131087 UPK131084:UPK131087 UZG131084:UZG131087 VJC131084:VJC131087 VSY131084:VSY131087 WCU131084:WCU131087 WMQ131084:WMQ131087 WWM131084:WWM131087 AE196620:AE196623 KA196620:KA196623 TW196620:TW196623 ADS196620:ADS196623 ANO196620:ANO196623 AXK196620:AXK196623 BHG196620:BHG196623 BRC196620:BRC196623 CAY196620:CAY196623 CKU196620:CKU196623 CUQ196620:CUQ196623 DEM196620:DEM196623 DOI196620:DOI196623 DYE196620:DYE196623 EIA196620:EIA196623 ERW196620:ERW196623 FBS196620:FBS196623 FLO196620:FLO196623 FVK196620:FVK196623 GFG196620:GFG196623 GPC196620:GPC196623 GYY196620:GYY196623 HIU196620:HIU196623 HSQ196620:HSQ196623 ICM196620:ICM196623 IMI196620:IMI196623 IWE196620:IWE196623 JGA196620:JGA196623 JPW196620:JPW196623 JZS196620:JZS196623 KJO196620:KJO196623 KTK196620:KTK196623 LDG196620:LDG196623 LNC196620:LNC196623 LWY196620:LWY196623 MGU196620:MGU196623 MQQ196620:MQQ196623 NAM196620:NAM196623 NKI196620:NKI196623 NUE196620:NUE196623 OEA196620:OEA196623 ONW196620:ONW196623 OXS196620:OXS196623 PHO196620:PHO196623 PRK196620:PRK196623 QBG196620:QBG196623 QLC196620:QLC196623 QUY196620:QUY196623 REU196620:REU196623 ROQ196620:ROQ196623 RYM196620:RYM196623 SII196620:SII196623 SSE196620:SSE196623 TCA196620:TCA196623 TLW196620:TLW196623 TVS196620:TVS196623 UFO196620:UFO196623 UPK196620:UPK196623 UZG196620:UZG196623 VJC196620:VJC196623 VSY196620:VSY196623 WCU196620:WCU196623 WMQ196620:WMQ196623 WWM196620:WWM196623 AE262156:AE262159 KA262156:KA262159 TW262156:TW262159 ADS262156:ADS262159 ANO262156:ANO262159 AXK262156:AXK262159 BHG262156:BHG262159 BRC262156:BRC262159 CAY262156:CAY262159 CKU262156:CKU262159 CUQ262156:CUQ262159 DEM262156:DEM262159 DOI262156:DOI262159 DYE262156:DYE262159 EIA262156:EIA262159 ERW262156:ERW262159 FBS262156:FBS262159 FLO262156:FLO262159 FVK262156:FVK262159 GFG262156:GFG262159 GPC262156:GPC262159 GYY262156:GYY262159 HIU262156:HIU262159 HSQ262156:HSQ262159 ICM262156:ICM262159 IMI262156:IMI262159 IWE262156:IWE262159 JGA262156:JGA262159 JPW262156:JPW262159 JZS262156:JZS262159 KJO262156:KJO262159 KTK262156:KTK262159 LDG262156:LDG262159 LNC262156:LNC262159 LWY262156:LWY262159 MGU262156:MGU262159 MQQ262156:MQQ262159 NAM262156:NAM262159 NKI262156:NKI262159 NUE262156:NUE262159 OEA262156:OEA262159 ONW262156:ONW262159 OXS262156:OXS262159 PHO262156:PHO262159 PRK262156:PRK262159 QBG262156:QBG262159 QLC262156:QLC262159 QUY262156:QUY262159 REU262156:REU262159 ROQ262156:ROQ262159 RYM262156:RYM262159 SII262156:SII262159 SSE262156:SSE262159 TCA262156:TCA262159 TLW262156:TLW262159 TVS262156:TVS262159 UFO262156:UFO262159 UPK262156:UPK262159 UZG262156:UZG262159 VJC262156:VJC262159 VSY262156:VSY262159 WCU262156:WCU262159 WMQ262156:WMQ262159 WWM262156:WWM262159 AE327692:AE327695 KA327692:KA327695 TW327692:TW327695 ADS327692:ADS327695 ANO327692:ANO327695 AXK327692:AXK327695 BHG327692:BHG327695 BRC327692:BRC327695 CAY327692:CAY327695 CKU327692:CKU327695 CUQ327692:CUQ327695 DEM327692:DEM327695 DOI327692:DOI327695 DYE327692:DYE327695 EIA327692:EIA327695 ERW327692:ERW327695 FBS327692:FBS327695 FLO327692:FLO327695 FVK327692:FVK327695 GFG327692:GFG327695 GPC327692:GPC327695 GYY327692:GYY327695 HIU327692:HIU327695 HSQ327692:HSQ327695 ICM327692:ICM327695 IMI327692:IMI327695 IWE327692:IWE327695 JGA327692:JGA327695 JPW327692:JPW327695 JZS327692:JZS327695 KJO327692:KJO327695 KTK327692:KTK327695 LDG327692:LDG327695 LNC327692:LNC327695 LWY327692:LWY327695 MGU327692:MGU327695 MQQ327692:MQQ327695 NAM327692:NAM327695 NKI327692:NKI327695 NUE327692:NUE327695 OEA327692:OEA327695 ONW327692:ONW327695 OXS327692:OXS327695 PHO327692:PHO327695 PRK327692:PRK327695 QBG327692:QBG327695 QLC327692:QLC327695 QUY327692:QUY327695 REU327692:REU327695 ROQ327692:ROQ327695 RYM327692:RYM327695 SII327692:SII327695 SSE327692:SSE327695 TCA327692:TCA327695 TLW327692:TLW327695 TVS327692:TVS327695 UFO327692:UFO327695 UPK327692:UPK327695 UZG327692:UZG327695 VJC327692:VJC327695 VSY327692:VSY327695 WCU327692:WCU327695 WMQ327692:WMQ327695 WWM327692:WWM327695 AE393228:AE393231 KA393228:KA393231 TW393228:TW393231 ADS393228:ADS393231 ANO393228:ANO393231 AXK393228:AXK393231 BHG393228:BHG393231 BRC393228:BRC393231 CAY393228:CAY393231 CKU393228:CKU393231 CUQ393228:CUQ393231 DEM393228:DEM393231 DOI393228:DOI393231 DYE393228:DYE393231 EIA393228:EIA393231 ERW393228:ERW393231 FBS393228:FBS393231 FLO393228:FLO393231 FVK393228:FVK393231 GFG393228:GFG393231 GPC393228:GPC393231 GYY393228:GYY393231 HIU393228:HIU393231 HSQ393228:HSQ393231 ICM393228:ICM393231 IMI393228:IMI393231 IWE393228:IWE393231 JGA393228:JGA393231 JPW393228:JPW393231 JZS393228:JZS393231 KJO393228:KJO393231 KTK393228:KTK393231 LDG393228:LDG393231 LNC393228:LNC393231 LWY393228:LWY393231 MGU393228:MGU393231 MQQ393228:MQQ393231 NAM393228:NAM393231 NKI393228:NKI393231 NUE393228:NUE393231 OEA393228:OEA393231 ONW393228:ONW393231 OXS393228:OXS393231 PHO393228:PHO393231 PRK393228:PRK393231 QBG393228:QBG393231 QLC393228:QLC393231 QUY393228:QUY393231 REU393228:REU393231 ROQ393228:ROQ393231 RYM393228:RYM393231 SII393228:SII393231 SSE393228:SSE393231 TCA393228:TCA393231 TLW393228:TLW393231 TVS393228:TVS393231 UFO393228:UFO393231 UPK393228:UPK393231 UZG393228:UZG393231 VJC393228:VJC393231 VSY393228:VSY393231 WCU393228:WCU393231 WMQ393228:WMQ393231 WWM393228:WWM393231 AE458764:AE458767 KA458764:KA458767 TW458764:TW458767 ADS458764:ADS458767 ANO458764:ANO458767 AXK458764:AXK458767 BHG458764:BHG458767 BRC458764:BRC458767 CAY458764:CAY458767 CKU458764:CKU458767 CUQ458764:CUQ458767 DEM458764:DEM458767 DOI458764:DOI458767 DYE458764:DYE458767 EIA458764:EIA458767 ERW458764:ERW458767 FBS458764:FBS458767 FLO458764:FLO458767 FVK458764:FVK458767 GFG458764:GFG458767 GPC458764:GPC458767 GYY458764:GYY458767 HIU458764:HIU458767 HSQ458764:HSQ458767 ICM458764:ICM458767 IMI458764:IMI458767 IWE458764:IWE458767 JGA458764:JGA458767 JPW458764:JPW458767 JZS458764:JZS458767 KJO458764:KJO458767 KTK458764:KTK458767 LDG458764:LDG458767 LNC458764:LNC458767 LWY458764:LWY458767 MGU458764:MGU458767 MQQ458764:MQQ458767 NAM458764:NAM458767 NKI458764:NKI458767 NUE458764:NUE458767 OEA458764:OEA458767 ONW458764:ONW458767 OXS458764:OXS458767 PHO458764:PHO458767 PRK458764:PRK458767 QBG458764:QBG458767 QLC458764:QLC458767 QUY458764:QUY458767 REU458764:REU458767 ROQ458764:ROQ458767 RYM458764:RYM458767 SII458764:SII458767 SSE458764:SSE458767 TCA458764:TCA458767 TLW458764:TLW458767 TVS458764:TVS458767 UFO458764:UFO458767 UPK458764:UPK458767 UZG458764:UZG458767 VJC458764:VJC458767 VSY458764:VSY458767 WCU458764:WCU458767 WMQ458764:WMQ458767 WWM458764:WWM458767 AE524300:AE524303 KA524300:KA524303 TW524300:TW524303 ADS524300:ADS524303 ANO524300:ANO524303 AXK524300:AXK524303 BHG524300:BHG524303 BRC524300:BRC524303 CAY524300:CAY524303 CKU524300:CKU524303 CUQ524300:CUQ524303 DEM524300:DEM524303 DOI524300:DOI524303 DYE524300:DYE524303 EIA524300:EIA524303 ERW524300:ERW524303 FBS524300:FBS524303 FLO524300:FLO524303 FVK524300:FVK524303 GFG524300:GFG524303 GPC524300:GPC524303 GYY524300:GYY524303 HIU524300:HIU524303 HSQ524300:HSQ524303 ICM524300:ICM524303 IMI524300:IMI524303 IWE524300:IWE524303 JGA524300:JGA524303 JPW524300:JPW524303 JZS524300:JZS524303 KJO524300:KJO524303 KTK524300:KTK524303 LDG524300:LDG524303 LNC524300:LNC524303 LWY524300:LWY524303 MGU524300:MGU524303 MQQ524300:MQQ524303 NAM524300:NAM524303 NKI524300:NKI524303 NUE524300:NUE524303 OEA524300:OEA524303 ONW524300:ONW524303 OXS524300:OXS524303 PHO524300:PHO524303 PRK524300:PRK524303 QBG524300:QBG524303 QLC524300:QLC524303 QUY524300:QUY524303 REU524300:REU524303 ROQ524300:ROQ524303 RYM524300:RYM524303 SII524300:SII524303 SSE524300:SSE524303 TCA524300:TCA524303 TLW524300:TLW524303 TVS524300:TVS524303 UFO524300:UFO524303 UPK524300:UPK524303 UZG524300:UZG524303 VJC524300:VJC524303 VSY524300:VSY524303 WCU524300:WCU524303 WMQ524300:WMQ524303 WWM524300:WWM524303 AE589836:AE589839 KA589836:KA589839 TW589836:TW589839 ADS589836:ADS589839 ANO589836:ANO589839 AXK589836:AXK589839 BHG589836:BHG589839 BRC589836:BRC589839 CAY589836:CAY589839 CKU589836:CKU589839 CUQ589836:CUQ589839 DEM589836:DEM589839 DOI589836:DOI589839 DYE589836:DYE589839 EIA589836:EIA589839 ERW589836:ERW589839 FBS589836:FBS589839 FLO589836:FLO589839 FVK589836:FVK589839 GFG589836:GFG589839 GPC589836:GPC589839 GYY589836:GYY589839 HIU589836:HIU589839 HSQ589836:HSQ589839 ICM589836:ICM589839 IMI589836:IMI589839 IWE589836:IWE589839 JGA589836:JGA589839 JPW589836:JPW589839 JZS589836:JZS589839 KJO589836:KJO589839 KTK589836:KTK589839 LDG589836:LDG589839 LNC589836:LNC589839 LWY589836:LWY589839 MGU589836:MGU589839 MQQ589836:MQQ589839 NAM589836:NAM589839 NKI589836:NKI589839 NUE589836:NUE589839 OEA589836:OEA589839 ONW589836:ONW589839 OXS589836:OXS589839 PHO589836:PHO589839 PRK589836:PRK589839 QBG589836:QBG589839 QLC589836:QLC589839 QUY589836:QUY589839 REU589836:REU589839 ROQ589836:ROQ589839 RYM589836:RYM589839 SII589836:SII589839 SSE589836:SSE589839 TCA589836:TCA589839 TLW589836:TLW589839 TVS589836:TVS589839 UFO589836:UFO589839 UPK589836:UPK589839 UZG589836:UZG589839 VJC589836:VJC589839 VSY589836:VSY589839 WCU589836:WCU589839 WMQ589836:WMQ589839 WWM589836:WWM589839 AE655372:AE655375 KA655372:KA655375 TW655372:TW655375 ADS655372:ADS655375 ANO655372:ANO655375 AXK655372:AXK655375 BHG655372:BHG655375 BRC655372:BRC655375 CAY655372:CAY655375 CKU655372:CKU655375 CUQ655372:CUQ655375 DEM655372:DEM655375 DOI655372:DOI655375 DYE655372:DYE655375 EIA655372:EIA655375 ERW655372:ERW655375 FBS655372:FBS655375 FLO655372:FLO655375 FVK655372:FVK655375 GFG655372:GFG655375 GPC655372:GPC655375 GYY655372:GYY655375 HIU655372:HIU655375 HSQ655372:HSQ655375 ICM655372:ICM655375 IMI655372:IMI655375 IWE655372:IWE655375 JGA655372:JGA655375 JPW655372:JPW655375 JZS655372:JZS655375 KJO655372:KJO655375 KTK655372:KTK655375 LDG655372:LDG655375 LNC655372:LNC655375 LWY655372:LWY655375 MGU655372:MGU655375 MQQ655372:MQQ655375 NAM655372:NAM655375 NKI655372:NKI655375 NUE655372:NUE655375 OEA655372:OEA655375 ONW655372:ONW655375 OXS655372:OXS655375 PHO655372:PHO655375 PRK655372:PRK655375 QBG655372:QBG655375 QLC655372:QLC655375 QUY655372:QUY655375 REU655372:REU655375 ROQ655372:ROQ655375 RYM655372:RYM655375 SII655372:SII655375 SSE655372:SSE655375 TCA655372:TCA655375 TLW655372:TLW655375 TVS655372:TVS655375 UFO655372:UFO655375 UPK655372:UPK655375 UZG655372:UZG655375 VJC655372:VJC655375 VSY655372:VSY655375 WCU655372:WCU655375 WMQ655372:WMQ655375 WWM655372:WWM655375 AE720908:AE720911 KA720908:KA720911 TW720908:TW720911 ADS720908:ADS720911 ANO720908:ANO720911 AXK720908:AXK720911 BHG720908:BHG720911 BRC720908:BRC720911 CAY720908:CAY720911 CKU720908:CKU720911 CUQ720908:CUQ720911 DEM720908:DEM720911 DOI720908:DOI720911 DYE720908:DYE720911 EIA720908:EIA720911 ERW720908:ERW720911 FBS720908:FBS720911 FLO720908:FLO720911 FVK720908:FVK720911 GFG720908:GFG720911 GPC720908:GPC720911 GYY720908:GYY720911 HIU720908:HIU720911 HSQ720908:HSQ720911 ICM720908:ICM720911 IMI720908:IMI720911 IWE720908:IWE720911 JGA720908:JGA720911 JPW720908:JPW720911 JZS720908:JZS720911 KJO720908:KJO720911 KTK720908:KTK720911 LDG720908:LDG720911 LNC720908:LNC720911 LWY720908:LWY720911 MGU720908:MGU720911 MQQ720908:MQQ720911 NAM720908:NAM720911 NKI720908:NKI720911 NUE720908:NUE720911 OEA720908:OEA720911 ONW720908:ONW720911 OXS720908:OXS720911 PHO720908:PHO720911 PRK720908:PRK720911 QBG720908:QBG720911 QLC720908:QLC720911 QUY720908:QUY720911 REU720908:REU720911 ROQ720908:ROQ720911 RYM720908:RYM720911 SII720908:SII720911 SSE720908:SSE720911 TCA720908:TCA720911 TLW720908:TLW720911 TVS720908:TVS720911 UFO720908:UFO720911 UPK720908:UPK720911 UZG720908:UZG720911 VJC720908:VJC720911 VSY720908:VSY720911 WCU720908:WCU720911 WMQ720908:WMQ720911 WWM720908:WWM720911 AE786444:AE786447 KA786444:KA786447 TW786444:TW786447 ADS786444:ADS786447 ANO786444:ANO786447 AXK786444:AXK786447 BHG786444:BHG786447 BRC786444:BRC786447 CAY786444:CAY786447 CKU786444:CKU786447 CUQ786444:CUQ786447 DEM786444:DEM786447 DOI786444:DOI786447 DYE786444:DYE786447 EIA786444:EIA786447 ERW786444:ERW786447 FBS786444:FBS786447 FLO786444:FLO786447 FVK786444:FVK786447 GFG786444:GFG786447 GPC786444:GPC786447 GYY786444:GYY786447 HIU786444:HIU786447 HSQ786444:HSQ786447 ICM786444:ICM786447 IMI786444:IMI786447 IWE786444:IWE786447 JGA786444:JGA786447 JPW786444:JPW786447 JZS786444:JZS786447 KJO786444:KJO786447 KTK786444:KTK786447 LDG786444:LDG786447 LNC786444:LNC786447 LWY786444:LWY786447 MGU786444:MGU786447 MQQ786444:MQQ786447 NAM786444:NAM786447 NKI786444:NKI786447 NUE786444:NUE786447 OEA786444:OEA786447 ONW786444:ONW786447 OXS786444:OXS786447 PHO786444:PHO786447 PRK786444:PRK786447 QBG786444:QBG786447 QLC786444:QLC786447 QUY786444:QUY786447 REU786444:REU786447 ROQ786444:ROQ786447 RYM786444:RYM786447 SII786444:SII786447 SSE786444:SSE786447 TCA786444:TCA786447 TLW786444:TLW786447 TVS786444:TVS786447 UFO786444:UFO786447 UPK786444:UPK786447 UZG786444:UZG786447 VJC786444:VJC786447 VSY786444:VSY786447 WCU786444:WCU786447 WMQ786444:WMQ786447 WWM786444:WWM786447 AE851980:AE851983 KA851980:KA851983 TW851980:TW851983 ADS851980:ADS851983 ANO851980:ANO851983 AXK851980:AXK851983 BHG851980:BHG851983 BRC851980:BRC851983 CAY851980:CAY851983 CKU851980:CKU851983 CUQ851980:CUQ851983 DEM851980:DEM851983 DOI851980:DOI851983 DYE851980:DYE851983 EIA851980:EIA851983 ERW851980:ERW851983 FBS851980:FBS851983 FLO851980:FLO851983 FVK851980:FVK851983 GFG851980:GFG851983 GPC851980:GPC851983 GYY851980:GYY851983 HIU851980:HIU851983 HSQ851980:HSQ851983 ICM851980:ICM851983 IMI851980:IMI851983 IWE851980:IWE851983 JGA851980:JGA851983 JPW851980:JPW851983 JZS851980:JZS851983 KJO851980:KJO851983 KTK851980:KTK851983 LDG851980:LDG851983 LNC851980:LNC851983 LWY851980:LWY851983 MGU851980:MGU851983 MQQ851980:MQQ851983 NAM851980:NAM851983 NKI851980:NKI851983 NUE851980:NUE851983 OEA851980:OEA851983 ONW851980:ONW851983 OXS851980:OXS851983 PHO851980:PHO851983 PRK851980:PRK851983 QBG851980:QBG851983 QLC851980:QLC851983 QUY851980:QUY851983 REU851980:REU851983 ROQ851980:ROQ851983 RYM851980:RYM851983 SII851980:SII851983 SSE851980:SSE851983 TCA851980:TCA851983 TLW851980:TLW851983 TVS851980:TVS851983 UFO851980:UFO851983 UPK851980:UPK851983 UZG851980:UZG851983 VJC851980:VJC851983 VSY851980:VSY851983 WCU851980:WCU851983 WMQ851980:WMQ851983 WWM851980:WWM851983 AE917516:AE917519 KA917516:KA917519 TW917516:TW917519 ADS917516:ADS917519 ANO917516:ANO917519 AXK917516:AXK917519 BHG917516:BHG917519 BRC917516:BRC917519 CAY917516:CAY917519 CKU917516:CKU917519 CUQ917516:CUQ917519 DEM917516:DEM917519 DOI917516:DOI917519 DYE917516:DYE917519 EIA917516:EIA917519 ERW917516:ERW917519 FBS917516:FBS917519 FLO917516:FLO917519 FVK917516:FVK917519 GFG917516:GFG917519 GPC917516:GPC917519 GYY917516:GYY917519 HIU917516:HIU917519 HSQ917516:HSQ917519 ICM917516:ICM917519 IMI917516:IMI917519 IWE917516:IWE917519 JGA917516:JGA917519 JPW917516:JPW917519 JZS917516:JZS917519 KJO917516:KJO917519 KTK917516:KTK917519 LDG917516:LDG917519 LNC917516:LNC917519 LWY917516:LWY917519 MGU917516:MGU917519 MQQ917516:MQQ917519 NAM917516:NAM917519 NKI917516:NKI917519 NUE917516:NUE917519 OEA917516:OEA917519 ONW917516:ONW917519 OXS917516:OXS917519 PHO917516:PHO917519 PRK917516:PRK917519 QBG917516:QBG917519 QLC917516:QLC917519 QUY917516:QUY917519 REU917516:REU917519 ROQ917516:ROQ917519 RYM917516:RYM917519 SII917516:SII917519 SSE917516:SSE917519 TCA917516:TCA917519 TLW917516:TLW917519 TVS917516:TVS917519 UFO917516:UFO917519 UPK917516:UPK917519 UZG917516:UZG917519 VJC917516:VJC917519 VSY917516:VSY917519 WCU917516:WCU917519 WMQ917516:WMQ917519 WWM917516:WWM917519 AE983052:AE983055 KA983052:KA983055 TW983052:TW983055 ADS983052:ADS983055 ANO983052:ANO983055 AXK983052:AXK983055 BHG983052:BHG983055 BRC983052:BRC983055 CAY983052:CAY983055 CKU983052:CKU983055 CUQ983052:CUQ983055 DEM983052:DEM983055 DOI983052:DOI983055 DYE983052:DYE983055 EIA983052:EIA983055 ERW983052:ERW983055 FBS983052:FBS983055 FLO983052:FLO983055 FVK983052:FVK983055 GFG983052:GFG983055 GPC983052:GPC983055 GYY983052:GYY983055 HIU983052:HIU983055 HSQ983052:HSQ983055 ICM983052:ICM983055 IMI983052:IMI983055 IWE983052:IWE983055 JGA983052:JGA983055 JPW983052:JPW983055 JZS983052:JZS983055 KJO983052:KJO983055 KTK983052:KTK983055 LDG983052:LDG983055 LNC983052:LNC983055 LWY983052:LWY983055 MGU983052:MGU983055 MQQ983052:MQQ983055 NAM983052:NAM983055 NKI983052:NKI983055 NUE983052:NUE983055 OEA983052:OEA983055 ONW983052:ONW983055 OXS983052:OXS983055 PHO983052:PHO983055 PRK983052:PRK983055 QBG983052:QBG983055 QLC983052:QLC983055 QUY983052:QUY983055 REU983052:REU983055 ROQ983052:ROQ983055 RYM983052:RYM983055 SII983052:SII983055 SSE983052:SSE983055 TCA983052:TCA983055 TLW983052:TLW983055 TVS983052:TVS983055 UFO983052:UFO983055 UPK983052:UPK983055 UZG983052:UZG983055 VJC983052:VJC983055 VSY983052:VSY983055 WCU983052:WCU983055 WMQ983052:WMQ983055 AE8:AE15">
      <formula1>$B$25:$B$27</formula1>
    </dataValidation>
    <dataValidation type="list" allowBlank="1" showInputMessage="1" showErrorMessage="1" sqref="KB8:KB15 TX8:TX15 ADT8:ADT15 ANP8:ANP15 AXL8:AXL15 BHH8:BHH15 BRD8:BRD15 CAZ8:CAZ15 CKV8:CKV15 CUR8:CUR15 DEN8:DEN15 DOJ8:DOJ15 DYF8:DYF15 EIB8:EIB15 ERX8:ERX15 FBT8:FBT15 FLP8:FLP15 FVL8:FVL15 GFH8:GFH15 GPD8:GPD15 GYZ8:GYZ15 HIV8:HIV15 HSR8:HSR15 ICN8:ICN15 IMJ8:IMJ15 IWF8:IWF15 JGB8:JGB15 JPX8:JPX15 JZT8:JZT15 KJP8:KJP15 KTL8:KTL15 LDH8:LDH15 LND8:LND15 LWZ8:LWZ15 MGV8:MGV15 MQR8:MQR15 NAN8:NAN15 NKJ8:NKJ15 NUF8:NUF15 OEB8:OEB15 ONX8:ONX15 OXT8:OXT15 PHP8:PHP15 PRL8:PRL15 QBH8:QBH15 QLD8:QLD15 QUZ8:QUZ15 REV8:REV15 ROR8:ROR15 RYN8:RYN15 SIJ8:SIJ15 SSF8:SSF15 TCB8:TCB15 TLX8:TLX15 TVT8:TVT15 UFP8:UFP15 UPL8:UPL15 UZH8:UZH15 VJD8:VJD15 VSZ8:VSZ15 WCV8:WCV15 WMR8:WMR15 WWN8:WWN15 WWN983052:WWN983055 AF65548:AF65551 KB65548:KB65551 TX65548:TX65551 ADT65548:ADT65551 ANP65548:ANP65551 AXL65548:AXL65551 BHH65548:BHH65551 BRD65548:BRD65551 CAZ65548:CAZ65551 CKV65548:CKV65551 CUR65548:CUR65551 DEN65548:DEN65551 DOJ65548:DOJ65551 DYF65548:DYF65551 EIB65548:EIB65551 ERX65548:ERX65551 FBT65548:FBT65551 FLP65548:FLP65551 FVL65548:FVL65551 GFH65548:GFH65551 GPD65548:GPD65551 GYZ65548:GYZ65551 HIV65548:HIV65551 HSR65548:HSR65551 ICN65548:ICN65551 IMJ65548:IMJ65551 IWF65548:IWF65551 JGB65548:JGB65551 JPX65548:JPX65551 JZT65548:JZT65551 KJP65548:KJP65551 KTL65548:KTL65551 LDH65548:LDH65551 LND65548:LND65551 LWZ65548:LWZ65551 MGV65548:MGV65551 MQR65548:MQR65551 NAN65548:NAN65551 NKJ65548:NKJ65551 NUF65548:NUF65551 OEB65548:OEB65551 ONX65548:ONX65551 OXT65548:OXT65551 PHP65548:PHP65551 PRL65548:PRL65551 QBH65548:QBH65551 QLD65548:QLD65551 QUZ65548:QUZ65551 REV65548:REV65551 ROR65548:ROR65551 RYN65548:RYN65551 SIJ65548:SIJ65551 SSF65548:SSF65551 TCB65548:TCB65551 TLX65548:TLX65551 TVT65548:TVT65551 UFP65548:UFP65551 UPL65548:UPL65551 UZH65548:UZH65551 VJD65548:VJD65551 VSZ65548:VSZ65551 WCV65548:WCV65551 WMR65548:WMR65551 WWN65548:WWN65551 AF131084:AF131087 KB131084:KB131087 TX131084:TX131087 ADT131084:ADT131087 ANP131084:ANP131087 AXL131084:AXL131087 BHH131084:BHH131087 BRD131084:BRD131087 CAZ131084:CAZ131087 CKV131084:CKV131087 CUR131084:CUR131087 DEN131084:DEN131087 DOJ131084:DOJ131087 DYF131084:DYF131087 EIB131084:EIB131087 ERX131084:ERX131087 FBT131084:FBT131087 FLP131084:FLP131087 FVL131084:FVL131087 GFH131084:GFH131087 GPD131084:GPD131087 GYZ131084:GYZ131087 HIV131084:HIV131087 HSR131084:HSR131087 ICN131084:ICN131087 IMJ131084:IMJ131087 IWF131084:IWF131087 JGB131084:JGB131087 JPX131084:JPX131087 JZT131084:JZT131087 KJP131084:KJP131087 KTL131084:KTL131087 LDH131084:LDH131087 LND131084:LND131087 LWZ131084:LWZ131087 MGV131084:MGV131087 MQR131084:MQR131087 NAN131084:NAN131087 NKJ131084:NKJ131087 NUF131084:NUF131087 OEB131084:OEB131087 ONX131084:ONX131087 OXT131084:OXT131087 PHP131084:PHP131087 PRL131084:PRL131087 QBH131084:QBH131087 QLD131084:QLD131087 QUZ131084:QUZ131087 REV131084:REV131087 ROR131084:ROR131087 RYN131084:RYN131087 SIJ131084:SIJ131087 SSF131084:SSF131087 TCB131084:TCB131087 TLX131084:TLX131087 TVT131084:TVT131087 UFP131084:UFP131087 UPL131084:UPL131087 UZH131084:UZH131087 VJD131084:VJD131087 VSZ131084:VSZ131087 WCV131084:WCV131087 WMR131084:WMR131087 WWN131084:WWN131087 AF196620:AF196623 KB196620:KB196623 TX196620:TX196623 ADT196620:ADT196623 ANP196620:ANP196623 AXL196620:AXL196623 BHH196620:BHH196623 BRD196620:BRD196623 CAZ196620:CAZ196623 CKV196620:CKV196623 CUR196620:CUR196623 DEN196620:DEN196623 DOJ196620:DOJ196623 DYF196620:DYF196623 EIB196620:EIB196623 ERX196620:ERX196623 FBT196620:FBT196623 FLP196620:FLP196623 FVL196620:FVL196623 GFH196620:GFH196623 GPD196620:GPD196623 GYZ196620:GYZ196623 HIV196620:HIV196623 HSR196620:HSR196623 ICN196620:ICN196623 IMJ196620:IMJ196623 IWF196620:IWF196623 JGB196620:JGB196623 JPX196620:JPX196623 JZT196620:JZT196623 KJP196620:KJP196623 KTL196620:KTL196623 LDH196620:LDH196623 LND196620:LND196623 LWZ196620:LWZ196623 MGV196620:MGV196623 MQR196620:MQR196623 NAN196620:NAN196623 NKJ196620:NKJ196623 NUF196620:NUF196623 OEB196620:OEB196623 ONX196620:ONX196623 OXT196620:OXT196623 PHP196620:PHP196623 PRL196620:PRL196623 QBH196620:QBH196623 QLD196620:QLD196623 QUZ196620:QUZ196623 REV196620:REV196623 ROR196620:ROR196623 RYN196620:RYN196623 SIJ196620:SIJ196623 SSF196620:SSF196623 TCB196620:TCB196623 TLX196620:TLX196623 TVT196620:TVT196623 UFP196620:UFP196623 UPL196620:UPL196623 UZH196620:UZH196623 VJD196620:VJD196623 VSZ196620:VSZ196623 WCV196620:WCV196623 WMR196620:WMR196623 WWN196620:WWN196623 AF262156:AF262159 KB262156:KB262159 TX262156:TX262159 ADT262156:ADT262159 ANP262156:ANP262159 AXL262156:AXL262159 BHH262156:BHH262159 BRD262156:BRD262159 CAZ262156:CAZ262159 CKV262156:CKV262159 CUR262156:CUR262159 DEN262156:DEN262159 DOJ262156:DOJ262159 DYF262156:DYF262159 EIB262156:EIB262159 ERX262156:ERX262159 FBT262156:FBT262159 FLP262156:FLP262159 FVL262156:FVL262159 GFH262156:GFH262159 GPD262156:GPD262159 GYZ262156:GYZ262159 HIV262156:HIV262159 HSR262156:HSR262159 ICN262156:ICN262159 IMJ262156:IMJ262159 IWF262156:IWF262159 JGB262156:JGB262159 JPX262156:JPX262159 JZT262156:JZT262159 KJP262156:KJP262159 KTL262156:KTL262159 LDH262156:LDH262159 LND262156:LND262159 LWZ262156:LWZ262159 MGV262156:MGV262159 MQR262156:MQR262159 NAN262156:NAN262159 NKJ262156:NKJ262159 NUF262156:NUF262159 OEB262156:OEB262159 ONX262156:ONX262159 OXT262156:OXT262159 PHP262156:PHP262159 PRL262156:PRL262159 QBH262156:QBH262159 QLD262156:QLD262159 QUZ262156:QUZ262159 REV262156:REV262159 ROR262156:ROR262159 RYN262156:RYN262159 SIJ262156:SIJ262159 SSF262156:SSF262159 TCB262156:TCB262159 TLX262156:TLX262159 TVT262156:TVT262159 UFP262156:UFP262159 UPL262156:UPL262159 UZH262156:UZH262159 VJD262156:VJD262159 VSZ262156:VSZ262159 WCV262156:WCV262159 WMR262156:WMR262159 WWN262156:WWN262159 AF327692:AF327695 KB327692:KB327695 TX327692:TX327695 ADT327692:ADT327695 ANP327692:ANP327695 AXL327692:AXL327695 BHH327692:BHH327695 BRD327692:BRD327695 CAZ327692:CAZ327695 CKV327692:CKV327695 CUR327692:CUR327695 DEN327692:DEN327695 DOJ327692:DOJ327695 DYF327692:DYF327695 EIB327692:EIB327695 ERX327692:ERX327695 FBT327692:FBT327695 FLP327692:FLP327695 FVL327692:FVL327695 GFH327692:GFH327695 GPD327692:GPD327695 GYZ327692:GYZ327695 HIV327692:HIV327695 HSR327692:HSR327695 ICN327692:ICN327695 IMJ327692:IMJ327695 IWF327692:IWF327695 JGB327692:JGB327695 JPX327692:JPX327695 JZT327692:JZT327695 KJP327692:KJP327695 KTL327692:KTL327695 LDH327692:LDH327695 LND327692:LND327695 LWZ327692:LWZ327695 MGV327692:MGV327695 MQR327692:MQR327695 NAN327692:NAN327695 NKJ327692:NKJ327695 NUF327692:NUF327695 OEB327692:OEB327695 ONX327692:ONX327695 OXT327692:OXT327695 PHP327692:PHP327695 PRL327692:PRL327695 QBH327692:QBH327695 QLD327692:QLD327695 QUZ327692:QUZ327695 REV327692:REV327695 ROR327692:ROR327695 RYN327692:RYN327695 SIJ327692:SIJ327695 SSF327692:SSF327695 TCB327692:TCB327695 TLX327692:TLX327695 TVT327692:TVT327695 UFP327692:UFP327695 UPL327692:UPL327695 UZH327692:UZH327695 VJD327692:VJD327695 VSZ327692:VSZ327695 WCV327692:WCV327695 WMR327692:WMR327695 WWN327692:WWN327695 AF393228:AF393231 KB393228:KB393231 TX393228:TX393231 ADT393228:ADT393231 ANP393228:ANP393231 AXL393228:AXL393231 BHH393228:BHH393231 BRD393228:BRD393231 CAZ393228:CAZ393231 CKV393228:CKV393231 CUR393228:CUR393231 DEN393228:DEN393231 DOJ393228:DOJ393231 DYF393228:DYF393231 EIB393228:EIB393231 ERX393228:ERX393231 FBT393228:FBT393231 FLP393228:FLP393231 FVL393228:FVL393231 GFH393228:GFH393231 GPD393228:GPD393231 GYZ393228:GYZ393231 HIV393228:HIV393231 HSR393228:HSR393231 ICN393228:ICN393231 IMJ393228:IMJ393231 IWF393228:IWF393231 JGB393228:JGB393231 JPX393228:JPX393231 JZT393228:JZT393231 KJP393228:KJP393231 KTL393228:KTL393231 LDH393228:LDH393231 LND393228:LND393231 LWZ393228:LWZ393231 MGV393228:MGV393231 MQR393228:MQR393231 NAN393228:NAN393231 NKJ393228:NKJ393231 NUF393228:NUF393231 OEB393228:OEB393231 ONX393228:ONX393231 OXT393228:OXT393231 PHP393228:PHP393231 PRL393228:PRL393231 QBH393228:QBH393231 QLD393228:QLD393231 QUZ393228:QUZ393231 REV393228:REV393231 ROR393228:ROR393231 RYN393228:RYN393231 SIJ393228:SIJ393231 SSF393228:SSF393231 TCB393228:TCB393231 TLX393228:TLX393231 TVT393228:TVT393231 UFP393228:UFP393231 UPL393228:UPL393231 UZH393228:UZH393231 VJD393228:VJD393231 VSZ393228:VSZ393231 WCV393228:WCV393231 WMR393228:WMR393231 WWN393228:WWN393231 AF458764:AF458767 KB458764:KB458767 TX458764:TX458767 ADT458764:ADT458767 ANP458764:ANP458767 AXL458764:AXL458767 BHH458764:BHH458767 BRD458764:BRD458767 CAZ458764:CAZ458767 CKV458764:CKV458767 CUR458764:CUR458767 DEN458764:DEN458767 DOJ458764:DOJ458767 DYF458764:DYF458767 EIB458764:EIB458767 ERX458764:ERX458767 FBT458764:FBT458767 FLP458764:FLP458767 FVL458764:FVL458767 GFH458764:GFH458767 GPD458764:GPD458767 GYZ458764:GYZ458767 HIV458764:HIV458767 HSR458764:HSR458767 ICN458764:ICN458767 IMJ458764:IMJ458767 IWF458764:IWF458767 JGB458764:JGB458767 JPX458764:JPX458767 JZT458764:JZT458767 KJP458764:KJP458767 KTL458764:KTL458767 LDH458764:LDH458767 LND458764:LND458767 LWZ458764:LWZ458767 MGV458764:MGV458767 MQR458764:MQR458767 NAN458764:NAN458767 NKJ458764:NKJ458767 NUF458764:NUF458767 OEB458764:OEB458767 ONX458764:ONX458767 OXT458764:OXT458767 PHP458764:PHP458767 PRL458764:PRL458767 QBH458764:QBH458767 QLD458764:QLD458767 QUZ458764:QUZ458767 REV458764:REV458767 ROR458764:ROR458767 RYN458764:RYN458767 SIJ458764:SIJ458767 SSF458764:SSF458767 TCB458764:TCB458767 TLX458764:TLX458767 TVT458764:TVT458767 UFP458764:UFP458767 UPL458764:UPL458767 UZH458764:UZH458767 VJD458764:VJD458767 VSZ458764:VSZ458767 WCV458764:WCV458767 WMR458764:WMR458767 WWN458764:WWN458767 AF524300:AF524303 KB524300:KB524303 TX524300:TX524303 ADT524300:ADT524303 ANP524300:ANP524303 AXL524300:AXL524303 BHH524300:BHH524303 BRD524300:BRD524303 CAZ524300:CAZ524303 CKV524300:CKV524303 CUR524300:CUR524303 DEN524300:DEN524303 DOJ524300:DOJ524303 DYF524300:DYF524303 EIB524300:EIB524303 ERX524300:ERX524303 FBT524300:FBT524303 FLP524300:FLP524303 FVL524300:FVL524303 GFH524300:GFH524303 GPD524300:GPD524303 GYZ524300:GYZ524303 HIV524300:HIV524303 HSR524300:HSR524303 ICN524300:ICN524303 IMJ524300:IMJ524303 IWF524300:IWF524303 JGB524300:JGB524303 JPX524300:JPX524303 JZT524300:JZT524303 KJP524300:KJP524303 KTL524300:KTL524303 LDH524300:LDH524303 LND524300:LND524303 LWZ524300:LWZ524303 MGV524300:MGV524303 MQR524300:MQR524303 NAN524300:NAN524303 NKJ524300:NKJ524303 NUF524300:NUF524303 OEB524300:OEB524303 ONX524300:ONX524303 OXT524300:OXT524303 PHP524300:PHP524303 PRL524300:PRL524303 QBH524300:QBH524303 QLD524300:QLD524303 QUZ524300:QUZ524303 REV524300:REV524303 ROR524300:ROR524303 RYN524300:RYN524303 SIJ524300:SIJ524303 SSF524300:SSF524303 TCB524300:TCB524303 TLX524300:TLX524303 TVT524300:TVT524303 UFP524300:UFP524303 UPL524300:UPL524303 UZH524300:UZH524303 VJD524300:VJD524303 VSZ524300:VSZ524303 WCV524300:WCV524303 WMR524300:WMR524303 WWN524300:WWN524303 AF589836:AF589839 KB589836:KB589839 TX589836:TX589839 ADT589836:ADT589839 ANP589836:ANP589839 AXL589836:AXL589839 BHH589836:BHH589839 BRD589836:BRD589839 CAZ589836:CAZ589839 CKV589836:CKV589839 CUR589836:CUR589839 DEN589836:DEN589839 DOJ589836:DOJ589839 DYF589836:DYF589839 EIB589836:EIB589839 ERX589836:ERX589839 FBT589836:FBT589839 FLP589836:FLP589839 FVL589836:FVL589839 GFH589836:GFH589839 GPD589836:GPD589839 GYZ589836:GYZ589839 HIV589836:HIV589839 HSR589836:HSR589839 ICN589836:ICN589839 IMJ589836:IMJ589839 IWF589836:IWF589839 JGB589836:JGB589839 JPX589836:JPX589839 JZT589836:JZT589839 KJP589836:KJP589839 KTL589836:KTL589839 LDH589836:LDH589839 LND589836:LND589839 LWZ589836:LWZ589839 MGV589836:MGV589839 MQR589836:MQR589839 NAN589836:NAN589839 NKJ589836:NKJ589839 NUF589836:NUF589839 OEB589836:OEB589839 ONX589836:ONX589839 OXT589836:OXT589839 PHP589836:PHP589839 PRL589836:PRL589839 QBH589836:QBH589839 QLD589836:QLD589839 QUZ589836:QUZ589839 REV589836:REV589839 ROR589836:ROR589839 RYN589836:RYN589839 SIJ589836:SIJ589839 SSF589836:SSF589839 TCB589836:TCB589839 TLX589836:TLX589839 TVT589836:TVT589839 UFP589836:UFP589839 UPL589836:UPL589839 UZH589836:UZH589839 VJD589836:VJD589839 VSZ589836:VSZ589839 WCV589836:WCV589839 WMR589836:WMR589839 WWN589836:WWN589839 AF655372:AF655375 KB655372:KB655375 TX655372:TX655375 ADT655372:ADT655375 ANP655372:ANP655375 AXL655372:AXL655375 BHH655372:BHH655375 BRD655372:BRD655375 CAZ655372:CAZ655375 CKV655372:CKV655375 CUR655372:CUR655375 DEN655372:DEN655375 DOJ655372:DOJ655375 DYF655372:DYF655375 EIB655372:EIB655375 ERX655372:ERX655375 FBT655372:FBT655375 FLP655372:FLP655375 FVL655372:FVL655375 GFH655372:GFH655375 GPD655372:GPD655375 GYZ655372:GYZ655375 HIV655372:HIV655375 HSR655372:HSR655375 ICN655372:ICN655375 IMJ655372:IMJ655375 IWF655372:IWF655375 JGB655372:JGB655375 JPX655372:JPX655375 JZT655372:JZT655375 KJP655372:KJP655375 KTL655372:KTL655375 LDH655372:LDH655375 LND655372:LND655375 LWZ655372:LWZ655375 MGV655372:MGV655375 MQR655372:MQR655375 NAN655372:NAN655375 NKJ655372:NKJ655375 NUF655372:NUF655375 OEB655372:OEB655375 ONX655372:ONX655375 OXT655372:OXT655375 PHP655372:PHP655375 PRL655372:PRL655375 QBH655372:QBH655375 QLD655372:QLD655375 QUZ655372:QUZ655375 REV655372:REV655375 ROR655372:ROR655375 RYN655372:RYN655375 SIJ655372:SIJ655375 SSF655372:SSF655375 TCB655372:TCB655375 TLX655372:TLX655375 TVT655372:TVT655375 UFP655372:UFP655375 UPL655372:UPL655375 UZH655372:UZH655375 VJD655372:VJD655375 VSZ655372:VSZ655375 WCV655372:WCV655375 WMR655372:WMR655375 WWN655372:WWN655375 AF720908:AF720911 KB720908:KB720911 TX720908:TX720911 ADT720908:ADT720911 ANP720908:ANP720911 AXL720908:AXL720911 BHH720908:BHH720911 BRD720908:BRD720911 CAZ720908:CAZ720911 CKV720908:CKV720911 CUR720908:CUR720911 DEN720908:DEN720911 DOJ720908:DOJ720911 DYF720908:DYF720911 EIB720908:EIB720911 ERX720908:ERX720911 FBT720908:FBT720911 FLP720908:FLP720911 FVL720908:FVL720911 GFH720908:GFH720911 GPD720908:GPD720911 GYZ720908:GYZ720911 HIV720908:HIV720911 HSR720908:HSR720911 ICN720908:ICN720911 IMJ720908:IMJ720911 IWF720908:IWF720911 JGB720908:JGB720911 JPX720908:JPX720911 JZT720908:JZT720911 KJP720908:KJP720911 KTL720908:KTL720911 LDH720908:LDH720911 LND720908:LND720911 LWZ720908:LWZ720911 MGV720908:MGV720911 MQR720908:MQR720911 NAN720908:NAN720911 NKJ720908:NKJ720911 NUF720908:NUF720911 OEB720908:OEB720911 ONX720908:ONX720911 OXT720908:OXT720911 PHP720908:PHP720911 PRL720908:PRL720911 QBH720908:QBH720911 QLD720908:QLD720911 QUZ720908:QUZ720911 REV720908:REV720911 ROR720908:ROR720911 RYN720908:RYN720911 SIJ720908:SIJ720911 SSF720908:SSF720911 TCB720908:TCB720911 TLX720908:TLX720911 TVT720908:TVT720911 UFP720908:UFP720911 UPL720908:UPL720911 UZH720908:UZH720911 VJD720908:VJD720911 VSZ720908:VSZ720911 WCV720908:WCV720911 WMR720908:WMR720911 WWN720908:WWN720911 AF786444:AF786447 KB786444:KB786447 TX786444:TX786447 ADT786444:ADT786447 ANP786444:ANP786447 AXL786444:AXL786447 BHH786444:BHH786447 BRD786444:BRD786447 CAZ786444:CAZ786447 CKV786444:CKV786447 CUR786444:CUR786447 DEN786444:DEN786447 DOJ786444:DOJ786447 DYF786444:DYF786447 EIB786444:EIB786447 ERX786444:ERX786447 FBT786444:FBT786447 FLP786444:FLP786447 FVL786444:FVL786447 GFH786444:GFH786447 GPD786444:GPD786447 GYZ786444:GYZ786447 HIV786444:HIV786447 HSR786444:HSR786447 ICN786444:ICN786447 IMJ786444:IMJ786447 IWF786444:IWF786447 JGB786444:JGB786447 JPX786444:JPX786447 JZT786444:JZT786447 KJP786444:KJP786447 KTL786444:KTL786447 LDH786444:LDH786447 LND786444:LND786447 LWZ786444:LWZ786447 MGV786444:MGV786447 MQR786444:MQR786447 NAN786444:NAN786447 NKJ786444:NKJ786447 NUF786444:NUF786447 OEB786444:OEB786447 ONX786444:ONX786447 OXT786444:OXT786447 PHP786444:PHP786447 PRL786444:PRL786447 QBH786444:QBH786447 QLD786444:QLD786447 QUZ786444:QUZ786447 REV786444:REV786447 ROR786444:ROR786447 RYN786444:RYN786447 SIJ786444:SIJ786447 SSF786444:SSF786447 TCB786444:TCB786447 TLX786444:TLX786447 TVT786444:TVT786447 UFP786444:UFP786447 UPL786444:UPL786447 UZH786444:UZH786447 VJD786444:VJD786447 VSZ786444:VSZ786447 WCV786444:WCV786447 WMR786444:WMR786447 WWN786444:WWN786447 AF851980:AF851983 KB851980:KB851983 TX851980:TX851983 ADT851980:ADT851983 ANP851980:ANP851983 AXL851980:AXL851983 BHH851980:BHH851983 BRD851980:BRD851983 CAZ851980:CAZ851983 CKV851980:CKV851983 CUR851980:CUR851983 DEN851980:DEN851983 DOJ851980:DOJ851983 DYF851980:DYF851983 EIB851980:EIB851983 ERX851980:ERX851983 FBT851980:FBT851983 FLP851980:FLP851983 FVL851980:FVL851983 GFH851980:GFH851983 GPD851980:GPD851983 GYZ851980:GYZ851983 HIV851980:HIV851983 HSR851980:HSR851983 ICN851980:ICN851983 IMJ851980:IMJ851983 IWF851980:IWF851983 JGB851980:JGB851983 JPX851980:JPX851983 JZT851980:JZT851983 KJP851980:KJP851983 KTL851980:KTL851983 LDH851980:LDH851983 LND851980:LND851983 LWZ851980:LWZ851983 MGV851980:MGV851983 MQR851980:MQR851983 NAN851980:NAN851983 NKJ851980:NKJ851983 NUF851980:NUF851983 OEB851980:OEB851983 ONX851980:ONX851983 OXT851980:OXT851983 PHP851980:PHP851983 PRL851980:PRL851983 QBH851980:QBH851983 QLD851980:QLD851983 QUZ851980:QUZ851983 REV851980:REV851983 ROR851980:ROR851983 RYN851980:RYN851983 SIJ851980:SIJ851983 SSF851980:SSF851983 TCB851980:TCB851983 TLX851980:TLX851983 TVT851980:TVT851983 UFP851980:UFP851983 UPL851980:UPL851983 UZH851980:UZH851983 VJD851980:VJD851983 VSZ851980:VSZ851983 WCV851980:WCV851983 WMR851980:WMR851983 WWN851980:WWN851983 AF917516:AF917519 KB917516:KB917519 TX917516:TX917519 ADT917516:ADT917519 ANP917516:ANP917519 AXL917516:AXL917519 BHH917516:BHH917519 BRD917516:BRD917519 CAZ917516:CAZ917519 CKV917516:CKV917519 CUR917516:CUR917519 DEN917516:DEN917519 DOJ917516:DOJ917519 DYF917516:DYF917519 EIB917516:EIB917519 ERX917516:ERX917519 FBT917516:FBT917519 FLP917516:FLP917519 FVL917516:FVL917519 GFH917516:GFH917519 GPD917516:GPD917519 GYZ917516:GYZ917519 HIV917516:HIV917519 HSR917516:HSR917519 ICN917516:ICN917519 IMJ917516:IMJ917519 IWF917516:IWF917519 JGB917516:JGB917519 JPX917516:JPX917519 JZT917516:JZT917519 KJP917516:KJP917519 KTL917516:KTL917519 LDH917516:LDH917519 LND917516:LND917519 LWZ917516:LWZ917519 MGV917516:MGV917519 MQR917516:MQR917519 NAN917516:NAN917519 NKJ917516:NKJ917519 NUF917516:NUF917519 OEB917516:OEB917519 ONX917516:ONX917519 OXT917516:OXT917519 PHP917516:PHP917519 PRL917516:PRL917519 QBH917516:QBH917519 QLD917516:QLD917519 QUZ917516:QUZ917519 REV917516:REV917519 ROR917516:ROR917519 RYN917516:RYN917519 SIJ917516:SIJ917519 SSF917516:SSF917519 TCB917516:TCB917519 TLX917516:TLX917519 TVT917516:TVT917519 UFP917516:UFP917519 UPL917516:UPL917519 UZH917516:UZH917519 VJD917516:VJD917519 VSZ917516:VSZ917519 WCV917516:WCV917519 WMR917516:WMR917519 WWN917516:WWN917519 AF983052:AF983055 KB983052:KB983055 TX983052:TX983055 ADT983052:ADT983055 ANP983052:ANP983055 AXL983052:AXL983055 BHH983052:BHH983055 BRD983052:BRD983055 CAZ983052:CAZ983055 CKV983052:CKV983055 CUR983052:CUR983055 DEN983052:DEN983055 DOJ983052:DOJ983055 DYF983052:DYF983055 EIB983052:EIB983055 ERX983052:ERX983055 FBT983052:FBT983055 FLP983052:FLP983055 FVL983052:FVL983055 GFH983052:GFH983055 GPD983052:GPD983055 GYZ983052:GYZ983055 HIV983052:HIV983055 HSR983052:HSR983055 ICN983052:ICN983055 IMJ983052:IMJ983055 IWF983052:IWF983055 JGB983052:JGB983055 JPX983052:JPX983055 JZT983052:JZT983055 KJP983052:KJP983055 KTL983052:KTL983055 LDH983052:LDH983055 LND983052:LND983055 LWZ983052:LWZ983055 MGV983052:MGV983055 MQR983052:MQR983055 NAN983052:NAN983055 NKJ983052:NKJ983055 NUF983052:NUF983055 OEB983052:OEB983055 ONX983052:ONX983055 OXT983052:OXT983055 PHP983052:PHP983055 PRL983052:PRL983055 QBH983052:QBH983055 QLD983052:QLD983055 QUZ983052:QUZ983055 REV983052:REV983055 ROR983052:ROR983055 RYN983052:RYN983055 SIJ983052:SIJ983055 SSF983052:SSF983055 TCB983052:TCB983055 TLX983052:TLX983055 TVT983052:TVT983055 UFP983052:UFP983055 UPL983052:UPL983055 UZH983052:UZH983055 VJD983052:VJD983055 VSZ983052:VSZ983055 WCV983052:WCV983055 WMR983052:WMR983055 AF8:AF15">
      <formula1>$AJ$1:$AJ$4</formula1>
    </dataValidation>
    <dataValidation type="list" allowBlank="1" showInputMessage="1" showErrorMessage="1" sqref="JE8:JE15 TA8:TA15 ACW8:ACW15 AMS8:AMS15 AWO8:AWO15 BGK8:BGK15 BQG8:BQG15 CAC8:CAC15 CJY8:CJY15 CTU8:CTU15 DDQ8:DDQ15 DNM8:DNM15 DXI8:DXI15 EHE8:EHE15 ERA8:ERA15 FAW8:FAW15 FKS8:FKS15 FUO8:FUO15 GEK8:GEK15 GOG8:GOG15 GYC8:GYC15 HHY8:HHY15 HRU8:HRU15 IBQ8:IBQ15 ILM8:ILM15 IVI8:IVI15 JFE8:JFE15 JPA8:JPA15 JYW8:JYW15 KIS8:KIS15 KSO8:KSO15 LCK8:LCK15 LMG8:LMG15 LWC8:LWC15 MFY8:MFY15 MPU8:MPU15 MZQ8:MZQ15 NJM8:NJM15 NTI8:NTI15 ODE8:ODE15 ONA8:ONA15 OWW8:OWW15 PGS8:PGS15 PQO8:PQO15 QAK8:QAK15 QKG8:QKG15 QUC8:QUC15 RDY8:RDY15 RNU8:RNU15 RXQ8:RXQ15 SHM8:SHM15 SRI8:SRI15 TBE8:TBE15 TLA8:TLA15 TUW8:TUW15 UES8:UES15 UOO8:UOO15 UYK8:UYK15 VIG8:VIG15 VSC8:VSC15 WBY8:WBY15 WLU8:WLU15 WVQ8:WVQ15 WVQ983052:WVQ983055 I65548:I65551 JE65548:JE65551 TA65548:TA65551 ACW65548:ACW65551 AMS65548:AMS65551 AWO65548:AWO65551 BGK65548:BGK65551 BQG65548:BQG65551 CAC65548:CAC65551 CJY65548:CJY65551 CTU65548:CTU65551 DDQ65548:DDQ65551 DNM65548:DNM65551 DXI65548:DXI65551 EHE65548:EHE65551 ERA65548:ERA65551 FAW65548:FAW65551 FKS65548:FKS65551 FUO65548:FUO65551 GEK65548:GEK65551 GOG65548:GOG65551 GYC65548:GYC65551 HHY65548:HHY65551 HRU65548:HRU65551 IBQ65548:IBQ65551 ILM65548:ILM65551 IVI65548:IVI65551 JFE65548:JFE65551 JPA65548:JPA65551 JYW65548:JYW65551 KIS65548:KIS65551 KSO65548:KSO65551 LCK65548:LCK65551 LMG65548:LMG65551 LWC65548:LWC65551 MFY65548:MFY65551 MPU65548:MPU65551 MZQ65548:MZQ65551 NJM65548:NJM65551 NTI65548:NTI65551 ODE65548:ODE65551 ONA65548:ONA65551 OWW65548:OWW65551 PGS65548:PGS65551 PQO65548:PQO65551 QAK65548:QAK65551 QKG65548:QKG65551 QUC65548:QUC65551 RDY65548:RDY65551 RNU65548:RNU65551 RXQ65548:RXQ65551 SHM65548:SHM65551 SRI65548:SRI65551 TBE65548:TBE65551 TLA65548:TLA65551 TUW65548:TUW65551 UES65548:UES65551 UOO65548:UOO65551 UYK65548:UYK65551 VIG65548:VIG65551 VSC65548:VSC65551 WBY65548:WBY65551 WLU65548:WLU65551 WVQ65548:WVQ65551 I131084:I131087 JE131084:JE131087 TA131084:TA131087 ACW131084:ACW131087 AMS131084:AMS131087 AWO131084:AWO131087 BGK131084:BGK131087 BQG131084:BQG131087 CAC131084:CAC131087 CJY131084:CJY131087 CTU131084:CTU131087 DDQ131084:DDQ131087 DNM131084:DNM131087 DXI131084:DXI131087 EHE131084:EHE131087 ERA131084:ERA131087 FAW131084:FAW131087 FKS131084:FKS131087 FUO131084:FUO131087 GEK131084:GEK131087 GOG131084:GOG131087 GYC131084:GYC131087 HHY131084:HHY131087 HRU131084:HRU131087 IBQ131084:IBQ131087 ILM131084:ILM131087 IVI131084:IVI131087 JFE131084:JFE131087 JPA131084:JPA131087 JYW131084:JYW131087 KIS131084:KIS131087 KSO131084:KSO131087 LCK131084:LCK131087 LMG131084:LMG131087 LWC131084:LWC131087 MFY131084:MFY131087 MPU131084:MPU131087 MZQ131084:MZQ131087 NJM131084:NJM131087 NTI131084:NTI131087 ODE131084:ODE131087 ONA131084:ONA131087 OWW131084:OWW131087 PGS131084:PGS131087 PQO131084:PQO131087 QAK131084:QAK131087 QKG131084:QKG131087 QUC131084:QUC131087 RDY131084:RDY131087 RNU131084:RNU131087 RXQ131084:RXQ131087 SHM131084:SHM131087 SRI131084:SRI131087 TBE131084:TBE131087 TLA131084:TLA131087 TUW131084:TUW131087 UES131084:UES131087 UOO131084:UOO131087 UYK131084:UYK131087 VIG131084:VIG131087 VSC131084:VSC131087 WBY131084:WBY131087 WLU131084:WLU131087 WVQ131084:WVQ131087 I196620:I196623 JE196620:JE196623 TA196620:TA196623 ACW196620:ACW196623 AMS196620:AMS196623 AWO196620:AWO196623 BGK196620:BGK196623 BQG196620:BQG196623 CAC196620:CAC196623 CJY196620:CJY196623 CTU196620:CTU196623 DDQ196620:DDQ196623 DNM196620:DNM196623 DXI196620:DXI196623 EHE196620:EHE196623 ERA196620:ERA196623 FAW196620:FAW196623 FKS196620:FKS196623 FUO196620:FUO196623 GEK196620:GEK196623 GOG196620:GOG196623 GYC196620:GYC196623 HHY196620:HHY196623 HRU196620:HRU196623 IBQ196620:IBQ196623 ILM196620:ILM196623 IVI196620:IVI196623 JFE196620:JFE196623 JPA196620:JPA196623 JYW196620:JYW196623 KIS196620:KIS196623 KSO196620:KSO196623 LCK196620:LCK196623 LMG196620:LMG196623 LWC196620:LWC196623 MFY196620:MFY196623 MPU196620:MPU196623 MZQ196620:MZQ196623 NJM196620:NJM196623 NTI196620:NTI196623 ODE196620:ODE196623 ONA196620:ONA196623 OWW196620:OWW196623 PGS196620:PGS196623 PQO196620:PQO196623 QAK196620:QAK196623 QKG196620:QKG196623 QUC196620:QUC196623 RDY196620:RDY196623 RNU196620:RNU196623 RXQ196620:RXQ196623 SHM196620:SHM196623 SRI196620:SRI196623 TBE196620:TBE196623 TLA196620:TLA196623 TUW196620:TUW196623 UES196620:UES196623 UOO196620:UOO196623 UYK196620:UYK196623 VIG196620:VIG196623 VSC196620:VSC196623 WBY196620:WBY196623 WLU196620:WLU196623 WVQ196620:WVQ196623 I262156:I262159 JE262156:JE262159 TA262156:TA262159 ACW262156:ACW262159 AMS262156:AMS262159 AWO262156:AWO262159 BGK262156:BGK262159 BQG262156:BQG262159 CAC262156:CAC262159 CJY262156:CJY262159 CTU262156:CTU262159 DDQ262156:DDQ262159 DNM262156:DNM262159 DXI262156:DXI262159 EHE262156:EHE262159 ERA262156:ERA262159 FAW262156:FAW262159 FKS262156:FKS262159 FUO262156:FUO262159 GEK262156:GEK262159 GOG262156:GOG262159 GYC262156:GYC262159 HHY262156:HHY262159 HRU262156:HRU262159 IBQ262156:IBQ262159 ILM262156:ILM262159 IVI262156:IVI262159 JFE262156:JFE262159 JPA262156:JPA262159 JYW262156:JYW262159 KIS262156:KIS262159 KSO262156:KSO262159 LCK262156:LCK262159 LMG262156:LMG262159 LWC262156:LWC262159 MFY262156:MFY262159 MPU262156:MPU262159 MZQ262156:MZQ262159 NJM262156:NJM262159 NTI262156:NTI262159 ODE262156:ODE262159 ONA262156:ONA262159 OWW262156:OWW262159 PGS262156:PGS262159 PQO262156:PQO262159 QAK262156:QAK262159 QKG262156:QKG262159 QUC262156:QUC262159 RDY262156:RDY262159 RNU262156:RNU262159 RXQ262156:RXQ262159 SHM262156:SHM262159 SRI262156:SRI262159 TBE262156:TBE262159 TLA262156:TLA262159 TUW262156:TUW262159 UES262156:UES262159 UOO262156:UOO262159 UYK262156:UYK262159 VIG262156:VIG262159 VSC262156:VSC262159 WBY262156:WBY262159 WLU262156:WLU262159 WVQ262156:WVQ262159 I327692:I327695 JE327692:JE327695 TA327692:TA327695 ACW327692:ACW327695 AMS327692:AMS327695 AWO327692:AWO327695 BGK327692:BGK327695 BQG327692:BQG327695 CAC327692:CAC327695 CJY327692:CJY327695 CTU327692:CTU327695 DDQ327692:DDQ327695 DNM327692:DNM327695 DXI327692:DXI327695 EHE327692:EHE327695 ERA327692:ERA327695 FAW327692:FAW327695 FKS327692:FKS327695 FUO327692:FUO327695 GEK327692:GEK327695 GOG327692:GOG327695 GYC327692:GYC327695 HHY327692:HHY327695 HRU327692:HRU327695 IBQ327692:IBQ327695 ILM327692:ILM327695 IVI327692:IVI327695 JFE327692:JFE327695 JPA327692:JPA327695 JYW327692:JYW327695 KIS327692:KIS327695 KSO327692:KSO327695 LCK327692:LCK327695 LMG327692:LMG327695 LWC327692:LWC327695 MFY327692:MFY327695 MPU327692:MPU327695 MZQ327692:MZQ327695 NJM327692:NJM327695 NTI327692:NTI327695 ODE327692:ODE327695 ONA327692:ONA327695 OWW327692:OWW327695 PGS327692:PGS327695 PQO327692:PQO327695 QAK327692:QAK327695 QKG327692:QKG327695 QUC327692:QUC327695 RDY327692:RDY327695 RNU327692:RNU327695 RXQ327692:RXQ327695 SHM327692:SHM327695 SRI327692:SRI327695 TBE327692:TBE327695 TLA327692:TLA327695 TUW327692:TUW327695 UES327692:UES327695 UOO327692:UOO327695 UYK327692:UYK327695 VIG327692:VIG327695 VSC327692:VSC327695 WBY327692:WBY327695 WLU327692:WLU327695 WVQ327692:WVQ327695 I393228:I393231 JE393228:JE393231 TA393228:TA393231 ACW393228:ACW393231 AMS393228:AMS393231 AWO393228:AWO393231 BGK393228:BGK393231 BQG393228:BQG393231 CAC393228:CAC393231 CJY393228:CJY393231 CTU393228:CTU393231 DDQ393228:DDQ393231 DNM393228:DNM393231 DXI393228:DXI393231 EHE393228:EHE393231 ERA393228:ERA393231 FAW393228:FAW393231 FKS393228:FKS393231 FUO393228:FUO393231 GEK393228:GEK393231 GOG393228:GOG393231 GYC393228:GYC393231 HHY393228:HHY393231 HRU393228:HRU393231 IBQ393228:IBQ393231 ILM393228:ILM393231 IVI393228:IVI393231 JFE393228:JFE393231 JPA393228:JPA393231 JYW393228:JYW393231 KIS393228:KIS393231 KSO393228:KSO393231 LCK393228:LCK393231 LMG393228:LMG393231 LWC393228:LWC393231 MFY393228:MFY393231 MPU393228:MPU393231 MZQ393228:MZQ393231 NJM393228:NJM393231 NTI393228:NTI393231 ODE393228:ODE393231 ONA393228:ONA393231 OWW393228:OWW393231 PGS393228:PGS393231 PQO393228:PQO393231 QAK393228:QAK393231 QKG393228:QKG393231 QUC393228:QUC393231 RDY393228:RDY393231 RNU393228:RNU393231 RXQ393228:RXQ393231 SHM393228:SHM393231 SRI393228:SRI393231 TBE393228:TBE393231 TLA393228:TLA393231 TUW393228:TUW393231 UES393228:UES393231 UOO393228:UOO393231 UYK393228:UYK393231 VIG393228:VIG393231 VSC393228:VSC393231 WBY393228:WBY393231 WLU393228:WLU393231 WVQ393228:WVQ393231 I458764:I458767 JE458764:JE458767 TA458764:TA458767 ACW458764:ACW458767 AMS458764:AMS458767 AWO458764:AWO458767 BGK458764:BGK458767 BQG458764:BQG458767 CAC458764:CAC458767 CJY458764:CJY458767 CTU458764:CTU458767 DDQ458764:DDQ458767 DNM458764:DNM458767 DXI458764:DXI458767 EHE458764:EHE458767 ERA458764:ERA458767 FAW458764:FAW458767 FKS458764:FKS458767 FUO458764:FUO458767 GEK458764:GEK458767 GOG458764:GOG458767 GYC458764:GYC458767 HHY458764:HHY458767 HRU458764:HRU458767 IBQ458764:IBQ458767 ILM458764:ILM458767 IVI458764:IVI458767 JFE458764:JFE458767 JPA458764:JPA458767 JYW458764:JYW458767 KIS458764:KIS458767 KSO458764:KSO458767 LCK458764:LCK458767 LMG458764:LMG458767 LWC458764:LWC458767 MFY458764:MFY458767 MPU458764:MPU458767 MZQ458764:MZQ458767 NJM458764:NJM458767 NTI458764:NTI458767 ODE458764:ODE458767 ONA458764:ONA458767 OWW458764:OWW458767 PGS458764:PGS458767 PQO458764:PQO458767 QAK458764:QAK458767 QKG458764:QKG458767 QUC458764:QUC458767 RDY458764:RDY458767 RNU458764:RNU458767 RXQ458764:RXQ458767 SHM458764:SHM458767 SRI458764:SRI458767 TBE458764:TBE458767 TLA458764:TLA458767 TUW458764:TUW458767 UES458764:UES458767 UOO458764:UOO458767 UYK458764:UYK458767 VIG458764:VIG458767 VSC458764:VSC458767 WBY458764:WBY458767 WLU458764:WLU458767 WVQ458764:WVQ458767 I524300:I524303 JE524300:JE524303 TA524300:TA524303 ACW524300:ACW524303 AMS524300:AMS524303 AWO524300:AWO524303 BGK524300:BGK524303 BQG524300:BQG524303 CAC524300:CAC524303 CJY524300:CJY524303 CTU524300:CTU524303 DDQ524300:DDQ524303 DNM524300:DNM524303 DXI524300:DXI524303 EHE524300:EHE524303 ERA524300:ERA524303 FAW524300:FAW524303 FKS524300:FKS524303 FUO524300:FUO524303 GEK524300:GEK524303 GOG524300:GOG524303 GYC524300:GYC524303 HHY524300:HHY524303 HRU524300:HRU524303 IBQ524300:IBQ524303 ILM524300:ILM524303 IVI524300:IVI524303 JFE524300:JFE524303 JPA524300:JPA524303 JYW524300:JYW524303 KIS524300:KIS524303 KSO524300:KSO524303 LCK524300:LCK524303 LMG524300:LMG524303 LWC524300:LWC524303 MFY524300:MFY524303 MPU524300:MPU524303 MZQ524300:MZQ524303 NJM524300:NJM524303 NTI524300:NTI524303 ODE524300:ODE524303 ONA524300:ONA524303 OWW524300:OWW524303 PGS524300:PGS524303 PQO524300:PQO524303 QAK524300:QAK524303 QKG524300:QKG524303 QUC524300:QUC524303 RDY524300:RDY524303 RNU524300:RNU524303 RXQ524300:RXQ524303 SHM524300:SHM524303 SRI524300:SRI524303 TBE524300:TBE524303 TLA524300:TLA524303 TUW524300:TUW524303 UES524300:UES524303 UOO524300:UOO524303 UYK524300:UYK524303 VIG524300:VIG524303 VSC524300:VSC524303 WBY524300:WBY524303 WLU524300:WLU524303 WVQ524300:WVQ524303 I589836:I589839 JE589836:JE589839 TA589836:TA589839 ACW589836:ACW589839 AMS589836:AMS589839 AWO589836:AWO589839 BGK589836:BGK589839 BQG589836:BQG589839 CAC589836:CAC589839 CJY589836:CJY589839 CTU589836:CTU589839 DDQ589836:DDQ589839 DNM589836:DNM589839 DXI589836:DXI589839 EHE589836:EHE589839 ERA589836:ERA589839 FAW589836:FAW589839 FKS589836:FKS589839 FUO589836:FUO589839 GEK589836:GEK589839 GOG589836:GOG589839 GYC589836:GYC589839 HHY589836:HHY589839 HRU589836:HRU589839 IBQ589836:IBQ589839 ILM589836:ILM589839 IVI589836:IVI589839 JFE589836:JFE589839 JPA589836:JPA589839 JYW589836:JYW589839 KIS589836:KIS589839 KSO589836:KSO589839 LCK589836:LCK589839 LMG589836:LMG589839 LWC589836:LWC589839 MFY589836:MFY589839 MPU589836:MPU589839 MZQ589836:MZQ589839 NJM589836:NJM589839 NTI589836:NTI589839 ODE589836:ODE589839 ONA589836:ONA589839 OWW589836:OWW589839 PGS589836:PGS589839 PQO589836:PQO589839 QAK589836:QAK589839 QKG589836:QKG589839 QUC589836:QUC589839 RDY589836:RDY589839 RNU589836:RNU589839 RXQ589836:RXQ589839 SHM589836:SHM589839 SRI589836:SRI589839 TBE589836:TBE589839 TLA589836:TLA589839 TUW589836:TUW589839 UES589836:UES589839 UOO589836:UOO589839 UYK589836:UYK589839 VIG589836:VIG589839 VSC589836:VSC589839 WBY589836:WBY589839 WLU589836:WLU589839 WVQ589836:WVQ589839 I655372:I655375 JE655372:JE655375 TA655372:TA655375 ACW655372:ACW655375 AMS655372:AMS655375 AWO655372:AWO655375 BGK655372:BGK655375 BQG655372:BQG655375 CAC655372:CAC655375 CJY655372:CJY655375 CTU655372:CTU655375 DDQ655372:DDQ655375 DNM655372:DNM655375 DXI655372:DXI655375 EHE655372:EHE655375 ERA655372:ERA655375 FAW655372:FAW655375 FKS655372:FKS655375 FUO655372:FUO655375 GEK655372:GEK655375 GOG655372:GOG655375 GYC655372:GYC655375 HHY655372:HHY655375 HRU655372:HRU655375 IBQ655372:IBQ655375 ILM655372:ILM655375 IVI655372:IVI655375 JFE655372:JFE655375 JPA655372:JPA655375 JYW655372:JYW655375 KIS655372:KIS655375 KSO655372:KSO655375 LCK655372:LCK655375 LMG655372:LMG655375 LWC655372:LWC655375 MFY655372:MFY655375 MPU655372:MPU655375 MZQ655372:MZQ655375 NJM655372:NJM655375 NTI655372:NTI655375 ODE655372:ODE655375 ONA655372:ONA655375 OWW655372:OWW655375 PGS655372:PGS655375 PQO655372:PQO655375 QAK655372:QAK655375 QKG655372:QKG655375 QUC655372:QUC655375 RDY655372:RDY655375 RNU655372:RNU655375 RXQ655372:RXQ655375 SHM655372:SHM655375 SRI655372:SRI655375 TBE655372:TBE655375 TLA655372:TLA655375 TUW655372:TUW655375 UES655372:UES655375 UOO655372:UOO655375 UYK655372:UYK655375 VIG655372:VIG655375 VSC655372:VSC655375 WBY655372:WBY655375 WLU655372:WLU655375 WVQ655372:WVQ655375 I720908:I720911 JE720908:JE720911 TA720908:TA720911 ACW720908:ACW720911 AMS720908:AMS720911 AWO720908:AWO720911 BGK720908:BGK720911 BQG720908:BQG720911 CAC720908:CAC720911 CJY720908:CJY720911 CTU720908:CTU720911 DDQ720908:DDQ720911 DNM720908:DNM720911 DXI720908:DXI720911 EHE720908:EHE720911 ERA720908:ERA720911 FAW720908:FAW720911 FKS720908:FKS720911 FUO720908:FUO720911 GEK720908:GEK720911 GOG720908:GOG720911 GYC720908:GYC720911 HHY720908:HHY720911 HRU720908:HRU720911 IBQ720908:IBQ720911 ILM720908:ILM720911 IVI720908:IVI720911 JFE720908:JFE720911 JPA720908:JPA720911 JYW720908:JYW720911 KIS720908:KIS720911 KSO720908:KSO720911 LCK720908:LCK720911 LMG720908:LMG720911 LWC720908:LWC720911 MFY720908:MFY720911 MPU720908:MPU720911 MZQ720908:MZQ720911 NJM720908:NJM720911 NTI720908:NTI720911 ODE720908:ODE720911 ONA720908:ONA720911 OWW720908:OWW720911 PGS720908:PGS720911 PQO720908:PQO720911 QAK720908:QAK720911 QKG720908:QKG720911 QUC720908:QUC720911 RDY720908:RDY720911 RNU720908:RNU720911 RXQ720908:RXQ720911 SHM720908:SHM720911 SRI720908:SRI720911 TBE720908:TBE720911 TLA720908:TLA720911 TUW720908:TUW720911 UES720908:UES720911 UOO720908:UOO720911 UYK720908:UYK720911 VIG720908:VIG720911 VSC720908:VSC720911 WBY720908:WBY720911 WLU720908:WLU720911 WVQ720908:WVQ720911 I786444:I786447 JE786444:JE786447 TA786444:TA786447 ACW786444:ACW786447 AMS786444:AMS786447 AWO786444:AWO786447 BGK786444:BGK786447 BQG786444:BQG786447 CAC786444:CAC786447 CJY786444:CJY786447 CTU786444:CTU786447 DDQ786444:DDQ786447 DNM786444:DNM786447 DXI786444:DXI786447 EHE786444:EHE786447 ERA786444:ERA786447 FAW786444:FAW786447 FKS786444:FKS786447 FUO786444:FUO786447 GEK786444:GEK786447 GOG786444:GOG786447 GYC786444:GYC786447 HHY786444:HHY786447 HRU786444:HRU786447 IBQ786444:IBQ786447 ILM786444:ILM786447 IVI786444:IVI786447 JFE786444:JFE786447 JPA786444:JPA786447 JYW786444:JYW786447 KIS786444:KIS786447 KSO786444:KSO786447 LCK786444:LCK786447 LMG786444:LMG786447 LWC786444:LWC786447 MFY786444:MFY786447 MPU786444:MPU786447 MZQ786444:MZQ786447 NJM786444:NJM786447 NTI786444:NTI786447 ODE786444:ODE786447 ONA786444:ONA786447 OWW786444:OWW786447 PGS786444:PGS786447 PQO786444:PQO786447 QAK786444:QAK786447 QKG786444:QKG786447 QUC786444:QUC786447 RDY786444:RDY786447 RNU786444:RNU786447 RXQ786444:RXQ786447 SHM786444:SHM786447 SRI786444:SRI786447 TBE786444:TBE786447 TLA786444:TLA786447 TUW786444:TUW786447 UES786444:UES786447 UOO786444:UOO786447 UYK786444:UYK786447 VIG786444:VIG786447 VSC786444:VSC786447 WBY786444:WBY786447 WLU786444:WLU786447 WVQ786444:WVQ786447 I851980:I851983 JE851980:JE851983 TA851980:TA851983 ACW851980:ACW851983 AMS851980:AMS851983 AWO851980:AWO851983 BGK851980:BGK851983 BQG851980:BQG851983 CAC851980:CAC851983 CJY851980:CJY851983 CTU851980:CTU851983 DDQ851980:DDQ851983 DNM851980:DNM851983 DXI851980:DXI851983 EHE851980:EHE851983 ERA851980:ERA851983 FAW851980:FAW851983 FKS851980:FKS851983 FUO851980:FUO851983 GEK851980:GEK851983 GOG851980:GOG851983 GYC851980:GYC851983 HHY851980:HHY851983 HRU851980:HRU851983 IBQ851980:IBQ851983 ILM851980:ILM851983 IVI851980:IVI851983 JFE851980:JFE851983 JPA851980:JPA851983 JYW851980:JYW851983 KIS851980:KIS851983 KSO851980:KSO851983 LCK851980:LCK851983 LMG851980:LMG851983 LWC851980:LWC851983 MFY851980:MFY851983 MPU851980:MPU851983 MZQ851980:MZQ851983 NJM851980:NJM851983 NTI851980:NTI851983 ODE851980:ODE851983 ONA851980:ONA851983 OWW851980:OWW851983 PGS851980:PGS851983 PQO851980:PQO851983 QAK851980:QAK851983 QKG851980:QKG851983 QUC851980:QUC851983 RDY851980:RDY851983 RNU851980:RNU851983 RXQ851980:RXQ851983 SHM851980:SHM851983 SRI851980:SRI851983 TBE851980:TBE851983 TLA851980:TLA851983 TUW851980:TUW851983 UES851980:UES851983 UOO851980:UOO851983 UYK851980:UYK851983 VIG851980:VIG851983 VSC851980:VSC851983 WBY851980:WBY851983 WLU851980:WLU851983 WVQ851980:WVQ851983 I917516:I917519 JE917516:JE917519 TA917516:TA917519 ACW917516:ACW917519 AMS917516:AMS917519 AWO917516:AWO917519 BGK917516:BGK917519 BQG917516:BQG917519 CAC917516:CAC917519 CJY917516:CJY917519 CTU917516:CTU917519 DDQ917516:DDQ917519 DNM917516:DNM917519 DXI917516:DXI917519 EHE917516:EHE917519 ERA917516:ERA917519 FAW917516:FAW917519 FKS917516:FKS917519 FUO917516:FUO917519 GEK917516:GEK917519 GOG917516:GOG917519 GYC917516:GYC917519 HHY917516:HHY917519 HRU917516:HRU917519 IBQ917516:IBQ917519 ILM917516:ILM917519 IVI917516:IVI917519 JFE917516:JFE917519 JPA917516:JPA917519 JYW917516:JYW917519 KIS917516:KIS917519 KSO917516:KSO917519 LCK917516:LCK917519 LMG917516:LMG917519 LWC917516:LWC917519 MFY917516:MFY917519 MPU917516:MPU917519 MZQ917516:MZQ917519 NJM917516:NJM917519 NTI917516:NTI917519 ODE917516:ODE917519 ONA917516:ONA917519 OWW917516:OWW917519 PGS917516:PGS917519 PQO917516:PQO917519 QAK917516:QAK917519 QKG917516:QKG917519 QUC917516:QUC917519 RDY917516:RDY917519 RNU917516:RNU917519 RXQ917516:RXQ917519 SHM917516:SHM917519 SRI917516:SRI917519 TBE917516:TBE917519 TLA917516:TLA917519 TUW917516:TUW917519 UES917516:UES917519 UOO917516:UOO917519 UYK917516:UYK917519 VIG917516:VIG917519 VSC917516:VSC917519 WBY917516:WBY917519 WLU917516:WLU917519 WVQ917516:WVQ917519 I983052:I983055 JE983052:JE983055 TA983052:TA983055 ACW983052:ACW983055 AMS983052:AMS983055 AWO983052:AWO983055 BGK983052:BGK983055 BQG983052:BQG983055 CAC983052:CAC983055 CJY983052:CJY983055 CTU983052:CTU983055 DDQ983052:DDQ983055 DNM983052:DNM983055 DXI983052:DXI983055 EHE983052:EHE983055 ERA983052:ERA983055 FAW983052:FAW983055 FKS983052:FKS983055 FUO983052:FUO983055 GEK983052:GEK983055 GOG983052:GOG983055 GYC983052:GYC983055 HHY983052:HHY983055 HRU983052:HRU983055 IBQ983052:IBQ983055 ILM983052:ILM983055 IVI983052:IVI983055 JFE983052:JFE983055 JPA983052:JPA983055 JYW983052:JYW983055 KIS983052:KIS983055 KSO983052:KSO983055 LCK983052:LCK983055 LMG983052:LMG983055 LWC983052:LWC983055 MFY983052:MFY983055 MPU983052:MPU983055 MZQ983052:MZQ983055 NJM983052:NJM983055 NTI983052:NTI983055 ODE983052:ODE983055 ONA983052:ONA983055 OWW983052:OWW983055 PGS983052:PGS983055 PQO983052:PQO983055 QAK983052:QAK983055 QKG983052:QKG983055 QUC983052:QUC983055 RDY983052:RDY983055 RNU983052:RNU983055 RXQ983052:RXQ983055 SHM983052:SHM983055 SRI983052:SRI983055 TBE983052:TBE983055 TLA983052:TLA983055 TUW983052:TUW983055 UES983052:UES983055 UOO983052:UOO983055 UYK983052:UYK983055 VIG983052:VIG983055 VSC983052:VSC983055 WBY983052:WBY983055 WLU983052:WLU983055 I8:I10 I13">
      <formula1>$X$25:$X$26</formula1>
    </dataValidation>
    <dataValidation type="list" allowBlank="1" showInputMessage="1" showErrorMessage="1" sqref="JC8:JC15 SY8:SY15 ACU8:ACU15 AMQ8:AMQ15 AWM8:AWM15 BGI8:BGI15 BQE8:BQE15 CAA8:CAA15 CJW8:CJW15 CTS8:CTS15 DDO8:DDO15 DNK8:DNK15 DXG8:DXG15 EHC8:EHC15 EQY8:EQY15 FAU8:FAU15 FKQ8:FKQ15 FUM8:FUM15 GEI8:GEI15 GOE8:GOE15 GYA8:GYA15 HHW8:HHW15 HRS8:HRS15 IBO8:IBO15 ILK8:ILK15 IVG8:IVG15 JFC8:JFC15 JOY8:JOY15 JYU8:JYU15 KIQ8:KIQ15 KSM8:KSM15 LCI8:LCI15 LME8:LME15 LWA8:LWA15 MFW8:MFW15 MPS8:MPS15 MZO8:MZO15 NJK8:NJK15 NTG8:NTG15 ODC8:ODC15 OMY8:OMY15 OWU8:OWU15 PGQ8:PGQ15 PQM8:PQM15 QAI8:QAI15 QKE8:QKE15 QUA8:QUA15 RDW8:RDW15 RNS8:RNS15 RXO8:RXO15 SHK8:SHK15 SRG8:SRG15 TBC8:TBC15 TKY8:TKY15 TUU8:TUU15 UEQ8:UEQ15 UOM8:UOM15 UYI8:UYI15 VIE8:VIE15 VSA8:VSA15 WBW8:WBW15 WLS8:WLS15 WVO8:WVO15 WVO983052:WVO983055 G65548:G65551 JC65548:JC65551 SY65548:SY65551 ACU65548:ACU65551 AMQ65548:AMQ65551 AWM65548:AWM65551 BGI65548:BGI65551 BQE65548:BQE65551 CAA65548:CAA65551 CJW65548:CJW65551 CTS65548:CTS65551 DDO65548:DDO65551 DNK65548:DNK65551 DXG65548:DXG65551 EHC65548:EHC65551 EQY65548:EQY65551 FAU65548:FAU65551 FKQ65548:FKQ65551 FUM65548:FUM65551 GEI65548:GEI65551 GOE65548:GOE65551 GYA65548:GYA65551 HHW65548:HHW65551 HRS65548:HRS65551 IBO65548:IBO65551 ILK65548:ILK65551 IVG65548:IVG65551 JFC65548:JFC65551 JOY65548:JOY65551 JYU65548:JYU65551 KIQ65548:KIQ65551 KSM65548:KSM65551 LCI65548:LCI65551 LME65548:LME65551 LWA65548:LWA65551 MFW65548:MFW65551 MPS65548:MPS65551 MZO65548:MZO65551 NJK65548:NJK65551 NTG65548:NTG65551 ODC65548:ODC65551 OMY65548:OMY65551 OWU65548:OWU65551 PGQ65548:PGQ65551 PQM65548:PQM65551 QAI65548:QAI65551 QKE65548:QKE65551 QUA65548:QUA65551 RDW65548:RDW65551 RNS65548:RNS65551 RXO65548:RXO65551 SHK65548:SHK65551 SRG65548:SRG65551 TBC65548:TBC65551 TKY65548:TKY65551 TUU65548:TUU65551 UEQ65548:UEQ65551 UOM65548:UOM65551 UYI65548:UYI65551 VIE65548:VIE65551 VSA65548:VSA65551 WBW65548:WBW65551 WLS65548:WLS65551 WVO65548:WVO65551 G131084:G131087 JC131084:JC131087 SY131084:SY131087 ACU131084:ACU131087 AMQ131084:AMQ131087 AWM131084:AWM131087 BGI131084:BGI131087 BQE131084:BQE131087 CAA131084:CAA131087 CJW131084:CJW131087 CTS131084:CTS131087 DDO131084:DDO131087 DNK131084:DNK131087 DXG131084:DXG131087 EHC131084:EHC131087 EQY131084:EQY131087 FAU131084:FAU131087 FKQ131084:FKQ131087 FUM131084:FUM131087 GEI131084:GEI131087 GOE131084:GOE131087 GYA131084:GYA131087 HHW131084:HHW131087 HRS131084:HRS131087 IBO131084:IBO131087 ILK131084:ILK131087 IVG131084:IVG131087 JFC131084:JFC131087 JOY131084:JOY131087 JYU131084:JYU131087 KIQ131084:KIQ131087 KSM131084:KSM131087 LCI131084:LCI131087 LME131084:LME131087 LWA131084:LWA131087 MFW131084:MFW131087 MPS131084:MPS131087 MZO131084:MZO131087 NJK131084:NJK131087 NTG131084:NTG131087 ODC131084:ODC131087 OMY131084:OMY131087 OWU131084:OWU131087 PGQ131084:PGQ131087 PQM131084:PQM131087 QAI131084:QAI131087 QKE131084:QKE131087 QUA131084:QUA131087 RDW131084:RDW131087 RNS131084:RNS131087 RXO131084:RXO131087 SHK131084:SHK131087 SRG131084:SRG131087 TBC131084:TBC131087 TKY131084:TKY131087 TUU131084:TUU131087 UEQ131084:UEQ131087 UOM131084:UOM131087 UYI131084:UYI131087 VIE131084:VIE131087 VSA131084:VSA131087 WBW131084:WBW131087 WLS131084:WLS131087 WVO131084:WVO131087 G196620:G196623 JC196620:JC196623 SY196620:SY196623 ACU196620:ACU196623 AMQ196620:AMQ196623 AWM196620:AWM196623 BGI196620:BGI196623 BQE196620:BQE196623 CAA196620:CAA196623 CJW196620:CJW196623 CTS196620:CTS196623 DDO196620:DDO196623 DNK196620:DNK196623 DXG196620:DXG196623 EHC196620:EHC196623 EQY196620:EQY196623 FAU196620:FAU196623 FKQ196620:FKQ196623 FUM196620:FUM196623 GEI196620:GEI196623 GOE196620:GOE196623 GYA196620:GYA196623 HHW196620:HHW196623 HRS196620:HRS196623 IBO196620:IBO196623 ILK196620:ILK196623 IVG196620:IVG196623 JFC196620:JFC196623 JOY196620:JOY196623 JYU196620:JYU196623 KIQ196620:KIQ196623 KSM196620:KSM196623 LCI196620:LCI196623 LME196620:LME196623 LWA196620:LWA196623 MFW196620:MFW196623 MPS196620:MPS196623 MZO196620:MZO196623 NJK196620:NJK196623 NTG196620:NTG196623 ODC196620:ODC196623 OMY196620:OMY196623 OWU196620:OWU196623 PGQ196620:PGQ196623 PQM196620:PQM196623 QAI196620:QAI196623 QKE196620:QKE196623 QUA196620:QUA196623 RDW196620:RDW196623 RNS196620:RNS196623 RXO196620:RXO196623 SHK196620:SHK196623 SRG196620:SRG196623 TBC196620:TBC196623 TKY196620:TKY196623 TUU196620:TUU196623 UEQ196620:UEQ196623 UOM196620:UOM196623 UYI196620:UYI196623 VIE196620:VIE196623 VSA196620:VSA196623 WBW196620:WBW196623 WLS196620:WLS196623 WVO196620:WVO196623 G262156:G262159 JC262156:JC262159 SY262156:SY262159 ACU262156:ACU262159 AMQ262156:AMQ262159 AWM262156:AWM262159 BGI262156:BGI262159 BQE262156:BQE262159 CAA262156:CAA262159 CJW262156:CJW262159 CTS262156:CTS262159 DDO262156:DDO262159 DNK262156:DNK262159 DXG262156:DXG262159 EHC262156:EHC262159 EQY262156:EQY262159 FAU262156:FAU262159 FKQ262156:FKQ262159 FUM262156:FUM262159 GEI262156:GEI262159 GOE262156:GOE262159 GYA262156:GYA262159 HHW262156:HHW262159 HRS262156:HRS262159 IBO262156:IBO262159 ILK262156:ILK262159 IVG262156:IVG262159 JFC262156:JFC262159 JOY262156:JOY262159 JYU262156:JYU262159 KIQ262156:KIQ262159 KSM262156:KSM262159 LCI262156:LCI262159 LME262156:LME262159 LWA262156:LWA262159 MFW262156:MFW262159 MPS262156:MPS262159 MZO262156:MZO262159 NJK262156:NJK262159 NTG262156:NTG262159 ODC262156:ODC262159 OMY262156:OMY262159 OWU262156:OWU262159 PGQ262156:PGQ262159 PQM262156:PQM262159 QAI262156:QAI262159 QKE262156:QKE262159 QUA262156:QUA262159 RDW262156:RDW262159 RNS262156:RNS262159 RXO262156:RXO262159 SHK262156:SHK262159 SRG262156:SRG262159 TBC262156:TBC262159 TKY262156:TKY262159 TUU262156:TUU262159 UEQ262156:UEQ262159 UOM262156:UOM262159 UYI262156:UYI262159 VIE262156:VIE262159 VSA262156:VSA262159 WBW262156:WBW262159 WLS262156:WLS262159 WVO262156:WVO262159 G327692:G327695 JC327692:JC327695 SY327692:SY327695 ACU327692:ACU327695 AMQ327692:AMQ327695 AWM327692:AWM327695 BGI327692:BGI327695 BQE327692:BQE327695 CAA327692:CAA327695 CJW327692:CJW327695 CTS327692:CTS327695 DDO327692:DDO327695 DNK327692:DNK327695 DXG327692:DXG327695 EHC327692:EHC327695 EQY327692:EQY327695 FAU327692:FAU327695 FKQ327692:FKQ327695 FUM327692:FUM327695 GEI327692:GEI327695 GOE327692:GOE327695 GYA327692:GYA327695 HHW327692:HHW327695 HRS327692:HRS327695 IBO327692:IBO327695 ILK327692:ILK327695 IVG327692:IVG327695 JFC327692:JFC327695 JOY327692:JOY327695 JYU327692:JYU327695 KIQ327692:KIQ327695 KSM327692:KSM327695 LCI327692:LCI327695 LME327692:LME327695 LWA327692:LWA327695 MFW327692:MFW327695 MPS327692:MPS327695 MZO327692:MZO327695 NJK327692:NJK327695 NTG327692:NTG327695 ODC327692:ODC327695 OMY327692:OMY327695 OWU327692:OWU327695 PGQ327692:PGQ327695 PQM327692:PQM327695 QAI327692:QAI327695 QKE327692:QKE327695 QUA327692:QUA327695 RDW327692:RDW327695 RNS327692:RNS327695 RXO327692:RXO327695 SHK327692:SHK327695 SRG327692:SRG327695 TBC327692:TBC327695 TKY327692:TKY327695 TUU327692:TUU327695 UEQ327692:UEQ327695 UOM327692:UOM327695 UYI327692:UYI327695 VIE327692:VIE327695 VSA327692:VSA327695 WBW327692:WBW327695 WLS327692:WLS327695 WVO327692:WVO327695 G393228:G393231 JC393228:JC393231 SY393228:SY393231 ACU393228:ACU393231 AMQ393228:AMQ393231 AWM393228:AWM393231 BGI393228:BGI393231 BQE393228:BQE393231 CAA393228:CAA393231 CJW393228:CJW393231 CTS393228:CTS393231 DDO393228:DDO393231 DNK393228:DNK393231 DXG393228:DXG393231 EHC393228:EHC393231 EQY393228:EQY393231 FAU393228:FAU393231 FKQ393228:FKQ393231 FUM393228:FUM393231 GEI393228:GEI393231 GOE393228:GOE393231 GYA393228:GYA393231 HHW393228:HHW393231 HRS393228:HRS393231 IBO393228:IBO393231 ILK393228:ILK393231 IVG393228:IVG393231 JFC393228:JFC393231 JOY393228:JOY393231 JYU393228:JYU393231 KIQ393228:KIQ393231 KSM393228:KSM393231 LCI393228:LCI393231 LME393228:LME393231 LWA393228:LWA393231 MFW393228:MFW393231 MPS393228:MPS393231 MZO393228:MZO393231 NJK393228:NJK393231 NTG393228:NTG393231 ODC393228:ODC393231 OMY393228:OMY393231 OWU393228:OWU393231 PGQ393228:PGQ393231 PQM393228:PQM393231 QAI393228:QAI393231 QKE393228:QKE393231 QUA393228:QUA393231 RDW393228:RDW393231 RNS393228:RNS393231 RXO393228:RXO393231 SHK393228:SHK393231 SRG393228:SRG393231 TBC393228:TBC393231 TKY393228:TKY393231 TUU393228:TUU393231 UEQ393228:UEQ393231 UOM393228:UOM393231 UYI393228:UYI393231 VIE393228:VIE393231 VSA393228:VSA393231 WBW393228:WBW393231 WLS393228:WLS393231 WVO393228:WVO393231 G458764:G458767 JC458764:JC458767 SY458764:SY458767 ACU458764:ACU458767 AMQ458764:AMQ458767 AWM458764:AWM458767 BGI458764:BGI458767 BQE458764:BQE458767 CAA458764:CAA458767 CJW458764:CJW458767 CTS458764:CTS458767 DDO458764:DDO458767 DNK458764:DNK458767 DXG458764:DXG458767 EHC458764:EHC458767 EQY458764:EQY458767 FAU458764:FAU458767 FKQ458764:FKQ458767 FUM458764:FUM458767 GEI458764:GEI458767 GOE458764:GOE458767 GYA458764:GYA458767 HHW458764:HHW458767 HRS458764:HRS458767 IBO458764:IBO458767 ILK458764:ILK458767 IVG458764:IVG458767 JFC458764:JFC458767 JOY458764:JOY458767 JYU458764:JYU458767 KIQ458764:KIQ458767 KSM458764:KSM458767 LCI458764:LCI458767 LME458764:LME458767 LWA458764:LWA458767 MFW458764:MFW458767 MPS458764:MPS458767 MZO458764:MZO458767 NJK458764:NJK458767 NTG458764:NTG458767 ODC458764:ODC458767 OMY458764:OMY458767 OWU458764:OWU458767 PGQ458764:PGQ458767 PQM458764:PQM458767 QAI458764:QAI458767 QKE458764:QKE458767 QUA458764:QUA458767 RDW458764:RDW458767 RNS458764:RNS458767 RXO458764:RXO458767 SHK458764:SHK458767 SRG458764:SRG458767 TBC458764:TBC458767 TKY458764:TKY458767 TUU458764:TUU458767 UEQ458764:UEQ458767 UOM458764:UOM458767 UYI458764:UYI458767 VIE458764:VIE458767 VSA458764:VSA458767 WBW458764:WBW458767 WLS458764:WLS458767 WVO458764:WVO458767 G524300:G524303 JC524300:JC524303 SY524300:SY524303 ACU524300:ACU524303 AMQ524300:AMQ524303 AWM524300:AWM524303 BGI524300:BGI524303 BQE524300:BQE524303 CAA524300:CAA524303 CJW524300:CJW524303 CTS524300:CTS524303 DDO524300:DDO524303 DNK524300:DNK524303 DXG524300:DXG524303 EHC524300:EHC524303 EQY524300:EQY524303 FAU524300:FAU524303 FKQ524300:FKQ524303 FUM524300:FUM524303 GEI524300:GEI524303 GOE524300:GOE524303 GYA524300:GYA524303 HHW524300:HHW524303 HRS524300:HRS524303 IBO524300:IBO524303 ILK524300:ILK524303 IVG524300:IVG524303 JFC524300:JFC524303 JOY524300:JOY524303 JYU524300:JYU524303 KIQ524300:KIQ524303 KSM524300:KSM524303 LCI524300:LCI524303 LME524300:LME524303 LWA524300:LWA524303 MFW524300:MFW524303 MPS524300:MPS524303 MZO524300:MZO524303 NJK524300:NJK524303 NTG524300:NTG524303 ODC524300:ODC524303 OMY524300:OMY524303 OWU524300:OWU524303 PGQ524300:PGQ524303 PQM524300:PQM524303 QAI524300:QAI524303 QKE524300:QKE524303 QUA524300:QUA524303 RDW524300:RDW524303 RNS524300:RNS524303 RXO524300:RXO524303 SHK524300:SHK524303 SRG524300:SRG524303 TBC524300:TBC524303 TKY524300:TKY524303 TUU524300:TUU524303 UEQ524300:UEQ524303 UOM524300:UOM524303 UYI524300:UYI524303 VIE524300:VIE524303 VSA524300:VSA524303 WBW524300:WBW524303 WLS524300:WLS524303 WVO524300:WVO524303 G589836:G589839 JC589836:JC589839 SY589836:SY589839 ACU589836:ACU589839 AMQ589836:AMQ589839 AWM589836:AWM589839 BGI589836:BGI589839 BQE589836:BQE589839 CAA589836:CAA589839 CJW589836:CJW589839 CTS589836:CTS589839 DDO589836:DDO589839 DNK589836:DNK589839 DXG589836:DXG589839 EHC589836:EHC589839 EQY589836:EQY589839 FAU589836:FAU589839 FKQ589836:FKQ589839 FUM589836:FUM589839 GEI589836:GEI589839 GOE589836:GOE589839 GYA589836:GYA589839 HHW589836:HHW589839 HRS589836:HRS589839 IBO589836:IBO589839 ILK589836:ILK589839 IVG589836:IVG589839 JFC589836:JFC589839 JOY589836:JOY589839 JYU589836:JYU589839 KIQ589836:KIQ589839 KSM589836:KSM589839 LCI589836:LCI589839 LME589836:LME589839 LWA589836:LWA589839 MFW589836:MFW589839 MPS589836:MPS589839 MZO589836:MZO589839 NJK589836:NJK589839 NTG589836:NTG589839 ODC589836:ODC589839 OMY589836:OMY589839 OWU589836:OWU589839 PGQ589836:PGQ589839 PQM589836:PQM589839 QAI589836:QAI589839 QKE589836:QKE589839 QUA589836:QUA589839 RDW589836:RDW589839 RNS589836:RNS589839 RXO589836:RXO589839 SHK589836:SHK589839 SRG589836:SRG589839 TBC589836:TBC589839 TKY589836:TKY589839 TUU589836:TUU589839 UEQ589836:UEQ589839 UOM589836:UOM589839 UYI589836:UYI589839 VIE589836:VIE589839 VSA589836:VSA589839 WBW589836:WBW589839 WLS589836:WLS589839 WVO589836:WVO589839 G655372:G655375 JC655372:JC655375 SY655372:SY655375 ACU655372:ACU655375 AMQ655372:AMQ655375 AWM655372:AWM655375 BGI655372:BGI655375 BQE655372:BQE655375 CAA655372:CAA655375 CJW655372:CJW655375 CTS655372:CTS655375 DDO655372:DDO655375 DNK655372:DNK655375 DXG655372:DXG655375 EHC655372:EHC655375 EQY655372:EQY655375 FAU655372:FAU655375 FKQ655372:FKQ655375 FUM655372:FUM655375 GEI655372:GEI655375 GOE655372:GOE655375 GYA655372:GYA655375 HHW655372:HHW655375 HRS655372:HRS655375 IBO655372:IBO655375 ILK655372:ILK655375 IVG655372:IVG655375 JFC655372:JFC655375 JOY655372:JOY655375 JYU655372:JYU655375 KIQ655372:KIQ655375 KSM655372:KSM655375 LCI655372:LCI655375 LME655372:LME655375 LWA655372:LWA655375 MFW655372:MFW655375 MPS655372:MPS655375 MZO655372:MZO655375 NJK655372:NJK655375 NTG655372:NTG655375 ODC655372:ODC655375 OMY655372:OMY655375 OWU655372:OWU655375 PGQ655372:PGQ655375 PQM655372:PQM655375 QAI655372:QAI655375 QKE655372:QKE655375 QUA655372:QUA655375 RDW655372:RDW655375 RNS655372:RNS655375 RXO655372:RXO655375 SHK655372:SHK655375 SRG655372:SRG655375 TBC655372:TBC655375 TKY655372:TKY655375 TUU655372:TUU655375 UEQ655372:UEQ655375 UOM655372:UOM655375 UYI655372:UYI655375 VIE655372:VIE655375 VSA655372:VSA655375 WBW655372:WBW655375 WLS655372:WLS655375 WVO655372:WVO655375 G720908:G720911 JC720908:JC720911 SY720908:SY720911 ACU720908:ACU720911 AMQ720908:AMQ720911 AWM720908:AWM720911 BGI720908:BGI720911 BQE720908:BQE720911 CAA720908:CAA720911 CJW720908:CJW720911 CTS720908:CTS720911 DDO720908:DDO720911 DNK720908:DNK720911 DXG720908:DXG720911 EHC720908:EHC720911 EQY720908:EQY720911 FAU720908:FAU720911 FKQ720908:FKQ720911 FUM720908:FUM720911 GEI720908:GEI720911 GOE720908:GOE720911 GYA720908:GYA720911 HHW720908:HHW720911 HRS720908:HRS720911 IBO720908:IBO720911 ILK720908:ILK720911 IVG720908:IVG720911 JFC720908:JFC720911 JOY720908:JOY720911 JYU720908:JYU720911 KIQ720908:KIQ720911 KSM720908:KSM720911 LCI720908:LCI720911 LME720908:LME720911 LWA720908:LWA720911 MFW720908:MFW720911 MPS720908:MPS720911 MZO720908:MZO720911 NJK720908:NJK720911 NTG720908:NTG720911 ODC720908:ODC720911 OMY720908:OMY720911 OWU720908:OWU720911 PGQ720908:PGQ720911 PQM720908:PQM720911 QAI720908:QAI720911 QKE720908:QKE720911 QUA720908:QUA720911 RDW720908:RDW720911 RNS720908:RNS720911 RXO720908:RXO720911 SHK720908:SHK720911 SRG720908:SRG720911 TBC720908:TBC720911 TKY720908:TKY720911 TUU720908:TUU720911 UEQ720908:UEQ720911 UOM720908:UOM720911 UYI720908:UYI720911 VIE720908:VIE720911 VSA720908:VSA720911 WBW720908:WBW720911 WLS720908:WLS720911 WVO720908:WVO720911 G786444:G786447 JC786444:JC786447 SY786444:SY786447 ACU786444:ACU786447 AMQ786444:AMQ786447 AWM786444:AWM786447 BGI786444:BGI786447 BQE786444:BQE786447 CAA786444:CAA786447 CJW786444:CJW786447 CTS786444:CTS786447 DDO786444:DDO786447 DNK786444:DNK786447 DXG786444:DXG786447 EHC786444:EHC786447 EQY786444:EQY786447 FAU786444:FAU786447 FKQ786444:FKQ786447 FUM786444:FUM786447 GEI786444:GEI786447 GOE786444:GOE786447 GYA786444:GYA786447 HHW786444:HHW786447 HRS786444:HRS786447 IBO786444:IBO786447 ILK786444:ILK786447 IVG786444:IVG786447 JFC786444:JFC786447 JOY786444:JOY786447 JYU786444:JYU786447 KIQ786444:KIQ786447 KSM786444:KSM786447 LCI786444:LCI786447 LME786444:LME786447 LWA786444:LWA786447 MFW786444:MFW786447 MPS786444:MPS786447 MZO786444:MZO786447 NJK786444:NJK786447 NTG786444:NTG786447 ODC786444:ODC786447 OMY786444:OMY786447 OWU786444:OWU786447 PGQ786444:PGQ786447 PQM786444:PQM786447 QAI786444:QAI786447 QKE786444:QKE786447 QUA786444:QUA786447 RDW786444:RDW786447 RNS786444:RNS786447 RXO786444:RXO786447 SHK786444:SHK786447 SRG786444:SRG786447 TBC786444:TBC786447 TKY786444:TKY786447 TUU786444:TUU786447 UEQ786444:UEQ786447 UOM786444:UOM786447 UYI786444:UYI786447 VIE786444:VIE786447 VSA786444:VSA786447 WBW786444:WBW786447 WLS786444:WLS786447 WVO786444:WVO786447 G851980:G851983 JC851980:JC851983 SY851980:SY851983 ACU851980:ACU851983 AMQ851980:AMQ851983 AWM851980:AWM851983 BGI851980:BGI851983 BQE851980:BQE851983 CAA851980:CAA851983 CJW851980:CJW851983 CTS851980:CTS851983 DDO851980:DDO851983 DNK851980:DNK851983 DXG851980:DXG851983 EHC851980:EHC851983 EQY851980:EQY851983 FAU851980:FAU851983 FKQ851980:FKQ851983 FUM851980:FUM851983 GEI851980:GEI851983 GOE851980:GOE851983 GYA851980:GYA851983 HHW851980:HHW851983 HRS851980:HRS851983 IBO851980:IBO851983 ILK851980:ILK851983 IVG851980:IVG851983 JFC851980:JFC851983 JOY851980:JOY851983 JYU851980:JYU851983 KIQ851980:KIQ851983 KSM851980:KSM851983 LCI851980:LCI851983 LME851980:LME851983 LWA851980:LWA851983 MFW851980:MFW851983 MPS851980:MPS851983 MZO851980:MZO851983 NJK851980:NJK851983 NTG851980:NTG851983 ODC851980:ODC851983 OMY851980:OMY851983 OWU851980:OWU851983 PGQ851980:PGQ851983 PQM851980:PQM851983 QAI851980:QAI851983 QKE851980:QKE851983 QUA851980:QUA851983 RDW851980:RDW851983 RNS851980:RNS851983 RXO851980:RXO851983 SHK851980:SHK851983 SRG851980:SRG851983 TBC851980:TBC851983 TKY851980:TKY851983 TUU851980:TUU851983 UEQ851980:UEQ851983 UOM851980:UOM851983 UYI851980:UYI851983 VIE851980:VIE851983 VSA851980:VSA851983 WBW851980:WBW851983 WLS851980:WLS851983 WVO851980:WVO851983 G917516:G917519 JC917516:JC917519 SY917516:SY917519 ACU917516:ACU917519 AMQ917516:AMQ917519 AWM917516:AWM917519 BGI917516:BGI917519 BQE917516:BQE917519 CAA917516:CAA917519 CJW917516:CJW917519 CTS917516:CTS917519 DDO917516:DDO917519 DNK917516:DNK917519 DXG917516:DXG917519 EHC917516:EHC917519 EQY917516:EQY917519 FAU917516:FAU917519 FKQ917516:FKQ917519 FUM917516:FUM917519 GEI917516:GEI917519 GOE917516:GOE917519 GYA917516:GYA917519 HHW917516:HHW917519 HRS917516:HRS917519 IBO917516:IBO917519 ILK917516:ILK917519 IVG917516:IVG917519 JFC917516:JFC917519 JOY917516:JOY917519 JYU917516:JYU917519 KIQ917516:KIQ917519 KSM917516:KSM917519 LCI917516:LCI917519 LME917516:LME917519 LWA917516:LWA917519 MFW917516:MFW917519 MPS917516:MPS917519 MZO917516:MZO917519 NJK917516:NJK917519 NTG917516:NTG917519 ODC917516:ODC917519 OMY917516:OMY917519 OWU917516:OWU917519 PGQ917516:PGQ917519 PQM917516:PQM917519 QAI917516:QAI917519 QKE917516:QKE917519 QUA917516:QUA917519 RDW917516:RDW917519 RNS917516:RNS917519 RXO917516:RXO917519 SHK917516:SHK917519 SRG917516:SRG917519 TBC917516:TBC917519 TKY917516:TKY917519 TUU917516:TUU917519 UEQ917516:UEQ917519 UOM917516:UOM917519 UYI917516:UYI917519 VIE917516:VIE917519 VSA917516:VSA917519 WBW917516:WBW917519 WLS917516:WLS917519 WVO917516:WVO917519 G983052:G983055 JC983052:JC983055 SY983052:SY983055 ACU983052:ACU983055 AMQ983052:AMQ983055 AWM983052:AWM983055 BGI983052:BGI983055 BQE983052:BQE983055 CAA983052:CAA983055 CJW983052:CJW983055 CTS983052:CTS983055 DDO983052:DDO983055 DNK983052:DNK983055 DXG983052:DXG983055 EHC983052:EHC983055 EQY983052:EQY983055 FAU983052:FAU983055 FKQ983052:FKQ983055 FUM983052:FUM983055 GEI983052:GEI983055 GOE983052:GOE983055 GYA983052:GYA983055 HHW983052:HHW983055 HRS983052:HRS983055 IBO983052:IBO983055 ILK983052:ILK983055 IVG983052:IVG983055 JFC983052:JFC983055 JOY983052:JOY983055 JYU983052:JYU983055 KIQ983052:KIQ983055 KSM983052:KSM983055 LCI983052:LCI983055 LME983052:LME983055 LWA983052:LWA983055 MFW983052:MFW983055 MPS983052:MPS983055 MZO983052:MZO983055 NJK983052:NJK983055 NTG983052:NTG983055 ODC983052:ODC983055 OMY983052:OMY983055 OWU983052:OWU983055 PGQ983052:PGQ983055 PQM983052:PQM983055 QAI983052:QAI983055 QKE983052:QKE983055 QUA983052:QUA983055 RDW983052:RDW983055 RNS983052:RNS983055 RXO983052:RXO983055 SHK983052:SHK983055 SRG983052:SRG983055 TBC983052:TBC983055 TKY983052:TKY983055 TUU983052:TUU983055 UEQ983052:UEQ983055 UOM983052:UOM983055 UYI983052:UYI983055 VIE983052:VIE983055 VSA983052:VSA983055 WBW983052:WBW983055 WLS983052:WLS983055 G8:G10 G13">
      <formula1>$AK$29:$AK$41</formula1>
    </dataValidation>
  </dataValidations>
  <printOptions horizontalCentered="1"/>
  <pageMargins left="0.25" right="0.25" top="0.75" bottom="0.75" header="0.3" footer="0.3"/>
  <pageSetup scale="45" orientation="landscape" copies="2"/>
  <headerFooter>
    <oddFooter>&amp;C&amp;"Tahoma,Cursiva"&amp;9Si usted ha accedido a este formato a través de un medio diferente al sitio web del Sistema de Control Documental del SIGEC asegúrese que ésta es la versión vigente</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AM65"/>
  <sheetViews>
    <sheetView topLeftCell="A34" zoomScale="90" zoomScaleNormal="90" zoomScaleSheetLayoutView="100" zoomScalePageLayoutView="60" workbookViewId="0">
      <selection activeCell="Y36" sqref="Y36:AA36"/>
    </sheetView>
  </sheetViews>
  <sheetFormatPr baseColWidth="10" defaultRowHeight="12.75"/>
  <cols>
    <col min="1" max="1" width="10.28515625" style="2" customWidth="1"/>
    <col min="2" max="2" width="13.42578125" style="2" customWidth="1"/>
    <col min="3" max="3" width="4.28515625" style="2" customWidth="1"/>
    <col min="4" max="4" width="4" style="2" customWidth="1"/>
    <col min="5" max="5" width="15" style="2" customWidth="1"/>
    <col min="6" max="6" width="4.140625" style="2" customWidth="1"/>
    <col min="7" max="7" width="11.28515625" style="2" customWidth="1"/>
    <col min="8" max="8" width="12.7109375" style="2" customWidth="1"/>
    <col min="9" max="9" width="11" style="2" customWidth="1"/>
    <col min="10" max="11" width="2.140625" style="2" customWidth="1"/>
    <col min="12" max="12" width="3.28515625" style="2" customWidth="1"/>
    <col min="13" max="13" width="0.28515625" style="2" hidden="1" customWidth="1"/>
    <col min="14" max="14" width="0.42578125" style="2" hidden="1" customWidth="1"/>
    <col min="15" max="15" width="2.85546875" style="2" customWidth="1"/>
    <col min="16" max="16" width="3.28515625" style="2" customWidth="1"/>
    <col min="17" max="17" width="1.42578125" style="2" customWidth="1"/>
    <col min="18" max="18" width="1.85546875" style="2" hidden="1" customWidth="1"/>
    <col min="19" max="19" width="6.85546875" style="2" customWidth="1"/>
    <col min="20" max="20" width="3" style="2" hidden="1" customWidth="1"/>
    <col min="21" max="22" width="6.28515625" style="2" customWidth="1"/>
    <col min="23" max="24" width="13.85546875" style="2" customWidth="1"/>
    <col min="25" max="25" width="10.85546875" style="2" customWidth="1"/>
    <col min="26" max="26" width="14.140625" style="2" customWidth="1"/>
    <col min="27" max="27" width="0.42578125" style="2" hidden="1" customWidth="1"/>
    <col min="28" max="28" width="13" style="2" customWidth="1"/>
    <col min="29" max="29" width="13.140625" style="2" customWidth="1"/>
    <col min="30" max="31" width="14" style="2" customWidth="1"/>
    <col min="32" max="32" width="11.42578125" style="2" customWidth="1"/>
    <col min="33" max="33" width="15.85546875" style="2" customWidth="1"/>
    <col min="34" max="34" width="38.85546875" style="2" customWidth="1"/>
    <col min="35" max="35" width="12" style="2" customWidth="1"/>
    <col min="36" max="37" width="0.28515625" style="2" customWidth="1"/>
    <col min="38" max="38" width="1.42578125" style="2" customWidth="1"/>
    <col min="39" max="39" width="1.28515625" style="2" hidden="1" customWidth="1"/>
    <col min="40" max="256" width="11.42578125" style="2"/>
    <col min="257" max="257" width="10.28515625" style="2" customWidth="1"/>
    <col min="258" max="258" width="13.42578125" style="2" customWidth="1"/>
    <col min="259" max="259" width="4.28515625" style="2" customWidth="1"/>
    <col min="260" max="260" width="4" style="2" customWidth="1"/>
    <col min="261" max="261" width="15" style="2" customWidth="1"/>
    <col min="262" max="262" width="4.140625" style="2" customWidth="1"/>
    <col min="263" max="263" width="11.28515625" style="2" customWidth="1"/>
    <col min="264" max="264" width="16.140625" style="2" customWidth="1"/>
    <col min="265" max="265" width="11" style="2" customWidth="1"/>
    <col min="266" max="267" width="2.140625" style="2" customWidth="1"/>
    <col min="268" max="268" width="3.28515625" style="2" customWidth="1"/>
    <col min="269" max="270" width="0" style="2" hidden="1" customWidth="1"/>
    <col min="271" max="271" width="2.85546875" style="2" customWidth="1"/>
    <col min="272" max="272" width="3.28515625" style="2" customWidth="1"/>
    <col min="273" max="273" width="1.42578125" style="2" customWidth="1"/>
    <col min="274" max="274" width="0" style="2" hidden="1" customWidth="1"/>
    <col min="275" max="275" width="6.85546875" style="2" customWidth="1"/>
    <col min="276" max="276" width="0" style="2" hidden="1" customWidth="1"/>
    <col min="277" max="278" width="6.28515625" style="2" customWidth="1"/>
    <col min="279" max="280" width="13.85546875" style="2" customWidth="1"/>
    <col min="281" max="281" width="10.85546875" style="2" customWidth="1"/>
    <col min="282" max="282" width="14.140625" style="2" customWidth="1"/>
    <col min="283" max="283" width="0" style="2" hidden="1" customWidth="1"/>
    <col min="284" max="284" width="13" style="2" customWidth="1"/>
    <col min="285" max="285" width="13.140625" style="2" customWidth="1"/>
    <col min="286" max="287" width="14" style="2" customWidth="1"/>
    <col min="288" max="288" width="11.42578125" style="2" customWidth="1"/>
    <col min="289" max="289" width="15.85546875" style="2" customWidth="1"/>
    <col min="290" max="290" width="23.7109375" style="2" customWidth="1"/>
    <col min="291" max="291" width="12" style="2" customWidth="1"/>
    <col min="292" max="293" width="0.28515625" style="2" customWidth="1"/>
    <col min="294" max="294" width="1.42578125" style="2" customWidth="1"/>
    <col min="295" max="295" width="0" style="2" hidden="1" customWidth="1"/>
    <col min="296" max="512" width="11.42578125" style="2"/>
    <col min="513" max="513" width="10.28515625" style="2" customWidth="1"/>
    <col min="514" max="514" width="13.42578125" style="2" customWidth="1"/>
    <col min="515" max="515" width="4.28515625" style="2" customWidth="1"/>
    <col min="516" max="516" width="4" style="2" customWidth="1"/>
    <col min="517" max="517" width="15" style="2" customWidth="1"/>
    <col min="518" max="518" width="4.140625" style="2" customWidth="1"/>
    <col min="519" max="519" width="11.28515625" style="2" customWidth="1"/>
    <col min="520" max="520" width="16.140625" style="2" customWidth="1"/>
    <col min="521" max="521" width="11" style="2" customWidth="1"/>
    <col min="522" max="523" width="2.140625" style="2" customWidth="1"/>
    <col min="524" max="524" width="3.28515625" style="2" customWidth="1"/>
    <col min="525" max="526" width="0" style="2" hidden="1" customWidth="1"/>
    <col min="527" max="527" width="2.85546875" style="2" customWidth="1"/>
    <col min="528" max="528" width="3.28515625" style="2" customWidth="1"/>
    <col min="529" max="529" width="1.42578125" style="2" customWidth="1"/>
    <col min="530" max="530" width="0" style="2" hidden="1" customWidth="1"/>
    <col min="531" max="531" width="6.85546875" style="2" customWidth="1"/>
    <col min="532" max="532" width="0" style="2" hidden="1" customWidth="1"/>
    <col min="533" max="534" width="6.28515625" style="2" customWidth="1"/>
    <col min="535" max="536" width="13.85546875" style="2" customWidth="1"/>
    <col min="537" max="537" width="10.85546875" style="2" customWidth="1"/>
    <col min="538" max="538" width="14.140625" style="2" customWidth="1"/>
    <col min="539" max="539" width="0" style="2" hidden="1" customWidth="1"/>
    <col min="540" max="540" width="13" style="2" customWidth="1"/>
    <col min="541" max="541" width="13.140625" style="2" customWidth="1"/>
    <col min="542" max="543" width="14" style="2" customWidth="1"/>
    <col min="544" max="544" width="11.42578125" style="2" customWidth="1"/>
    <col min="545" max="545" width="15.85546875" style="2" customWidth="1"/>
    <col min="546" max="546" width="23.7109375" style="2" customWidth="1"/>
    <col min="547" max="547" width="12" style="2" customWidth="1"/>
    <col min="548" max="549" width="0.28515625" style="2" customWidth="1"/>
    <col min="550" max="550" width="1.42578125" style="2" customWidth="1"/>
    <col min="551" max="551" width="0" style="2" hidden="1" customWidth="1"/>
    <col min="552" max="768" width="11.42578125" style="2"/>
    <col min="769" max="769" width="10.28515625" style="2" customWidth="1"/>
    <col min="770" max="770" width="13.42578125" style="2" customWidth="1"/>
    <col min="771" max="771" width="4.28515625" style="2" customWidth="1"/>
    <col min="772" max="772" width="4" style="2" customWidth="1"/>
    <col min="773" max="773" width="15" style="2" customWidth="1"/>
    <col min="774" max="774" width="4.140625" style="2" customWidth="1"/>
    <col min="775" max="775" width="11.28515625" style="2" customWidth="1"/>
    <col min="776" max="776" width="16.140625" style="2" customWidth="1"/>
    <col min="777" max="777" width="11" style="2" customWidth="1"/>
    <col min="778" max="779" width="2.140625" style="2" customWidth="1"/>
    <col min="780" max="780" width="3.28515625" style="2" customWidth="1"/>
    <col min="781" max="782" width="0" style="2" hidden="1" customWidth="1"/>
    <col min="783" max="783" width="2.85546875" style="2" customWidth="1"/>
    <col min="784" max="784" width="3.28515625" style="2" customWidth="1"/>
    <col min="785" max="785" width="1.42578125" style="2" customWidth="1"/>
    <col min="786" max="786" width="0" style="2" hidden="1" customWidth="1"/>
    <col min="787" max="787" width="6.85546875" style="2" customWidth="1"/>
    <col min="788" max="788" width="0" style="2" hidden="1" customWidth="1"/>
    <col min="789" max="790" width="6.28515625" style="2" customWidth="1"/>
    <col min="791" max="792" width="13.85546875" style="2" customWidth="1"/>
    <col min="793" max="793" width="10.85546875" style="2" customWidth="1"/>
    <col min="794" max="794" width="14.140625" style="2" customWidth="1"/>
    <col min="795" max="795" width="0" style="2" hidden="1" customWidth="1"/>
    <col min="796" max="796" width="13" style="2" customWidth="1"/>
    <col min="797" max="797" width="13.140625" style="2" customWidth="1"/>
    <col min="798" max="799" width="14" style="2" customWidth="1"/>
    <col min="800" max="800" width="11.42578125" style="2" customWidth="1"/>
    <col min="801" max="801" width="15.85546875" style="2" customWidth="1"/>
    <col min="802" max="802" width="23.7109375" style="2" customWidth="1"/>
    <col min="803" max="803" width="12" style="2" customWidth="1"/>
    <col min="804" max="805" width="0.28515625" style="2" customWidth="1"/>
    <col min="806" max="806" width="1.42578125" style="2" customWidth="1"/>
    <col min="807" max="807" width="0" style="2" hidden="1" customWidth="1"/>
    <col min="808" max="1024" width="11.42578125" style="2"/>
    <col min="1025" max="1025" width="10.28515625" style="2" customWidth="1"/>
    <col min="1026" max="1026" width="13.42578125" style="2" customWidth="1"/>
    <col min="1027" max="1027" width="4.28515625" style="2" customWidth="1"/>
    <col min="1028" max="1028" width="4" style="2" customWidth="1"/>
    <col min="1029" max="1029" width="15" style="2" customWidth="1"/>
    <col min="1030" max="1030" width="4.140625" style="2" customWidth="1"/>
    <col min="1031" max="1031" width="11.28515625" style="2" customWidth="1"/>
    <col min="1032" max="1032" width="16.140625" style="2" customWidth="1"/>
    <col min="1033" max="1033" width="11" style="2" customWidth="1"/>
    <col min="1034" max="1035" width="2.140625" style="2" customWidth="1"/>
    <col min="1036" max="1036" width="3.28515625" style="2" customWidth="1"/>
    <col min="1037" max="1038" width="0" style="2" hidden="1" customWidth="1"/>
    <col min="1039" max="1039" width="2.85546875" style="2" customWidth="1"/>
    <col min="1040" max="1040" width="3.28515625" style="2" customWidth="1"/>
    <col min="1041" max="1041" width="1.42578125" style="2" customWidth="1"/>
    <col min="1042" max="1042" width="0" style="2" hidden="1" customWidth="1"/>
    <col min="1043" max="1043" width="6.85546875" style="2" customWidth="1"/>
    <col min="1044" max="1044" width="0" style="2" hidden="1" customWidth="1"/>
    <col min="1045" max="1046" width="6.28515625" style="2" customWidth="1"/>
    <col min="1047" max="1048" width="13.85546875" style="2" customWidth="1"/>
    <col min="1049" max="1049" width="10.85546875" style="2" customWidth="1"/>
    <col min="1050" max="1050" width="14.140625" style="2" customWidth="1"/>
    <col min="1051" max="1051" width="0" style="2" hidden="1" customWidth="1"/>
    <col min="1052" max="1052" width="13" style="2" customWidth="1"/>
    <col min="1053" max="1053" width="13.140625" style="2" customWidth="1"/>
    <col min="1054" max="1055" width="14" style="2" customWidth="1"/>
    <col min="1056" max="1056" width="11.42578125" style="2" customWidth="1"/>
    <col min="1057" max="1057" width="15.85546875" style="2" customWidth="1"/>
    <col min="1058" max="1058" width="23.7109375" style="2" customWidth="1"/>
    <col min="1059" max="1059" width="12" style="2" customWidth="1"/>
    <col min="1060" max="1061" width="0.28515625" style="2" customWidth="1"/>
    <col min="1062" max="1062" width="1.42578125" style="2" customWidth="1"/>
    <col min="1063" max="1063" width="0" style="2" hidden="1" customWidth="1"/>
    <col min="1064" max="1280" width="11.42578125" style="2"/>
    <col min="1281" max="1281" width="10.28515625" style="2" customWidth="1"/>
    <col min="1282" max="1282" width="13.42578125" style="2" customWidth="1"/>
    <col min="1283" max="1283" width="4.28515625" style="2" customWidth="1"/>
    <col min="1284" max="1284" width="4" style="2" customWidth="1"/>
    <col min="1285" max="1285" width="15" style="2" customWidth="1"/>
    <col min="1286" max="1286" width="4.140625" style="2" customWidth="1"/>
    <col min="1287" max="1287" width="11.28515625" style="2" customWidth="1"/>
    <col min="1288" max="1288" width="16.140625" style="2" customWidth="1"/>
    <col min="1289" max="1289" width="11" style="2" customWidth="1"/>
    <col min="1290" max="1291" width="2.140625" style="2" customWidth="1"/>
    <col min="1292" max="1292" width="3.28515625" style="2" customWidth="1"/>
    <col min="1293" max="1294" width="0" style="2" hidden="1" customWidth="1"/>
    <col min="1295" max="1295" width="2.85546875" style="2" customWidth="1"/>
    <col min="1296" max="1296" width="3.28515625" style="2" customWidth="1"/>
    <col min="1297" max="1297" width="1.42578125" style="2" customWidth="1"/>
    <col min="1298" max="1298" width="0" style="2" hidden="1" customWidth="1"/>
    <col min="1299" max="1299" width="6.85546875" style="2" customWidth="1"/>
    <col min="1300" max="1300" width="0" style="2" hidden="1" customWidth="1"/>
    <col min="1301" max="1302" width="6.28515625" style="2" customWidth="1"/>
    <col min="1303" max="1304" width="13.85546875" style="2" customWidth="1"/>
    <col min="1305" max="1305" width="10.85546875" style="2" customWidth="1"/>
    <col min="1306" max="1306" width="14.140625" style="2" customWidth="1"/>
    <col min="1307" max="1307" width="0" style="2" hidden="1" customWidth="1"/>
    <col min="1308" max="1308" width="13" style="2" customWidth="1"/>
    <col min="1309" max="1309" width="13.140625" style="2" customWidth="1"/>
    <col min="1310" max="1311" width="14" style="2" customWidth="1"/>
    <col min="1312" max="1312" width="11.42578125" style="2" customWidth="1"/>
    <col min="1313" max="1313" width="15.85546875" style="2" customWidth="1"/>
    <col min="1314" max="1314" width="23.7109375" style="2" customWidth="1"/>
    <col min="1315" max="1315" width="12" style="2" customWidth="1"/>
    <col min="1316" max="1317" width="0.28515625" style="2" customWidth="1"/>
    <col min="1318" max="1318" width="1.42578125" style="2" customWidth="1"/>
    <col min="1319" max="1319" width="0" style="2" hidden="1" customWidth="1"/>
    <col min="1320" max="1536" width="11.42578125" style="2"/>
    <col min="1537" max="1537" width="10.28515625" style="2" customWidth="1"/>
    <col min="1538" max="1538" width="13.42578125" style="2" customWidth="1"/>
    <col min="1539" max="1539" width="4.28515625" style="2" customWidth="1"/>
    <col min="1540" max="1540" width="4" style="2" customWidth="1"/>
    <col min="1541" max="1541" width="15" style="2" customWidth="1"/>
    <col min="1542" max="1542" width="4.140625" style="2" customWidth="1"/>
    <col min="1543" max="1543" width="11.28515625" style="2" customWidth="1"/>
    <col min="1544" max="1544" width="16.140625" style="2" customWidth="1"/>
    <col min="1545" max="1545" width="11" style="2" customWidth="1"/>
    <col min="1546" max="1547" width="2.140625" style="2" customWidth="1"/>
    <col min="1548" max="1548" width="3.28515625" style="2" customWidth="1"/>
    <col min="1549" max="1550" width="0" style="2" hidden="1" customWidth="1"/>
    <col min="1551" max="1551" width="2.85546875" style="2" customWidth="1"/>
    <col min="1552" max="1552" width="3.28515625" style="2" customWidth="1"/>
    <col min="1553" max="1553" width="1.42578125" style="2" customWidth="1"/>
    <col min="1554" max="1554" width="0" style="2" hidden="1" customWidth="1"/>
    <col min="1555" max="1555" width="6.85546875" style="2" customWidth="1"/>
    <col min="1556" max="1556" width="0" style="2" hidden="1" customWidth="1"/>
    <col min="1557" max="1558" width="6.28515625" style="2" customWidth="1"/>
    <col min="1559" max="1560" width="13.85546875" style="2" customWidth="1"/>
    <col min="1561" max="1561" width="10.85546875" style="2" customWidth="1"/>
    <col min="1562" max="1562" width="14.140625" style="2" customWidth="1"/>
    <col min="1563" max="1563" width="0" style="2" hidden="1" customWidth="1"/>
    <col min="1564" max="1564" width="13" style="2" customWidth="1"/>
    <col min="1565" max="1565" width="13.140625" style="2" customWidth="1"/>
    <col min="1566" max="1567" width="14" style="2" customWidth="1"/>
    <col min="1568" max="1568" width="11.42578125" style="2" customWidth="1"/>
    <col min="1569" max="1569" width="15.85546875" style="2" customWidth="1"/>
    <col min="1570" max="1570" width="23.7109375" style="2" customWidth="1"/>
    <col min="1571" max="1571" width="12" style="2" customWidth="1"/>
    <col min="1572" max="1573" width="0.28515625" style="2" customWidth="1"/>
    <col min="1574" max="1574" width="1.42578125" style="2" customWidth="1"/>
    <col min="1575" max="1575" width="0" style="2" hidden="1" customWidth="1"/>
    <col min="1576" max="1792" width="11.42578125" style="2"/>
    <col min="1793" max="1793" width="10.28515625" style="2" customWidth="1"/>
    <col min="1794" max="1794" width="13.42578125" style="2" customWidth="1"/>
    <col min="1795" max="1795" width="4.28515625" style="2" customWidth="1"/>
    <col min="1796" max="1796" width="4" style="2" customWidth="1"/>
    <col min="1797" max="1797" width="15" style="2" customWidth="1"/>
    <col min="1798" max="1798" width="4.140625" style="2" customWidth="1"/>
    <col min="1799" max="1799" width="11.28515625" style="2" customWidth="1"/>
    <col min="1800" max="1800" width="16.140625" style="2" customWidth="1"/>
    <col min="1801" max="1801" width="11" style="2" customWidth="1"/>
    <col min="1802" max="1803" width="2.140625" style="2" customWidth="1"/>
    <col min="1804" max="1804" width="3.28515625" style="2" customWidth="1"/>
    <col min="1805" max="1806" width="0" style="2" hidden="1" customWidth="1"/>
    <col min="1807" max="1807" width="2.85546875" style="2" customWidth="1"/>
    <col min="1808" max="1808" width="3.28515625" style="2" customWidth="1"/>
    <col min="1809" max="1809" width="1.42578125" style="2" customWidth="1"/>
    <col min="1810" max="1810" width="0" style="2" hidden="1" customWidth="1"/>
    <col min="1811" max="1811" width="6.85546875" style="2" customWidth="1"/>
    <col min="1812" max="1812" width="0" style="2" hidden="1" customWidth="1"/>
    <col min="1813" max="1814" width="6.28515625" style="2" customWidth="1"/>
    <col min="1815" max="1816" width="13.85546875" style="2" customWidth="1"/>
    <col min="1817" max="1817" width="10.85546875" style="2" customWidth="1"/>
    <col min="1818" max="1818" width="14.140625" style="2" customWidth="1"/>
    <col min="1819" max="1819" width="0" style="2" hidden="1" customWidth="1"/>
    <col min="1820" max="1820" width="13" style="2" customWidth="1"/>
    <col min="1821" max="1821" width="13.140625" style="2" customWidth="1"/>
    <col min="1822" max="1823" width="14" style="2" customWidth="1"/>
    <col min="1824" max="1824" width="11.42578125" style="2" customWidth="1"/>
    <col min="1825" max="1825" width="15.85546875" style="2" customWidth="1"/>
    <col min="1826" max="1826" width="23.7109375" style="2" customWidth="1"/>
    <col min="1827" max="1827" width="12" style="2" customWidth="1"/>
    <col min="1828" max="1829" width="0.28515625" style="2" customWidth="1"/>
    <col min="1830" max="1830" width="1.42578125" style="2" customWidth="1"/>
    <col min="1831" max="1831" width="0" style="2" hidden="1" customWidth="1"/>
    <col min="1832" max="2048" width="11.42578125" style="2"/>
    <col min="2049" max="2049" width="10.28515625" style="2" customWidth="1"/>
    <col min="2050" max="2050" width="13.42578125" style="2" customWidth="1"/>
    <col min="2051" max="2051" width="4.28515625" style="2" customWidth="1"/>
    <col min="2052" max="2052" width="4" style="2" customWidth="1"/>
    <col min="2053" max="2053" width="15" style="2" customWidth="1"/>
    <col min="2054" max="2054" width="4.140625" style="2" customWidth="1"/>
    <col min="2055" max="2055" width="11.28515625" style="2" customWidth="1"/>
    <col min="2056" max="2056" width="16.140625" style="2" customWidth="1"/>
    <col min="2057" max="2057" width="11" style="2" customWidth="1"/>
    <col min="2058" max="2059" width="2.140625" style="2" customWidth="1"/>
    <col min="2060" max="2060" width="3.28515625" style="2" customWidth="1"/>
    <col min="2061" max="2062" width="0" style="2" hidden="1" customWidth="1"/>
    <col min="2063" max="2063" width="2.85546875" style="2" customWidth="1"/>
    <col min="2064" max="2064" width="3.28515625" style="2" customWidth="1"/>
    <col min="2065" max="2065" width="1.42578125" style="2" customWidth="1"/>
    <col min="2066" max="2066" width="0" style="2" hidden="1" customWidth="1"/>
    <col min="2067" max="2067" width="6.85546875" style="2" customWidth="1"/>
    <col min="2068" max="2068" width="0" style="2" hidden="1" customWidth="1"/>
    <col min="2069" max="2070" width="6.28515625" style="2" customWidth="1"/>
    <col min="2071" max="2072" width="13.85546875" style="2" customWidth="1"/>
    <col min="2073" max="2073" width="10.85546875" style="2" customWidth="1"/>
    <col min="2074" max="2074" width="14.140625" style="2" customWidth="1"/>
    <col min="2075" max="2075" width="0" style="2" hidden="1" customWidth="1"/>
    <col min="2076" max="2076" width="13" style="2" customWidth="1"/>
    <col min="2077" max="2077" width="13.140625" style="2" customWidth="1"/>
    <col min="2078" max="2079" width="14" style="2" customWidth="1"/>
    <col min="2080" max="2080" width="11.42578125" style="2" customWidth="1"/>
    <col min="2081" max="2081" width="15.85546875" style="2" customWidth="1"/>
    <col min="2082" max="2082" width="23.7109375" style="2" customWidth="1"/>
    <col min="2083" max="2083" width="12" style="2" customWidth="1"/>
    <col min="2084" max="2085" width="0.28515625" style="2" customWidth="1"/>
    <col min="2086" max="2086" width="1.42578125" style="2" customWidth="1"/>
    <col min="2087" max="2087" width="0" style="2" hidden="1" customWidth="1"/>
    <col min="2088" max="2304" width="11.42578125" style="2"/>
    <col min="2305" max="2305" width="10.28515625" style="2" customWidth="1"/>
    <col min="2306" max="2306" width="13.42578125" style="2" customWidth="1"/>
    <col min="2307" max="2307" width="4.28515625" style="2" customWidth="1"/>
    <col min="2308" max="2308" width="4" style="2" customWidth="1"/>
    <col min="2309" max="2309" width="15" style="2" customWidth="1"/>
    <col min="2310" max="2310" width="4.140625" style="2" customWidth="1"/>
    <col min="2311" max="2311" width="11.28515625" style="2" customWidth="1"/>
    <col min="2312" max="2312" width="16.140625" style="2" customWidth="1"/>
    <col min="2313" max="2313" width="11" style="2" customWidth="1"/>
    <col min="2314" max="2315" width="2.140625" style="2" customWidth="1"/>
    <col min="2316" max="2316" width="3.28515625" style="2" customWidth="1"/>
    <col min="2317" max="2318" width="0" style="2" hidden="1" customWidth="1"/>
    <col min="2319" max="2319" width="2.85546875" style="2" customWidth="1"/>
    <col min="2320" max="2320" width="3.28515625" style="2" customWidth="1"/>
    <col min="2321" max="2321" width="1.42578125" style="2" customWidth="1"/>
    <col min="2322" max="2322" width="0" style="2" hidden="1" customWidth="1"/>
    <col min="2323" max="2323" width="6.85546875" style="2" customWidth="1"/>
    <col min="2324" max="2324" width="0" style="2" hidden="1" customWidth="1"/>
    <col min="2325" max="2326" width="6.28515625" style="2" customWidth="1"/>
    <col min="2327" max="2328" width="13.85546875" style="2" customWidth="1"/>
    <col min="2329" max="2329" width="10.85546875" style="2" customWidth="1"/>
    <col min="2330" max="2330" width="14.140625" style="2" customWidth="1"/>
    <col min="2331" max="2331" width="0" style="2" hidden="1" customWidth="1"/>
    <col min="2332" max="2332" width="13" style="2" customWidth="1"/>
    <col min="2333" max="2333" width="13.140625" style="2" customWidth="1"/>
    <col min="2334" max="2335" width="14" style="2" customWidth="1"/>
    <col min="2336" max="2336" width="11.42578125" style="2" customWidth="1"/>
    <col min="2337" max="2337" width="15.85546875" style="2" customWidth="1"/>
    <col min="2338" max="2338" width="23.7109375" style="2" customWidth="1"/>
    <col min="2339" max="2339" width="12" style="2" customWidth="1"/>
    <col min="2340" max="2341" width="0.28515625" style="2" customWidth="1"/>
    <col min="2342" max="2342" width="1.42578125" style="2" customWidth="1"/>
    <col min="2343" max="2343" width="0" style="2" hidden="1" customWidth="1"/>
    <col min="2344" max="2560" width="11.42578125" style="2"/>
    <col min="2561" max="2561" width="10.28515625" style="2" customWidth="1"/>
    <col min="2562" max="2562" width="13.42578125" style="2" customWidth="1"/>
    <col min="2563" max="2563" width="4.28515625" style="2" customWidth="1"/>
    <col min="2564" max="2564" width="4" style="2" customWidth="1"/>
    <col min="2565" max="2565" width="15" style="2" customWidth="1"/>
    <col min="2566" max="2566" width="4.140625" style="2" customWidth="1"/>
    <col min="2567" max="2567" width="11.28515625" style="2" customWidth="1"/>
    <col min="2568" max="2568" width="16.140625" style="2" customWidth="1"/>
    <col min="2569" max="2569" width="11" style="2" customWidth="1"/>
    <col min="2570" max="2571" width="2.140625" style="2" customWidth="1"/>
    <col min="2572" max="2572" width="3.28515625" style="2" customWidth="1"/>
    <col min="2573" max="2574" width="0" style="2" hidden="1" customWidth="1"/>
    <col min="2575" max="2575" width="2.85546875" style="2" customWidth="1"/>
    <col min="2576" max="2576" width="3.28515625" style="2" customWidth="1"/>
    <col min="2577" max="2577" width="1.42578125" style="2" customWidth="1"/>
    <col min="2578" max="2578" width="0" style="2" hidden="1" customWidth="1"/>
    <col min="2579" max="2579" width="6.85546875" style="2" customWidth="1"/>
    <col min="2580" max="2580" width="0" style="2" hidden="1" customWidth="1"/>
    <col min="2581" max="2582" width="6.28515625" style="2" customWidth="1"/>
    <col min="2583" max="2584" width="13.85546875" style="2" customWidth="1"/>
    <col min="2585" max="2585" width="10.85546875" style="2" customWidth="1"/>
    <col min="2586" max="2586" width="14.140625" style="2" customWidth="1"/>
    <col min="2587" max="2587" width="0" style="2" hidden="1" customWidth="1"/>
    <col min="2588" max="2588" width="13" style="2" customWidth="1"/>
    <col min="2589" max="2589" width="13.140625" style="2" customWidth="1"/>
    <col min="2590" max="2591" width="14" style="2" customWidth="1"/>
    <col min="2592" max="2592" width="11.42578125" style="2" customWidth="1"/>
    <col min="2593" max="2593" width="15.85546875" style="2" customWidth="1"/>
    <col min="2594" max="2594" width="23.7109375" style="2" customWidth="1"/>
    <col min="2595" max="2595" width="12" style="2" customWidth="1"/>
    <col min="2596" max="2597" width="0.28515625" style="2" customWidth="1"/>
    <col min="2598" max="2598" width="1.42578125" style="2" customWidth="1"/>
    <col min="2599" max="2599" width="0" style="2" hidden="1" customWidth="1"/>
    <col min="2600" max="2816" width="11.42578125" style="2"/>
    <col min="2817" max="2817" width="10.28515625" style="2" customWidth="1"/>
    <col min="2818" max="2818" width="13.42578125" style="2" customWidth="1"/>
    <col min="2819" max="2819" width="4.28515625" style="2" customWidth="1"/>
    <col min="2820" max="2820" width="4" style="2" customWidth="1"/>
    <col min="2821" max="2821" width="15" style="2" customWidth="1"/>
    <col min="2822" max="2822" width="4.140625" style="2" customWidth="1"/>
    <col min="2823" max="2823" width="11.28515625" style="2" customWidth="1"/>
    <col min="2824" max="2824" width="16.140625" style="2" customWidth="1"/>
    <col min="2825" max="2825" width="11" style="2" customWidth="1"/>
    <col min="2826" max="2827" width="2.140625" style="2" customWidth="1"/>
    <col min="2828" max="2828" width="3.28515625" style="2" customWidth="1"/>
    <col min="2829" max="2830" width="0" style="2" hidden="1" customWidth="1"/>
    <col min="2831" max="2831" width="2.85546875" style="2" customWidth="1"/>
    <col min="2832" max="2832" width="3.28515625" style="2" customWidth="1"/>
    <col min="2833" max="2833" width="1.42578125" style="2" customWidth="1"/>
    <col min="2834" max="2834" width="0" style="2" hidden="1" customWidth="1"/>
    <col min="2835" max="2835" width="6.85546875" style="2" customWidth="1"/>
    <col min="2836" max="2836" width="0" style="2" hidden="1" customWidth="1"/>
    <col min="2837" max="2838" width="6.28515625" style="2" customWidth="1"/>
    <col min="2839" max="2840" width="13.85546875" style="2" customWidth="1"/>
    <col min="2841" max="2841" width="10.85546875" style="2" customWidth="1"/>
    <col min="2842" max="2842" width="14.140625" style="2" customWidth="1"/>
    <col min="2843" max="2843" width="0" style="2" hidden="1" customWidth="1"/>
    <col min="2844" max="2844" width="13" style="2" customWidth="1"/>
    <col min="2845" max="2845" width="13.140625" style="2" customWidth="1"/>
    <col min="2846" max="2847" width="14" style="2" customWidth="1"/>
    <col min="2848" max="2848" width="11.42578125" style="2" customWidth="1"/>
    <col min="2849" max="2849" width="15.85546875" style="2" customWidth="1"/>
    <col min="2850" max="2850" width="23.7109375" style="2" customWidth="1"/>
    <col min="2851" max="2851" width="12" style="2" customWidth="1"/>
    <col min="2852" max="2853" width="0.28515625" style="2" customWidth="1"/>
    <col min="2854" max="2854" width="1.42578125" style="2" customWidth="1"/>
    <col min="2855" max="2855" width="0" style="2" hidden="1" customWidth="1"/>
    <col min="2856" max="3072" width="11.42578125" style="2"/>
    <col min="3073" max="3073" width="10.28515625" style="2" customWidth="1"/>
    <col min="3074" max="3074" width="13.42578125" style="2" customWidth="1"/>
    <col min="3075" max="3075" width="4.28515625" style="2" customWidth="1"/>
    <col min="3076" max="3076" width="4" style="2" customWidth="1"/>
    <col min="3077" max="3077" width="15" style="2" customWidth="1"/>
    <col min="3078" max="3078" width="4.140625" style="2" customWidth="1"/>
    <col min="3079" max="3079" width="11.28515625" style="2" customWidth="1"/>
    <col min="3080" max="3080" width="16.140625" style="2" customWidth="1"/>
    <col min="3081" max="3081" width="11" style="2" customWidth="1"/>
    <col min="3082" max="3083" width="2.140625" style="2" customWidth="1"/>
    <col min="3084" max="3084" width="3.28515625" style="2" customWidth="1"/>
    <col min="3085" max="3086" width="0" style="2" hidden="1" customWidth="1"/>
    <col min="3087" max="3087" width="2.85546875" style="2" customWidth="1"/>
    <col min="3088" max="3088" width="3.28515625" style="2" customWidth="1"/>
    <col min="3089" max="3089" width="1.42578125" style="2" customWidth="1"/>
    <col min="3090" max="3090" width="0" style="2" hidden="1" customWidth="1"/>
    <col min="3091" max="3091" width="6.85546875" style="2" customWidth="1"/>
    <col min="3092" max="3092" width="0" style="2" hidden="1" customWidth="1"/>
    <col min="3093" max="3094" width="6.28515625" style="2" customWidth="1"/>
    <col min="3095" max="3096" width="13.85546875" style="2" customWidth="1"/>
    <col min="3097" max="3097" width="10.85546875" style="2" customWidth="1"/>
    <col min="3098" max="3098" width="14.140625" style="2" customWidth="1"/>
    <col min="3099" max="3099" width="0" style="2" hidden="1" customWidth="1"/>
    <col min="3100" max="3100" width="13" style="2" customWidth="1"/>
    <col min="3101" max="3101" width="13.140625" style="2" customWidth="1"/>
    <col min="3102" max="3103" width="14" style="2" customWidth="1"/>
    <col min="3104" max="3104" width="11.42578125" style="2" customWidth="1"/>
    <col min="3105" max="3105" width="15.85546875" style="2" customWidth="1"/>
    <col min="3106" max="3106" width="23.7109375" style="2" customWidth="1"/>
    <col min="3107" max="3107" width="12" style="2" customWidth="1"/>
    <col min="3108" max="3109" width="0.28515625" style="2" customWidth="1"/>
    <col min="3110" max="3110" width="1.42578125" style="2" customWidth="1"/>
    <col min="3111" max="3111" width="0" style="2" hidden="1" customWidth="1"/>
    <col min="3112" max="3328" width="11.42578125" style="2"/>
    <col min="3329" max="3329" width="10.28515625" style="2" customWidth="1"/>
    <col min="3330" max="3330" width="13.42578125" style="2" customWidth="1"/>
    <col min="3331" max="3331" width="4.28515625" style="2" customWidth="1"/>
    <col min="3332" max="3332" width="4" style="2" customWidth="1"/>
    <col min="3333" max="3333" width="15" style="2" customWidth="1"/>
    <col min="3334" max="3334" width="4.140625" style="2" customWidth="1"/>
    <col min="3335" max="3335" width="11.28515625" style="2" customWidth="1"/>
    <col min="3336" max="3336" width="16.140625" style="2" customWidth="1"/>
    <col min="3337" max="3337" width="11" style="2" customWidth="1"/>
    <col min="3338" max="3339" width="2.140625" style="2" customWidth="1"/>
    <col min="3340" max="3340" width="3.28515625" style="2" customWidth="1"/>
    <col min="3341" max="3342" width="0" style="2" hidden="1" customWidth="1"/>
    <col min="3343" max="3343" width="2.85546875" style="2" customWidth="1"/>
    <col min="3344" max="3344" width="3.28515625" style="2" customWidth="1"/>
    <col min="3345" max="3345" width="1.42578125" style="2" customWidth="1"/>
    <col min="3346" max="3346" width="0" style="2" hidden="1" customWidth="1"/>
    <col min="3347" max="3347" width="6.85546875" style="2" customWidth="1"/>
    <col min="3348" max="3348" width="0" style="2" hidden="1" customWidth="1"/>
    <col min="3349" max="3350" width="6.28515625" style="2" customWidth="1"/>
    <col min="3351" max="3352" width="13.85546875" style="2" customWidth="1"/>
    <col min="3353" max="3353" width="10.85546875" style="2" customWidth="1"/>
    <col min="3354" max="3354" width="14.140625" style="2" customWidth="1"/>
    <col min="3355" max="3355" width="0" style="2" hidden="1" customWidth="1"/>
    <col min="3356" max="3356" width="13" style="2" customWidth="1"/>
    <col min="3357" max="3357" width="13.140625" style="2" customWidth="1"/>
    <col min="3358" max="3359" width="14" style="2" customWidth="1"/>
    <col min="3360" max="3360" width="11.42578125" style="2" customWidth="1"/>
    <col min="3361" max="3361" width="15.85546875" style="2" customWidth="1"/>
    <col min="3362" max="3362" width="23.7109375" style="2" customWidth="1"/>
    <col min="3363" max="3363" width="12" style="2" customWidth="1"/>
    <col min="3364" max="3365" width="0.28515625" style="2" customWidth="1"/>
    <col min="3366" max="3366" width="1.42578125" style="2" customWidth="1"/>
    <col min="3367" max="3367" width="0" style="2" hidden="1" customWidth="1"/>
    <col min="3368" max="3584" width="11.42578125" style="2"/>
    <col min="3585" max="3585" width="10.28515625" style="2" customWidth="1"/>
    <col min="3586" max="3586" width="13.42578125" style="2" customWidth="1"/>
    <col min="3587" max="3587" width="4.28515625" style="2" customWidth="1"/>
    <col min="3588" max="3588" width="4" style="2" customWidth="1"/>
    <col min="3589" max="3589" width="15" style="2" customWidth="1"/>
    <col min="3590" max="3590" width="4.140625" style="2" customWidth="1"/>
    <col min="3591" max="3591" width="11.28515625" style="2" customWidth="1"/>
    <col min="3592" max="3592" width="16.140625" style="2" customWidth="1"/>
    <col min="3593" max="3593" width="11" style="2" customWidth="1"/>
    <col min="3594" max="3595" width="2.140625" style="2" customWidth="1"/>
    <col min="3596" max="3596" width="3.28515625" style="2" customWidth="1"/>
    <col min="3597" max="3598" width="0" style="2" hidden="1" customWidth="1"/>
    <col min="3599" max="3599" width="2.85546875" style="2" customWidth="1"/>
    <col min="3600" max="3600" width="3.28515625" style="2" customWidth="1"/>
    <col min="3601" max="3601" width="1.42578125" style="2" customWidth="1"/>
    <col min="3602" max="3602" width="0" style="2" hidden="1" customWidth="1"/>
    <col min="3603" max="3603" width="6.85546875" style="2" customWidth="1"/>
    <col min="3604" max="3604" width="0" style="2" hidden="1" customWidth="1"/>
    <col min="3605" max="3606" width="6.28515625" style="2" customWidth="1"/>
    <col min="3607" max="3608" width="13.85546875" style="2" customWidth="1"/>
    <col min="3609" max="3609" width="10.85546875" style="2" customWidth="1"/>
    <col min="3610" max="3610" width="14.140625" style="2" customWidth="1"/>
    <col min="3611" max="3611" width="0" style="2" hidden="1" customWidth="1"/>
    <col min="3612" max="3612" width="13" style="2" customWidth="1"/>
    <col min="3613" max="3613" width="13.140625" style="2" customWidth="1"/>
    <col min="3614" max="3615" width="14" style="2" customWidth="1"/>
    <col min="3616" max="3616" width="11.42578125" style="2" customWidth="1"/>
    <col min="3617" max="3617" width="15.85546875" style="2" customWidth="1"/>
    <col min="3618" max="3618" width="23.7109375" style="2" customWidth="1"/>
    <col min="3619" max="3619" width="12" style="2" customWidth="1"/>
    <col min="3620" max="3621" width="0.28515625" style="2" customWidth="1"/>
    <col min="3622" max="3622" width="1.42578125" style="2" customWidth="1"/>
    <col min="3623" max="3623" width="0" style="2" hidden="1" customWidth="1"/>
    <col min="3624" max="3840" width="11.42578125" style="2"/>
    <col min="3841" max="3841" width="10.28515625" style="2" customWidth="1"/>
    <col min="3842" max="3842" width="13.42578125" style="2" customWidth="1"/>
    <col min="3843" max="3843" width="4.28515625" style="2" customWidth="1"/>
    <col min="3844" max="3844" width="4" style="2" customWidth="1"/>
    <col min="3845" max="3845" width="15" style="2" customWidth="1"/>
    <col min="3846" max="3846" width="4.140625" style="2" customWidth="1"/>
    <col min="3847" max="3847" width="11.28515625" style="2" customWidth="1"/>
    <col min="3848" max="3848" width="16.140625" style="2" customWidth="1"/>
    <col min="3849" max="3849" width="11" style="2" customWidth="1"/>
    <col min="3850" max="3851" width="2.140625" style="2" customWidth="1"/>
    <col min="3852" max="3852" width="3.28515625" style="2" customWidth="1"/>
    <col min="3853" max="3854" width="0" style="2" hidden="1" customWidth="1"/>
    <col min="3855" max="3855" width="2.85546875" style="2" customWidth="1"/>
    <col min="3856" max="3856" width="3.28515625" style="2" customWidth="1"/>
    <col min="3857" max="3857" width="1.42578125" style="2" customWidth="1"/>
    <col min="3858" max="3858" width="0" style="2" hidden="1" customWidth="1"/>
    <col min="3859" max="3859" width="6.85546875" style="2" customWidth="1"/>
    <col min="3860" max="3860" width="0" style="2" hidden="1" customWidth="1"/>
    <col min="3861" max="3862" width="6.28515625" style="2" customWidth="1"/>
    <col min="3863" max="3864" width="13.85546875" style="2" customWidth="1"/>
    <col min="3865" max="3865" width="10.85546875" style="2" customWidth="1"/>
    <col min="3866" max="3866" width="14.140625" style="2" customWidth="1"/>
    <col min="3867" max="3867" width="0" style="2" hidden="1" customWidth="1"/>
    <col min="3868" max="3868" width="13" style="2" customWidth="1"/>
    <col min="3869" max="3869" width="13.140625" style="2" customWidth="1"/>
    <col min="3870" max="3871" width="14" style="2" customWidth="1"/>
    <col min="3872" max="3872" width="11.42578125" style="2" customWidth="1"/>
    <col min="3873" max="3873" width="15.85546875" style="2" customWidth="1"/>
    <col min="3874" max="3874" width="23.7109375" style="2" customWidth="1"/>
    <col min="3875" max="3875" width="12" style="2" customWidth="1"/>
    <col min="3876" max="3877" width="0.28515625" style="2" customWidth="1"/>
    <col min="3878" max="3878" width="1.42578125" style="2" customWidth="1"/>
    <col min="3879" max="3879" width="0" style="2" hidden="1" customWidth="1"/>
    <col min="3880" max="4096" width="11.42578125" style="2"/>
    <col min="4097" max="4097" width="10.28515625" style="2" customWidth="1"/>
    <col min="4098" max="4098" width="13.42578125" style="2" customWidth="1"/>
    <col min="4099" max="4099" width="4.28515625" style="2" customWidth="1"/>
    <col min="4100" max="4100" width="4" style="2" customWidth="1"/>
    <col min="4101" max="4101" width="15" style="2" customWidth="1"/>
    <col min="4102" max="4102" width="4.140625" style="2" customWidth="1"/>
    <col min="4103" max="4103" width="11.28515625" style="2" customWidth="1"/>
    <col min="4104" max="4104" width="16.140625" style="2" customWidth="1"/>
    <col min="4105" max="4105" width="11" style="2" customWidth="1"/>
    <col min="4106" max="4107" width="2.140625" style="2" customWidth="1"/>
    <col min="4108" max="4108" width="3.28515625" style="2" customWidth="1"/>
    <col min="4109" max="4110" width="0" style="2" hidden="1" customWidth="1"/>
    <col min="4111" max="4111" width="2.85546875" style="2" customWidth="1"/>
    <col min="4112" max="4112" width="3.28515625" style="2" customWidth="1"/>
    <col min="4113" max="4113" width="1.42578125" style="2" customWidth="1"/>
    <col min="4114" max="4114" width="0" style="2" hidden="1" customWidth="1"/>
    <col min="4115" max="4115" width="6.85546875" style="2" customWidth="1"/>
    <col min="4116" max="4116" width="0" style="2" hidden="1" customWidth="1"/>
    <col min="4117" max="4118" width="6.28515625" style="2" customWidth="1"/>
    <col min="4119" max="4120" width="13.85546875" style="2" customWidth="1"/>
    <col min="4121" max="4121" width="10.85546875" style="2" customWidth="1"/>
    <col min="4122" max="4122" width="14.140625" style="2" customWidth="1"/>
    <col min="4123" max="4123" width="0" style="2" hidden="1" customWidth="1"/>
    <col min="4124" max="4124" width="13" style="2" customWidth="1"/>
    <col min="4125" max="4125" width="13.140625" style="2" customWidth="1"/>
    <col min="4126" max="4127" width="14" style="2" customWidth="1"/>
    <col min="4128" max="4128" width="11.42578125" style="2" customWidth="1"/>
    <col min="4129" max="4129" width="15.85546875" style="2" customWidth="1"/>
    <col min="4130" max="4130" width="23.7109375" style="2" customWidth="1"/>
    <col min="4131" max="4131" width="12" style="2" customWidth="1"/>
    <col min="4132" max="4133" width="0.28515625" style="2" customWidth="1"/>
    <col min="4134" max="4134" width="1.42578125" style="2" customWidth="1"/>
    <col min="4135" max="4135" width="0" style="2" hidden="1" customWidth="1"/>
    <col min="4136" max="4352" width="11.42578125" style="2"/>
    <col min="4353" max="4353" width="10.28515625" style="2" customWidth="1"/>
    <col min="4354" max="4354" width="13.42578125" style="2" customWidth="1"/>
    <col min="4355" max="4355" width="4.28515625" style="2" customWidth="1"/>
    <col min="4356" max="4356" width="4" style="2" customWidth="1"/>
    <col min="4357" max="4357" width="15" style="2" customWidth="1"/>
    <col min="4358" max="4358" width="4.140625" style="2" customWidth="1"/>
    <col min="4359" max="4359" width="11.28515625" style="2" customWidth="1"/>
    <col min="4360" max="4360" width="16.140625" style="2" customWidth="1"/>
    <col min="4361" max="4361" width="11" style="2" customWidth="1"/>
    <col min="4362" max="4363" width="2.140625" style="2" customWidth="1"/>
    <col min="4364" max="4364" width="3.28515625" style="2" customWidth="1"/>
    <col min="4365" max="4366" width="0" style="2" hidden="1" customWidth="1"/>
    <col min="4367" max="4367" width="2.85546875" style="2" customWidth="1"/>
    <col min="4368" max="4368" width="3.28515625" style="2" customWidth="1"/>
    <col min="4369" max="4369" width="1.42578125" style="2" customWidth="1"/>
    <col min="4370" max="4370" width="0" style="2" hidden="1" customWidth="1"/>
    <col min="4371" max="4371" width="6.85546875" style="2" customWidth="1"/>
    <col min="4372" max="4372" width="0" style="2" hidden="1" customWidth="1"/>
    <col min="4373" max="4374" width="6.28515625" style="2" customWidth="1"/>
    <col min="4375" max="4376" width="13.85546875" style="2" customWidth="1"/>
    <col min="4377" max="4377" width="10.85546875" style="2" customWidth="1"/>
    <col min="4378" max="4378" width="14.140625" style="2" customWidth="1"/>
    <col min="4379" max="4379" width="0" style="2" hidden="1" customWidth="1"/>
    <col min="4380" max="4380" width="13" style="2" customWidth="1"/>
    <col min="4381" max="4381" width="13.140625" style="2" customWidth="1"/>
    <col min="4382" max="4383" width="14" style="2" customWidth="1"/>
    <col min="4384" max="4384" width="11.42578125" style="2" customWidth="1"/>
    <col min="4385" max="4385" width="15.85546875" style="2" customWidth="1"/>
    <col min="4386" max="4386" width="23.7109375" style="2" customWidth="1"/>
    <col min="4387" max="4387" width="12" style="2" customWidth="1"/>
    <col min="4388" max="4389" width="0.28515625" style="2" customWidth="1"/>
    <col min="4390" max="4390" width="1.42578125" style="2" customWidth="1"/>
    <col min="4391" max="4391" width="0" style="2" hidden="1" customWidth="1"/>
    <col min="4392" max="4608" width="11.42578125" style="2"/>
    <col min="4609" max="4609" width="10.28515625" style="2" customWidth="1"/>
    <col min="4610" max="4610" width="13.42578125" style="2" customWidth="1"/>
    <col min="4611" max="4611" width="4.28515625" style="2" customWidth="1"/>
    <col min="4612" max="4612" width="4" style="2" customWidth="1"/>
    <col min="4613" max="4613" width="15" style="2" customWidth="1"/>
    <col min="4614" max="4614" width="4.140625" style="2" customWidth="1"/>
    <col min="4615" max="4615" width="11.28515625" style="2" customWidth="1"/>
    <col min="4616" max="4616" width="16.140625" style="2" customWidth="1"/>
    <col min="4617" max="4617" width="11" style="2" customWidth="1"/>
    <col min="4618" max="4619" width="2.140625" style="2" customWidth="1"/>
    <col min="4620" max="4620" width="3.28515625" style="2" customWidth="1"/>
    <col min="4621" max="4622" width="0" style="2" hidden="1" customWidth="1"/>
    <col min="4623" max="4623" width="2.85546875" style="2" customWidth="1"/>
    <col min="4624" max="4624" width="3.28515625" style="2" customWidth="1"/>
    <col min="4625" max="4625" width="1.42578125" style="2" customWidth="1"/>
    <col min="4626" max="4626" width="0" style="2" hidden="1" customWidth="1"/>
    <col min="4627" max="4627" width="6.85546875" style="2" customWidth="1"/>
    <col min="4628" max="4628" width="0" style="2" hidden="1" customWidth="1"/>
    <col min="4629" max="4630" width="6.28515625" style="2" customWidth="1"/>
    <col min="4631" max="4632" width="13.85546875" style="2" customWidth="1"/>
    <col min="4633" max="4633" width="10.85546875" style="2" customWidth="1"/>
    <col min="4634" max="4634" width="14.140625" style="2" customWidth="1"/>
    <col min="4635" max="4635" width="0" style="2" hidden="1" customWidth="1"/>
    <col min="4636" max="4636" width="13" style="2" customWidth="1"/>
    <col min="4637" max="4637" width="13.140625" style="2" customWidth="1"/>
    <col min="4638" max="4639" width="14" style="2" customWidth="1"/>
    <col min="4640" max="4640" width="11.42578125" style="2" customWidth="1"/>
    <col min="4641" max="4641" width="15.85546875" style="2" customWidth="1"/>
    <col min="4642" max="4642" width="23.7109375" style="2" customWidth="1"/>
    <col min="4643" max="4643" width="12" style="2" customWidth="1"/>
    <col min="4644" max="4645" width="0.28515625" style="2" customWidth="1"/>
    <col min="4646" max="4646" width="1.42578125" style="2" customWidth="1"/>
    <col min="4647" max="4647" width="0" style="2" hidden="1" customWidth="1"/>
    <col min="4648" max="4864" width="11.42578125" style="2"/>
    <col min="4865" max="4865" width="10.28515625" style="2" customWidth="1"/>
    <col min="4866" max="4866" width="13.42578125" style="2" customWidth="1"/>
    <col min="4867" max="4867" width="4.28515625" style="2" customWidth="1"/>
    <col min="4868" max="4868" width="4" style="2" customWidth="1"/>
    <col min="4869" max="4869" width="15" style="2" customWidth="1"/>
    <col min="4870" max="4870" width="4.140625" style="2" customWidth="1"/>
    <col min="4871" max="4871" width="11.28515625" style="2" customWidth="1"/>
    <col min="4872" max="4872" width="16.140625" style="2" customWidth="1"/>
    <col min="4873" max="4873" width="11" style="2" customWidth="1"/>
    <col min="4874" max="4875" width="2.140625" style="2" customWidth="1"/>
    <col min="4876" max="4876" width="3.28515625" style="2" customWidth="1"/>
    <col min="4877" max="4878" width="0" style="2" hidden="1" customWidth="1"/>
    <col min="4879" max="4879" width="2.85546875" style="2" customWidth="1"/>
    <col min="4880" max="4880" width="3.28515625" style="2" customWidth="1"/>
    <col min="4881" max="4881" width="1.42578125" style="2" customWidth="1"/>
    <col min="4882" max="4882" width="0" style="2" hidden="1" customWidth="1"/>
    <col min="4883" max="4883" width="6.85546875" style="2" customWidth="1"/>
    <col min="4884" max="4884" width="0" style="2" hidden="1" customWidth="1"/>
    <col min="4885" max="4886" width="6.28515625" style="2" customWidth="1"/>
    <col min="4887" max="4888" width="13.85546875" style="2" customWidth="1"/>
    <col min="4889" max="4889" width="10.85546875" style="2" customWidth="1"/>
    <col min="4890" max="4890" width="14.140625" style="2" customWidth="1"/>
    <col min="4891" max="4891" width="0" style="2" hidden="1" customWidth="1"/>
    <col min="4892" max="4892" width="13" style="2" customWidth="1"/>
    <col min="4893" max="4893" width="13.140625" style="2" customWidth="1"/>
    <col min="4894" max="4895" width="14" style="2" customWidth="1"/>
    <col min="4896" max="4896" width="11.42578125" style="2" customWidth="1"/>
    <col min="4897" max="4897" width="15.85546875" style="2" customWidth="1"/>
    <col min="4898" max="4898" width="23.7109375" style="2" customWidth="1"/>
    <col min="4899" max="4899" width="12" style="2" customWidth="1"/>
    <col min="4900" max="4901" width="0.28515625" style="2" customWidth="1"/>
    <col min="4902" max="4902" width="1.42578125" style="2" customWidth="1"/>
    <col min="4903" max="4903" width="0" style="2" hidden="1" customWidth="1"/>
    <col min="4904" max="5120" width="11.42578125" style="2"/>
    <col min="5121" max="5121" width="10.28515625" style="2" customWidth="1"/>
    <col min="5122" max="5122" width="13.42578125" style="2" customWidth="1"/>
    <col min="5123" max="5123" width="4.28515625" style="2" customWidth="1"/>
    <col min="5124" max="5124" width="4" style="2" customWidth="1"/>
    <col min="5125" max="5125" width="15" style="2" customWidth="1"/>
    <col min="5126" max="5126" width="4.140625" style="2" customWidth="1"/>
    <col min="5127" max="5127" width="11.28515625" style="2" customWidth="1"/>
    <col min="5128" max="5128" width="16.140625" style="2" customWidth="1"/>
    <col min="5129" max="5129" width="11" style="2" customWidth="1"/>
    <col min="5130" max="5131" width="2.140625" style="2" customWidth="1"/>
    <col min="5132" max="5132" width="3.28515625" style="2" customWidth="1"/>
    <col min="5133" max="5134" width="0" style="2" hidden="1" customWidth="1"/>
    <col min="5135" max="5135" width="2.85546875" style="2" customWidth="1"/>
    <col min="5136" max="5136" width="3.28515625" style="2" customWidth="1"/>
    <col min="5137" max="5137" width="1.42578125" style="2" customWidth="1"/>
    <col min="5138" max="5138" width="0" style="2" hidden="1" customWidth="1"/>
    <col min="5139" max="5139" width="6.85546875" style="2" customWidth="1"/>
    <col min="5140" max="5140" width="0" style="2" hidden="1" customWidth="1"/>
    <col min="5141" max="5142" width="6.28515625" style="2" customWidth="1"/>
    <col min="5143" max="5144" width="13.85546875" style="2" customWidth="1"/>
    <col min="5145" max="5145" width="10.85546875" style="2" customWidth="1"/>
    <col min="5146" max="5146" width="14.140625" style="2" customWidth="1"/>
    <col min="5147" max="5147" width="0" style="2" hidden="1" customWidth="1"/>
    <col min="5148" max="5148" width="13" style="2" customWidth="1"/>
    <col min="5149" max="5149" width="13.140625" style="2" customWidth="1"/>
    <col min="5150" max="5151" width="14" style="2" customWidth="1"/>
    <col min="5152" max="5152" width="11.42578125" style="2" customWidth="1"/>
    <col min="5153" max="5153" width="15.85546875" style="2" customWidth="1"/>
    <col min="5154" max="5154" width="23.7109375" style="2" customWidth="1"/>
    <col min="5155" max="5155" width="12" style="2" customWidth="1"/>
    <col min="5156" max="5157" width="0.28515625" style="2" customWidth="1"/>
    <col min="5158" max="5158" width="1.42578125" style="2" customWidth="1"/>
    <col min="5159" max="5159" width="0" style="2" hidden="1" customWidth="1"/>
    <col min="5160" max="5376" width="11.42578125" style="2"/>
    <col min="5377" max="5377" width="10.28515625" style="2" customWidth="1"/>
    <col min="5378" max="5378" width="13.42578125" style="2" customWidth="1"/>
    <col min="5379" max="5379" width="4.28515625" style="2" customWidth="1"/>
    <col min="5380" max="5380" width="4" style="2" customWidth="1"/>
    <col min="5381" max="5381" width="15" style="2" customWidth="1"/>
    <col min="5382" max="5382" width="4.140625" style="2" customWidth="1"/>
    <col min="5383" max="5383" width="11.28515625" style="2" customWidth="1"/>
    <col min="5384" max="5384" width="16.140625" style="2" customWidth="1"/>
    <col min="5385" max="5385" width="11" style="2" customWidth="1"/>
    <col min="5386" max="5387" width="2.140625" style="2" customWidth="1"/>
    <col min="5388" max="5388" width="3.28515625" style="2" customWidth="1"/>
    <col min="5389" max="5390" width="0" style="2" hidden="1" customWidth="1"/>
    <col min="5391" max="5391" width="2.85546875" style="2" customWidth="1"/>
    <col min="5392" max="5392" width="3.28515625" style="2" customWidth="1"/>
    <col min="5393" max="5393" width="1.42578125" style="2" customWidth="1"/>
    <col min="5394" max="5394" width="0" style="2" hidden="1" customWidth="1"/>
    <col min="5395" max="5395" width="6.85546875" style="2" customWidth="1"/>
    <col min="5396" max="5396" width="0" style="2" hidden="1" customWidth="1"/>
    <col min="5397" max="5398" width="6.28515625" style="2" customWidth="1"/>
    <col min="5399" max="5400" width="13.85546875" style="2" customWidth="1"/>
    <col min="5401" max="5401" width="10.85546875" style="2" customWidth="1"/>
    <col min="5402" max="5402" width="14.140625" style="2" customWidth="1"/>
    <col min="5403" max="5403" width="0" style="2" hidden="1" customWidth="1"/>
    <col min="5404" max="5404" width="13" style="2" customWidth="1"/>
    <col min="5405" max="5405" width="13.140625" style="2" customWidth="1"/>
    <col min="5406" max="5407" width="14" style="2" customWidth="1"/>
    <col min="5408" max="5408" width="11.42578125" style="2" customWidth="1"/>
    <col min="5409" max="5409" width="15.85546875" style="2" customWidth="1"/>
    <col min="5410" max="5410" width="23.7109375" style="2" customWidth="1"/>
    <col min="5411" max="5411" width="12" style="2" customWidth="1"/>
    <col min="5412" max="5413" width="0.28515625" style="2" customWidth="1"/>
    <col min="5414" max="5414" width="1.42578125" style="2" customWidth="1"/>
    <col min="5415" max="5415" width="0" style="2" hidden="1" customWidth="1"/>
    <col min="5416" max="5632" width="11.42578125" style="2"/>
    <col min="5633" max="5633" width="10.28515625" style="2" customWidth="1"/>
    <col min="5634" max="5634" width="13.42578125" style="2" customWidth="1"/>
    <col min="5635" max="5635" width="4.28515625" style="2" customWidth="1"/>
    <col min="5636" max="5636" width="4" style="2" customWidth="1"/>
    <col min="5637" max="5637" width="15" style="2" customWidth="1"/>
    <col min="5638" max="5638" width="4.140625" style="2" customWidth="1"/>
    <col min="5639" max="5639" width="11.28515625" style="2" customWidth="1"/>
    <col min="5640" max="5640" width="16.140625" style="2" customWidth="1"/>
    <col min="5641" max="5641" width="11" style="2" customWidth="1"/>
    <col min="5642" max="5643" width="2.140625" style="2" customWidth="1"/>
    <col min="5644" max="5644" width="3.28515625" style="2" customWidth="1"/>
    <col min="5645" max="5646" width="0" style="2" hidden="1" customWidth="1"/>
    <col min="5647" max="5647" width="2.85546875" style="2" customWidth="1"/>
    <col min="5648" max="5648" width="3.28515625" style="2" customWidth="1"/>
    <col min="5649" max="5649" width="1.42578125" style="2" customWidth="1"/>
    <col min="5650" max="5650" width="0" style="2" hidden="1" customWidth="1"/>
    <col min="5651" max="5651" width="6.85546875" style="2" customWidth="1"/>
    <col min="5652" max="5652" width="0" style="2" hidden="1" customWidth="1"/>
    <col min="5653" max="5654" width="6.28515625" style="2" customWidth="1"/>
    <col min="5655" max="5656" width="13.85546875" style="2" customWidth="1"/>
    <col min="5657" max="5657" width="10.85546875" style="2" customWidth="1"/>
    <col min="5658" max="5658" width="14.140625" style="2" customWidth="1"/>
    <col min="5659" max="5659" width="0" style="2" hidden="1" customWidth="1"/>
    <col min="5660" max="5660" width="13" style="2" customWidth="1"/>
    <col min="5661" max="5661" width="13.140625" style="2" customWidth="1"/>
    <col min="5662" max="5663" width="14" style="2" customWidth="1"/>
    <col min="5664" max="5664" width="11.42578125" style="2" customWidth="1"/>
    <col min="5665" max="5665" width="15.85546875" style="2" customWidth="1"/>
    <col min="5666" max="5666" width="23.7109375" style="2" customWidth="1"/>
    <col min="5667" max="5667" width="12" style="2" customWidth="1"/>
    <col min="5668" max="5669" width="0.28515625" style="2" customWidth="1"/>
    <col min="5670" max="5670" width="1.42578125" style="2" customWidth="1"/>
    <col min="5671" max="5671" width="0" style="2" hidden="1" customWidth="1"/>
    <col min="5672" max="5888" width="11.42578125" style="2"/>
    <col min="5889" max="5889" width="10.28515625" style="2" customWidth="1"/>
    <col min="5890" max="5890" width="13.42578125" style="2" customWidth="1"/>
    <col min="5891" max="5891" width="4.28515625" style="2" customWidth="1"/>
    <col min="5892" max="5892" width="4" style="2" customWidth="1"/>
    <col min="5893" max="5893" width="15" style="2" customWidth="1"/>
    <col min="5894" max="5894" width="4.140625" style="2" customWidth="1"/>
    <col min="5895" max="5895" width="11.28515625" style="2" customWidth="1"/>
    <col min="5896" max="5896" width="16.140625" style="2" customWidth="1"/>
    <col min="5897" max="5897" width="11" style="2" customWidth="1"/>
    <col min="5898" max="5899" width="2.140625" style="2" customWidth="1"/>
    <col min="5900" max="5900" width="3.28515625" style="2" customWidth="1"/>
    <col min="5901" max="5902" width="0" style="2" hidden="1" customWidth="1"/>
    <col min="5903" max="5903" width="2.85546875" style="2" customWidth="1"/>
    <col min="5904" max="5904" width="3.28515625" style="2" customWidth="1"/>
    <col min="5905" max="5905" width="1.42578125" style="2" customWidth="1"/>
    <col min="5906" max="5906" width="0" style="2" hidden="1" customWidth="1"/>
    <col min="5907" max="5907" width="6.85546875" style="2" customWidth="1"/>
    <col min="5908" max="5908" width="0" style="2" hidden="1" customWidth="1"/>
    <col min="5909" max="5910" width="6.28515625" style="2" customWidth="1"/>
    <col min="5911" max="5912" width="13.85546875" style="2" customWidth="1"/>
    <col min="5913" max="5913" width="10.85546875" style="2" customWidth="1"/>
    <col min="5914" max="5914" width="14.140625" style="2" customWidth="1"/>
    <col min="5915" max="5915" width="0" style="2" hidden="1" customWidth="1"/>
    <col min="5916" max="5916" width="13" style="2" customWidth="1"/>
    <col min="5917" max="5917" width="13.140625" style="2" customWidth="1"/>
    <col min="5918" max="5919" width="14" style="2" customWidth="1"/>
    <col min="5920" max="5920" width="11.42578125" style="2" customWidth="1"/>
    <col min="5921" max="5921" width="15.85546875" style="2" customWidth="1"/>
    <col min="5922" max="5922" width="23.7109375" style="2" customWidth="1"/>
    <col min="5923" max="5923" width="12" style="2" customWidth="1"/>
    <col min="5924" max="5925" width="0.28515625" style="2" customWidth="1"/>
    <col min="5926" max="5926" width="1.42578125" style="2" customWidth="1"/>
    <col min="5927" max="5927" width="0" style="2" hidden="1" customWidth="1"/>
    <col min="5928" max="6144" width="11.42578125" style="2"/>
    <col min="6145" max="6145" width="10.28515625" style="2" customWidth="1"/>
    <col min="6146" max="6146" width="13.42578125" style="2" customWidth="1"/>
    <col min="6147" max="6147" width="4.28515625" style="2" customWidth="1"/>
    <col min="6148" max="6148" width="4" style="2" customWidth="1"/>
    <col min="6149" max="6149" width="15" style="2" customWidth="1"/>
    <col min="6150" max="6150" width="4.140625" style="2" customWidth="1"/>
    <col min="6151" max="6151" width="11.28515625" style="2" customWidth="1"/>
    <col min="6152" max="6152" width="16.140625" style="2" customWidth="1"/>
    <col min="6153" max="6153" width="11" style="2" customWidth="1"/>
    <col min="6154" max="6155" width="2.140625" style="2" customWidth="1"/>
    <col min="6156" max="6156" width="3.28515625" style="2" customWidth="1"/>
    <col min="6157" max="6158" width="0" style="2" hidden="1" customWidth="1"/>
    <col min="6159" max="6159" width="2.85546875" style="2" customWidth="1"/>
    <col min="6160" max="6160" width="3.28515625" style="2" customWidth="1"/>
    <col min="6161" max="6161" width="1.42578125" style="2" customWidth="1"/>
    <col min="6162" max="6162" width="0" style="2" hidden="1" customWidth="1"/>
    <col min="6163" max="6163" width="6.85546875" style="2" customWidth="1"/>
    <col min="6164" max="6164" width="0" style="2" hidden="1" customWidth="1"/>
    <col min="6165" max="6166" width="6.28515625" style="2" customWidth="1"/>
    <col min="6167" max="6168" width="13.85546875" style="2" customWidth="1"/>
    <col min="6169" max="6169" width="10.85546875" style="2" customWidth="1"/>
    <col min="6170" max="6170" width="14.140625" style="2" customWidth="1"/>
    <col min="6171" max="6171" width="0" style="2" hidden="1" customWidth="1"/>
    <col min="6172" max="6172" width="13" style="2" customWidth="1"/>
    <col min="6173" max="6173" width="13.140625" style="2" customWidth="1"/>
    <col min="6174" max="6175" width="14" style="2" customWidth="1"/>
    <col min="6176" max="6176" width="11.42578125" style="2" customWidth="1"/>
    <col min="6177" max="6177" width="15.85546875" style="2" customWidth="1"/>
    <col min="6178" max="6178" width="23.7109375" style="2" customWidth="1"/>
    <col min="6179" max="6179" width="12" style="2" customWidth="1"/>
    <col min="6180" max="6181" width="0.28515625" style="2" customWidth="1"/>
    <col min="6182" max="6182" width="1.42578125" style="2" customWidth="1"/>
    <col min="6183" max="6183" width="0" style="2" hidden="1" customWidth="1"/>
    <col min="6184" max="6400" width="11.42578125" style="2"/>
    <col min="6401" max="6401" width="10.28515625" style="2" customWidth="1"/>
    <col min="6402" max="6402" width="13.42578125" style="2" customWidth="1"/>
    <col min="6403" max="6403" width="4.28515625" style="2" customWidth="1"/>
    <col min="6404" max="6404" width="4" style="2" customWidth="1"/>
    <col min="6405" max="6405" width="15" style="2" customWidth="1"/>
    <col min="6406" max="6406" width="4.140625" style="2" customWidth="1"/>
    <col min="6407" max="6407" width="11.28515625" style="2" customWidth="1"/>
    <col min="6408" max="6408" width="16.140625" style="2" customWidth="1"/>
    <col min="6409" max="6409" width="11" style="2" customWidth="1"/>
    <col min="6410" max="6411" width="2.140625" style="2" customWidth="1"/>
    <col min="6412" max="6412" width="3.28515625" style="2" customWidth="1"/>
    <col min="6413" max="6414" width="0" style="2" hidden="1" customWidth="1"/>
    <col min="6415" max="6415" width="2.85546875" style="2" customWidth="1"/>
    <col min="6416" max="6416" width="3.28515625" style="2" customWidth="1"/>
    <col min="6417" max="6417" width="1.42578125" style="2" customWidth="1"/>
    <col min="6418" max="6418" width="0" style="2" hidden="1" customWidth="1"/>
    <col min="6419" max="6419" width="6.85546875" style="2" customWidth="1"/>
    <col min="6420" max="6420" width="0" style="2" hidden="1" customWidth="1"/>
    <col min="6421" max="6422" width="6.28515625" style="2" customWidth="1"/>
    <col min="6423" max="6424" width="13.85546875" style="2" customWidth="1"/>
    <col min="6425" max="6425" width="10.85546875" style="2" customWidth="1"/>
    <col min="6426" max="6426" width="14.140625" style="2" customWidth="1"/>
    <col min="6427" max="6427" width="0" style="2" hidden="1" customWidth="1"/>
    <col min="6428" max="6428" width="13" style="2" customWidth="1"/>
    <col min="6429" max="6429" width="13.140625" style="2" customWidth="1"/>
    <col min="6430" max="6431" width="14" style="2" customWidth="1"/>
    <col min="6432" max="6432" width="11.42578125" style="2" customWidth="1"/>
    <col min="6433" max="6433" width="15.85546875" style="2" customWidth="1"/>
    <col min="6434" max="6434" width="23.7109375" style="2" customWidth="1"/>
    <col min="6435" max="6435" width="12" style="2" customWidth="1"/>
    <col min="6436" max="6437" width="0.28515625" style="2" customWidth="1"/>
    <col min="6438" max="6438" width="1.42578125" style="2" customWidth="1"/>
    <col min="6439" max="6439" width="0" style="2" hidden="1" customWidth="1"/>
    <col min="6440" max="6656" width="11.42578125" style="2"/>
    <col min="6657" max="6657" width="10.28515625" style="2" customWidth="1"/>
    <col min="6658" max="6658" width="13.42578125" style="2" customWidth="1"/>
    <col min="6659" max="6659" width="4.28515625" style="2" customWidth="1"/>
    <col min="6660" max="6660" width="4" style="2" customWidth="1"/>
    <col min="6661" max="6661" width="15" style="2" customWidth="1"/>
    <col min="6662" max="6662" width="4.140625" style="2" customWidth="1"/>
    <col min="6663" max="6663" width="11.28515625" style="2" customWidth="1"/>
    <col min="6664" max="6664" width="16.140625" style="2" customWidth="1"/>
    <col min="6665" max="6665" width="11" style="2" customWidth="1"/>
    <col min="6666" max="6667" width="2.140625" style="2" customWidth="1"/>
    <col min="6668" max="6668" width="3.28515625" style="2" customWidth="1"/>
    <col min="6669" max="6670" width="0" style="2" hidden="1" customWidth="1"/>
    <col min="6671" max="6671" width="2.85546875" style="2" customWidth="1"/>
    <col min="6672" max="6672" width="3.28515625" style="2" customWidth="1"/>
    <col min="6673" max="6673" width="1.42578125" style="2" customWidth="1"/>
    <col min="6674" max="6674" width="0" style="2" hidden="1" customWidth="1"/>
    <col min="6675" max="6675" width="6.85546875" style="2" customWidth="1"/>
    <col min="6676" max="6676" width="0" style="2" hidden="1" customWidth="1"/>
    <col min="6677" max="6678" width="6.28515625" style="2" customWidth="1"/>
    <col min="6679" max="6680" width="13.85546875" style="2" customWidth="1"/>
    <col min="6681" max="6681" width="10.85546875" style="2" customWidth="1"/>
    <col min="6682" max="6682" width="14.140625" style="2" customWidth="1"/>
    <col min="6683" max="6683" width="0" style="2" hidden="1" customWidth="1"/>
    <col min="6684" max="6684" width="13" style="2" customWidth="1"/>
    <col min="6685" max="6685" width="13.140625" style="2" customWidth="1"/>
    <col min="6686" max="6687" width="14" style="2" customWidth="1"/>
    <col min="6688" max="6688" width="11.42578125" style="2" customWidth="1"/>
    <col min="6689" max="6689" width="15.85546875" style="2" customWidth="1"/>
    <col min="6690" max="6690" width="23.7109375" style="2" customWidth="1"/>
    <col min="6691" max="6691" width="12" style="2" customWidth="1"/>
    <col min="6692" max="6693" width="0.28515625" style="2" customWidth="1"/>
    <col min="6694" max="6694" width="1.42578125" style="2" customWidth="1"/>
    <col min="6695" max="6695" width="0" style="2" hidden="1" customWidth="1"/>
    <col min="6696" max="6912" width="11.42578125" style="2"/>
    <col min="6913" max="6913" width="10.28515625" style="2" customWidth="1"/>
    <col min="6914" max="6914" width="13.42578125" style="2" customWidth="1"/>
    <col min="6915" max="6915" width="4.28515625" style="2" customWidth="1"/>
    <col min="6916" max="6916" width="4" style="2" customWidth="1"/>
    <col min="6917" max="6917" width="15" style="2" customWidth="1"/>
    <col min="6918" max="6918" width="4.140625" style="2" customWidth="1"/>
    <col min="6919" max="6919" width="11.28515625" style="2" customWidth="1"/>
    <col min="6920" max="6920" width="16.140625" style="2" customWidth="1"/>
    <col min="6921" max="6921" width="11" style="2" customWidth="1"/>
    <col min="6922" max="6923" width="2.140625" style="2" customWidth="1"/>
    <col min="6924" max="6924" width="3.28515625" style="2" customWidth="1"/>
    <col min="6925" max="6926" width="0" style="2" hidden="1" customWidth="1"/>
    <col min="6927" max="6927" width="2.85546875" style="2" customWidth="1"/>
    <col min="6928" max="6928" width="3.28515625" style="2" customWidth="1"/>
    <col min="6929" max="6929" width="1.42578125" style="2" customWidth="1"/>
    <col min="6930" max="6930" width="0" style="2" hidden="1" customWidth="1"/>
    <col min="6931" max="6931" width="6.85546875" style="2" customWidth="1"/>
    <col min="6932" max="6932" width="0" style="2" hidden="1" customWidth="1"/>
    <col min="6933" max="6934" width="6.28515625" style="2" customWidth="1"/>
    <col min="6935" max="6936" width="13.85546875" style="2" customWidth="1"/>
    <col min="6937" max="6937" width="10.85546875" style="2" customWidth="1"/>
    <col min="6938" max="6938" width="14.140625" style="2" customWidth="1"/>
    <col min="6939" max="6939" width="0" style="2" hidden="1" customWidth="1"/>
    <col min="6940" max="6940" width="13" style="2" customWidth="1"/>
    <col min="6941" max="6941" width="13.140625" style="2" customWidth="1"/>
    <col min="6942" max="6943" width="14" style="2" customWidth="1"/>
    <col min="6944" max="6944" width="11.42578125" style="2" customWidth="1"/>
    <col min="6945" max="6945" width="15.85546875" style="2" customWidth="1"/>
    <col min="6946" max="6946" width="23.7109375" style="2" customWidth="1"/>
    <col min="6947" max="6947" width="12" style="2" customWidth="1"/>
    <col min="6948" max="6949" width="0.28515625" style="2" customWidth="1"/>
    <col min="6950" max="6950" width="1.42578125" style="2" customWidth="1"/>
    <col min="6951" max="6951" width="0" style="2" hidden="1" customWidth="1"/>
    <col min="6952" max="7168" width="11.42578125" style="2"/>
    <col min="7169" max="7169" width="10.28515625" style="2" customWidth="1"/>
    <col min="7170" max="7170" width="13.42578125" style="2" customWidth="1"/>
    <col min="7171" max="7171" width="4.28515625" style="2" customWidth="1"/>
    <col min="7172" max="7172" width="4" style="2" customWidth="1"/>
    <col min="7173" max="7173" width="15" style="2" customWidth="1"/>
    <col min="7174" max="7174" width="4.140625" style="2" customWidth="1"/>
    <col min="7175" max="7175" width="11.28515625" style="2" customWidth="1"/>
    <col min="7176" max="7176" width="16.140625" style="2" customWidth="1"/>
    <col min="7177" max="7177" width="11" style="2" customWidth="1"/>
    <col min="7178" max="7179" width="2.140625" style="2" customWidth="1"/>
    <col min="7180" max="7180" width="3.28515625" style="2" customWidth="1"/>
    <col min="7181" max="7182" width="0" style="2" hidden="1" customWidth="1"/>
    <col min="7183" max="7183" width="2.85546875" style="2" customWidth="1"/>
    <col min="7184" max="7184" width="3.28515625" style="2" customWidth="1"/>
    <col min="7185" max="7185" width="1.42578125" style="2" customWidth="1"/>
    <col min="7186" max="7186" width="0" style="2" hidden="1" customWidth="1"/>
    <col min="7187" max="7187" width="6.85546875" style="2" customWidth="1"/>
    <col min="7188" max="7188" width="0" style="2" hidden="1" customWidth="1"/>
    <col min="7189" max="7190" width="6.28515625" style="2" customWidth="1"/>
    <col min="7191" max="7192" width="13.85546875" style="2" customWidth="1"/>
    <col min="7193" max="7193" width="10.85546875" style="2" customWidth="1"/>
    <col min="7194" max="7194" width="14.140625" style="2" customWidth="1"/>
    <col min="7195" max="7195" width="0" style="2" hidden="1" customWidth="1"/>
    <col min="7196" max="7196" width="13" style="2" customWidth="1"/>
    <col min="7197" max="7197" width="13.140625" style="2" customWidth="1"/>
    <col min="7198" max="7199" width="14" style="2" customWidth="1"/>
    <col min="7200" max="7200" width="11.42578125" style="2" customWidth="1"/>
    <col min="7201" max="7201" width="15.85546875" style="2" customWidth="1"/>
    <col min="7202" max="7202" width="23.7109375" style="2" customWidth="1"/>
    <col min="7203" max="7203" width="12" style="2" customWidth="1"/>
    <col min="7204" max="7205" width="0.28515625" style="2" customWidth="1"/>
    <col min="7206" max="7206" width="1.42578125" style="2" customWidth="1"/>
    <col min="7207" max="7207" width="0" style="2" hidden="1" customWidth="1"/>
    <col min="7208" max="7424" width="11.42578125" style="2"/>
    <col min="7425" max="7425" width="10.28515625" style="2" customWidth="1"/>
    <col min="7426" max="7426" width="13.42578125" style="2" customWidth="1"/>
    <col min="7427" max="7427" width="4.28515625" style="2" customWidth="1"/>
    <col min="7428" max="7428" width="4" style="2" customWidth="1"/>
    <col min="7429" max="7429" width="15" style="2" customWidth="1"/>
    <col min="7430" max="7430" width="4.140625" style="2" customWidth="1"/>
    <col min="7431" max="7431" width="11.28515625" style="2" customWidth="1"/>
    <col min="7432" max="7432" width="16.140625" style="2" customWidth="1"/>
    <col min="7433" max="7433" width="11" style="2" customWidth="1"/>
    <col min="7434" max="7435" width="2.140625" style="2" customWidth="1"/>
    <col min="7436" max="7436" width="3.28515625" style="2" customWidth="1"/>
    <col min="7437" max="7438" width="0" style="2" hidden="1" customWidth="1"/>
    <col min="7439" max="7439" width="2.85546875" style="2" customWidth="1"/>
    <col min="7440" max="7440" width="3.28515625" style="2" customWidth="1"/>
    <col min="7441" max="7441" width="1.42578125" style="2" customWidth="1"/>
    <col min="7442" max="7442" width="0" style="2" hidden="1" customWidth="1"/>
    <col min="7443" max="7443" width="6.85546875" style="2" customWidth="1"/>
    <col min="7444" max="7444" width="0" style="2" hidden="1" customWidth="1"/>
    <col min="7445" max="7446" width="6.28515625" style="2" customWidth="1"/>
    <col min="7447" max="7448" width="13.85546875" style="2" customWidth="1"/>
    <col min="7449" max="7449" width="10.85546875" style="2" customWidth="1"/>
    <col min="7450" max="7450" width="14.140625" style="2" customWidth="1"/>
    <col min="7451" max="7451" width="0" style="2" hidden="1" customWidth="1"/>
    <col min="7452" max="7452" width="13" style="2" customWidth="1"/>
    <col min="7453" max="7453" width="13.140625" style="2" customWidth="1"/>
    <col min="7454" max="7455" width="14" style="2" customWidth="1"/>
    <col min="7456" max="7456" width="11.42578125" style="2" customWidth="1"/>
    <col min="7457" max="7457" width="15.85546875" style="2" customWidth="1"/>
    <col min="7458" max="7458" width="23.7109375" style="2" customWidth="1"/>
    <col min="7459" max="7459" width="12" style="2" customWidth="1"/>
    <col min="7460" max="7461" width="0.28515625" style="2" customWidth="1"/>
    <col min="7462" max="7462" width="1.42578125" style="2" customWidth="1"/>
    <col min="7463" max="7463" width="0" style="2" hidden="1" customWidth="1"/>
    <col min="7464" max="7680" width="11.42578125" style="2"/>
    <col min="7681" max="7681" width="10.28515625" style="2" customWidth="1"/>
    <col min="7682" max="7682" width="13.42578125" style="2" customWidth="1"/>
    <col min="7683" max="7683" width="4.28515625" style="2" customWidth="1"/>
    <col min="7684" max="7684" width="4" style="2" customWidth="1"/>
    <col min="7685" max="7685" width="15" style="2" customWidth="1"/>
    <col min="7686" max="7686" width="4.140625" style="2" customWidth="1"/>
    <col min="7687" max="7687" width="11.28515625" style="2" customWidth="1"/>
    <col min="7688" max="7688" width="16.140625" style="2" customWidth="1"/>
    <col min="7689" max="7689" width="11" style="2" customWidth="1"/>
    <col min="7690" max="7691" width="2.140625" style="2" customWidth="1"/>
    <col min="7692" max="7692" width="3.28515625" style="2" customWidth="1"/>
    <col min="7693" max="7694" width="0" style="2" hidden="1" customWidth="1"/>
    <col min="7695" max="7695" width="2.85546875" style="2" customWidth="1"/>
    <col min="7696" max="7696" width="3.28515625" style="2" customWidth="1"/>
    <col min="7697" max="7697" width="1.42578125" style="2" customWidth="1"/>
    <col min="7698" max="7698" width="0" style="2" hidden="1" customWidth="1"/>
    <col min="7699" max="7699" width="6.85546875" style="2" customWidth="1"/>
    <col min="7700" max="7700" width="0" style="2" hidden="1" customWidth="1"/>
    <col min="7701" max="7702" width="6.28515625" style="2" customWidth="1"/>
    <col min="7703" max="7704" width="13.85546875" style="2" customWidth="1"/>
    <col min="7705" max="7705" width="10.85546875" style="2" customWidth="1"/>
    <col min="7706" max="7706" width="14.140625" style="2" customWidth="1"/>
    <col min="7707" max="7707" width="0" style="2" hidden="1" customWidth="1"/>
    <col min="7708" max="7708" width="13" style="2" customWidth="1"/>
    <col min="7709" max="7709" width="13.140625" style="2" customWidth="1"/>
    <col min="7710" max="7711" width="14" style="2" customWidth="1"/>
    <col min="7712" max="7712" width="11.42578125" style="2" customWidth="1"/>
    <col min="7713" max="7713" width="15.85546875" style="2" customWidth="1"/>
    <col min="7714" max="7714" width="23.7109375" style="2" customWidth="1"/>
    <col min="7715" max="7715" width="12" style="2" customWidth="1"/>
    <col min="7716" max="7717" width="0.28515625" style="2" customWidth="1"/>
    <col min="7718" max="7718" width="1.42578125" style="2" customWidth="1"/>
    <col min="7719" max="7719" width="0" style="2" hidden="1" customWidth="1"/>
    <col min="7720" max="7936" width="11.42578125" style="2"/>
    <col min="7937" max="7937" width="10.28515625" style="2" customWidth="1"/>
    <col min="7938" max="7938" width="13.42578125" style="2" customWidth="1"/>
    <col min="7939" max="7939" width="4.28515625" style="2" customWidth="1"/>
    <col min="7940" max="7940" width="4" style="2" customWidth="1"/>
    <col min="7941" max="7941" width="15" style="2" customWidth="1"/>
    <col min="7942" max="7942" width="4.140625" style="2" customWidth="1"/>
    <col min="7943" max="7943" width="11.28515625" style="2" customWidth="1"/>
    <col min="7944" max="7944" width="16.140625" style="2" customWidth="1"/>
    <col min="7945" max="7945" width="11" style="2" customWidth="1"/>
    <col min="7946" max="7947" width="2.140625" style="2" customWidth="1"/>
    <col min="7948" max="7948" width="3.28515625" style="2" customWidth="1"/>
    <col min="7949" max="7950" width="0" style="2" hidden="1" customWidth="1"/>
    <col min="7951" max="7951" width="2.85546875" style="2" customWidth="1"/>
    <col min="7952" max="7952" width="3.28515625" style="2" customWidth="1"/>
    <col min="7953" max="7953" width="1.42578125" style="2" customWidth="1"/>
    <col min="7954" max="7954" width="0" style="2" hidden="1" customWidth="1"/>
    <col min="7955" max="7955" width="6.85546875" style="2" customWidth="1"/>
    <col min="7956" max="7956" width="0" style="2" hidden="1" customWidth="1"/>
    <col min="7957" max="7958" width="6.28515625" style="2" customWidth="1"/>
    <col min="7959" max="7960" width="13.85546875" style="2" customWidth="1"/>
    <col min="7961" max="7961" width="10.85546875" style="2" customWidth="1"/>
    <col min="7962" max="7962" width="14.140625" style="2" customWidth="1"/>
    <col min="7963" max="7963" width="0" style="2" hidden="1" customWidth="1"/>
    <col min="7964" max="7964" width="13" style="2" customWidth="1"/>
    <col min="7965" max="7965" width="13.140625" style="2" customWidth="1"/>
    <col min="7966" max="7967" width="14" style="2" customWidth="1"/>
    <col min="7968" max="7968" width="11.42578125" style="2" customWidth="1"/>
    <col min="7969" max="7969" width="15.85546875" style="2" customWidth="1"/>
    <col min="7970" max="7970" width="23.7109375" style="2" customWidth="1"/>
    <col min="7971" max="7971" width="12" style="2" customWidth="1"/>
    <col min="7972" max="7973" width="0.28515625" style="2" customWidth="1"/>
    <col min="7974" max="7974" width="1.42578125" style="2" customWidth="1"/>
    <col min="7975" max="7975" width="0" style="2" hidden="1" customWidth="1"/>
    <col min="7976" max="8192" width="11.42578125" style="2"/>
    <col min="8193" max="8193" width="10.28515625" style="2" customWidth="1"/>
    <col min="8194" max="8194" width="13.42578125" style="2" customWidth="1"/>
    <col min="8195" max="8195" width="4.28515625" style="2" customWidth="1"/>
    <col min="8196" max="8196" width="4" style="2" customWidth="1"/>
    <col min="8197" max="8197" width="15" style="2" customWidth="1"/>
    <col min="8198" max="8198" width="4.140625" style="2" customWidth="1"/>
    <col min="8199" max="8199" width="11.28515625" style="2" customWidth="1"/>
    <col min="8200" max="8200" width="16.140625" style="2" customWidth="1"/>
    <col min="8201" max="8201" width="11" style="2" customWidth="1"/>
    <col min="8202" max="8203" width="2.140625" style="2" customWidth="1"/>
    <col min="8204" max="8204" width="3.28515625" style="2" customWidth="1"/>
    <col min="8205" max="8206" width="0" style="2" hidden="1" customWidth="1"/>
    <col min="8207" max="8207" width="2.85546875" style="2" customWidth="1"/>
    <col min="8208" max="8208" width="3.28515625" style="2" customWidth="1"/>
    <col min="8209" max="8209" width="1.42578125" style="2" customWidth="1"/>
    <col min="8210" max="8210" width="0" style="2" hidden="1" customWidth="1"/>
    <col min="8211" max="8211" width="6.85546875" style="2" customWidth="1"/>
    <col min="8212" max="8212" width="0" style="2" hidden="1" customWidth="1"/>
    <col min="8213" max="8214" width="6.28515625" style="2" customWidth="1"/>
    <col min="8215" max="8216" width="13.85546875" style="2" customWidth="1"/>
    <col min="8217" max="8217" width="10.85546875" style="2" customWidth="1"/>
    <col min="8218" max="8218" width="14.140625" style="2" customWidth="1"/>
    <col min="8219" max="8219" width="0" style="2" hidden="1" customWidth="1"/>
    <col min="8220" max="8220" width="13" style="2" customWidth="1"/>
    <col min="8221" max="8221" width="13.140625" style="2" customWidth="1"/>
    <col min="8222" max="8223" width="14" style="2" customWidth="1"/>
    <col min="8224" max="8224" width="11.42578125" style="2" customWidth="1"/>
    <col min="8225" max="8225" width="15.85546875" style="2" customWidth="1"/>
    <col min="8226" max="8226" width="23.7109375" style="2" customWidth="1"/>
    <col min="8227" max="8227" width="12" style="2" customWidth="1"/>
    <col min="8228" max="8229" width="0.28515625" style="2" customWidth="1"/>
    <col min="8230" max="8230" width="1.42578125" style="2" customWidth="1"/>
    <col min="8231" max="8231" width="0" style="2" hidden="1" customWidth="1"/>
    <col min="8232" max="8448" width="11.42578125" style="2"/>
    <col min="8449" max="8449" width="10.28515625" style="2" customWidth="1"/>
    <col min="8450" max="8450" width="13.42578125" style="2" customWidth="1"/>
    <col min="8451" max="8451" width="4.28515625" style="2" customWidth="1"/>
    <col min="8452" max="8452" width="4" style="2" customWidth="1"/>
    <col min="8453" max="8453" width="15" style="2" customWidth="1"/>
    <col min="8454" max="8454" width="4.140625" style="2" customWidth="1"/>
    <col min="8455" max="8455" width="11.28515625" style="2" customWidth="1"/>
    <col min="8456" max="8456" width="16.140625" style="2" customWidth="1"/>
    <col min="8457" max="8457" width="11" style="2" customWidth="1"/>
    <col min="8458" max="8459" width="2.140625" style="2" customWidth="1"/>
    <col min="8460" max="8460" width="3.28515625" style="2" customWidth="1"/>
    <col min="8461" max="8462" width="0" style="2" hidden="1" customWidth="1"/>
    <col min="8463" max="8463" width="2.85546875" style="2" customWidth="1"/>
    <col min="8464" max="8464" width="3.28515625" style="2" customWidth="1"/>
    <col min="8465" max="8465" width="1.42578125" style="2" customWidth="1"/>
    <col min="8466" max="8466" width="0" style="2" hidden="1" customWidth="1"/>
    <col min="8467" max="8467" width="6.85546875" style="2" customWidth="1"/>
    <col min="8468" max="8468" width="0" style="2" hidden="1" customWidth="1"/>
    <col min="8469" max="8470" width="6.28515625" style="2" customWidth="1"/>
    <col min="8471" max="8472" width="13.85546875" style="2" customWidth="1"/>
    <col min="8473" max="8473" width="10.85546875" style="2" customWidth="1"/>
    <col min="8474" max="8474" width="14.140625" style="2" customWidth="1"/>
    <col min="8475" max="8475" width="0" style="2" hidden="1" customWidth="1"/>
    <col min="8476" max="8476" width="13" style="2" customWidth="1"/>
    <col min="8477" max="8477" width="13.140625" style="2" customWidth="1"/>
    <col min="8478" max="8479" width="14" style="2" customWidth="1"/>
    <col min="8480" max="8480" width="11.42578125" style="2" customWidth="1"/>
    <col min="8481" max="8481" width="15.85546875" style="2" customWidth="1"/>
    <col min="8482" max="8482" width="23.7109375" style="2" customWidth="1"/>
    <col min="8483" max="8483" width="12" style="2" customWidth="1"/>
    <col min="8484" max="8485" width="0.28515625" style="2" customWidth="1"/>
    <col min="8486" max="8486" width="1.42578125" style="2" customWidth="1"/>
    <col min="8487" max="8487" width="0" style="2" hidden="1" customWidth="1"/>
    <col min="8488" max="8704" width="11.42578125" style="2"/>
    <col min="8705" max="8705" width="10.28515625" style="2" customWidth="1"/>
    <col min="8706" max="8706" width="13.42578125" style="2" customWidth="1"/>
    <col min="8707" max="8707" width="4.28515625" style="2" customWidth="1"/>
    <col min="8708" max="8708" width="4" style="2" customWidth="1"/>
    <col min="8709" max="8709" width="15" style="2" customWidth="1"/>
    <col min="8710" max="8710" width="4.140625" style="2" customWidth="1"/>
    <col min="8711" max="8711" width="11.28515625" style="2" customWidth="1"/>
    <col min="8712" max="8712" width="16.140625" style="2" customWidth="1"/>
    <col min="8713" max="8713" width="11" style="2" customWidth="1"/>
    <col min="8714" max="8715" width="2.140625" style="2" customWidth="1"/>
    <col min="8716" max="8716" width="3.28515625" style="2" customWidth="1"/>
    <col min="8717" max="8718" width="0" style="2" hidden="1" customWidth="1"/>
    <col min="8719" max="8719" width="2.85546875" style="2" customWidth="1"/>
    <col min="8720" max="8720" width="3.28515625" style="2" customWidth="1"/>
    <col min="8721" max="8721" width="1.42578125" style="2" customWidth="1"/>
    <col min="8722" max="8722" width="0" style="2" hidden="1" customWidth="1"/>
    <col min="8723" max="8723" width="6.85546875" style="2" customWidth="1"/>
    <col min="8724" max="8724" width="0" style="2" hidden="1" customWidth="1"/>
    <col min="8725" max="8726" width="6.28515625" style="2" customWidth="1"/>
    <col min="8727" max="8728" width="13.85546875" style="2" customWidth="1"/>
    <col min="8729" max="8729" width="10.85546875" style="2" customWidth="1"/>
    <col min="8730" max="8730" width="14.140625" style="2" customWidth="1"/>
    <col min="8731" max="8731" width="0" style="2" hidden="1" customWidth="1"/>
    <col min="8732" max="8732" width="13" style="2" customWidth="1"/>
    <col min="8733" max="8733" width="13.140625" style="2" customWidth="1"/>
    <col min="8734" max="8735" width="14" style="2" customWidth="1"/>
    <col min="8736" max="8736" width="11.42578125" style="2" customWidth="1"/>
    <col min="8737" max="8737" width="15.85546875" style="2" customWidth="1"/>
    <col min="8738" max="8738" width="23.7109375" style="2" customWidth="1"/>
    <col min="8739" max="8739" width="12" style="2" customWidth="1"/>
    <col min="8740" max="8741" width="0.28515625" style="2" customWidth="1"/>
    <col min="8742" max="8742" width="1.42578125" style="2" customWidth="1"/>
    <col min="8743" max="8743" width="0" style="2" hidden="1" customWidth="1"/>
    <col min="8744" max="8960" width="11.42578125" style="2"/>
    <col min="8961" max="8961" width="10.28515625" style="2" customWidth="1"/>
    <col min="8962" max="8962" width="13.42578125" style="2" customWidth="1"/>
    <col min="8963" max="8963" width="4.28515625" style="2" customWidth="1"/>
    <col min="8964" max="8964" width="4" style="2" customWidth="1"/>
    <col min="8965" max="8965" width="15" style="2" customWidth="1"/>
    <col min="8966" max="8966" width="4.140625" style="2" customWidth="1"/>
    <col min="8967" max="8967" width="11.28515625" style="2" customWidth="1"/>
    <col min="8968" max="8968" width="16.140625" style="2" customWidth="1"/>
    <col min="8969" max="8969" width="11" style="2" customWidth="1"/>
    <col min="8970" max="8971" width="2.140625" style="2" customWidth="1"/>
    <col min="8972" max="8972" width="3.28515625" style="2" customWidth="1"/>
    <col min="8973" max="8974" width="0" style="2" hidden="1" customWidth="1"/>
    <col min="8975" max="8975" width="2.85546875" style="2" customWidth="1"/>
    <col min="8976" max="8976" width="3.28515625" style="2" customWidth="1"/>
    <col min="8977" max="8977" width="1.42578125" style="2" customWidth="1"/>
    <col min="8978" max="8978" width="0" style="2" hidden="1" customWidth="1"/>
    <col min="8979" max="8979" width="6.85546875" style="2" customWidth="1"/>
    <col min="8980" max="8980" width="0" style="2" hidden="1" customWidth="1"/>
    <col min="8981" max="8982" width="6.28515625" style="2" customWidth="1"/>
    <col min="8983" max="8984" width="13.85546875" style="2" customWidth="1"/>
    <col min="8985" max="8985" width="10.85546875" style="2" customWidth="1"/>
    <col min="8986" max="8986" width="14.140625" style="2" customWidth="1"/>
    <col min="8987" max="8987" width="0" style="2" hidden="1" customWidth="1"/>
    <col min="8988" max="8988" width="13" style="2" customWidth="1"/>
    <col min="8989" max="8989" width="13.140625" style="2" customWidth="1"/>
    <col min="8990" max="8991" width="14" style="2" customWidth="1"/>
    <col min="8992" max="8992" width="11.42578125" style="2" customWidth="1"/>
    <col min="8993" max="8993" width="15.85546875" style="2" customWidth="1"/>
    <col min="8994" max="8994" width="23.7109375" style="2" customWidth="1"/>
    <col min="8995" max="8995" width="12" style="2" customWidth="1"/>
    <col min="8996" max="8997" width="0.28515625" style="2" customWidth="1"/>
    <col min="8998" max="8998" width="1.42578125" style="2" customWidth="1"/>
    <col min="8999" max="8999" width="0" style="2" hidden="1" customWidth="1"/>
    <col min="9000" max="9216" width="11.42578125" style="2"/>
    <col min="9217" max="9217" width="10.28515625" style="2" customWidth="1"/>
    <col min="9218" max="9218" width="13.42578125" style="2" customWidth="1"/>
    <col min="9219" max="9219" width="4.28515625" style="2" customWidth="1"/>
    <col min="9220" max="9220" width="4" style="2" customWidth="1"/>
    <col min="9221" max="9221" width="15" style="2" customWidth="1"/>
    <col min="9222" max="9222" width="4.140625" style="2" customWidth="1"/>
    <col min="9223" max="9223" width="11.28515625" style="2" customWidth="1"/>
    <col min="9224" max="9224" width="16.140625" style="2" customWidth="1"/>
    <col min="9225" max="9225" width="11" style="2" customWidth="1"/>
    <col min="9226" max="9227" width="2.140625" style="2" customWidth="1"/>
    <col min="9228" max="9228" width="3.28515625" style="2" customWidth="1"/>
    <col min="9229" max="9230" width="0" style="2" hidden="1" customWidth="1"/>
    <col min="9231" max="9231" width="2.85546875" style="2" customWidth="1"/>
    <col min="9232" max="9232" width="3.28515625" style="2" customWidth="1"/>
    <col min="9233" max="9233" width="1.42578125" style="2" customWidth="1"/>
    <col min="9234" max="9234" width="0" style="2" hidden="1" customWidth="1"/>
    <col min="9235" max="9235" width="6.85546875" style="2" customWidth="1"/>
    <col min="9236" max="9236" width="0" style="2" hidden="1" customWidth="1"/>
    <col min="9237" max="9238" width="6.28515625" style="2" customWidth="1"/>
    <col min="9239" max="9240" width="13.85546875" style="2" customWidth="1"/>
    <col min="9241" max="9241" width="10.85546875" style="2" customWidth="1"/>
    <col min="9242" max="9242" width="14.140625" style="2" customWidth="1"/>
    <col min="9243" max="9243" width="0" style="2" hidden="1" customWidth="1"/>
    <col min="9244" max="9244" width="13" style="2" customWidth="1"/>
    <col min="9245" max="9245" width="13.140625" style="2" customWidth="1"/>
    <col min="9246" max="9247" width="14" style="2" customWidth="1"/>
    <col min="9248" max="9248" width="11.42578125" style="2" customWidth="1"/>
    <col min="9249" max="9249" width="15.85546875" style="2" customWidth="1"/>
    <col min="9250" max="9250" width="23.7109375" style="2" customWidth="1"/>
    <col min="9251" max="9251" width="12" style="2" customWidth="1"/>
    <col min="9252" max="9253" width="0.28515625" style="2" customWidth="1"/>
    <col min="9254" max="9254" width="1.42578125" style="2" customWidth="1"/>
    <col min="9255" max="9255" width="0" style="2" hidden="1" customWidth="1"/>
    <col min="9256" max="9472" width="11.42578125" style="2"/>
    <col min="9473" max="9473" width="10.28515625" style="2" customWidth="1"/>
    <col min="9474" max="9474" width="13.42578125" style="2" customWidth="1"/>
    <col min="9475" max="9475" width="4.28515625" style="2" customWidth="1"/>
    <col min="9476" max="9476" width="4" style="2" customWidth="1"/>
    <col min="9477" max="9477" width="15" style="2" customWidth="1"/>
    <col min="9478" max="9478" width="4.140625" style="2" customWidth="1"/>
    <col min="9479" max="9479" width="11.28515625" style="2" customWidth="1"/>
    <col min="9480" max="9480" width="16.140625" style="2" customWidth="1"/>
    <col min="9481" max="9481" width="11" style="2" customWidth="1"/>
    <col min="9482" max="9483" width="2.140625" style="2" customWidth="1"/>
    <col min="9484" max="9484" width="3.28515625" style="2" customWidth="1"/>
    <col min="9485" max="9486" width="0" style="2" hidden="1" customWidth="1"/>
    <col min="9487" max="9487" width="2.85546875" style="2" customWidth="1"/>
    <col min="9488" max="9488" width="3.28515625" style="2" customWidth="1"/>
    <col min="9489" max="9489" width="1.42578125" style="2" customWidth="1"/>
    <col min="9490" max="9490" width="0" style="2" hidden="1" customWidth="1"/>
    <col min="9491" max="9491" width="6.85546875" style="2" customWidth="1"/>
    <col min="9492" max="9492" width="0" style="2" hidden="1" customWidth="1"/>
    <col min="9493" max="9494" width="6.28515625" style="2" customWidth="1"/>
    <col min="9495" max="9496" width="13.85546875" style="2" customWidth="1"/>
    <col min="9497" max="9497" width="10.85546875" style="2" customWidth="1"/>
    <col min="9498" max="9498" width="14.140625" style="2" customWidth="1"/>
    <col min="9499" max="9499" width="0" style="2" hidden="1" customWidth="1"/>
    <col min="9500" max="9500" width="13" style="2" customWidth="1"/>
    <col min="9501" max="9501" width="13.140625" style="2" customWidth="1"/>
    <col min="9502" max="9503" width="14" style="2" customWidth="1"/>
    <col min="9504" max="9504" width="11.42578125" style="2" customWidth="1"/>
    <col min="9505" max="9505" width="15.85546875" style="2" customWidth="1"/>
    <col min="9506" max="9506" width="23.7109375" style="2" customWidth="1"/>
    <col min="9507" max="9507" width="12" style="2" customWidth="1"/>
    <col min="9508" max="9509" width="0.28515625" style="2" customWidth="1"/>
    <col min="9510" max="9510" width="1.42578125" style="2" customWidth="1"/>
    <col min="9511" max="9511" width="0" style="2" hidden="1" customWidth="1"/>
    <col min="9512" max="9728" width="11.42578125" style="2"/>
    <col min="9729" max="9729" width="10.28515625" style="2" customWidth="1"/>
    <col min="9730" max="9730" width="13.42578125" style="2" customWidth="1"/>
    <col min="9731" max="9731" width="4.28515625" style="2" customWidth="1"/>
    <col min="9732" max="9732" width="4" style="2" customWidth="1"/>
    <col min="9733" max="9733" width="15" style="2" customWidth="1"/>
    <col min="9734" max="9734" width="4.140625" style="2" customWidth="1"/>
    <col min="9735" max="9735" width="11.28515625" style="2" customWidth="1"/>
    <col min="9736" max="9736" width="16.140625" style="2" customWidth="1"/>
    <col min="9737" max="9737" width="11" style="2" customWidth="1"/>
    <col min="9738" max="9739" width="2.140625" style="2" customWidth="1"/>
    <col min="9740" max="9740" width="3.28515625" style="2" customWidth="1"/>
    <col min="9741" max="9742" width="0" style="2" hidden="1" customWidth="1"/>
    <col min="9743" max="9743" width="2.85546875" style="2" customWidth="1"/>
    <col min="9744" max="9744" width="3.28515625" style="2" customWidth="1"/>
    <col min="9745" max="9745" width="1.42578125" style="2" customWidth="1"/>
    <col min="9746" max="9746" width="0" style="2" hidden="1" customWidth="1"/>
    <col min="9747" max="9747" width="6.85546875" style="2" customWidth="1"/>
    <col min="9748" max="9748" width="0" style="2" hidden="1" customWidth="1"/>
    <col min="9749" max="9750" width="6.28515625" style="2" customWidth="1"/>
    <col min="9751" max="9752" width="13.85546875" style="2" customWidth="1"/>
    <col min="9753" max="9753" width="10.85546875" style="2" customWidth="1"/>
    <col min="9754" max="9754" width="14.140625" style="2" customWidth="1"/>
    <col min="9755" max="9755" width="0" style="2" hidden="1" customWidth="1"/>
    <col min="9756" max="9756" width="13" style="2" customWidth="1"/>
    <col min="9757" max="9757" width="13.140625" style="2" customWidth="1"/>
    <col min="9758" max="9759" width="14" style="2" customWidth="1"/>
    <col min="9760" max="9760" width="11.42578125" style="2" customWidth="1"/>
    <col min="9761" max="9761" width="15.85546875" style="2" customWidth="1"/>
    <col min="9762" max="9762" width="23.7109375" style="2" customWidth="1"/>
    <col min="9763" max="9763" width="12" style="2" customWidth="1"/>
    <col min="9764" max="9765" width="0.28515625" style="2" customWidth="1"/>
    <col min="9766" max="9766" width="1.42578125" style="2" customWidth="1"/>
    <col min="9767" max="9767" width="0" style="2" hidden="1" customWidth="1"/>
    <col min="9768" max="9984" width="11.42578125" style="2"/>
    <col min="9985" max="9985" width="10.28515625" style="2" customWidth="1"/>
    <col min="9986" max="9986" width="13.42578125" style="2" customWidth="1"/>
    <col min="9987" max="9987" width="4.28515625" style="2" customWidth="1"/>
    <col min="9988" max="9988" width="4" style="2" customWidth="1"/>
    <col min="9989" max="9989" width="15" style="2" customWidth="1"/>
    <col min="9990" max="9990" width="4.140625" style="2" customWidth="1"/>
    <col min="9991" max="9991" width="11.28515625" style="2" customWidth="1"/>
    <col min="9992" max="9992" width="16.140625" style="2" customWidth="1"/>
    <col min="9993" max="9993" width="11" style="2" customWidth="1"/>
    <col min="9994" max="9995" width="2.140625" style="2" customWidth="1"/>
    <col min="9996" max="9996" width="3.28515625" style="2" customWidth="1"/>
    <col min="9997" max="9998" width="0" style="2" hidden="1" customWidth="1"/>
    <col min="9999" max="9999" width="2.85546875" style="2" customWidth="1"/>
    <col min="10000" max="10000" width="3.28515625" style="2" customWidth="1"/>
    <col min="10001" max="10001" width="1.42578125" style="2" customWidth="1"/>
    <col min="10002" max="10002" width="0" style="2" hidden="1" customWidth="1"/>
    <col min="10003" max="10003" width="6.85546875" style="2" customWidth="1"/>
    <col min="10004" max="10004" width="0" style="2" hidden="1" customWidth="1"/>
    <col min="10005" max="10006" width="6.28515625" style="2" customWidth="1"/>
    <col min="10007" max="10008" width="13.85546875" style="2" customWidth="1"/>
    <col min="10009" max="10009" width="10.85546875" style="2" customWidth="1"/>
    <col min="10010" max="10010" width="14.140625" style="2" customWidth="1"/>
    <col min="10011" max="10011" width="0" style="2" hidden="1" customWidth="1"/>
    <col min="10012" max="10012" width="13" style="2" customWidth="1"/>
    <col min="10013" max="10013" width="13.140625" style="2" customWidth="1"/>
    <col min="10014" max="10015" width="14" style="2" customWidth="1"/>
    <col min="10016" max="10016" width="11.42578125" style="2" customWidth="1"/>
    <col min="10017" max="10017" width="15.85546875" style="2" customWidth="1"/>
    <col min="10018" max="10018" width="23.7109375" style="2" customWidth="1"/>
    <col min="10019" max="10019" width="12" style="2" customWidth="1"/>
    <col min="10020" max="10021" width="0.28515625" style="2" customWidth="1"/>
    <col min="10022" max="10022" width="1.42578125" style="2" customWidth="1"/>
    <col min="10023" max="10023" width="0" style="2" hidden="1" customWidth="1"/>
    <col min="10024" max="10240" width="11.42578125" style="2"/>
    <col min="10241" max="10241" width="10.28515625" style="2" customWidth="1"/>
    <col min="10242" max="10242" width="13.42578125" style="2" customWidth="1"/>
    <col min="10243" max="10243" width="4.28515625" style="2" customWidth="1"/>
    <col min="10244" max="10244" width="4" style="2" customWidth="1"/>
    <col min="10245" max="10245" width="15" style="2" customWidth="1"/>
    <col min="10246" max="10246" width="4.140625" style="2" customWidth="1"/>
    <col min="10247" max="10247" width="11.28515625" style="2" customWidth="1"/>
    <col min="10248" max="10248" width="16.140625" style="2" customWidth="1"/>
    <col min="10249" max="10249" width="11" style="2" customWidth="1"/>
    <col min="10250" max="10251" width="2.140625" style="2" customWidth="1"/>
    <col min="10252" max="10252" width="3.28515625" style="2" customWidth="1"/>
    <col min="10253" max="10254" width="0" style="2" hidden="1" customWidth="1"/>
    <col min="10255" max="10255" width="2.85546875" style="2" customWidth="1"/>
    <col min="10256" max="10256" width="3.28515625" style="2" customWidth="1"/>
    <col min="10257" max="10257" width="1.42578125" style="2" customWidth="1"/>
    <col min="10258" max="10258" width="0" style="2" hidden="1" customWidth="1"/>
    <col min="10259" max="10259" width="6.85546875" style="2" customWidth="1"/>
    <col min="10260" max="10260" width="0" style="2" hidden="1" customWidth="1"/>
    <col min="10261" max="10262" width="6.28515625" style="2" customWidth="1"/>
    <col min="10263" max="10264" width="13.85546875" style="2" customWidth="1"/>
    <col min="10265" max="10265" width="10.85546875" style="2" customWidth="1"/>
    <col min="10266" max="10266" width="14.140625" style="2" customWidth="1"/>
    <col min="10267" max="10267" width="0" style="2" hidden="1" customWidth="1"/>
    <col min="10268" max="10268" width="13" style="2" customWidth="1"/>
    <col min="10269" max="10269" width="13.140625" style="2" customWidth="1"/>
    <col min="10270" max="10271" width="14" style="2" customWidth="1"/>
    <col min="10272" max="10272" width="11.42578125" style="2" customWidth="1"/>
    <col min="10273" max="10273" width="15.85546875" style="2" customWidth="1"/>
    <col min="10274" max="10274" width="23.7109375" style="2" customWidth="1"/>
    <col min="10275" max="10275" width="12" style="2" customWidth="1"/>
    <col min="10276" max="10277" width="0.28515625" style="2" customWidth="1"/>
    <col min="10278" max="10278" width="1.42578125" style="2" customWidth="1"/>
    <col min="10279" max="10279" width="0" style="2" hidden="1" customWidth="1"/>
    <col min="10280" max="10496" width="11.42578125" style="2"/>
    <col min="10497" max="10497" width="10.28515625" style="2" customWidth="1"/>
    <col min="10498" max="10498" width="13.42578125" style="2" customWidth="1"/>
    <col min="10499" max="10499" width="4.28515625" style="2" customWidth="1"/>
    <col min="10500" max="10500" width="4" style="2" customWidth="1"/>
    <col min="10501" max="10501" width="15" style="2" customWidth="1"/>
    <col min="10502" max="10502" width="4.140625" style="2" customWidth="1"/>
    <col min="10503" max="10503" width="11.28515625" style="2" customWidth="1"/>
    <col min="10504" max="10504" width="16.140625" style="2" customWidth="1"/>
    <col min="10505" max="10505" width="11" style="2" customWidth="1"/>
    <col min="10506" max="10507" width="2.140625" style="2" customWidth="1"/>
    <col min="10508" max="10508" width="3.28515625" style="2" customWidth="1"/>
    <col min="10509" max="10510" width="0" style="2" hidden="1" customWidth="1"/>
    <col min="10511" max="10511" width="2.85546875" style="2" customWidth="1"/>
    <col min="10512" max="10512" width="3.28515625" style="2" customWidth="1"/>
    <col min="10513" max="10513" width="1.42578125" style="2" customWidth="1"/>
    <col min="10514" max="10514" width="0" style="2" hidden="1" customWidth="1"/>
    <col min="10515" max="10515" width="6.85546875" style="2" customWidth="1"/>
    <col min="10516" max="10516" width="0" style="2" hidden="1" customWidth="1"/>
    <col min="10517" max="10518" width="6.28515625" style="2" customWidth="1"/>
    <col min="10519" max="10520" width="13.85546875" style="2" customWidth="1"/>
    <col min="10521" max="10521" width="10.85546875" style="2" customWidth="1"/>
    <col min="10522" max="10522" width="14.140625" style="2" customWidth="1"/>
    <col min="10523" max="10523" width="0" style="2" hidden="1" customWidth="1"/>
    <col min="10524" max="10524" width="13" style="2" customWidth="1"/>
    <col min="10525" max="10525" width="13.140625" style="2" customWidth="1"/>
    <col min="10526" max="10527" width="14" style="2" customWidth="1"/>
    <col min="10528" max="10528" width="11.42578125" style="2" customWidth="1"/>
    <col min="10529" max="10529" width="15.85546875" style="2" customWidth="1"/>
    <col min="10530" max="10530" width="23.7109375" style="2" customWidth="1"/>
    <col min="10531" max="10531" width="12" style="2" customWidth="1"/>
    <col min="10532" max="10533" width="0.28515625" style="2" customWidth="1"/>
    <col min="10534" max="10534" width="1.42578125" style="2" customWidth="1"/>
    <col min="10535" max="10535" width="0" style="2" hidden="1" customWidth="1"/>
    <col min="10536" max="10752" width="11.42578125" style="2"/>
    <col min="10753" max="10753" width="10.28515625" style="2" customWidth="1"/>
    <col min="10754" max="10754" width="13.42578125" style="2" customWidth="1"/>
    <col min="10755" max="10755" width="4.28515625" style="2" customWidth="1"/>
    <col min="10756" max="10756" width="4" style="2" customWidth="1"/>
    <col min="10757" max="10757" width="15" style="2" customWidth="1"/>
    <col min="10758" max="10758" width="4.140625" style="2" customWidth="1"/>
    <col min="10759" max="10759" width="11.28515625" style="2" customWidth="1"/>
    <col min="10760" max="10760" width="16.140625" style="2" customWidth="1"/>
    <col min="10761" max="10761" width="11" style="2" customWidth="1"/>
    <col min="10762" max="10763" width="2.140625" style="2" customWidth="1"/>
    <col min="10764" max="10764" width="3.28515625" style="2" customWidth="1"/>
    <col min="10765" max="10766" width="0" style="2" hidden="1" customWidth="1"/>
    <col min="10767" max="10767" width="2.85546875" style="2" customWidth="1"/>
    <col min="10768" max="10768" width="3.28515625" style="2" customWidth="1"/>
    <col min="10769" max="10769" width="1.42578125" style="2" customWidth="1"/>
    <col min="10770" max="10770" width="0" style="2" hidden="1" customWidth="1"/>
    <col min="10771" max="10771" width="6.85546875" style="2" customWidth="1"/>
    <col min="10772" max="10772" width="0" style="2" hidden="1" customWidth="1"/>
    <col min="10773" max="10774" width="6.28515625" style="2" customWidth="1"/>
    <col min="10775" max="10776" width="13.85546875" style="2" customWidth="1"/>
    <col min="10777" max="10777" width="10.85546875" style="2" customWidth="1"/>
    <col min="10778" max="10778" width="14.140625" style="2" customWidth="1"/>
    <col min="10779" max="10779" width="0" style="2" hidden="1" customWidth="1"/>
    <col min="10780" max="10780" width="13" style="2" customWidth="1"/>
    <col min="10781" max="10781" width="13.140625" style="2" customWidth="1"/>
    <col min="10782" max="10783" width="14" style="2" customWidth="1"/>
    <col min="10784" max="10784" width="11.42578125" style="2" customWidth="1"/>
    <col min="10785" max="10785" width="15.85546875" style="2" customWidth="1"/>
    <col min="10786" max="10786" width="23.7109375" style="2" customWidth="1"/>
    <col min="10787" max="10787" width="12" style="2" customWidth="1"/>
    <col min="10788" max="10789" width="0.28515625" style="2" customWidth="1"/>
    <col min="10790" max="10790" width="1.42578125" style="2" customWidth="1"/>
    <col min="10791" max="10791" width="0" style="2" hidden="1" customWidth="1"/>
    <col min="10792" max="11008" width="11.42578125" style="2"/>
    <col min="11009" max="11009" width="10.28515625" style="2" customWidth="1"/>
    <col min="11010" max="11010" width="13.42578125" style="2" customWidth="1"/>
    <col min="11011" max="11011" width="4.28515625" style="2" customWidth="1"/>
    <col min="11012" max="11012" width="4" style="2" customWidth="1"/>
    <col min="11013" max="11013" width="15" style="2" customWidth="1"/>
    <col min="11014" max="11014" width="4.140625" style="2" customWidth="1"/>
    <col min="11015" max="11015" width="11.28515625" style="2" customWidth="1"/>
    <col min="11016" max="11016" width="16.140625" style="2" customWidth="1"/>
    <col min="11017" max="11017" width="11" style="2" customWidth="1"/>
    <col min="11018" max="11019" width="2.140625" style="2" customWidth="1"/>
    <col min="11020" max="11020" width="3.28515625" style="2" customWidth="1"/>
    <col min="11021" max="11022" width="0" style="2" hidden="1" customWidth="1"/>
    <col min="11023" max="11023" width="2.85546875" style="2" customWidth="1"/>
    <col min="11024" max="11024" width="3.28515625" style="2" customWidth="1"/>
    <col min="11025" max="11025" width="1.42578125" style="2" customWidth="1"/>
    <col min="11026" max="11026" width="0" style="2" hidden="1" customWidth="1"/>
    <col min="11027" max="11027" width="6.85546875" style="2" customWidth="1"/>
    <col min="11028" max="11028" width="0" style="2" hidden="1" customWidth="1"/>
    <col min="11029" max="11030" width="6.28515625" style="2" customWidth="1"/>
    <col min="11031" max="11032" width="13.85546875" style="2" customWidth="1"/>
    <col min="11033" max="11033" width="10.85546875" style="2" customWidth="1"/>
    <col min="11034" max="11034" width="14.140625" style="2" customWidth="1"/>
    <col min="11035" max="11035" width="0" style="2" hidden="1" customWidth="1"/>
    <col min="11036" max="11036" width="13" style="2" customWidth="1"/>
    <col min="11037" max="11037" width="13.140625" style="2" customWidth="1"/>
    <col min="11038" max="11039" width="14" style="2" customWidth="1"/>
    <col min="11040" max="11040" width="11.42578125" style="2" customWidth="1"/>
    <col min="11041" max="11041" width="15.85546875" style="2" customWidth="1"/>
    <col min="11042" max="11042" width="23.7109375" style="2" customWidth="1"/>
    <col min="11043" max="11043" width="12" style="2" customWidth="1"/>
    <col min="11044" max="11045" width="0.28515625" style="2" customWidth="1"/>
    <col min="11046" max="11046" width="1.42578125" style="2" customWidth="1"/>
    <col min="11047" max="11047" width="0" style="2" hidden="1" customWidth="1"/>
    <col min="11048" max="11264" width="11.42578125" style="2"/>
    <col min="11265" max="11265" width="10.28515625" style="2" customWidth="1"/>
    <col min="11266" max="11266" width="13.42578125" style="2" customWidth="1"/>
    <col min="11267" max="11267" width="4.28515625" style="2" customWidth="1"/>
    <col min="11268" max="11268" width="4" style="2" customWidth="1"/>
    <col min="11269" max="11269" width="15" style="2" customWidth="1"/>
    <col min="11270" max="11270" width="4.140625" style="2" customWidth="1"/>
    <col min="11271" max="11271" width="11.28515625" style="2" customWidth="1"/>
    <col min="11272" max="11272" width="16.140625" style="2" customWidth="1"/>
    <col min="11273" max="11273" width="11" style="2" customWidth="1"/>
    <col min="11274" max="11275" width="2.140625" style="2" customWidth="1"/>
    <col min="11276" max="11276" width="3.28515625" style="2" customWidth="1"/>
    <col min="11277" max="11278" width="0" style="2" hidden="1" customWidth="1"/>
    <col min="11279" max="11279" width="2.85546875" style="2" customWidth="1"/>
    <col min="11280" max="11280" width="3.28515625" style="2" customWidth="1"/>
    <col min="11281" max="11281" width="1.42578125" style="2" customWidth="1"/>
    <col min="11282" max="11282" width="0" style="2" hidden="1" customWidth="1"/>
    <col min="11283" max="11283" width="6.85546875" style="2" customWidth="1"/>
    <col min="11284" max="11284" width="0" style="2" hidden="1" customWidth="1"/>
    <col min="11285" max="11286" width="6.28515625" style="2" customWidth="1"/>
    <col min="11287" max="11288" width="13.85546875" style="2" customWidth="1"/>
    <col min="11289" max="11289" width="10.85546875" style="2" customWidth="1"/>
    <col min="11290" max="11290" width="14.140625" style="2" customWidth="1"/>
    <col min="11291" max="11291" width="0" style="2" hidden="1" customWidth="1"/>
    <col min="11292" max="11292" width="13" style="2" customWidth="1"/>
    <col min="11293" max="11293" width="13.140625" style="2" customWidth="1"/>
    <col min="11294" max="11295" width="14" style="2" customWidth="1"/>
    <col min="11296" max="11296" width="11.42578125" style="2" customWidth="1"/>
    <col min="11297" max="11297" width="15.85546875" style="2" customWidth="1"/>
    <col min="11298" max="11298" width="23.7109375" style="2" customWidth="1"/>
    <col min="11299" max="11299" width="12" style="2" customWidth="1"/>
    <col min="11300" max="11301" width="0.28515625" style="2" customWidth="1"/>
    <col min="11302" max="11302" width="1.42578125" style="2" customWidth="1"/>
    <col min="11303" max="11303" width="0" style="2" hidden="1" customWidth="1"/>
    <col min="11304" max="11520" width="11.42578125" style="2"/>
    <col min="11521" max="11521" width="10.28515625" style="2" customWidth="1"/>
    <col min="11522" max="11522" width="13.42578125" style="2" customWidth="1"/>
    <col min="11523" max="11523" width="4.28515625" style="2" customWidth="1"/>
    <col min="11524" max="11524" width="4" style="2" customWidth="1"/>
    <col min="11525" max="11525" width="15" style="2" customWidth="1"/>
    <col min="11526" max="11526" width="4.140625" style="2" customWidth="1"/>
    <col min="11527" max="11527" width="11.28515625" style="2" customWidth="1"/>
    <col min="11528" max="11528" width="16.140625" style="2" customWidth="1"/>
    <col min="11529" max="11529" width="11" style="2" customWidth="1"/>
    <col min="11530" max="11531" width="2.140625" style="2" customWidth="1"/>
    <col min="11532" max="11532" width="3.28515625" style="2" customWidth="1"/>
    <col min="11533" max="11534" width="0" style="2" hidden="1" customWidth="1"/>
    <col min="11535" max="11535" width="2.85546875" style="2" customWidth="1"/>
    <col min="11536" max="11536" width="3.28515625" style="2" customWidth="1"/>
    <col min="11537" max="11537" width="1.42578125" style="2" customWidth="1"/>
    <col min="11538" max="11538" width="0" style="2" hidden="1" customWidth="1"/>
    <col min="11539" max="11539" width="6.85546875" style="2" customWidth="1"/>
    <col min="11540" max="11540" width="0" style="2" hidden="1" customWidth="1"/>
    <col min="11541" max="11542" width="6.28515625" style="2" customWidth="1"/>
    <col min="11543" max="11544" width="13.85546875" style="2" customWidth="1"/>
    <col min="11545" max="11545" width="10.85546875" style="2" customWidth="1"/>
    <col min="11546" max="11546" width="14.140625" style="2" customWidth="1"/>
    <col min="11547" max="11547" width="0" style="2" hidden="1" customWidth="1"/>
    <col min="11548" max="11548" width="13" style="2" customWidth="1"/>
    <col min="11549" max="11549" width="13.140625" style="2" customWidth="1"/>
    <col min="11550" max="11551" width="14" style="2" customWidth="1"/>
    <col min="11552" max="11552" width="11.42578125" style="2" customWidth="1"/>
    <col min="11553" max="11553" width="15.85546875" style="2" customWidth="1"/>
    <col min="11554" max="11554" width="23.7109375" style="2" customWidth="1"/>
    <col min="11555" max="11555" width="12" style="2" customWidth="1"/>
    <col min="11556" max="11557" width="0.28515625" style="2" customWidth="1"/>
    <col min="11558" max="11558" width="1.42578125" style="2" customWidth="1"/>
    <col min="11559" max="11559" width="0" style="2" hidden="1" customWidth="1"/>
    <col min="11560" max="11776" width="11.42578125" style="2"/>
    <col min="11777" max="11777" width="10.28515625" style="2" customWidth="1"/>
    <col min="11778" max="11778" width="13.42578125" style="2" customWidth="1"/>
    <col min="11779" max="11779" width="4.28515625" style="2" customWidth="1"/>
    <col min="11780" max="11780" width="4" style="2" customWidth="1"/>
    <col min="11781" max="11781" width="15" style="2" customWidth="1"/>
    <col min="11782" max="11782" width="4.140625" style="2" customWidth="1"/>
    <col min="11783" max="11783" width="11.28515625" style="2" customWidth="1"/>
    <col min="11784" max="11784" width="16.140625" style="2" customWidth="1"/>
    <col min="11785" max="11785" width="11" style="2" customWidth="1"/>
    <col min="11786" max="11787" width="2.140625" style="2" customWidth="1"/>
    <col min="11788" max="11788" width="3.28515625" style="2" customWidth="1"/>
    <col min="11789" max="11790" width="0" style="2" hidden="1" customWidth="1"/>
    <col min="11791" max="11791" width="2.85546875" style="2" customWidth="1"/>
    <col min="11792" max="11792" width="3.28515625" style="2" customWidth="1"/>
    <col min="11793" max="11793" width="1.42578125" style="2" customWidth="1"/>
    <col min="11794" max="11794" width="0" style="2" hidden="1" customWidth="1"/>
    <col min="11795" max="11795" width="6.85546875" style="2" customWidth="1"/>
    <col min="11796" max="11796" width="0" style="2" hidden="1" customWidth="1"/>
    <col min="11797" max="11798" width="6.28515625" style="2" customWidth="1"/>
    <col min="11799" max="11800" width="13.85546875" style="2" customWidth="1"/>
    <col min="11801" max="11801" width="10.85546875" style="2" customWidth="1"/>
    <col min="11802" max="11802" width="14.140625" style="2" customWidth="1"/>
    <col min="11803" max="11803" width="0" style="2" hidden="1" customWidth="1"/>
    <col min="11804" max="11804" width="13" style="2" customWidth="1"/>
    <col min="11805" max="11805" width="13.140625" style="2" customWidth="1"/>
    <col min="11806" max="11807" width="14" style="2" customWidth="1"/>
    <col min="11808" max="11808" width="11.42578125" style="2" customWidth="1"/>
    <col min="11809" max="11809" width="15.85546875" style="2" customWidth="1"/>
    <col min="11810" max="11810" width="23.7109375" style="2" customWidth="1"/>
    <col min="11811" max="11811" width="12" style="2" customWidth="1"/>
    <col min="11812" max="11813" width="0.28515625" style="2" customWidth="1"/>
    <col min="11814" max="11814" width="1.42578125" style="2" customWidth="1"/>
    <col min="11815" max="11815" width="0" style="2" hidden="1" customWidth="1"/>
    <col min="11816" max="12032" width="11.42578125" style="2"/>
    <col min="12033" max="12033" width="10.28515625" style="2" customWidth="1"/>
    <col min="12034" max="12034" width="13.42578125" style="2" customWidth="1"/>
    <col min="12035" max="12035" width="4.28515625" style="2" customWidth="1"/>
    <col min="12036" max="12036" width="4" style="2" customWidth="1"/>
    <col min="12037" max="12037" width="15" style="2" customWidth="1"/>
    <col min="12038" max="12038" width="4.140625" style="2" customWidth="1"/>
    <col min="12039" max="12039" width="11.28515625" style="2" customWidth="1"/>
    <col min="12040" max="12040" width="16.140625" style="2" customWidth="1"/>
    <col min="12041" max="12041" width="11" style="2" customWidth="1"/>
    <col min="12042" max="12043" width="2.140625" style="2" customWidth="1"/>
    <col min="12044" max="12044" width="3.28515625" style="2" customWidth="1"/>
    <col min="12045" max="12046" width="0" style="2" hidden="1" customWidth="1"/>
    <col min="12047" max="12047" width="2.85546875" style="2" customWidth="1"/>
    <col min="12048" max="12048" width="3.28515625" style="2" customWidth="1"/>
    <col min="12049" max="12049" width="1.42578125" style="2" customWidth="1"/>
    <col min="12050" max="12050" width="0" style="2" hidden="1" customWidth="1"/>
    <col min="12051" max="12051" width="6.85546875" style="2" customWidth="1"/>
    <col min="12052" max="12052" width="0" style="2" hidden="1" customWidth="1"/>
    <col min="12053" max="12054" width="6.28515625" style="2" customWidth="1"/>
    <col min="12055" max="12056" width="13.85546875" style="2" customWidth="1"/>
    <col min="12057" max="12057" width="10.85546875" style="2" customWidth="1"/>
    <col min="12058" max="12058" width="14.140625" style="2" customWidth="1"/>
    <col min="12059" max="12059" width="0" style="2" hidden="1" customWidth="1"/>
    <col min="12060" max="12060" width="13" style="2" customWidth="1"/>
    <col min="12061" max="12061" width="13.140625" style="2" customWidth="1"/>
    <col min="12062" max="12063" width="14" style="2" customWidth="1"/>
    <col min="12064" max="12064" width="11.42578125" style="2" customWidth="1"/>
    <col min="12065" max="12065" width="15.85546875" style="2" customWidth="1"/>
    <col min="12066" max="12066" width="23.7109375" style="2" customWidth="1"/>
    <col min="12067" max="12067" width="12" style="2" customWidth="1"/>
    <col min="12068" max="12069" width="0.28515625" style="2" customWidth="1"/>
    <col min="12070" max="12070" width="1.42578125" style="2" customWidth="1"/>
    <col min="12071" max="12071" width="0" style="2" hidden="1" customWidth="1"/>
    <col min="12072" max="12288" width="11.42578125" style="2"/>
    <col min="12289" max="12289" width="10.28515625" style="2" customWidth="1"/>
    <col min="12290" max="12290" width="13.42578125" style="2" customWidth="1"/>
    <col min="12291" max="12291" width="4.28515625" style="2" customWidth="1"/>
    <col min="12292" max="12292" width="4" style="2" customWidth="1"/>
    <col min="12293" max="12293" width="15" style="2" customWidth="1"/>
    <col min="12294" max="12294" width="4.140625" style="2" customWidth="1"/>
    <col min="12295" max="12295" width="11.28515625" style="2" customWidth="1"/>
    <col min="12296" max="12296" width="16.140625" style="2" customWidth="1"/>
    <col min="12297" max="12297" width="11" style="2" customWidth="1"/>
    <col min="12298" max="12299" width="2.140625" style="2" customWidth="1"/>
    <col min="12300" max="12300" width="3.28515625" style="2" customWidth="1"/>
    <col min="12301" max="12302" width="0" style="2" hidden="1" customWidth="1"/>
    <col min="12303" max="12303" width="2.85546875" style="2" customWidth="1"/>
    <col min="12304" max="12304" width="3.28515625" style="2" customWidth="1"/>
    <col min="12305" max="12305" width="1.42578125" style="2" customWidth="1"/>
    <col min="12306" max="12306" width="0" style="2" hidden="1" customWidth="1"/>
    <col min="12307" max="12307" width="6.85546875" style="2" customWidth="1"/>
    <col min="12308" max="12308" width="0" style="2" hidden="1" customWidth="1"/>
    <col min="12309" max="12310" width="6.28515625" style="2" customWidth="1"/>
    <col min="12311" max="12312" width="13.85546875" style="2" customWidth="1"/>
    <col min="12313" max="12313" width="10.85546875" style="2" customWidth="1"/>
    <col min="12314" max="12314" width="14.140625" style="2" customWidth="1"/>
    <col min="12315" max="12315" width="0" style="2" hidden="1" customWidth="1"/>
    <col min="12316" max="12316" width="13" style="2" customWidth="1"/>
    <col min="12317" max="12317" width="13.140625" style="2" customWidth="1"/>
    <col min="12318" max="12319" width="14" style="2" customWidth="1"/>
    <col min="12320" max="12320" width="11.42578125" style="2" customWidth="1"/>
    <col min="12321" max="12321" width="15.85546875" style="2" customWidth="1"/>
    <col min="12322" max="12322" width="23.7109375" style="2" customWidth="1"/>
    <col min="12323" max="12323" width="12" style="2" customWidth="1"/>
    <col min="12324" max="12325" width="0.28515625" style="2" customWidth="1"/>
    <col min="12326" max="12326" width="1.42578125" style="2" customWidth="1"/>
    <col min="12327" max="12327" width="0" style="2" hidden="1" customWidth="1"/>
    <col min="12328" max="12544" width="11.42578125" style="2"/>
    <col min="12545" max="12545" width="10.28515625" style="2" customWidth="1"/>
    <col min="12546" max="12546" width="13.42578125" style="2" customWidth="1"/>
    <col min="12547" max="12547" width="4.28515625" style="2" customWidth="1"/>
    <col min="12548" max="12548" width="4" style="2" customWidth="1"/>
    <col min="12549" max="12549" width="15" style="2" customWidth="1"/>
    <col min="12550" max="12550" width="4.140625" style="2" customWidth="1"/>
    <col min="12551" max="12551" width="11.28515625" style="2" customWidth="1"/>
    <col min="12552" max="12552" width="16.140625" style="2" customWidth="1"/>
    <col min="12553" max="12553" width="11" style="2" customWidth="1"/>
    <col min="12554" max="12555" width="2.140625" style="2" customWidth="1"/>
    <col min="12556" max="12556" width="3.28515625" style="2" customWidth="1"/>
    <col min="12557" max="12558" width="0" style="2" hidden="1" customWidth="1"/>
    <col min="12559" max="12559" width="2.85546875" style="2" customWidth="1"/>
    <col min="12560" max="12560" width="3.28515625" style="2" customWidth="1"/>
    <col min="12561" max="12561" width="1.42578125" style="2" customWidth="1"/>
    <col min="12562" max="12562" width="0" style="2" hidden="1" customWidth="1"/>
    <col min="12563" max="12563" width="6.85546875" style="2" customWidth="1"/>
    <col min="12564" max="12564" width="0" style="2" hidden="1" customWidth="1"/>
    <col min="12565" max="12566" width="6.28515625" style="2" customWidth="1"/>
    <col min="12567" max="12568" width="13.85546875" style="2" customWidth="1"/>
    <col min="12569" max="12569" width="10.85546875" style="2" customWidth="1"/>
    <col min="12570" max="12570" width="14.140625" style="2" customWidth="1"/>
    <col min="12571" max="12571" width="0" style="2" hidden="1" customWidth="1"/>
    <col min="12572" max="12572" width="13" style="2" customWidth="1"/>
    <col min="12573" max="12573" width="13.140625" style="2" customWidth="1"/>
    <col min="12574" max="12575" width="14" style="2" customWidth="1"/>
    <col min="12576" max="12576" width="11.42578125" style="2" customWidth="1"/>
    <col min="12577" max="12577" width="15.85546875" style="2" customWidth="1"/>
    <col min="12578" max="12578" width="23.7109375" style="2" customWidth="1"/>
    <col min="12579" max="12579" width="12" style="2" customWidth="1"/>
    <col min="12580" max="12581" width="0.28515625" style="2" customWidth="1"/>
    <col min="12582" max="12582" width="1.42578125" style="2" customWidth="1"/>
    <col min="12583" max="12583" width="0" style="2" hidden="1" customWidth="1"/>
    <col min="12584" max="12800" width="11.42578125" style="2"/>
    <col min="12801" max="12801" width="10.28515625" style="2" customWidth="1"/>
    <col min="12802" max="12802" width="13.42578125" style="2" customWidth="1"/>
    <col min="12803" max="12803" width="4.28515625" style="2" customWidth="1"/>
    <col min="12804" max="12804" width="4" style="2" customWidth="1"/>
    <col min="12805" max="12805" width="15" style="2" customWidth="1"/>
    <col min="12806" max="12806" width="4.140625" style="2" customWidth="1"/>
    <col min="12807" max="12807" width="11.28515625" style="2" customWidth="1"/>
    <col min="12808" max="12808" width="16.140625" style="2" customWidth="1"/>
    <col min="12809" max="12809" width="11" style="2" customWidth="1"/>
    <col min="12810" max="12811" width="2.140625" style="2" customWidth="1"/>
    <col min="12812" max="12812" width="3.28515625" style="2" customWidth="1"/>
    <col min="12813" max="12814" width="0" style="2" hidden="1" customWidth="1"/>
    <col min="12815" max="12815" width="2.85546875" style="2" customWidth="1"/>
    <col min="12816" max="12816" width="3.28515625" style="2" customWidth="1"/>
    <col min="12817" max="12817" width="1.42578125" style="2" customWidth="1"/>
    <col min="12818" max="12818" width="0" style="2" hidden="1" customWidth="1"/>
    <col min="12819" max="12819" width="6.85546875" style="2" customWidth="1"/>
    <col min="12820" max="12820" width="0" style="2" hidden="1" customWidth="1"/>
    <col min="12821" max="12822" width="6.28515625" style="2" customWidth="1"/>
    <col min="12823" max="12824" width="13.85546875" style="2" customWidth="1"/>
    <col min="12825" max="12825" width="10.85546875" style="2" customWidth="1"/>
    <col min="12826" max="12826" width="14.140625" style="2" customWidth="1"/>
    <col min="12827" max="12827" width="0" style="2" hidden="1" customWidth="1"/>
    <col min="12828" max="12828" width="13" style="2" customWidth="1"/>
    <col min="12829" max="12829" width="13.140625" style="2" customWidth="1"/>
    <col min="12830" max="12831" width="14" style="2" customWidth="1"/>
    <col min="12832" max="12832" width="11.42578125" style="2" customWidth="1"/>
    <col min="12833" max="12833" width="15.85546875" style="2" customWidth="1"/>
    <col min="12834" max="12834" width="23.7109375" style="2" customWidth="1"/>
    <col min="12835" max="12835" width="12" style="2" customWidth="1"/>
    <col min="12836" max="12837" width="0.28515625" style="2" customWidth="1"/>
    <col min="12838" max="12838" width="1.42578125" style="2" customWidth="1"/>
    <col min="12839" max="12839" width="0" style="2" hidden="1" customWidth="1"/>
    <col min="12840" max="13056" width="11.42578125" style="2"/>
    <col min="13057" max="13057" width="10.28515625" style="2" customWidth="1"/>
    <col min="13058" max="13058" width="13.42578125" style="2" customWidth="1"/>
    <col min="13059" max="13059" width="4.28515625" style="2" customWidth="1"/>
    <col min="13060" max="13060" width="4" style="2" customWidth="1"/>
    <col min="13061" max="13061" width="15" style="2" customWidth="1"/>
    <col min="13062" max="13062" width="4.140625" style="2" customWidth="1"/>
    <col min="13063" max="13063" width="11.28515625" style="2" customWidth="1"/>
    <col min="13064" max="13064" width="16.140625" style="2" customWidth="1"/>
    <col min="13065" max="13065" width="11" style="2" customWidth="1"/>
    <col min="13066" max="13067" width="2.140625" style="2" customWidth="1"/>
    <col min="13068" max="13068" width="3.28515625" style="2" customWidth="1"/>
    <col min="13069" max="13070" width="0" style="2" hidden="1" customWidth="1"/>
    <col min="13071" max="13071" width="2.85546875" style="2" customWidth="1"/>
    <col min="13072" max="13072" width="3.28515625" style="2" customWidth="1"/>
    <col min="13073" max="13073" width="1.42578125" style="2" customWidth="1"/>
    <col min="13074" max="13074" width="0" style="2" hidden="1" customWidth="1"/>
    <col min="13075" max="13075" width="6.85546875" style="2" customWidth="1"/>
    <col min="13076" max="13076" width="0" style="2" hidden="1" customWidth="1"/>
    <col min="13077" max="13078" width="6.28515625" style="2" customWidth="1"/>
    <col min="13079" max="13080" width="13.85546875" style="2" customWidth="1"/>
    <col min="13081" max="13081" width="10.85546875" style="2" customWidth="1"/>
    <col min="13082" max="13082" width="14.140625" style="2" customWidth="1"/>
    <col min="13083" max="13083" width="0" style="2" hidden="1" customWidth="1"/>
    <col min="13084" max="13084" width="13" style="2" customWidth="1"/>
    <col min="13085" max="13085" width="13.140625" style="2" customWidth="1"/>
    <col min="13086" max="13087" width="14" style="2" customWidth="1"/>
    <col min="13088" max="13088" width="11.42578125" style="2" customWidth="1"/>
    <col min="13089" max="13089" width="15.85546875" style="2" customWidth="1"/>
    <col min="13090" max="13090" width="23.7109375" style="2" customWidth="1"/>
    <col min="13091" max="13091" width="12" style="2" customWidth="1"/>
    <col min="13092" max="13093" width="0.28515625" style="2" customWidth="1"/>
    <col min="13094" max="13094" width="1.42578125" style="2" customWidth="1"/>
    <col min="13095" max="13095" width="0" style="2" hidden="1" customWidth="1"/>
    <col min="13096" max="13312" width="11.42578125" style="2"/>
    <col min="13313" max="13313" width="10.28515625" style="2" customWidth="1"/>
    <col min="13314" max="13314" width="13.42578125" style="2" customWidth="1"/>
    <col min="13315" max="13315" width="4.28515625" style="2" customWidth="1"/>
    <col min="13316" max="13316" width="4" style="2" customWidth="1"/>
    <col min="13317" max="13317" width="15" style="2" customWidth="1"/>
    <col min="13318" max="13318" width="4.140625" style="2" customWidth="1"/>
    <col min="13319" max="13319" width="11.28515625" style="2" customWidth="1"/>
    <col min="13320" max="13320" width="16.140625" style="2" customWidth="1"/>
    <col min="13321" max="13321" width="11" style="2" customWidth="1"/>
    <col min="13322" max="13323" width="2.140625" style="2" customWidth="1"/>
    <col min="13324" max="13324" width="3.28515625" style="2" customWidth="1"/>
    <col min="13325" max="13326" width="0" style="2" hidden="1" customWidth="1"/>
    <col min="13327" max="13327" width="2.85546875" style="2" customWidth="1"/>
    <col min="13328" max="13328" width="3.28515625" style="2" customWidth="1"/>
    <col min="13329" max="13329" width="1.42578125" style="2" customWidth="1"/>
    <col min="13330" max="13330" width="0" style="2" hidden="1" customWidth="1"/>
    <col min="13331" max="13331" width="6.85546875" style="2" customWidth="1"/>
    <col min="13332" max="13332" width="0" style="2" hidden="1" customWidth="1"/>
    <col min="13333" max="13334" width="6.28515625" style="2" customWidth="1"/>
    <col min="13335" max="13336" width="13.85546875" style="2" customWidth="1"/>
    <col min="13337" max="13337" width="10.85546875" style="2" customWidth="1"/>
    <col min="13338" max="13338" width="14.140625" style="2" customWidth="1"/>
    <col min="13339" max="13339" width="0" style="2" hidden="1" customWidth="1"/>
    <col min="13340" max="13340" width="13" style="2" customWidth="1"/>
    <col min="13341" max="13341" width="13.140625" style="2" customWidth="1"/>
    <col min="13342" max="13343" width="14" style="2" customWidth="1"/>
    <col min="13344" max="13344" width="11.42578125" style="2" customWidth="1"/>
    <col min="13345" max="13345" width="15.85546875" style="2" customWidth="1"/>
    <col min="13346" max="13346" width="23.7109375" style="2" customWidth="1"/>
    <col min="13347" max="13347" width="12" style="2" customWidth="1"/>
    <col min="13348" max="13349" width="0.28515625" style="2" customWidth="1"/>
    <col min="13350" max="13350" width="1.42578125" style="2" customWidth="1"/>
    <col min="13351" max="13351" width="0" style="2" hidden="1" customWidth="1"/>
    <col min="13352" max="13568" width="11.42578125" style="2"/>
    <col min="13569" max="13569" width="10.28515625" style="2" customWidth="1"/>
    <col min="13570" max="13570" width="13.42578125" style="2" customWidth="1"/>
    <col min="13571" max="13571" width="4.28515625" style="2" customWidth="1"/>
    <col min="13572" max="13572" width="4" style="2" customWidth="1"/>
    <col min="13573" max="13573" width="15" style="2" customWidth="1"/>
    <col min="13574" max="13574" width="4.140625" style="2" customWidth="1"/>
    <col min="13575" max="13575" width="11.28515625" style="2" customWidth="1"/>
    <col min="13576" max="13576" width="16.140625" style="2" customWidth="1"/>
    <col min="13577" max="13577" width="11" style="2" customWidth="1"/>
    <col min="13578" max="13579" width="2.140625" style="2" customWidth="1"/>
    <col min="13580" max="13580" width="3.28515625" style="2" customWidth="1"/>
    <col min="13581" max="13582" width="0" style="2" hidden="1" customWidth="1"/>
    <col min="13583" max="13583" width="2.85546875" style="2" customWidth="1"/>
    <col min="13584" max="13584" width="3.28515625" style="2" customWidth="1"/>
    <col min="13585" max="13585" width="1.42578125" style="2" customWidth="1"/>
    <col min="13586" max="13586" width="0" style="2" hidden="1" customWidth="1"/>
    <col min="13587" max="13587" width="6.85546875" style="2" customWidth="1"/>
    <col min="13588" max="13588" width="0" style="2" hidden="1" customWidth="1"/>
    <col min="13589" max="13590" width="6.28515625" style="2" customWidth="1"/>
    <col min="13591" max="13592" width="13.85546875" style="2" customWidth="1"/>
    <col min="13593" max="13593" width="10.85546875" style="2" customWidth="1"/>
    <col min="13594" max="13594" width="14.140625" style="2" customWidth="1"/>
    <col min="13595" max="13595" width="0" style="2" hidden="1" customWidth="1"/>
    <col min="13596" max="13596" width="13" style="2" customWidth="1"/>
    <col min="13597" max="13597" width="13.140625" style="2" customWidth="1"/>
    <col min="13598" max="13599" width="14" style="2" customWidth="1"/>
    <col min="13600" max="13600" width="11.42578125" style="2" customWidth="1"/>
    <col min="13601" max="13601" width="15.85546875" style="2" customWidth="1"/>
    <col min="13602" max="13602" width="23.7109375" style="2" customWidth="1"/>
    <col min="13603" max="13603" width="12" style="2" customWidth="1"/>
    <col min="13604" max="13605" width="0.28515625" style="2" customWidth="1"/>
    <col min="13606" max="13606" width="1.42578125" style="2" customWidth="1"/>
    <col min="13607" max="13607" width="0" style="2" hidden="1" customWidth="1"/>
    <col min="13608" max="13824" width="11.42578125" style="2"/>
    <col min="13825" max="13825" width="10.28515625" style="2" customWidth="1"/>
    <col min="13826" max="13826" width="13.42578125" style="2" customWidth="1"/>
    <col min="13827" max="13827" width="4.28515625" style="2" customWidth="1"/>
    <col min="13828" max="13828" width="4" style="2" customWidth="1"/>
    <col min="13829" max="13829" width="15" style="2" customWidth="1"/>
    <col min="13830" max="13830" width="4.140625" style="2" customWidth="1"/>
    <col min="13831" max="13831" width="11.28515625" style="2" customWidth="1"/>
    <col min="13832" max="13832" width="16.140625" style="2" customWidth="1"/>
    <col min="13833" max="13833" width="11" style="2" customWidth="1"/>
    <col min="13834" max="13835" width="2.140625" style="2" customWidth="1"/>
    <col min="13836" max="13836" width="3.28515625" style="2" customWidth="1"/>
    <col min="13837" max="13838" width="0" style="2" hidden="1" customWidth="1"/>
    <col min="13839" max="13839" width="2.85546875" style="2" customWidth="1"/>
    <col min="13840" max="13840" width="3.28515625" style="2" customWidth="1"/>
    <col min="13841" max="13841" width="1.42578125" style="2" customWidth="1"/>
    <col min="13842" max="13842" width="0" style="2" hidden="1" customWidth="1"/>
    <col min="13843" max="13843" width="6.85546875" style="2" customWidth="1"/>
    <col min="13844" max="13844" width="0" style="2" hidden="1" customWidth="1"/>
    <col min="13845" max="13846" width="6.28515625" style="2" customWidth="1"/>
    <col min="13847" max="13848" width="13.85546875" style="2" customWidth="1"/>
    <col min="13849" max="13849" width="10.85546875" style="2" customWidth="1"/>
    <col min="13850" max="13850" width="14.140625" style="2" customWidth="1"/>
    <col min="13851" max="13851" width="0" style="2" hidden="1" customWidth="1"/>
    <col min="13852" max="13852" width="13" style="2" customWidth="1"/>
    <col min="13853" max="13853" width="13.140625" style="2" customWidth="1"/>
    <col min="13854" max="13855" width="14" style="2" customWidth="1"/>
    <col min="13856" max="13856" width="11.42578125" style="2" customWidth="1"/>
    <col min="13857" max="13857" width="15.85546875" style="2" customWidth="1"/>
    <col min="13858" max="13858" width="23.7109375" style="2" customWidth="1"/>
    <col min="13859" max="13859" width="12" style="2" customWidth="1"/>
    <col min="13860" max="13861" width="0.28515625" style="2" customWidth="1"/>
    <col min="13862" max="13862" width="1.42578125" style="2" customWidth="1"/>
    <col min="13863" max="13863" width="0" style="2" hidden="1" customWidth="1"/>
    <col min="13864" max="14080" width="11.42578125" style="2"/>
    <col min="14081" max="14081" width="10.28515625" style="2" customWidth="1"/>
    <col min="14082" max="14082" width="13.42578125" style="2" customWidth="1"/>
    <col min="14083" max="14083" width="4.28515625" style="2" customWidth="1"/>
    <col min="14084" max="14084" width="4" style="2" customWidth="1"/>
    <col min="14085" max="14085" width="15" style="2" customWidth="1"/>
    <col min="14086" max="14086" width="4.140625" style="2" customWidth="1"/>
    <col min="14087" max="14087" width="11.28515625" style="2" customWidth="1"/>
    <col min="14088" max="14088" width="16.140625" style="2" customWidth="1"/>
    <col min="14089" max="14089" width="11" style="2" customWidth="1"/>
    <col min="14090" max="14091" width="2.140625" style="2" customWidth="1"/>
    <col min="14092" max="14092" width="3.28515625" style="2" customWidth="1"/>
    <col min="14093" max="14094" width="0" style="2" hidden="1" customWidth="1"/>
    <col min="14095" max="14095" width="2.85546875" style="2" customWidth="1"/>
    <col min="14096" max="14096" width="3.28515625" style="2" customWidth="1"/>
    <col min="14097" max="14097" width="1.42578125" style="2" customWidth="1"/>
    <col min="14098" max="14098" width="0" style="2" hidden="1" customWidth="1"/>
    <col min="14099" max="14099" width="6.85546875" style="2" customWidth="1"/>
    <col min="14100" max="14100" width="0" style="2" hidden="1" customWidth="1"/>
    <col min="14101" max="14102" width="6.28515625" style="2" customWidth="1"/>
    <col min="14103" max="14104" width="13.85546875" style="2" customWidth="1"/>
    <col min="14105" max="14105" width="10.85546875" style="2" customWidth="1"/>
    <col min="14106" max="14106" width="14.140625" style="2" customWidth="1"/>
    <col min="14107" max="14107" width="0" style="2" hidden="1" customWidth="1"/>
    <col min="14108" max="14108" width="13" style="2" customWidth="1"/>
    <col min="14109" max="14109" width="13.140625" style="2" customWidth="1"/>
    <col min="14110" max="14111" width="14" style="2" customWidth="1"/>
    <col min="14112" max="14112" width="11.42578125" style="2" customWidth="1"/>
    <col min="14113" max="14113" width="15.85546875" style="2" customWidth="1"/>
    <col min="14114" max="14114" width="23.7109375" style="2" customWidth="1"/>
    <col min="14115" max="14115" width="12" style="2" customWidth="1"/>
    <col min="14116" max="14117" width="0.28515625" style="2" customWidth="1"/>
    <col min="14118" max="14118" width="1.42578125" style="2" customWidth="1"/>
    <col min="14119" max="14119" width="0" style="2" hidden="1" customWidth="1"/>
    <col min="14120" max="14336" width="11.42578125" style="2"/>
    <col min="14337" max="14337" width="10.28515625" style="2" customWidth="1"/>
    <col min="14338" max="14338" width="13.42578125" style="2" customWidth="1"/>
    <col min="14339" max="14339" width="4.28515625" style="2" customWidth="1"/>
    <col min="14340" max="14340" width="4" style="2" customWidth="1"/>
    <col min="14341" max="14341" width="15" style="2" customWidth="1"/>
    <col min="14342" max="14342" width="4.140625" style="2" customWidth="1"/>
    <col min="14343" max="14343" width="11.28515625" style="2" customWidth="1"/>
    <col min="14344" max="14344" width="16.140625" style="2" customWidth="1"/>
    <col min="14345" max="14345" width="11" style="2" customWidth="1"/>
    <col min="14346" max="14347" width="2.140625" style="2" customWidth="1"/>
    <col min="14348" max="14348" width="3.28515625" style="2" customWidth="1"/>
    <col min="14349" max="14350" width="0" style="2" hidden="1" customWidth="1"/>
    <col min="14351" max="14351" width="2.85546875" style="2" customWidth="1"/>
    <col min="14352" max="14352" width="3.28515625" style="2" customWidth="1"/>
    <col min="14353" max="14353" width="1.42578125" style="2" customWidth="1"/>
    <col min="14354" max="14354" width="0" style="2" hidden="1" customWidth="1"/>
    <col min="14355" max="14355" width="6.85546875" style="2" customWidth="1"/>
    <col min="14356" max="14356" width="0" style="2" hidden="1" customWidth="1"/>
    <col min="14357" max="14358" width="6.28515625" style="2" customWidth="1"/>
    <col min="14359" max="14360" width="13.85546875" style="2" customWidth="1"/>
    <col min="14361" max="14361" width="10.85546875" style="2" customWidth="1"/>
    <col min="14362" max="14362" width="14.140625" style="2" customWidth="1"/>
    <col min="14363" max="14363" width="0" style="2" hidden="1" customWidth="1"/>
    <col min="14364" max="14364" width="13" style="2" customWidth="1"/>
    <col min="14365" max="14365" width="13.140625" style="2" customWidth="1"/>
    <col min="14366" max="14367" width="14" style="2" customWidth="1"/>
    <col min="14368" max="14368" width="11.42578125" style="2" customWidth="1"/>
    <col min="14369" max="14369" width="15.85546875" style="2" customWidth="1"/>
    <col min="14370" max="14370" width="23.7109375" style="2" customWidth="1"/>
    <col min="14371" max="14371" width="12" style="2" customWidth="1"/>
    <col min="14372" max="14373" width="0.28515625" style="2" customWidth="1"/>
    <col min="14374" max="14374" width="1.42578125" style="2" customWidth="1"/>
    <col min="14375" max="14375" width="0" style="2" hidden="1" customWidth="1"/>
    <col min="14376" max="14592" width="11.42578125" style="2"/>
    <col min="14593" max="14593" width="10.28515625" style="2" customWidth="1"/>
    <col min="14594" max="14594" width="13.42578125" style="2" customWidth="1"/>
    <col min="14595" max="14595" width="4.28515625" style="2" customWidth="1"/>
    <col min="14596" max="14596" width="4" style="2" customWidth="1"/>
    <col min="14597" max="14597" width="15" style="2" customWidth="1"/>
    <col min="14598" max="14598" width="4.140625" style="2" customWidth="1"/>
    <col min="14599" max="14599" width="11.28515625" style="2" customWidth="1"/>
    <col min="14600" max="14600" width="16.140625" style="2" customWidth="1"/>
    <col min="14601" max="14601" width="11" style="2" customWidth="1"/>
    <col min="14602" max="14603" width="2.140625" style="2" customWidth="1"/>
    <col min="14604" max="14604" width="3.28515625" style="2" customWidth="1"/>
    <col min="14605" max="14606" width="0" style="2" hidden="1" customWidth="1"/>
    <col min="14607" max="14607" width="2.85546875" style="2" customWidth="1"/>
    <col min="14608" max="14608" width="3.28515625" style="2" customWidth="1"/>
    <col min="14609" max="14609" width="1.42578125" style="2" customWidth="1"/>
    <col min="14610" max="14610" width="0" style="2" hidden="1" customWidth="1"/>
    <col min="14611" max="14611" width="6.85546875" style="2" customWidth="1"/>
    <col min="14612" max="14612" width="0" style="2" hidden="1" customWidth="1"/>
    <col min="14613" max="14614" width="6.28515625" style="2" customWidth="1"/>
    <col min="14615" max="14616" width="13.85546875" style="2" customWidth="1"/>
    <col min="14617" max="14617" width="10.85546875" style="2" customWidth="1"/>
    <col min="14618" max="14618" width="14.140625" style="2" customWidth="1"/>
    <col min="14619" max="14619" width="0" style="2" hidden="1" customWidth="1"/>
    <col min="14620" max="14620" width="13" style="2" customWidth="1"/>
    <col min="14621" max="14621" width="13.140625" style="2" customWidth="1"/>
    <col min="14622" max="14623" width="14" style="2" customWidth="1"/>
    <col min="14624" max="14624" width="11.42578125" style="2" customWidth="1"/>
    <col min="14625" max="14625" width="15.85546875" style="2" customWidth="1"/>
    <col min="14626" max="14626" width="23.7109375" style="2" customWidth="1"/>
    <col min="14627" max="14627" width="12" style="2" customWidth="1"/>
    <col min="14628" max="14629" width="0.28515625" style="2" customWidth="1"/>
    <col min="14630" max="14630" width="1.42578125" style="2" customWidth="1"/>
    <col min="14631" max="14631" width="0" style="2" hidden="1" customWidth="1"/>
    <col min="14632" max="14848" width="11.42578125" style="2"/>
    <col min="14849" max="14849" width="10.28515625" style="2" customWidth="1"/>
    <col min="14850" max="14850" width="13.42578125" style="2" customWidth="1"/>
    <col min="14851" max="14851" width="4.28515625" style="2" customWidth="1"/>
    <col min="14852" max="14852" width="4" style="2" customWidth="1"/>
    <col min="14853" max="14853" width="15" style="2" customWidth="1"/>
    <col min="14854" max="14854" width="4.140625" style="2" customWidth="1"/>
    <col min="14855" max="14855" width="11.28515625" style="2" customWidth="1"/>
    <col min="14856" max="14856" width="16.140625" style="2" customWidth="1"/>
    <col min="14857" max="14857" width="11" style="2" customWidth="1"/>
    <col min="14858" max="14859" width="2.140625" style="2" customWidth="1"/>
    <col min="14860" max="14860" width="3.28515625" style="2" customWidth="1"/>
    <col min="14861" max="14862" width="0" style="2" hidden="1" customWidth="1"/>
    <col min="14863" max="14863" width="2.85546875" style="2" customWidth="1"/>
    <col min="14864" max="14864" width="3.28515625" style="2" customWidth="1"/>
    <col min="14865" max="14865" width="1.42578125" style="2" customWidth="1"/>
    <col min="14866" max="14866" width="0" style="2" hidden="1" customWidth="1"/>
    <col min="14867" max="14867" width="6.85546875" style="2" customWidth="1"/>
    <col min="14868" max="14868" width="0" style="2" hidden="1" customWidth="1"/>
    <col min="14869" max="14870" width="6.28515625" style="2" customWidth="1"/>
    <col min="14871" max="14872" width="13.85546875" style="2" customWidth="1"/>
    <col min="14873" max="14873" width="10.85546875" style="2" customWidth="1"/>
    <col min="14874" max="14874" width="14.140625" style="2" customWidth="1"/>
    <col min="14875" max="14875" width="0" style="2" hidden="1" customWidth="1"/>
    <col min="14876" max="14876" width="13" style="2" customWidth="1"/>
    <col min="14877" max="14877" width="13.140625" style="2" customWidth="1"/>
    <col min="14878" max="14879" width="14" style="2" customWidth="1"/>
    <col min="14880" max="14880" width="11.42578125" style="2" customWidth="1"/>
    <col min="14881" max="14881" width="15.85546875" style="2" customWidth="1"/>
    <col min="14882" max="14882" width="23.7109375" style="2" customWidth="1"/>
    <col min="14883" max="14883" width="12" style="2" customWidth="1"/>
    <col min="14884" max="14885" width="0.28515625" style="2" customWidth="1"/>
    <col min="14886" max="14886" width="1.42578125" style="2" customWidth="1"/>
    <col min="14887" max="14887" width="0" style="2" hidden="1" customWidth="1"/>
    <col min="14888" max="15104" width="11.42578125" style="2"/>
    <col min="15105" max="15105" width="10.28515625" style="2" customWidth="1"/>
    <col min="15106" max="15106" width="13.42578125" style="2" customWidth="1"/>
    <col min="15107" max="15107" width="4.28515625" style="2" customWidth="1"/>
    <col min="15108" max="15108" width="4" style="2" customWidth="1"/>
    <col min="15109" max="15109" width="15" style="2" customWidth="1"/>
    <col min="15110" max="15110" width="4.140625" style="2" customWidth="1"/>
    <col min="15111" max="15111" width="11.28515625" style="2" customWidth="1"/>
    <col min="15112" max="15112" width="16.140625" style="2" customWidth="1"/>
    <col min="15113" max="15113" width="11" style="2" customWidth="1"/>
    <col min="15114" max="15115" width="2.140625" style="2" customWidth="1"/>
    <col min="15116" max="15116" width="3.28515625" style="2" customWidth="1"/>
    <col min="15117" max="15118" width="0" style="2" hidden="1" customWidth="1"/>
    <col min="15119" max="15119" width="2.85546875" style="2" customWidth="1"/>
    <col min="15120" max="15120" width="3.28515625" style="2" customWidth="1"/>
    <col min="15121" max="15121" width="1.42578125" style="2" customWidth="1"/>
    <col min="15122" max="15122" width="0" style="2" hidden="1" customWidth="1"/>
    <col min="15123" max="15123" width="6.85546875" style="2" customWidth="1"/>
    <col min="15124" max="15124" width="0" style="2" hidden="1" customWidth="1"/>
    <col min="15125" max="15126" width="6.28515625" style="2" customWidth="1"/>
    <col min="15127" max="15128" width="13.85546875" style="2" customWidth="1"/>
    <col min="15129" max="15129" width="10.85546875" style="2" customWidth="1"/>
    <col min="15130" max="15130" width="14.140625" style="2" customWidth="1"/>
    <col min="15131" max="15131" width="0" style="2" hidden="1" customWidth="1"/>
    <col min="15132" max="15132" width="13" style="2" customWidth="1"/>
    <col min="15133" max="15133" width="13.140625" style="2" customWidth="1"/>
    <col min="15134" max="15135" width="14" style="2" customWidth="1"/>
    <col min="15136" max="15136" width="11.42578125" style="2" customWidth="1"/>
    <col min="15137" max="15137" width="15.85546875" style="2" customWidth="1"/>
    <col min="15138" max="15138" width="23.7109375" style="2" customWidth="1"/>
    <col min="15139" max="15139" width="12" style="2" customWidth="1"/>
    <col min="15140" max="15141" width="0.28515625" style="2" customWidth="1"/>
    <col min="15142" max="15142" width="1.42578125" style="2" customWidth="1"/>
    <col min="15143" max="15143" width="0" style="2" hidden="1" customWidth="1"/>
    <col min="15144" max="15360" width="11.42578125" style="2"/>
    <col min="15361" max="15361" width="10.28515625" style="2" customWidth="1"/>
    <col min="15362" max="15362" width="13.42578125" style="2" customWidth="1"/>
    <col min="15363" max="15363" width="4.28515625" style="2" customWidth="1"/>
    <col min="15364" max="15364" width="4" style="2" customWidth="1"/>
    <col min="15365" max="15365" width="15" style="2" customWidth="1"/>
    <col min="15366" max="15366" width="4.140625" style="2" customWidth="1"/>
    <col min="15367" max="15367" width="11.28515625" style="2" customWidth="1"/>
    <col min="15368" max="15368" width="16.140625" style="2" customWidth="1"/>
    <col min="15369" max="15369" width="11" style="2" customWidth="1"/>
    <col min="15370" max="15371" width="2.140625" style="2" customWidth="1"/>
    <col min="15372" max="15372" width="3.28515625" style="2" customWidth="1"/>
    <col min="15373" max="15374" width="0" style="2" hidden="1" customWidth="1"/>
    <col min="15375" max="15375" width="2.85546875" style="2" customWidth="1"/>
    <col min="15376" max="15376" width="3.28515625" style="2" customWidth="1"/>
    <col min="15377" max="15377" width="1.42578125" style="2" customWidth="1"/>
    <col min="15378" max="15378" width="0" style="2" hidden="1" customWidth="1"/>
    <col min="15379" max="15379" width="6.85546875" style="2" customWidth="1"/>
    <col min="15380" max="15380" width="0" style="2" hidden="1" customWidth="1"/>
    <col min="15381" max="15382" width="6.28515625" style="2" customWidth="1"/>
    <col min="15383" max="15384" width="13.85546875" style="2" customWidth="1"/>
    <col min="15385" max="15385" width="10.85546875" style="2" customWidth="1"/>
    <col min="15386" max="15386" width="14.140625" style="2" customWidth="1"/>
    <col min="15387" max="15387" width="0" style="2" hidden="1" customWidth="1"/>
    <col min="15388" max="15388" width="13" style="2" customWidth="1"/>
    <col min="15389" max="15389" width="13.140625" style="2" customWidth="1"/>
    <col min="15390" max="15391" width="14" style="2" customWidth="1"/>
    <col min="15392" max="15392" width="11.42578125" style="2" customWidth="1"/>
    <col min="15393" max="15393" width="15.85546875" style="2" customWidth="1"/>
    <col min="15394" max="15394" width="23.7109375" style="2" customWidth="1"/>
    <col min="15395" max="15395" width="12" style="2" customWidth="1"/>
    <col min="15396" max="15397" width="0.28515625" style="2" customWidth="1"/>
    <col min="15398" max="15398" width="1.42578125" style="2" customWidth="1"/>
    <col min="15399" max="15399" width="0" style="2" hidden="1" customWidth="1"/>
    <col min="15400" max="15616" width="11.42578125" style="2"/>
    <col min="15617" max="15617" width="10.28515625" style="2" customWidth="1"/>
    <col min="15618" max="15618" width="13.42578125" style="2" customWidth="1"/>
    <col min="15619" max="15619" width="4.28515625" style="2" customWidth="1"/>
    <col min="15620" max="15620" width="4" style="2" customWidth="1"/>
    <col min="15621" max="15621" width="15" style="2" customWidth="1"/>
    <col min="15622" max="15622" width="4.140625" style="2" customWidth="1"/>
    <col min="15623" max="15623" width="11.28515625" style="2" customWidth="1"/>
    <col min="15624" max="15624" width="16.140625" style="2" customWidth="1"/>
    <col min="15625" max="15625" width="11" style="2" customWidth="1"/>
    <col min="15626" max="15627" width="2.140625" style="2" customWidth="1"/>
    <col min="15628" max="15628" width="3.28515625" style="2" customWidth="1"/>
    <col min="15629" max="15630" width="0" style="2" hidden="1" customWidth="1"/>
    <col min="15631" max="15631" width="2.85546875" style="2" customWidth="1"/>
    <col min="15632" max="15632" width="3.28515625" style="2" customWidth="1"/>
    <col min="15633" max="15633" width="1.42578125" style="2" customWidth="1"/>
    <col min="15634" max="15634" width="0" style="2" hidden="1" customWidth="1"/>
    <col min="15635" max="15635" width="6.85546875" style="2" customWidth="1"/>
    <col min="15636" max="15636" width="0" style="2" hidden="1" customWidth="1"/>
    <col min="15637" max="15638" width="6.28515625" style="2" customWidth="1"/>
    <col min="15639" max="15640" width="13.85546875" style="2" customWidth="1"/>
    <col min="15641" max="15641" width="10.85546875" style="2" customWidth="1"/>
    <col min="15642" max="15642" width="14.140625" style="2" customWidth="1"/>
    <col min="15643" max="15643" width="0" style="2" hidden="1" customWidth="1"/>
    <col min="15644" max="15644" width="13" style="2" customWidth="1"/>
    <col min="15645" max="15645" width="13.140625" style="2" customWidth="1"/>
    <col min="15646" max="15647" width="14" style="2" customWidth="1"/>
    <col min="15648" max="15648" width="11.42578125" style="2" customWidth="1"/>
    <col min="15649" max="15649" width="15.85546875" style="2" customWidth="1"/>
    <col min="15650" max="15650" width="23.7109375" style="2" customWidth="1"/>
    <col min="15651" max="15651" width="12" style="2" customWidth="1"/>
    <col min="15652" max="15653" width="0.28515625" style="2" customWidth="1"/>
    <col min="15654" max="15654" width="1.42578125" style="2" customWidth="1"/>
    <col min="15655" max="15655" width="0" style="2" hidden="1" customWidth="1"/>
    <col min="15656" max="15872" width="11.42578125" style="2"/>
    <col min="15873" max="15873" width="10.28515625" style="2" customWidth="1"/>
    <col min="15874" max="15874" width="13.42578125" style="2" customWidth="1"/>
    <col min="15875" max="15875" width="4.28515625" style="2" customWidth="1"/>
    <col min="15876" max="15876" width="4" style="2" customWidth="1"/>
    <col min="15877" max="15877" width="15" style="2" customWidth="1"/>
    <col min="15878" max="15878" width="4.140625" style="2" customWidth="1"/>
    <col min="15879" max="15879" width="11.28515625" style="2" customWidth="1"/>
    <col min="15880" max="15880" width="16.140625" style="2" customWidth="1"/>
    <col min="15881" max="15881" width="11" style="2" customWidth="1"/>
    <col min="15882" max="15883" width="2.140625" style="2" customWidth="1"/>
    <col min="15884" max="15884" width="3.28515625" style="2" customWidth="1"/>
    <col min="15885" max="15886" width="0" style="2" hidden="1" customWidth="1"/>
    <col min="15887" max="15887" width="2.85546875" style="2" customWidth="1"/>
    <col min="15888" max="15888" width="3.28515625" style="2" customWidth="1"/>
    <col min="15889" max="15889" width="1.42578125" style="2" customWidth="1"/>
    <col min="15890" max="15890" width="0" style="2" hidden="1" customWidth="1"/>
    <col min="15891" max="15891" width="6.85546875" style="2" customWidth="1"/>
    <col min="15892" max="15892" width="0" style="2" hidden="1" customWidth="1"/>
    <col min="15893" max="15894" width="6.28515625" style="2" customWidth="1"/>
    <col min="15895" max="15896" width="13.85546875" style="2" customWidth="1"/>
    <col min="15897" max="15897" width="10.85546875" style="2" customWidth="1"/>
    <col min="15898" max="15898" width="14.140625" style="2" customWidth="1"/>
    <col min="15899" max="15899" width="0" style="2" hidden="1" customWidth="1"/>
    <col min="15900" max="15900" width="13" style="2" customWidth="1"/>
    <col min="15901" max="15901" width="13.140625" style="2" customWidth="1"/>
    <col min="15902" max="15903" width="14" style="2" customWidth="1"/>
    <col min="15904" max="15904" width="11.42578125" style="2" customWidth="1"/>
    <col min="15905" max="15905" width="15.85546875" style="2" customWidth="1"/>
    <col min="15906" max="15906" width="23.7109375" style="2" customWidth="1"/>
    <col min="15907" max="15907" width="12" style="2" customWidth="1"/>
    <col min="15908" max="15909" width="0.28515625" style="2" customWidth="1"/>
    <col min="15910" max="15910" width="1.42578125" style="2" customWidth="1"/>
    <col min="15911" max="15911" width="0" style="2" hidden="1" customWidth="1"/>
    <col min="15912" max="16128" width="11.42578125" style="2"/>
    <col min="16129" max="16129" width="10.28515625" style="2" customWidth="1"/>
    <col min="16130" max="16130" width="13.42578125" style="2" customWidth="1"/>
    <col min="16131" max="16131" width="4.28515625" style="2" customWidth="1"/>
    <col min="16132" max="16132" width="4" style="2" customWidth="1"/>
    <col min="16133" max="16133" width="15" style="2" customWidth="1"/>
    <col min="16134" max="16134" width="4.140625" style="2" customWidth="1"/>
    <col min="16135" max="16135" width="11.28515625" style="2" customWidth="1"/>
    <col min="16136" max="16136" width="16.140625" style="2" customWidth="1"/>
    <col min="16137" max="16137" width="11" style="2" customWidth="1"/>
    <col min="16138" max="16139" width="2.140625" style="2" customWidth="1"/>
    <col min="16140" max="16140" width="3.28515625" style="2" customWidth="1"/>
    <col min="16141" max="16142" width="0" style="2" hidden="1" customWidth="1"/>
    <col min="16143" max="16143" width="2.85546875" style="2" customWidth="1"/>
    <col min="16144" max="16144" width="3.28515625" style="2" customWidth="1"/>
    <col min="16145" max="16145" width="1.42578125" style="2" customWidth="1"/>
    <col min="16146" max="16146" width="0" style="2" hidden="1" customWidth="1"/>
    <col min="16147" max="16147" width="6.85546875" style="2" customWidth="1"/>
    <col min="16148" max="16148" width="0" style="2" hidden="1" customWidth="1"/>
    <col min="16149" max="16150" width="6.28515625" style="2" customWidth="1"/>
    <col min="16151" max="16152" width="13.85546875" style="2" customWidth="1"/>
    <col min="16153" max="16153" width="10.85546875" style="2" customWidth="1"/>
    <col min="16154" max="16154" width="14.140625" style="2" customWidth="1"/>
    <col min="16155" max="16155" width="0" style="2" hidden="1" customWidth="1"/>
    <col min="16156" max="16156" width="13" style="2" customWidth="1"/>
    <col min="16157" max="16157" width="13.140625" style="2" customWidth="1"/>
    <col min="16158" max="16159" width="14" style="2" customWidth="1"/>
    <col min="16160" max="16160" width="11.42578125" style="2" customWidth="1"/>
    <col min="16161" max="16161" width="15.85546875" style="2" customWidth="1"/>
    <col min="16162" max="16162" width="23.7109375" style="2" customWidth="1"/>
    <col min="16163" max="16163" width="12" style="2" customWidth="1"/>
    <col min="16164" max="16165" width="0.28515625" style="2" customWidth="1"/>
    <col min="16166" max="16166" width="1.42578125" style="2" customWidth="1"/>
    <col min="16167" max="16167" width="0" style="2" hidden="1" customWidth="1"/>
    <col min="16168" max="16384" width="11.42578125" style="2"/>
  </cols>
  <sheetData>
    <row r="1" spans="1:37" ht="45" customHeight="1">
      <c r="A1" s="600"/>
      <c r="B1" s="600"/>
      <c r="C1" s="684" t="s">
        <v>0</v>
      </c>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6"/>
      <c r="AH1" s="689" t="s">
        <v>45</v>
      </c>
      <c r="AJ1" s="3" t="s">
        <v>17</v>
      </c>
      <c r="AK1" s="6" t="s">
        <v>23</v>
      </c>
    </row>
    <row r="2" spans="1:37" ht="45" customHeight="1">
      <c r="A2" s="600"/>
      <c r="B2" s="600"/>
      <c r="C2" s="690" t="s">
        <v>37</v>
      </c>
      <c r="D2" s="691"/>
      <c r="E2" s="691"/>
      <c r="F2" s="691"/>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2"/>
      <c r="AH2" s="689"/>
      <c r="AJ2" s="2" t="s">
        <v>18</v>
      </c>
      <c r="AK2" s="7" t="s">
        <v>24</v>
      </c>
    </row>
    <row r="3" spans="1:37"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G3" s="604"/>
      <c r="AH3" s="604"/>
      <c r="AJ3" s="3" t="s">
        <v>16</v>
      </c>
      <c r="AK3" s="6" t="s">
        <v>25</v>
      </c>
    </row>
    <row r="4" spans="1:37" ht="30.75" customHeight="1">
      <c r="A4" s="597" t="s">
        <v>5</v>
      </c>
      <c r="B4" s="597"/>
      <c r="C4" s="597"/>
      <c r="D4" s="597"/>
      <c r="E4" s="598" t="s">
        <v>461</v>
      </c>
      <c r="F4" s="598"/>
      <c r="G4" s="598"/>
      <c r="H4" s="598"/>
      <c r="I4" s="598"/>
      <c r="J4" s="598"/>
      <c r="K4" s="598"/>
      <c r="L4" s="598"/>
      <c r="M4" s="598"/>
      <c r="N4" s="598"/>
      <c r="O4" s="598"/>
      <c r="P4" s="598"/>
      <c r="Q4" s="598"/>
      <c r="R4" s="598"/>
      <c r="S4" s="598"/>
      <c r="T4" s="598"/>
      <c r="U4" s="598"/>
      <c r="V4" s="598"/>
      <c r="W4" s="599" t="s">
        <v>20</v>
      </c>
      <c r="X4" s="599"/>
      <c r="Y4" s="599"/>
      <c r="Z4" s="598" t="s">
        <v>462</v>
      </c>
      <c r="AA4" s="598"/>
      <c r="AB4" s="598"/>
      <c r="AC4" s="598"/>
      <c r="AD4" s="598"/>
      <c r="AE4" s="598"/>
      <c r="AF4" s="682" t="s">
        <v>48</v>
      </c>
      <c r="AG4" s="683"/>
      <c r="AH4" s="45" t="s">
        <v>71</v>
      </c>
      <c r="AJ4" s="6" t="s">
        <v>19</v>
      </c>
    </row>
    <row r="5" spans="1:37" ht="4.5" customHeight="1" thickBo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row>
    <row r="6" spans="1:37" ht="57" customHeight="1">
      <c r="A6" s="605" t="s">
        <v>39</v>
      </c>
      <c r="B6" s="606"/>
      <c r="C6" s="599" t="s">
        <v>1</v>
      </c>
      <c r="D6" s="599" t="s">
        <v>49</v>
      </c>
      <c r="E6" s="599"/>
      <c r="F6" s="608" t="s">
        <v>6</v>
      </c>
      <c r="G6" s="599" t="s">
        <v>9</v>
      </c>
      <c r="H6" s="607" t="s">
        <v>50</v>
      </c>
      <c r="I6" s="599" t="s">
        <v>2</v>
      </c>
      <c r="J6" s="599" t="s">
        <v>21</v>
      </c>
      <c r="K6" s="599"/>
      <c r="L6" s="599"/>
      <c r="M6" s="599"/>
      <c r="N6" s="599"/>
      <c r="O6" s="599"/>
      <c r="P6" s="599"/>
      <c r="Q6" s="599"/>
      <c r="R6" s="599"/>
      <c r="S6" s="599"/>
      <c r="T6" s="599"/>
      <c r="U6" s="599"/>
      <c r="V6" s="599"/>
      <c r="W6" s="599" t="s">
        <v>51</v>
      </c>
      <c r="X6" s="607" t="s">
        <v>52</v>
      </c>
      <c r="Y6" s="599" t="s">
        <v>3</v>
      </c>
      <c r="Z6" s="599"/>
      <c r="AA6" s="599"/>
      <c r="AB6" s="610" t="s">
        <v>53</v>
      </c>
      <c r="AC6" s="610" t="s">
        <v>4</v>
      </c>
      <c r="AD6" s="610"/>
      <c r="AE6" s="611" t="s">
        <v>54</v>
      </c>
      <c r="AF6" s="599" t="s">
        <v>55</v>
      </c>
      <c r="AG6" s="599" t="s">
        <v>56</v>
      </c>
      <c r="AH6" s="599" t="s">
        <v>57</v>
      </c>
    </row>
    <row r="7" spans="1:37" ht="37.5" customHeight="1" thickBot="1">
      <c r="A7" s="58" t="s">
        <v>40</v>
      </c>
      <c r="B7" s="59" t="s">
        <v>41</v>
      </c>
      <c r="C7" s="599"/>
      <c r="D7" s="599"/>
      <c r="E7" s="599"/>
      <c r="F7" s="608"/>
      <c r="G7" s="599"/>
      <c r="H7" s="693"/>
      <c r="I7" s="599"/>
      <c r="J7" s="599" t="s">
        <v>11</v>
      </c>
      <c r="K7" s="599"/>
      <c r="L7" s="599"/>
      <c r="M7" s="599"/>
      <c r="N7" s="599"/>
      <c r="O7" s="599"/>
      <c r="P7" s="644" t="s">
        <v>12</v>
      </c>
      <c r="Q7" s="644"/>
      <c r="R7" s="644"/>
      <c r="S7" s="644"/>
      <c r="T7" s="644"/>
      <c r="U7" s="644" t="s">
        <v>13</v>
      </c>
      <c r="V7" s="644"/>
      <c r="W7" s="599"/>
      <c r="X7" s="693"/>
      <c r="Y7" s="599"/>
      <c r="Z7" s="599"/>
      <c r="AA7" s="599"/>
      <c r="AB7" s="610"/>
      <c r="AC7" s="86" t="s">
        <v>14</v>
      </c>
      <c r="AD7" s="89" t="s">
        <v>15</v>
      </c>
      <c r="AE7" s="687"/>
      <c r="AF7" s="599"/>
      <c r="AG7" s="599"/>
      <c r="AH7" s="599"/>
    </row>
    <row r="8" spans="1:37" ht="50.25" customHeight="1">
      <c r="A8" s="632"/>
      <c r="B8" s="632"/>
      <c r="C8" s="773">
        <v>1</v>
      </c>
      <c r="D8" s="774" t="s">
        <v>463</v>
      </c>
      <c r="E8" s="775"/>
      <c r="F8" s="778">
        <v>43917</v>
      </c>
      <c r="G8" s="779" t="s">
        <v>28</v>
      </c>
      <c r="H8" s="779" t="s">
        <v>59</v>
      </c>
      <c r="I8" s="773" t="s">
        <v>25</v>
      </c>
      <c r="J8" s="780"/>
      <c r="K8" s="781"/>
      <c r="L8" s="781"/>
      <c r="M8" s="781"/>
      <c r="N8" s="781"/>
      <c r="O8" s="782"/>
      <c r="P8" s="780"/>
      <c r="Q8" s="781"/>
      <c r="R8" s="781"/>
      <c r="S8" s="782"/>
      <c r="T8" s="206"/>
      <c r="U8" s="780"/>
      <c r="V8" s="782"/>
      <c r="W8" s="786">
        <v>40</v>
      </c>
      <c r="X8" s="786" t="s">
        <v>464</v>
      </c>
      <c r="Y8" s="764" t="s">
        <v>465</v>
      </c>
      <c r="Z8" s="764"/>
      <c r="AA8" s="765"/>
      <c r="AB8" s="241" t="s">
        <v>466</v>
      </c>
      <c r="AC8" s="82">
        <v>43922</v>
      </c>
      <c r="AD8" s="82">
        <v>44195</v>
      </c>
      <c r="AE8" s="66" t="s">
        <v>68</v>
      </c>
      <c r="AF8" s="91" t="s">
        <v>17</v>
      </c>
      <c r="AG8" s="5">
        <v>1</v>
      </c>
      <c r="AH8" s="67" t="s">
        <v>922</v>
      </c>
    </row>
    <row r="9" spans="1:37" ht="60.75" customHeight="1">
      <c r="A9" s="633"/>
      <c r="B9" s="633"/>
      <c r="C9" s="633"/>
      <c r="D9" s="724"/>
      <c r="E9" s="725"/>
      <c r="F9" s="729"/>
      <c r="G9" s="732"/>
      <c r="H9" s="732"/>
      <c r="I9" s="633"/>
      <c r="J9" s="739"/>
      <c r="K9" s="740"/>
      <c r="L9" s="740"/>
      <c r="M9" s="740"/>
      <c r="N9" s="740"/>
      <c r="O9" s="741"/>
      <c r="P9" s="739"/>
      <c r="Q9" s="740"/>
      <c r="R9" s="740"/>
      <c r="S9" s="741"/>
      <c r="T9" s="206"/>
      <c r="U9" s="739"/>
      <c r="V9" s="741"/>
      <c r="W9" s="713"/>
      <c r="X9" s="713"/>
      <c r="Y9" s="764" t="s">
        <v>467</v>
      </c>
      <c r="Z9" s="764"/>
      <c r="AA9" s="765"/>
      <c r="AB9" s="182" t="s">
        <v>468</v>
      </c>
      <c r="AC9" s="82">
        <v>43922</v>
      </c>
      <c r="AD9" s="82">
        <v>44195</v>
      </c>
      <c r="AE9" s="66"/>
      <c r="AF9" s="91"/>
      <c r="AG9" s="5">
        <v>0</v>
      </c>
      <c r="AH9" s="67" t="s">
        <v>421</v>
      </c>
    </row>
    <row r="10" spans="1:37" ht="42.75" customHeight="1">
      <c r="A10" s="633"/>
      <c r="B10" s="633"/>
      <c r="C10" s="633"/>
      <c r="D10" s="724"/>
      <c r="E10" s="725"/>
      <c r="F10" s="729"/>
      <c r="G10" s="732"/>
      <c r="H10" s="732"/>
      <c r="I10" s="633"/>
      <c r="J10" s="739"/>
      <c r="K10" s="740"/>
      <c r="L10" s="740"/>
      <c r="M10" s="740"/>
      <c r="N10" s="740"/>
      <c r="O10" s="741"/>
      <c r="P10" s="739"/>
      <c r="Q10" s="740"/>
      <c r="R10" s="740"/>
      <c r="S10" s="741"/>
      <c r="T10" s="206"/>
      <c r="U10" s="739"/>
      <c r="V10" s="741"/>
      <c r="W10" s="713"/>
      <c r="X10" s="713"/>
      <c r="Y10" s="764" t="s">
        <v>469</v>
      </c>
      <c r="Z10" s="764"/>
      <c r="AA10" s="765"/>
      <c r="AB10" s="182" t="s">
        <v>470</v>
      </c>
      <c r="AC10" s="82">
        <v>43922</v>
      </c>
      <c r="AD10" s="82">
        <v>44195</v>
      </c>
      <c r="AE10" s="66"/>
      <c r="AF10" s="91"/>
      <c r="AG10" s="5">
        <v>0</v>
      </c>
      <c r="AH10" s="67" t="s">
        <v>421</v>
      </c>
    </row>
    <row r="11" spans="1:37" ht="81" customHeight="1">
      <c r="A11" s="633"/>
      <c r="B11" s="633"/>
      <c r="C11" s="633"/>
      <c r="D11" s="724"/>
      <c r="E11" s="725"/>
      <c r="F11" s="729"/>
      <c r="G11" s="732"/>
      <c r="H11" s="732"/>
      <c r="I11" s="633"/>
      <c r="J11" s="739"/>
      <c r="K11" s="740"/>
      <c r="L11" s="740"/>
      <c r="M11" s="740"/>
      <c r="N11" s="740"/>
      <c r="O11" s="741"/>
      <c r="P11" s="739"/>
      <c r="Q11" s="740"/>
      <c r="R11" s="740"/>
      <c r="S11" s="741"/>
      <c r="T11" s="206"/>
      <c r="U11" s="739"/>
      <c r="V11" s="741"/>
      <c r="W11" s="713"/>
      <c r="X11" s="713"/>
      <c r="Y11" s="764" t="s">
        <v>471</v>
      </c>
      <c r="Z11" s="764"/>
      <c r="AA11" s="765"/>
      <c r="AB11" s="182" t="s">
        <v>472</v>
      </c>
      <c r="AC11" s="82">
        <v>44014</v>
      </c>
      <c r="AD11" s="82">
        <v>44195</v>
      </c>
      <c r="AE11" s="66" t="s">
        <v>68</v>
      </c>
      <c r="AF11" s="91" t="s">
        <v>17</v>
      </c>
      <c r="AG11" s="5">
        <v>1</v>
      </c>
      <c r="AH11" s="67" t="s">
        <v>473</v>
      </c>
    </row>
    <row r="12" spans="1:37" ht="80.25" customHeight="1">
      <c r="A12" s="633"/>
      <c r="B12" s="633"/>
      <c r="C12" s="633"/>
      <c r="D12" s="724"/>
      <c r="E12" s="725"/>
      <c r="F12" s="729"/>
      <c r="G12" s="732"/>
      <c r="H12" s="732"/>
      <c r="I12" s="633"/>
      <c r="J12" s="739"/>
      <c r="K12" s="740"/>
      <c r="L12" s="740"/>
      <c r="M12" s="740"/>
      <c r="N12" s="740"/>
      <c r="O12" s="741"/>
      <c r="P12" s="739"/>
      <c r="Q12" s="740"/>
      <c r="R12" s="740"/>
      <c r="S12" s="741"/>
      <c r="T12" s="206"/>
      <c r="U12" s="739"/>
      <c r="V12" s="741"/>
      <c r="W12" s="713"/>
      <c r="X12" s="713"/>
      <c r="Y12" s="764" t="s">
        <v>474</v>
      </c>
      <c r="Z12" s="764"/>
      <c r="AA12" s="765"/>
      <c r="AB12" s="182" t="s">
        <v>475</v>
      </c>
      <c r="AC12" s="82">
        <v>44014</v>
      </c>
      <c r="AD12" s="82">
        <v>44195</v>
      </c>
      <c r="AE12" s="66" t="s">
        <v>68</v>
      </c>
      <c r="AF12" s="91" t="s">
        <v>16</v>
      </c>
      <c r="AG12" s="5">
        <v>1</v>
      </c>
      <c r="AH12" s="67" t="s">
        <v>476</v>
      </c>
    </row>
    <row r="13" spans="1:37" ht="72" customHeight="1">
      <c r="A13" s="633"/>
      <c r="B13" s="633"/>
      <c r="C13" s="633"/>
      <c r="D13" s="724"/>
      <c r="E13" s="725"/>
      <c r="F13" s="729"/>
      <c r="G13" s="732"/>
      <c r="H13" s="732"/>
      <c r="I13" s="633"/>
      <c r="J13" s="739"/>
      <c r="K13" s="740"/>
      <c r="L13" s="740"/>
      <c r="M13" s="740"/>
      <c r="N13" s="740"/>
      <c r="O13" s="741"/>
      <c r="P13" s="739"/>
      <c r="Q13" s="740"/>
      <c r="R13" s="740"/>
      <c r="S13" s="741"/>
      <c r="T13" s="206"/>
      <c r="U13" s="739"/>
      <c r="V13" s="741"/>
      <c r="W13" s="713"/>
      <c r="X13" s="713"/>
      <c r="Y13" s="764" t="s">
        <v>477</v>
      </c>
      <c r="Z13" s="764"/>
      <c r="AA13" s="765"/>
      <c r="AB13" s="182" t="s">
        <v>478</v>
      </c>
      <c r="AC13" s="82">
        <v>44014</v>
      </c>
      <c r="AD13" s="82">
        <v>44195</v>
      </c>
      <c r="AE13" s="66" t="s">
        <v>68</v>
      </c>
      <c r="AF13" s="91" t="s">
        <v>16</v>
      </c>
      <c r="AG13" s="5">
        <v>1</v>
      </c>
      <c r="AH13" s="67" t="s">
        <v>479</v>
      </c>
    </row>
    <row r="14" spans="1:37" ht="64.5" customHeight="1">
      <c r="A14" s="621"/>
      <c r="B14" s="621"/>
      <c r="C14" s="621"/>
      <c r="D14" s="776"/>
      <c r="E14" s="777"/>
      <c r="F14" s="639"/>
      <c r="G14" s="613"/>
      <c r="H14" s="613"/>
      <c r="I14" s="621"/>
      <c r="J14" s="783"/>
      <c r="K14" s="784"/>
      <c r="L14" s="784"/>
      <c r="M14" s="784"/>
      <c r="N14" s="784"/>
      <c r="O14" s="785"/>
      <c r="P14" s="783"/>
      <c r="Q14" s="784"/>
      <c r="R14" s="784"/>
      <c r="S14" s="785"/>
      <c r="T14" s="206"/>
      <c r="U14" s="783"/>
      <c r="V14" s="785"/>
      <c r="W14" s="636"/>
      <c r="X14" s="636"/>
      <c r="Y14" s="766" t="s">
        <v>480</v>
      </c>
      <c r="Z14" s="764"/>
      <c r="AA14" s="765"/>
      <c r="AB14" s="241" t="s">
        <v>481</v>
      </c>
      <c r="AC14" s="82">
        <v>44014</v>
      </c>
      <c r="AD14" s="82">
        <v>44195</v>
      </c>
      <c r="AE14" s="66" t="s">
        <v>68</v>
      </c>
      <c r="AF14" s="91" t="s">
        <v>16</v>
      </c>
      <c r="AG14" s="5">
        <v>1</v>
      </c>
      <c r="AH14" s="67" t="s">
        <v>482</v>
      </c>
    </row>
    <row r="15" spans="1:37" ht="73.5" customHeight="1">
      <c r="A15" s="773"/>
      <c r="B15" s="773"/>
      <c r="C15" s="773">
        <v>2</v>
      </c>
      <c r="D15" s="774" t="s">
        <v>483</v>
      </c>
      <c r="E15" s="775"/>
      <c r="F15" s="778">
        <v>43917</v>
      </c>
      <c r="G15" s="779" t="s">
        <v>28</v>
      </c>
      <c r="H15" s="779" t="s">
        <v>59</v>
      </c>
      <c r="I15" s="773" t="s">
        <v>25</v>
      </c>
      <c r="J15" s="780"/>
      <c r="K15" s="781"/>
      <c r="L15" s="781"/>
      <c r="M15" s="781"/>
      <c r="N15" s="781"/>
      <c r="O15" s="782"/>
      <c r="P15" s="780"/>
      <c r="Q15" s="781"/>
      <c r="R15" s="781"/>
      <c r="S15" s="782"/>
      <c r="T15" s="206"/>
      <c r="U15" s="780"/>
      <c r="V15" s="782"/>
      <c r="W15" s="786">
        <v>80</v>
      </c>
      <c r="X15" s="786" t="s">
        <v>484</v>
      </c>
      <c r="Y15" s="901" t="s">
        <v>485</v>
      </c>
      <c r="Z15" s="767"/>
      <c r="AA15" s="768"/>
      <c r="AB15" s="182" t="s">
        <v>486</v>
      </c>
      <c r="AC15" s="83">
        <v>43922</v>
      </c>
      <c r="AD15" s="83">
        <v>44195</v>
      </c>
      <c r="AE15" s="66" t="s">
        <v>68</v>
      </c>
      <c r="AF15" s="91" t="s">
        <v>17</v>
      </c>
      <c r="AG15" s="5">
        <v>1</v>
      </c>
      <c r="AH15" s="67" t="s">
        <v>487</v>
      </c>
    </row>
    <row r="16" spans="1:37" ht="60.75" customHeight="1">
      <c r="A16" s="633"/>
      <c r="B16" s="633"/>
      <c r="C16" s="633"/>
      <c r="D16" s="724"/>
      <c r="E16" s="725"/>
      <c r="F16" s="729"/>
      <c r="G16" s="732"/>
      <c r="H16" s="732"/>
      <c r="I16" s="633"/>
      <c r="J16" s="739"/>
      <c r="K16" s="740"/>
      <c r="L16" s="740"/>
      <c r="M16" s="740"/>
      <c r="N16" s="740"/>
      <c r="O16" s="741"/>
      <c r="P16" s="739"/>
      <c r="Q16" s="740"/>
      <c r="R16" s="740"/>
      <c r="S16" s="741"/>
      <c r="T16" s="206"/>
      <c r="U16" s="739"/>
      <c r="V16" s="741"/>
      <c r="W16" s="713"/>
      <c r="X16" s="713"/>
      <c r="Y16" s="766" t="s">
        <v>488</v>
      </c>
      <c r="Z16" s="764"/>
      <c r="AA16" s="765"/>
      <c r="AB16" s="241" t="s">
        <v>489</v>
      </c>
      <c r="AC16" s="82">
        <v>43922</v>
      </c>
      <c r="AD16" s="82">
        <v>44195</v>
      </c>
      <c r="AE16" s="66"/>
      <c r="AF16" s="91" t="s">
        <v>16</v>
      </c>
      <c r="AG16" s="5">
        <v>0</v>
      </c>
      <c r="AH16" s="67" t="s">
        <v>490</v>
      </c>
    </row>
    <row r="17" spans="1:34" ht="57.75" customHeight="1">
      <c r="A17" s="621"/>
      <c r="B17" s="621"/>
      <c r="C17" s="621"/>
      <c r="D17" s="776"/>
      <c r="E17" s="777"/>
      <c r="F17" s="639"/>
      <c r="G17" s="613"/>
      <c r="H17" s="613"/>
      <c r="I17" s="621"/>
      <c r="J17" s="783"/>
      <c r="K17" s="784"/>
      <c r="L17" s="784"/>
      <c r="M17" s="784"/>
      <c r="N17" s="784"/>
      <c r="O17" s="785"/>
      <c r="P17" s="783"/>
      <c r="Q17" s="784"/>
      <c r="R17" s="784"/>
      <c r="S17" s="785"/>
      <c r="T17" s="206"/>
      <c r="U17" s="783"/>
      <c r="V17" s="785"/>
      <c r="W17" s="636"/>
      <c r="X17" s="636"/>
      <c r="Y17" s="766" t="s">
        <v>491</v>
      </c>
      <c r="Z17" s="764"/>
      <c r="AA17" s="765"/>
      <c r="AB17" s="241" t="s">
        <v>492</v>
      </c>
      <c r="AC17" s="82">
        <v>43922</v>
      </c>
      <c r="AD17" s="82">
        <v>44195</v>
      </c>
      <c r="AE17" s="66"/>
      <c r="AF17" s="91" t="s">
        <v>16</v>
      </c>
      <c r="AG17" s="5">
        <v>0</v>
      </c>
      <c r="AH17" s="67" t="s">
        <v>490</v>
      </c>
    </row>
    <row r="18" spans="1:34" ht="75.75" customHeight="1">
      <c r="A18" s="773"/>
      <c r="B18" s="773"/>
      <c r="C18" s="773">
        <v>3</v>
      </c>
      <c r="D18" s="774" t="s">
        <v>493</v>
      </c>
      <c r="E18" s="775"/>
      <c r="F18" s="778">
        <v>43917</v>
      </c>
      <c r="G18" s="779" t="s">
        <v>28</v>
      </c>
      <c r="H18" s="779" t="s">
        <v>59</v>
      </c>
      <c r="I18" s="773" t="s">
        <v>25</v>
      </c>
      <c r="J18" s="780"/>
      <c r="K18" s="781"/>
      <c r="L18" s="781"/>
      <c r="M18" s="781"/>
      <c r="N18" s="781"/>
      <c r="O18" s="782"/>
      <c r="P18" s="780"/>
      <c r="Q18" s="781"/>
      <c r="R18" s="781"/>
      <c r="S18" s="782"/>
      <c r="T18" s="206"/>
      <c r="U18" s="780"/>
      <c r="V18" s="782"/>
      <c r="W18" s="786">
        <v>2</v>
      </c>
      <c r="X18" s="786" t="s">
        <v>494</v>
      </c>
      <c r="Y18" s="901" t="s">
        <v>485</v>
      </c>
      <c r="Z18" s="767"/>
      <c r="AA18" s="768"/>
      <c r="AB18" s="182" t="s">
        <v>486</v>
      </c>
      <c r="AC18" s="82">
        <v>43922</v>
      </c>
      <c r="AD18" s="82">
        <v>44195</v>
      </c>
      <c r="AE18" s="66" t="s">
        <v>68</v>
      </c>
      <c r="AF18" s="91" t="s">
        <v>17</v>
      </c>
      <c r="AG18" s="5">
        <v>1</v>
      </c>
      <c r="AH18" s="67" t="s">
        <v>495</v>
      </c>
    </row>
    <row r="19" spans="1:34" ht="66.75" customHeight="1">
      <c r="A19" s="633"/>
      <c r="B19" s="633"/>
      <c r="C19" s="633"/>
      <c r="D19" s="724"/>
      <c r="E19" s="725"/>
      <c r="F19" s="729"/>
      <c r="G19" s="732"/>
      <c r="H19" s="732"/>
      <c r="I19" s="633"/>
      <c r="J19" s="739"/>
      <c r="K19" s="740"/>
      <c r="L19" s="740"/>
      <c r="M19" s="740"/>
      <c r="N19" s="740"/>
      <c r="O19" s="741"/>
      <c r="P19" s="739"/>
      <c r="Q19" s="740"/>
      <c r="R19" s="740"/>
      <c r="S19" s="741"/>
      <c r="T19" s="206"/>
      <c r="U19" s="739"/>
      <c r="V19" s="741"/>
      <c r="W19" s="713"/>
      <c r="X19" s="713"/>
      <c r="Y19" s="766" t="s">
        <v>488</v>
      </c>
      <c r="Z19" s="764"/>
      <c r="AA19" s="765"/>
      <c r="AB19" s="241" t="s">
        <v>489</v>
      </c>
      <c r="AC19" s="82">
        <v>43922</v>
      </c>
      <c r="AD19" s="82">
        <v>44195</v>
      </c>
      <c r="AE19" s="66"/>
      <c r="AF19" s="91"/>
      <c r="AG19" s="5">
        <v>0</v>
      </c>
      <c r="AH19" s="67" t="s">
        <v>490</v>
      </c>
    </row>
    <row r="20" spans="1:34" ht="66" customHeight="1">
      <c r="A20" s="621"/>
      <c r="B20" s="621"/>
      <c r="C20" s="621"/>
      <c r="D20" s="776"/>
      <c r="E20" s="777"/>
      <c r="F20" s="639"/>
      <c r="G20" s="613"/>
      <c r="H20" s="613"/>
      <c r="I20" s="621"/>
      <c r="J20" s="783"/>
      <c r="K20" s="784"/>
      <c r="L20" s="784"/>
      <c r="M20" s="784"/>
      <c r="N20" s="784"/>
      <c r="O20" s="785"/>
      <c r="P20" s="783"/>
      <c r="Q20" s="784"/>
      <c r="R20" s="784"/>
      <c r="S20" s="785"/>
      <c r="T20" s="206"/>
      <c r="U20" s="783"/>
      <c r="V20" s="785"/>
      <c r="W20" s="636"/>
      <c r="X20" s="636"/>
      <c r="Y20" s="766" t="s">
        <v>491</v>
      </c>
      <c r="Z20" s="764"/>
      <c r="AA20" s="765"/>
      <c r="AB20" s="241" t="s">
        <v>492</v>
      </c>
      <c r="AC20" s="82">
        <v>43922</v>
      </c>
      <c r="AD20" s="83">
        <v>44195</v>
      </c>
      <c r="AE20" s="66"/>
      <c r="AF20" s="91"/>
      <c r="AG20" s="5">
        <v>0</v>
      </c>
      <c r="AH20" s="67" t="s">
        <v>490</v>
      </c>
    </row>
    <row r="21" spans="1:34" ht="59.25" customHeight="1">
      <c r="A21" s="773"/>
      <c r="B21" s="773"/>
      <c r="C21" s="773">
        <v>4</v>
      </c>
      <c r="D21" s="774" t="s">
        <v>496</v>
      </c>
      <c r="E21" s="775"/>
      <c r="F21" s="778">
        <v>43775</v>
      </c>
      <c r="G21" s="779" t="s">
        <v>44</v>
      </c>
      <c r="H21" s="779" t="s">
        <v>65</v>
      </c>
      <c r="I21" s="773" t="s">
        <v>23</v>
      </c>
      <c r="J21" s="780"/>
      <c r="K21" s="781"/>
      <c r="L21" s="781"/>
      <c r="M21" s="781"/>
      <c r="N21" s="781"/>
      <c r="O21" s="782"/>
      <c r="P21" s="780"/>
      <c r="Q21" s="781"/>
      <c r="R21" s="781"/>
      <c r="S21" s="782"/>
      <c r="T21" s="206"/>
      <c r="U21" s="780"/>
      <c r="V21" s="782"/>
      <c r="W21" s="902">
        <v>1</v>
      </c>
      <c r="X21" s="786" t="s">
        <v>497</v>
      </c>
      <c r="Y21" s="767" t="s">
        <v>498</v>
      </c>
      <c r="Z21" s="767"/>
      <c r="AA21" s="768"/>
      <c r="AB21" s="182" t="s">
        <v>499</v>
      </c>
      <c r="AC21" s="83">
        <v>43784</v>
      </c>
      <c r="AD21" s="83">
        <v>43920</v>
      </c>
      <c r="AE21" s="66" t="s">
        <v>70</v>
      </c>
      <c r="AF21" s="91" t="s">
        <v>17</v>
      </c>
      <c r="AG21" s="5">
        <v>1</v>
      </c>
      <c r="AH21" s="462" t="s">
        <v>923</v>
      </c>
    </row>
    <row r="22" spans="1:34" ht="39" customHeight="1">
      <c r="A22" s="633"/>
      <c r="B22" s="633"/>
      <c r="C22" s="633"/>
      <c r="D22" s="724"/>
      <c r="E22" s="725"/>
      <c r="F22" s="729"/>
      <c r="G22" s="732"/>
      <c r="H22" s="732"/>
      <c r="I22" s="633"/>
      <c r="J22" s="739"/>
      <c r="K22" s="740"/>
      <c r="L22" s="740"/>
      <c r="M22" s="740"/>
      <c r="N22" s="740"/>
      <c r="O22" s="741"/>
      <c r="P22" s="739"/>
      <c r="Q22" s="740"/>
      <c r="R22" s="740"/>
      <c r="S22" s="741"/>
      <c r="T22" s="206"/>
      <c r="U22" s="739"/>
      <c r="V22" s="741"/>
      <c r="W22" s="903"/>
      <c r="X22" s="713"/>
      <c r="Y22" s="764" t="s">
        <v>500</v>
      </c>
      <c r="Z22" s="764"/>
      <c r="AA22" s="765"/>
      <c r="AB22" s="182" t="s">
        <v>501</v>
      </c>
      <c r="AC22" s="82">
        <v>43877</v>
      </c>
      <c r="AD22" s="83">
        <v>44134</v>
      </c>
      <c r="AE22" s="66"/>
      <c r="AF22" s="91"/>
      <c r="AG22" s="5">
        <v>0</v>
      </c>
      <c r="AH22" s="461" t="s">
        <v>924</v>
      </c>
    </row>
    <row r="23" spans="1:34" ht="48" customHeight="1">
      <c r="A23" s="633"/>
      <c r="B23" s="633"/>
      <c r="C23" s="633"/>
      <c r="D23" s="724"/>
      <c r="E23" s="725"/>
      <c r="F23" s="729"/>
      <c r="G23" s="732"/>
      <c r="H23" s="732"/>
      <c r="I23" s="633"/>
      <c r="J23" s="739"/>
      <c r="K23" s="740"/>
      <c r="L23" s="740"/>
      <c r="M23" s="740"/>
      <c r="N23" s="740"/>
      <c r="O23" s="741"/>
      <c r="P23" s="739"/>
      <c r="Q23" s="740"/>
      <c r="R23" s="740"/>
      <c r="S23" s="741"/>
      <c r="T23" s="206"/>
      <c r="U23" s="739"/>
      <c r="V23" s="741"/>
      <c r="W23" s="903"/>
      <c r="X23" s="713"/>
      <c r="Y23" s="764" t="s">
        <v>502</v>
      </c>
      <c r="Z23" s="764"/>
      <c r="AA23" s="765"/>
      <c r="AB23" s="241" t="s">
        <v>503</v>
      </c>
      <c r="AC23" s="83">
        <v>43784</v>
      </c>
      <c r="AD23" s="83">
        <v>43920</v>
      </c>
      <c r="AE23" s="66" t="s">
        <v>70</v>
      </c>
      <c r="AF23" s="91" t="s">
        <v>17</v>
      </c>
      <c r="AG23" s="5">
        <v>1</v>
      </c>
      <c r="AH23" s="461" t="s">
        <v>925</v>
      </c>
    </row>
    <row r="24" spans="1:34" ht="45" customHeight="1">
      <c r="A24" s="633"/>
      <c r="B24" s="633"/>
      <c r="C24" s="633"/>
      <c r="D24" s="724"/>
      <c r="E24" s="725"/>
      <c r="F24" s="729"/>
      <c r="G24" s="732"/>
      <c r="H24" s="732"/>
      <c r="I24" s="633"/>
      <c r="J24" s="739"/>
      <c r="K24" s="740"/>
      <c r="L24" s="740"/>
      <c r="M24" s="740"/>
      <c r="N24" s="740"/>
      <c r="O24" s="741"/>
      <c r="P24" s="739"/>
      <c r="Q24" s="740"/>
      <c r="R24" s="740"/>
      <c r="S24" s="741"/>
      <c r="T24" s="206"/>
      <c r="U24" s="739"/>
      <c r="V24" s="741"/>
      <c r="W24" s="903"/>
      <c r="X24" s="713"/>
      <c r="Y24" s="764" t="s">
        <v>504</v>
      </c>
      <c r="Z24" s="764"/>
      <c r="AA24" s="765"/>
      <c r="AB24" s="182" t="s">
        <v>501</v>
      </c>
      <c r="AC24" s="82">
        <v>43877</v>
      </c>
      <c r="AD24" s="385">
        <v>44134</v>
      </c>
      <c r="AE24" s="66"/>
      <c r="AF24" s="91"/>
      <c r="AG24" s="5">
        <v>0</v>
      </c>
      <c r="AH24" s="461" t="s">
        <v>924</v>
      </c>
    </row>
    <row r="25" spans="1:34" ht="70.5" customHeight="1">
      <c r="A25" s="633"/>
      <c r="B25" s="633"/>
      <c r="C25" s="633"/>
      <c r="D25" s="724"/>
      <c r="E25" s="725"/>
      <c r="F25" s="729"/>
      <c r="G25" s="732"/>
      <c r="H25" s="732"/>
      <c r="I25" s="633"/>
      <c r="J25" s="739"/>
      <c r="K25" s="740"/>
      <c r="L25" s="740"/>
      <c r="M25" s="740"/>
      <c r="N25" s="740"/>
      <c r="O25" s="741"/>
      <c r="P25" s="739"/>
      <c r="Q25" s="740"/>
      <c r="R25" s="740"/>
      <c r="S25" s="741"/>
      <c r="T25" s="206"/>
      <c r="U25" s="739"/>
      <c r="V25" s="741"/>
      <c r="W25" s="903"/>
      <c r="X25" s="713"/>
      <c r="Y25" s="764" t="s">
        <v>505</v>
      </c>
      <c r="Z25" s="764"/>
      <c r="AA25" s="765"/>
      <c r="AB25" s="281" t="s">
        <v>506</v>
      </c>
      <c r="AC25" s="82">
        <v>43784</v>
      </c>
      <c r="AD25" s="83">
        <v>43920</v>
      </c>
      <c r="AE25" s="66" t="s">
        <v>68</v>
      </c>
      <c r="AF25" s="91" t="s">
        <v>17</v>
      </c>
      <c r="AG25" s="5">
        <v>1</v>
      </c>
      <c r="AH25" s="67" t="s">
        <v>507</v>
      </c>
    </row>
    <row r="26" spans="1:34" ht="46.5" customHeight="1">
      <c r="A26" s="621"/>
      <c r="B26" s="621"/>
      <c r="C26" s="621"/>
      <c r="D26" s="776"/>
      <c r="E26" s="777"/>
      <c r="F26" s="639"/>
      <c r="G26" s="613"/>
      <c r="H26" s="613"/>
      <c r="I26" s="621"/>
      <c r="J26" s="783"/>
      <c r="K26" s="784"/>
      <c r="L26" s="784"/>
      <c r="M26" s="784"/>
      <c r="N26" s="784"/>
      <c r="O26" s="785"/>
      <c r="P26" s="783"/>
      <c r="Q26" s="784"/>
      <c r="R26" s="784"/>
      <c r="S26" s="785"/>
      <c r="T26" s="206"/>
      <c r="U26" s="783"/>
      <c r="V26" s="785"/>
      <c r="W26" s="904"/>
      <c r="X26" s="636"/>
      <c r="Y26" s="766" t="s">
        <v>508</v>
      </c>
      <c r="Z26" s="764"/>
      <c r="AA26" s="765"/>
      <c r="AB26" s="241" t="s">
        <v>509</v>
      </c>
      <c r="AC26" s="82">
        <v>43784</v>
      </c>
      <c r="AD26" s="83">
        <v>43920</v>
      </c>
      <c r="AE26" s="66" t="s">
        <v>68</v>
      </c>
      <c r="AF26" s="91" t="s">
        <v>17</v>
      </c>
      <c r="AG26" s="5">
        <v>1</v>
      </c>
      <c r="AH26" s="67" t="s">
        <v>510</v>
      </c>
    </row>
    <row r="27" spans="1:34" ht="105.75" customHeight="1">
      <c r="A27" s="773"/>
      <c r="B27" s="773"/>
      <c r="C27" s="773">
        <v>5</v>
      </c>
      <c r="D27" s="774" t="s">
        <v>511</v>
      </c>
      <c r="E27" s="775"/>
      <c r="F27" s="778">
        <v>43775</v>
      </c>
      <c r="G27" s="779" t="s">
        <v>44</v>
      </c>
      <c r="H27" s="779" t="s">
        <v>65</v>
      </c>
      <c r="I27" s="773" t="s">
        <v>23</v>
      </c>
      <c r="J27" s="780"/>
      <c r="K27" s="781"/>
      <c r="L27" s="781"/>
      <c r="M27" s="781"/>
      <c r="N27" s="781"/>
      <c r="O27" s="782"/>
      <c r="P27" s="780"/>
      <c r="Q27" s="781"/>
      <c r="R27" s="781"/>
      <c r="S27" s="782"/>
      <c r="T27" s="206"/>
      <c r="U27" s="780"/>
      <c r="V27" s="782"/>
      <c r="W27" s="902">
        <v>1</v>
      </c>
      <c r="X27" s="786" t="s">
        <v>497</v>
      </c>
      <c r="Y27" s="767" t="s">
        <v>498</v>
      </c>
      <c r="Z27" s="767"/>
      <c r="AA27" s="768"/>
      <c r="AB27" s="182" t="s">
        <v>499</v>
      </c>
      <c r="AC27" s="83">
        <v>43784</v>
      </c>
      <c r="AD27" s="83">
        <v>43920</v>
      </c>
      <c r="AE27" s="66" t="s">
        <v>70</v>
      </c>
      <c r="AF27" s="91" t="s">
        <v>17</v>
      </c>
      <c r="AG27" s="5">
        <v>1</v>
      </c>
      <c r="AH27" s="462" t="s">
        <v>923</v>
      </c>
    </row>
    <row r="28" spans="1:34" ht="114" customHeight="1">
      <c r="A28" s="633"/>
      <c r="B28" s="633"/>
      <c r="C28" s="633"/>
      <c r="D28" s="724"/>
      <c r="E28" s="725"/>
      <c r="F28" s="729"/>
      <c r="G28" s="732"/>
      <c r="H28" s="732"/>
      <c r="I28" s="633"/>
      <c r="J28" s="739"/>
      <c r="K28" s="740"/>
      <c r="L28" s="740"/>
      <c r="M28" s="740"/>
      <c r="N28" s="740"/>
      <c r="O28" s="741"/>
      <c r="P28" s="739"/>
      <c r="Q28" s="740"/>
      <c r="R28" s="740"/>
      <c r="S28" s="741"/>
      <c r="T28" s="206"/>
      <c r="U28" s="739"/>
      <c r="V28" s="741"/>
      <c r="W28" s="903"/>
      <c r="X28" s="713"/>
      <c r="Y28" s="764" t="s">
        <v>500</v>
      </c>
      <c r="Z28" s="764"/>
      <c r="AA28" s="765"/>
      <c r="AB28" s="182" t="s">
        <v>501</v>
      </c>
      <c r="AC28" s="82">
        <v>43877</v>
      </c>
      <c r="AD28" s="83">
        <v>44134</v>
      </c>
      <c r="AE28" s="66"/>
      <c r="AF28" s="91"/>
      <c r="AG28" s="5">
        <v>0</v>
      </c>
      <c r="AH28" s="461" t="s">
        <v>924</v>
      </c>
    </row>
    <row r="29" spans="1:34" ht="41.25" customHeight="1">
      <c r="A29" s="633"/>
      <c r="B29" s="633"/>
      <c r="C29" s="633"/>
      <c r="D29" s="724"/>
      <c r="E29" s="725"/>
      <c r="F29" s="729"/>
      <c r="G29" s="732"/>
      <c r="H29" s="732"/>
      <c r="I29" s="633"/>
      <c r="J29" s="739"/>
      <c r="K29" s="740"/>
      <c r="L29" s="740"/>
      <c r="M29" s="740"/>
      <c r="N29" s="740"/>
      <c r="O29" s="741"/>
      <c r="P29" s="739"/>
      <c r="Q29" s="740"/>
      <c r="R29" s="740"/>
      <c r="S29" s="741"/>
      <c r="T29" s="206"/>
      <c r="U29" s="739"/>
      <c r="V29" s="741"/>
      <c r="W29" s="903"/>
      <c r="X29" s="713"/>
      <c r="Y29" s="901" t="s">
        <v>512</v>
      </c>
      <c r="Z29" s="767"/>
      <c r="AA29" s="768"/>
      <c r="AB29" s="241" t="s">
        <v>513</v>
      </c>
      <c r="AC29" s="82">
        <v>43877</v>
      </c>
      <c r="AD29" s="385">
        <v>44134</v>
      </c>
      <c r="AE29" s="66"/>
      <c r="AF29" s="91"/>
      <c r="AG29" s="5">
        <v>0.2</v>
      </c>
      <c r="AH29" s="67" t="s">
        <v>926</v>
      </c>
    </row>
    <row r="30" spans="1:34" ht="49.5" customHeight="1">
      <c r="A30" s="621"/>
      <c r="B30" s="621"/>
      <c r="C30" s="621"/>
      <c r="D30" s="776"/>
      <c r="E30" s="777"/>
      <c r="F30" s="639"/>
      <c r="G30" s="613"/>
      <c r="H30" s="613"/>
      <c r="I30" s="621"/>
      <c r="J30" s="783"/>
      <c r="K30" s="784"/>
      <c r="L30" s="784"/>
      <c r="M30" s="784"/>
      <c r="N30" s="784"/>
      <c r="O30" s="785"/>
      <c r="P30" s="783"/>
      <c r="Q30" s="784"/>
      <c r="R30" s="784"/>
      <c r="S30" s="785"/>
      <c r="T30" s="206"/>
      <c r="U30" s="783"/>
      <c r="V30" s="785"/>
      <c r="W30" s="904"/>
      <c r="X30" s="636"/>
      <c r="Y30" s="766" t="s">
        <v>515</v>
      </c>
      <c r="Z30" s="764"/>
      <c r="AA30" s="765"/>
      <c r="AB30" s="241" t="s">
        <v>516</v>
      </c>
      <c r="AC30" s="82">
        <v>43877</v>
      </c>
      <c r="AD30" s="385">
        <v>44134</v>
      </c>
      <c r="AE30" s="66"/>
      <c r="AF30" s="91"/>
      <c r="AG30" s="5">
        <v>0</v>
      </c>
      <c r="AH30" s="67" t="s">
        <v>514</v>
      </c>
    </row>
    <row r="31" spans="1:34" ht="69.75" customHeight="1">
      <c r="A31" s="773"/>
      <c r="B31" s="773"/>
      <c r="C31" s="773">
        <v>6</v>
      </c>
      <c r="D31" s="774" t="s">
        <v>517</v>
      </c>
      <c r="E31" s="775"/>
      <c r="F31" s="778">
        <v>43775</v>
      </c>
      <c r="G31" s="779" t="s">
        <v>44</v>
      </c>
      <c r="H31" s="779" t="s">
        <v>65</v>
      </c>
      <c r="I31" s="773" t="s">
        <v>23</v>
      </c>
      <c r="J31" s="780"/>
      <c r="K31" s="781"/>
      <c r="L31" s="781"/>
      <c r="M31" s="781"/>
      <c r="N31" s="781"/>
      <c r="O31" s="782"/>
      <c r="P31" s="780"/>
      <c r="Q31" s="781"/>
      <c r="R31" s="781"/>
      <c r="S31" s="782"/>
      <c r="T31" s="206"/>
      <c r="U31" s="780"/>
      <c r="V31" s="782"/>
      <c r="W31" s="902">
        <v>1</v>
      </c>
      <c r="X31" s="786" t="s">
        <v>497</v>
      </c>
      <c r="Y31" s="767" t="s">
        <v>518</v>
      </c>
      <c r="Z31" s="767"/>
      <c r="AA31" s="768"/>
      <c r="AB31" s="182" t="s">
        <v>519</v>
      </c>
      <c r="AC31" s="83">
        <v>43784</v>
      </c>
      <c r="AD31" s="83">
        <v>43920</v>
      </c>
      <c r="AE31" s="66" t="s">
        <v>70</v>
      </c>
      <c r="AF31" s="91" t="s">
        <v>17</v>
      </c>
      <c r="AG31" s="5">
        <v>1</v>
      </c>
      <c r="AH31" s="461" t="s">
        <v>927</v>
      </c>
    </row>
    <row r="32" spans="1:34" ht="79.5" customHeight="1">
      <c r="A32" s="633"/>
      <c r="B32" s="633"/>
      <c r="C32" s="633"/>
      <c r="D32" s="724"/>
      <c r="E32" s="725"/>
      <c r="F32" s="729"/>
      <c r="G32" s="732"/>
      <c r="H32" s="732"/>
      <c r="I32" s="633"/>
      <c r="J32" s="739"/>
      <c r="K32" s="740"/>
      <c r="L32" s="740"/>
      <c r="M32" s="740"/>
      <c r="N32" s="740"/>
      <c r="O32" s="741"/>
      <c r="P32" s="739"/>
      <c r="Q32" s="740"/>
      <c r="R32" s="740"/>
      <c r="S32" s="741"/>
      <c r="T32" s="206"/>
      <c r="U32" s="739"/>
      <c r="V32" s="741"/>
      <c r="W32" s="903"/>
      <c r="X32" s="713"/>
      <c r="Y32" s="764" t="s">
        <v>520</v>
      </c>
      <c r="Z32" s="764"/>
      <c r="AA32" s="765"/>
      <c r="AB32" s="182" t="s">
        <v>501</v>
      </c>
      <c r="AC32" s="82">
        <v>43877</v>
      </c>
      <c r="AD32" s="83">
        <v>44134</v>
      </c>
      <c r="AE32" s="66"/>
      <c r="AF32" s="91"/>
      <c r="AG32" s="5">
        <v>0</v>
      </c>
      <c r="AH32" s="463"/>
    </row>
    <row r="33" spans="1:36" ht="81.75" customHeight="1">
      <c r="A33" s="621"/>
      <c r="B33" s="621"/>
      <c r="C33" s="621"/>
      <c r="D33" s="776"/>
      <c r="E33" s="777"/>
      <c r="F33" s="639"/>
      <c r="G33" s="613"/>
      <c r="H33" s="613"/>
      <c r="I33" s="621"/>
      <c r="J33" s="783"/>
      <c r="K33" s="784"/>
      <c r="L33" s="784"/>
      <c r="M33" s="784"/>
      <c r="N33" s="784"/>
      <c r="O33" s="785"/>
      <c r="P33" s="783"/>
      <c r="Q33" s="784"/>
      <c r="R33" s="784"/>
      <c r="S33" s="785"/>
      <c r="T33" s="206"/>
      <c r="U33" s="783"/>
      <c r="V33" s="785"/>
      <c r="W33" s="904"/>
      <c r="X33" s="636"/>
      <c r="Y33" s="764" t="s">
        <v>505</v>
      </c>
      <c r="Z33" s="764"/>
      <c r="AA33" s="765"/>
      <c r="AB33" s="281" t="s">
        <v>506</v>
      </c>
      <c r="AC33" s="83">
        <v>43784</v>
      </c>
      <c r="AD33" s="83">
        <v>43920</v>
      </c>
      <c r="AE33" s="66" t="s">
        <v>68</v>
      </c>
      <c r="AF33" s="91" t="s">
        <v>17</v>
      </c>
      <c r="AG33" s="5">
        <v>1</v>
      </c>
      <c r="AH33" s="67" t="s">
        <v>521</v>
      </c>
    </row>
    <row r="34" spans="1:36" ht="81.75" customHeight="1">
      <c r="A34" s="773"/>
      <c r="B34" s="773"/>
      <c r="C34" s="696">
        <v>7</v>
      </c>
      <c r="D34" s="922" t="s">
        <v>1172</v>
      </c>
      <c r="E34" s="923"/>
      <c r="F34" s="701">
        <v>44056</v>
      </c>
      <c r="G34" s="695" t="s">
        <v>44</v>
      </c>
      <c r="H34" s="695" t="s">
        <v>59</v>
      </c>
      <c r="I34" s="696" t="s">
        <v>25</v>
      </c>
      <c r="J34" s="915"/>
      <c r="K34" s="928"/>
      <c r="L34" s="928"/>
      <c r="M34" s="928"/>
      <c r="N34" s="928"/>
      <c r="O34" s="916"/>
      <c r="P34" s="915"/>
      <c r="Q34" s="928"/>
      <c r="R34" s="928"/>
      <c r="S34" s="916"/>
      <c r="T34" s="551"/>
      <c r="U34" s="915"/>
      <c r="V34" s="916"/>
      <c r="W34" s="1403" t="s">
        <v>1173</v>
      </c>
      <c r="X34" s="700" t="s">
        <v>625</v>
      </c>
      <c r="Y34" s="1007" t="s">
        <v>1174</v>
      </c>
      <c r="Z34" s="1007"/>
      <c r="AA34" s="1007"/>
      <c r="AB34" s="575" t="s">
        <v>625</v>
      </c>
      <c r="AC34" s="456">
        <v>44075</v>
      </c>
      <c r="AD34" s="456">
        <v>44226</v>
      </c>
      <c r="AE34" s="319"/>
      <c r="AF34" s="550"/>
      <c r="AG34" s="287"/>
      <c r="AH34" s="1404"/>
    </row>
    <row r="35" spans="1:36" ht="57.75" customHeight="1">
      <c r="A35" s="633"/>
      <c r="B35" s="633"/>
      <c r="C35" s="674"/>
      <c r="D35" s="834"/>
      <c r="E35" s="835"/>
      <c r="F35" s="791"/>
      <c r="G35" s="668"/>
      <c r="H35" s="668"/>
      <c r="I35" s="674"/>
      <c r="J35" s="917"/>
      <c r="K35" s="929"/>
      <c r="L35" s="929"/>
      <c r="M35" s="929"/>
      <c r="N35" s="929"/>
      <c r="O35" s="918"/>
      <c r="P35" s="917"/>
      <c r="Q35" s="929"/>
      <c r="R35" s="929"/>
      <c r="S35" s="918"/>
      <c r="T35" s="551"/>
      <c r="U35" s="917"/>
      <c r="V35" s="918"/>
      <c r="W35" s="1405"/>
      <c r="X35" s="657"/>
      <c r="Y35" s="1007" t="s">
        <v>1175</v>
      </c>
      <c r="Z35" s="1007"/>
      <c r="AA35" s="1007"/>
      <c r="AB35" s="575" t="s">
        <v>1109</v>
      </c>
      <c r="AC35" s="456">
        <v>44075</v>
      </c>
      <c r="AD35" s="456">
        <v>44226</v>
      </c>
      <c r="AE35" s="319"/>
      <c r="AF35" s="550"/>
      <c r="AG35" s="287"/>
      <c r="AH35" s="1404"/>
    </row>
    <row r="36" spans="1:36" ht="80.25" customHeight="1">
      <c r="A36" s="621"/>
      <c r="B36" s="621"/>
      <c r="C36" s="921"/>
      <c r="D36" s="924"/>
      <c r="E36" s="925"/>
      <c r="F36" s="926"/>
      <c r="G36" s="927"/>
      <c r="H36" s="927"/>
      <c r="I36" s="921"/>
      <c r="J36" s="919"/>
      <c r="K36" s="930"/>
      <c r="L36" s="930"/>
      <c r="M36" s="930"/>
      <c r="N36" s="930"/>
      <c r="O36" s="920"/>
      <c r="P36" s="919"/>
      <c r="Q36" s="930"/>
      <c r="R36" s="930"/>
      <c r="S36" s="920"/>
      <c r="T36" s="551"/>
      <c r="U36" s="919"/>
      <c r="V36" s="920"/>
      <c r="W36" s="1406"/>
      <c r="X36" s="627"/>
      <c r="Y36" s="1410" t="s">
        <v>1185</v>
      </c>
      <c r="Z36" s="1007"/>
      <c r="AA36" s="1007"/>
      <c r="AB36" s="575" t="s">
        <v>1176</v>
      </c>
      <c r="AC36" s="456">
        <v>44075</v>
      </c>
      <c r="AD36" s="456">
        <v>44226</v>
      </c>
      <c r="AE36" s="319"/>
      <c r="AF36" s="550"/>
      <c r="AG36" s="287"/>
      <c r="AH36" s="1404"/>
    </row>
    <row r="37" spans="1:36" ht="64.5" customHeight="1">
      <c r="A37" s="773"/>
      <c r="B37" s="773"/>
      <c r="C37" s="696">
        <v>8</v>
      </c>
      <c r="D37" s="922" t="s">
        <v>1177</v>
      </c>
      <c r="E37" s="923"/>
      <c r="F37" s="701">
        <v>44056</v>
      </c>
      <c r="G37" s="695" t="s">
        <v>44</v>
      </c>
      <c r="H37" s="695" t="s">
        <v>59</v>
      </c>
      <c r="I37" s="696" t="s">
        <v>25</v>
      </c>
      <c r="J37" s="915"/>
      <c r="K37" s="928"/>
      <c r="L37" s="928"/>
      <c r="M37" s="928"/>
      <c r="N37" s="928"/>
      <c r="O37" s="916"/>
      <c r="P37" s="915"/>
      <c r="Q37" s="928"/>
      <c r="R37" s="928"/>
      <c r="S37" s="916"/>
      <c r="T37" s="551"/>
      <c r="U37" s="915"/>
      <c r="V37" s="916"/>
      <c r="W37" s="1407" t="s">
        <v>1178</v>
      </c>
      <c r="X37" s="700" t="s">
        <v>625</v>
      </c>
      <c r="Y37" s="1410" t="s">
        <v>1182</v>
      </c>
      <c r="Z37" s="1007"/>
      <c r="AA37" s="1007"/>
      <c r="AB37" s="575" t="s">
        <v>625</v>
      </c>
      <c r="AC37" s="456">
        <v>44075</v>
      </c>
      <c r="AD37" s="456" t="s">
        <v>1179</v>
      </c>
      <c r="AE37" s="319"/>
      <c r="AF37" s="550"/>
      <c r="AG37" s="287"/>
      <c r="AH37" s="1404"/>
    </row>
    <row r="38" spans="1:36" ht="50.25" customHeight="1">
      <c r="A38" s="633"/>
      <c r="B38" s="633"/>
      <c r="C38" s="674"/>
      <c r="D38" s="834"/>
      <c r="E38" s="835"/>
      <c r="F38" s="791"/>
      <c r="G38" s="668"/>
      <c r="H38" s="668"/>
      <c r="I38" s="674"/>
      <c r="J38" s="917"/>
      <c r="K38" s="929"/>
      <c r="L38" s="929"/>
      <c r="M38" s="929"/>
      <c r="N38" s="929"/>
      <c r="O38" s="918"/>
      <c r="P38" s="917"/>
      <c r="Q38" s="929"/>
      <c r="R38" s="929"/>
      <c r="S38" s="918"/>
      <c r="T38" s="551"/>
      <c r="U38" s="917"/>
      <c r="V38" s="918"/>
      <c r="W38" s="1408"/>
      <c r="X38" s="657"/>
      <c r="Y38" s="1410" t="s">
        <v>1183</v>
      </c>
      <c r="Z38" s="1007"/>
      <c r="AA38" s="1007"/>
      <c r="AB38" s="575" t="s">
        <v>1180</v>
      </c>
      <c r="AC38" s="456">
        <v>44075</v>
      </c>
      <c r="AD38" s="456" t="s">
        <v>1179</v>
      </c>
      <c r="AE38" s="319"/>
      <c r="AF38" s="550"/>
      <c r="AG38" s="287"/>
      <c r="AH38" s="1404"/>
    </row>
    <row r="39" spans="1:36" ht="54" customHeight="1">
      <c r="A39" s="621"/>
      <c r="B39" s="621"/>
      <c r="C39" s="921"/>
      <c r="D39" s="924"/>
      <c r="E39" s="925"/>
      <c r="F39" s="926"/>
      <c r="G39" s="927"/>
      <c r="H39" s="927"/>
      <c r="I39" s="921"/>
      <c r="J39" s="919"/>
      <c r="K39" s="930"/>
      <c r="L39" s="930"/>
      <c r="M39" s="930"/>
      <c r="N39" s="930"/>
      <c r="O39" s="920"/>
      <c r="P39" s="919"/>
      <c r="Q39" s="930"/>
      <c r="R39" s="930"/>
      <c r="S39" s="920"/>
      <c r="T39" s="551"/>
      <c r="U39" s="919"/>
      <c r="V39" s="920"/>
      <c r="W39" s="1409"/>
      <c r="X39" s="627"/>
      <c r="Y39" s="1410" t="s">
        <v>1184</v>
      </c>
      <c r="Z39" s="1007"/>
      <c r="AA39" s="1007"/>
      <c r="AB39" s="575" t="s">
        <v>1181</v>
      </c>
      <c r="AC39" s="456">
        <v>44075</v>
      </c>
      <c r="AD39" s="456" t="s">
        <v>1179</v>
      </c>
      <c r="AE39" s="319"/>
      <c r="AF39" s="550"/>
      <c r="AG39" s="287"/>
      <c r="AH39" s="1404"/>
    </row>
    <row r="40" spans="1:36" ht="6" customHeight="1">
      <c r="A40" s="604"/>
      <c r="B40" s="604"/>
      <c r="C40" s="604"/>
      <c r="D40" s="604"/>
      <c r="E40" s="604"/>
      <c r="F40" s="604"/>
      <c r="G40" s="604"/>
      <c r="H40" s="604"/>
      <c r="I40" s="604"/>
      <c r="J40" s="604"/>
      <c r="K40" s="604"/>
      <c r="L40" s="604"/>
      <c r="M40" s="604"/>
      <c r="N40" s="604"/>
      <c r="O40" s="604"/>
      <c r="P40" s="604"/>
      <c r="Q40" s="604"/>
      <c r="R40" s="604"/>
      <c r="S40" s="604"/>
      <c r="T40" s="604"/>
      <c r="U40" s="604"/>
      <c r="V40" s="604"/>
      <c r="W40" s="604"/>
      <c r="X40" s="604"/>
      <c r="Y40" s="643"/>
      <c r="Z40" s="643"/>
      <c r="AA40" s="643"/>
      <c r="AB40" s="604"/>
      <c r="AC40" s="604"/>
      <c r="AD40" s="604"/>
      <c r="AE40" s="604"/>
      <c r="AF40" s="604"/>
      <c r="AG40" s="604"/>
      <c r="AH40" s="604"/>
    </row>
    <row r="41" spans="1:36" ht="12.75" customHeight="1">
      <c r="A41" s="644" t="s">
        <v>22</v>
      </c>
      <c r="B41" s="644"/>
      <c r="C41" s="644"/>
      <c r="D41" s="644"/>
      <c r="E41" s="644"/>
      <c r="F41" s="644"/>
      <c r="G41" s="644"/>
      <c r="H41" s="644"/>
      <c r="I41" s="644"/>
      <c r="J41" s="644"/>
      <c r="K41" s="644"/>
      <c r="L41" s="644"/>
      <c r="M41" s="4"/>
      <c r="N41" s="4"/>
      <c r="O41" s="645" t="s">
        <v>34</v>
      </c>
      <c r="P41" s="645"/>
      <c r="Q41" s="645"/>
      <c r="R41" s="645"/>
      <c r="S41" s="645"/>
      <c r="T41" s="645"/>
      <c r="U41" s="645"/>
      <c r="V41" s="645"/>
      <c r="W41" s="645"/>
      <c r="X41" s="645"/>
      <c r="Y41" s="645"/>
      <c r="Z41" s="645"/>
      <c r="AA41" s="645"/>
      <c r="AB41" s="645"/>
      <c r="AC41" s="645"/>
      <c r="AD41" s="646" t="s">
        <v>35</v>
      </c>
      <c r="AE41" s="646"/>
      <c r="AF41" s="646"/>
      <c r="AG41" s="646"/>
      <c r="AH41" s="646"/>
    </row>
    <row r="42" spans="1:36">
      <c r="A42" s="644"/>
      <c r="B42" s="644"/>
      <c r="C42" s="644"/>
      <c r="D42" s="644"/>
      <c r="E42" s="644"/>
      <c r="F42" s="644"/>
      <c r="G42" s="644"/>
      <c r="H42" s="644"/>
      <c r="I42" s="644"/>
      <c r="J42" s="644"/>
      <c r="K42" s="644"/>
      <c r="L42" s="644"/>
      <c r="M42" s="4"/>
      <c r="N42" s="4"/>
      <c r="O42" s="645"/>
      <c r="P42" s="645"/>
      <c r="Q42" s="645"/>
      <c r="R42" s="645"/>
      <c r="S42" s="645"/>
      <c r="T42" s="645"/>
      <c r="U42" s="645"/>
      <c r="V42" s="645"/>
      <c r="W42" s="645"/>
      <c r="X42" s="645"/>
      <c r="Y42" s="645"/>
      <c r="Z42" s="645"/>
      <c r="AA42" s="645"/>
      <c r="AB42" s="645"/>
      <c r="AC42" s="645"/>
      <c r="AD42" s="646"/>
      <c r="AE42" s="646"/>
      <c r="AF42" s="646"/>
      <c r="AG42" s="646"/>
      <c r="AH42" s="646"/>
    </row>
    <row r="43" spans="1:36" ht="38.25" customHeight="1">
      <c r="A43" s="648" t="s">
        <v>287</v>
      </c>
      <c r="B43" s="648"/>
      <c r="C43" s="648"/>
      <c r="D43" s="648"/>
      <c r="E43" s="648"/>
      <c r="F43" s="648"/>
      <c r="G43" s="648"/>
      <c r="H43" s="648"/>
      <c r="I43" s="648"/>
      <c r="J43" s="648"/>
      <c r="K43" s="648"/>
      <c r="L43" s="648"/>
      <c r="M43" s="4"/>
      <c r="N43" s="4"/>
      <c r="O43" s="650" t="s">
        <v>522</v>
      </c>
      <c r="P43" s="650"/>
      <c r="Q43" s="650"/>
      <c r="R43" s="650"/>
      <c r="S43" s="650"/>
      <c r="T43" s="650"/>
      <c r="U43" s="650"/>
      <c r="V43" s="650"/>
      <c r="W43" s="650"/>
      <c r="X43" s="650"/>
      <c r="Y43" s="650"/>
      <c r="Z43" s="650"/>
      <c r="AA43" s="650"/>
      <c r="AB43" s="650"/>
      <c r="AC43" s="650"/>
      <c r="AD43" s="651" t="s">
        <v>523</v>
      </c>
      <c r="AE43" s="651"/>
      <c r="AF43" s="651"/>
      <c r="AG43" s="651"/>
      <c r="AH43" s="651"/>
    </row>
    <row r="44" spans="1:36" ht="15" customHeight="1">
      <c r="A44" s="641" t="s">
        <v>36</v>
      </c>
      <c r="B44" s="641"/>
      <c r="C44" s="641"/>
      <c r="D44" s="641"/>
      <c r="E44" s="641"/>
      <c r="F44" s="641"/>
      <c r="G44" s="641"/>
      <c r="H44" s="641"/>
      <c r="I44" s="641"/>
      <c r="J44" s="641"/>
      <c r="K44" s="641"/>
      <c r="L44" s="641"/>
      <c r="M44" s="641"/>
      <c r="N44" s="641"/>
      <c r="O44" s="641"/>
      <c r="P44" s="641"/>
      <c r="Q44" s="641"/>
      <c r="R44" s="641"/>
      <c r="S44" s="641"/>
      <c r="T44" s="641"/>
      <c r="U44" s="641"/>
      <c r="V44" s="641"/>
      <c r="W44" s="641"/>
      <c r="X44" s="641"/>
      <c r="Y44" s="641"/>
      <c r="Z44" s="641"/>
      <c r="AA44" s="641"/>
      <c r="AB44" s="641"/>
      <c r="AC44" s="641"/>
      <c r="AD44" s="641"/>
      <c r="AE44" s="641"/>
      <c r="AF44" s="641"/>
      <c r="AG44" s="641"/>
      <c r="AH44" s="641"/>
    </row>
    <row r="45" spans="1:36" ht="0.95" customHeight="1">
      <c r="A45" s="642"/>
      <c r="B45" s="642"/>
      <c r="C45" s="642"/>
      <c r="D45" s="642"/>
      <c r="E45" s="642"/>
      <c r="F45" s="642"/>
      <c r="G45" s="642"/>
      <c r="H45" s="642"/>
      <c r="I45" s="642"/>
      <c r="J45" s="642"/>
      <c r="K45" s="642"/>
      <c r="L45" s="642"/>
      <c r="M45" s="642"/>
      <c r="N45" s="642"/>
      <c r="O45" s="642"/>
      <c r="P45" s="642"/>
      <c r="Q45" s="642"/>
      <c r="R45" s="642"/>
      <c r="S45" s="642"/>
      <c r="T45" s="642"/>
      <c r="U45" s="642"/>
      <c r="V45" s="642"/>
      <c r="W45" s="642"/>
      <c r="X45" s="642"/>
      <c r="Y45" s="642"/>
      <c r="Z45" s="642"/>
      <c r="AA45" s="642"/>
      <c r="AB45" s="642"/>
      <c r="AC45" s="642"/>
      <c r="AD45" s="642"/>
      <c r="AE45" s="642"/>
      <c r="AF45" s="642"/>
      <c r="AG45" s="642"/>
      <c r="AH45" s="642"/>
      <c r="AI45" s="642"/>
    </row>
    <row r="46" spans="1:36">
      <c r="A46" s="642"/>
      <c r="B46" s="642"/>
      <c r="C46" s="642"/>
      <c r="D46" s="642"/>
      <c r="E46" s="642"/>
      <c r="F46" s="642"/>
      <c r="G46" s="642"/>
      <c r="H46" s="642"/>
      <c r="I46" s="642"/>
      <c r="J46" s="642"/>
      <c r="K46" s="642"/>
      <c r="L46" s="642"/>
      <c r="M46" s="642"/>
      <c r="N46" s="642"/>
      <c r="O46" s="642"/>
      <c r="P46" s="642"/>
      <c r="Q46" s="642"/>
      <c r="R46" s="642"/>
      <c r="S46" s="642"/>
      <c r="T46" s="642"/>
      <c r="U46" s="642"/>
      <c r="V46" s="642"/>
      <c r="W46" s="642"/>
      <c r="X46" s="642"/>
      <c r="Y46" s="642"/>
      <c r="Z46" s="642"/>
      <c r="AA46" s="642"/>
      <c r="AB46" s="642"/>
      <c r="AC46" s="642"/>
      <c r="AD46" s="642"/>
      <c r="AE46" s="642"/>
      <c r="AF46" s="642"/>
      <c r="AG46" s="642"/>
      <c r="AH46" s="642"/>
      <c r="AI46" s="8"/>
      <c r="AJ46" s="8"/>
    </row>
    <row r="47" spans="1:36" ht="24" customHeight="1">
      <c r="A47" s="74"/>
      <c r="B47" s="75"/>
      <c r="C47" s="74"/>
      <c r="D47" s="74"/>
      <c r="E47" s="74"/>
      <c r="F47" s="74"/>
      <c r="G47" s="74"/>
      <c r="H47" s="76" t="s">
        <v>66</v>
      </c>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8"/>
      <c r="AJ47" s="8"/>
    </row>
    <row r="48" spans="1:36" ht="54.95" customHeight="1">
      <c r="A48" s="74"/>
      <c r="B48" s="75"/>
      <c r="C48" s="74"/>
      <c r="D48" s="74"/>
      <c r="E48" s="74"/>
      <c r="F48" s="74"/>
      <c r="G48" s="74"/>
      <c r="H48" s="76" t="s">
        <v>67</v>
      </c>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8"/>
      <c r="AJ48" s="8"/>
    </row>
    <row r="49" spans="1:37" ht="0.95" customHeight="1">
      <c r="A49" s="74"/>
      <c r="B49" s="75" t="s">
        <v>68</v>
      </c>
      <c r="C49" s="74"/>
      <c r="D49" s="74"/>
      <c r="E49" s="74"/>
      <c r="F49" s="74"/>
      <c r="G49" s="74"/>
      <c r="H49" s="76" t="s">
        <v>69</v>
      </c>
      <c r="I49" s="74"/>
      <c r="J49" s="74"/>
      <c r="K49" s="74"/>
      <c r="L49" s="74"/>
      <c r="M49" s="74"/>
      <c r="N49" s="74"/>
      <c r="O49" s="74"/>
      <c r="P49" s="74"/>
      <c r="Q49" s="74"/>
      <c r="R49" s="74"/>
      <c r="S49" s="74"/>
      <c r="T49" s="74"/>
      <c r="U49" s="74"/>
      <c r="V49" s="74"/>
      <c r="W49" s="74"/>
      <c r="X49" s="76" t="s">
        <v>23</v>
      </c>
      <c r="Y49" s="74"/>
      <c r="Z49" s="74"/>
      <c r="AA49" s="74"/>
      <c r="AB49" s="74"/>
      <c r="AC49" s="74"/>
      <c r="AD49" s="74"/>
      <c r="AE49" s="74"/>
      <c r="AF49" s="74"/>
      <c r="AG49" s="74"/>
      <c r="AH49" s="74"/>
      <c r="AI49" s="8"/>
      <c r="AJ49" s="8"/>
    </row>
    <row r="50" spans="1:37" ht="0.95" customHeight="1">
      <c r="A50" s="74"/>
      <c r="B50" s="75" t="s">
        <v>70</v>
      </c>
      <c r="C50" s="74"/>
      <c r="D50" s="74"/>
      <c r="E50" s="74"/>
      <c r="F50" s="74"/>
      <c r="G50" s="74"/>
      <c r="H50" s="77" t="s">
        <v>59</v>
      </c>
      <c r="I50" s="74"/>
      <c r="J50" s="74"/>
      <c r="K50" s="74"/>
      <c r="L50" s="74"/>
      <c r="M50" s="74"/>
      <c r="N50" s="74"/>
      <c r="O50" s="74"/>
      <c r="P50" s="74"/>
      <c r="Q50" s="74"/>
      <c r="R50" s="74"/>
      <c r="S50" s="74"/>
      <c r="T50" s="74"/>
      <c r="U50" s="74"/>
      <c r="V50" s="74"/>
      <c r="W50" s="74"/>
      <c r="X50" s="76" t="s">
        <v>25</v>
      </c>
      <c r="Y50" s="74"/>
      <c r="Z50" s="74"/>
      <c r="AA50" s="74"/>
      <c r="AB50" s="74"/>
      <c r="AC50" s="74"/>
      <c r="AD50" s="74"/>
      <c r="AE50" s="74"/>
      <c r="AF50" s="74"/>
      <c r="AG50" s="74"/>
      <c r="AH50" s="74"/>
      <c r="AI50" s="8"/>
      <c r="AJ50" s="8"/>
    </row>
    <row r="51" spans="1:37" ht="0.95" customHeight="1">
      <c r="A51" s="78"/>
      <c r="B51" s="79" t="s">
        <v>16</v>
      </c>
      <c r="C51" s="78"/>
      <c r="D51" s="78"/>
      <c r="E51" s="78"/>
      <c r="F51" s="78"/>
      <c r="G51" s="78"/>
      <c r="H51" s="80" t="s">
        <v>65</v>
      </c>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row>
    <row r="53" spans="1:37" ht="24.75" customHeight="1">
      <c r="AK53" s="6" t="s">
        <v>38</v>
      </c>
    </row>
    <row r="54" spans="1:37" ht="24.75" customHeight="1">
      <c r="AK54" s="6" t="s">
        <v>10</v>
      </c>
    </row>
    <row r="55" spans="1:37" ht="24.75" customHeight="1">
      <c r="AK55" s="6" t="s">
        <v>42</v>
      </c>
    </row>
    <row r="56" spans="1:37" ht="24.75" customHeight="1">
      <c r="AK56" s="6" t="s">
        <v>43</v>
      </c>
    </row>
    <row r="57" spans="1:37" ht="24.75" customHeight="1">
      <c r="AK57" s="6" t="s">
        <v>44</v>
      </c>
    </row>
    <row r="58" spans="1:37" ht="24.75" customHeight="1">
      <c r="AK58" s="6" t="s">
        <v>26</v>
      </c>
    </row>
    <row r="59" spans="1:37" ht="24.75" customHeight="1">
      <c r="AK59" s="6" t="s">
        <v>27</v>
      </c>
    </row>
    <row r="60" spans="1:37" ht="24.75" customHeight="1">
      <c r="AK60" s="6" t="s">
        <v>28</v>
      </c>
    </row>
    <row r="61" spans="1:37" ht="24.75" customHeight="1">
      <c r="AK61" s="6" t="s">
        <v>30</v>
      </c>
    </row>
    <row r="62" spans="1:37" ht="24.75" customHeight="1">
      <c r="AK62" s="6" t="s">
        <v>29</v>
      </c>
    </row>
    <row r="63" spans="1:37" ht="24.75" customHeight="1">
      <c r="AK63" s="6" t="s">
        <v>31</v>
      </c>
    </row>
    <row r="64" spans="1:37" ht="24.75" customHeight="1">
      <c r="AK64" s="6" t="s">
        <v>32</v>
      </c>
    </row>
    <row r="65" spans="37:37" ht="51">
      <c r="AK65" s="6" t="s">
        <v>33</v>
      </c>
    </row>
  </sheetData>
  <mergeCells count="177">
    <mergeCell ref="P34:S36"/>
    <mergeCell ref="U34:V36"/>
    <mergeCell ref="W34:W36"/>
    <mergeCell ref="X34:X36"/>
    <mergeCell ref="Y34:AA34"/>
    <mergeCell ref="Y35:AA35"/>
    <mergeCell ref="Y36:AA36"/>
    <mergeCell ref="A37:A39"/>
    <mergeCell ref="B37:B39"/>
    <mergeCell ref="C37:C39"/>
    <mergeCell ref="D37:E39"/>
    <mergeCell ref="F37:F39"/>
    <mergeCell ref="G37:G39"/>
    <mergeCell ref="H37:H39"/>
    <mergeCell ref="I37:I39"/>
    <mergeCell ref="J37:O39"/>
    <mergeCell ref="P37:S39"/>
    <mergeCell ref="U37:V39"/>
    <mergeCell ref="W37:W39"/>
    <mergeCell ref="X37:X39"/>
    <mergeCell ref="Y37:AA37"/>
    <mergeCell ref="Y38:AA38"/>
    <mergeCell ref="Y39:AA39"/>
    <mergeCell ref="A34:A36"/>
    <mergeCell ref="B34:B36"/>
    <mergeCell ref="C34:C36"/>
    <mergeCell ref="D34:E36"/>
    <mergeCell ref="F34:F36"/>
    <mergeCell ref="G34:G36"/>
    <mergeCell ref="H34:H36"/>
    <mergeCell ref="I34:I36"/>
    <mergeCell ref="J34:O36"/>
    <mergeCell ref="A43:L43"/>
    <mergeCell ref="O43:AC43"/>
    <mergeCell ref="AD43:AH43"/>
    <mergeCell ref="A44:AH44"/>
    <mergeCell ref="A45:AI45"/>
    <mergeCell ref="A46:AH46"/>
    <mergeCell ref="A40:AH40"/>
    <mergeCell ref="A41:L42"/>
    <mergeCell ref="O41:AC42"/>
    <mergeCell ref="AD41:AH42"/>
    <mergeCell ref="W31:W33"/>
    <mergeCell ref="X31:X33"/>
    <mergeCell ref="Y31:AA31"/>
    <mergeCell ref="Y32:AA32"/>
    <mergeCell ref="Y33:AA33"/>
    <mergeCell ref="G31:G33"/>
    <mergeCell ref="H31:H33"/>
    <mergeCell ref="I31:I33"/>
    <mergeCell ref="J31:O33"/>
    <mergeCell ref="P31:S33"/>
    <mergeCell ref="U31:V33"/>
    <mergeCell ref="A31:A33"/>
    <mergeCell ref="B31:B33"/>
    <mergeCell ref="C31:C33"/>
    <mergeCell ref="D31:E33"/>
    <mergeCell ref="F31:F33"/>
    <mergeCell ref="H27:H30"/>
    <mergeCell ref="I27:I30"/>
    <mergeCell ref="J27:O30"/>
    <mergeCell ref="P27:S30"/>
    <mergeCell ref="A27:A30"/>
    <mergeCell ref="B27:B30"/>
    <mergeCell ref="C27:C30"/>
    <mergeCell ref="D27:E30"/>
    <mergeCell ref="F27:F30"/>
    <mergeCell ref="G27:G30"/>
    <mergeCell ref="H21:H26"/>
    <mergeCell ref="I21:I26"/>
    <mergeCell ref="J21:O26"/>
    <mergeCell ref="P21:S26"/>
    <mergeCell ref="U21:V26"/>
    <mergeCell ref="W21:W26"/>
    <mergeCell ref="X27:X30"/>
    <mergeCell ref="Y27:AA27"/>
    <mergeCell ref="Y28:AA28"/>
    <mergeCell ref="Y29:AA29"/>
    <mergeCell ref="Y30:AA30"/>
    <mergeCell ref="U27:V30"/>
    <mergeCell ref="W27:W30"/>
    <mergeCell ref="G15:G17"/>
    <mergeCell ref="X18:X20"/>
    <mergeCell ref="Y18:AA18"/>
    <mergeCell ref="Y19:AA19"/>
    <mergeCell ref="Y20:AA20"/>
    <mergeCell ref="A21:A26"/>
    <mergeCell ref="B21:B26"/>
    <mergeCell ref="C21:C26"/>
    <mergeCell ref="D21:E26"/>
    <mergeCell ref="F21:F26"/>
    <mergeCell ref="G21:G26"/>
    <mergeCell ref="H18:H20"/>
    <mergeCell ref="I18:I20"/>
    <mergeCell ref="J18:O20"/>
    <mergeCell ref="P18:S20"/>
    <mergeCell ref="U18:V20"/>
    <mergeCell ref="W18:W20"/>
    <mergeCell ref="X21:X26"/>
    <mergeCell ref="Y21:AA21"/>
    <mergeCell ref="Y22:AA22"/>
    <mergeCell ref="Y23:AA23"/>
    <mergeCell ref="Y24:AA24"/>
    <mergeCell ref="Y25:AA25"/>
    <mergeCell ref="Y26:AA26"/>
    <mergeCell ref="Y12:AA12"/>
    <mergeCell ref="Y13:AA13"/>
    <mergeCell ref="Y14:AA14"/>
    <mergeCell ref="X15:X17"/>
    <mergeCell ref="Y15:AA15"/>
    <mergeCell ref="Y16:AA16"/>
    <mergeCell ref="Y17:AA17"/>
    <mergeCell ref="A18:A20"/>
    <mergeCell ref="B18:B20"/>
    <mergeCell ref="C18:C20"/>
    <mergeCell ref="D18:E20"/>
    <mergeCell ref="F18:F20"/>
    <mergeCell ref="G18:G20"/>
    <mergeCell ref="H15:H17"/>
    <mergeCell ref="I15:I17"/>
    <mergeCell ref="J15:O17"/>
    <mergeCell ref="P15:S17"/>
    <mergeCell ref="U15:V17"/>
    <mergeCell ref="W15:W17"/>
    <mergeCell ref="A15:A17"/>
    <mergeCell ref="B15:B17"/>
    <mergeCell ref="C15:C17"/>
    <mergeCell ref="D15:E17"/>
    <mergeCell ref="F15:F17"/>
    <mergeCell ref="A8:A14"/>
    <mergeCell ref="B8:B14"/>
    <mergeCell ref="C8:C14"/>
    <mergeCell ref="D8:E14"/>
    <mergeCell ref="F8:F14"/>
    <mergeCell ref="X6:X7"/>
    <mergeCell ref="Y6:AA7"/>
    <mergeCell ref="AB6:AB7"/>
    <mergeCell ref="AC6:AD6"/>
    <mergeCell ref="G8:G14"/>
    <mergeCell ref="H8:H14"/>
    <mergeCell ref="I8:I14"/>
    <mergeCell ref="J8:O14"/>
    <mergeCell ref="P8:S14"/>
    <mergeCell ref="U8:V14"/>
    <mergeCell ref="J7:O7"/>
    <mergeCell ref="P7:T7"/>
    <mergeCell ref="U7:V7"/>
    <mergeCell ref="W8:W14"/>
    <mergeCell ref="X8:X14"/>
    <mergeCell ref="Y8:AA8"/>
    <mergeCell ref="Y9:AA9"/>
    <mergeCell ref="Y10:AA10"/>
    <mergeCell ref="Y11:AA11"/>
    <mergeCell ref="A5:AH5"/>
    <mergeCell ref="A6:B6"/>
    <mergeCell ref="C6:C7"/>
    <mergeCell ref="D6:E7"/>
    <mergeCell ref="F6:F7"/>
    <mergeCell ref="G6:G7"/>
    <mergeCell ref="H6:H7"/>
    <mergeCell ref="I6:I7"/>
    <mergeCell ref="J6:V6"/>
    <mergeCell ref="W6:W7"/>
    <mergeCell ref="AG6:AG7"/>
    <mergeCell ref="AH6:AH7"/>
    <mergeCell ref="AE6:AE7"/>
    <mergeCell ref="AF6:AF7"/>
    <mergeCell ref="A1:B2"/>
    <mergeCell ref="C1:AG1"/>
    <mergeCell ref="AH1:AH2"/>
    <mergeCell ref="C2:AG2"/>
    <mergeCell ref="A3:AH3"/>
    <mergeCell ref="A4:D4"/>
    <mergeCell ref="E4:V4"/>
    <mergeCell ref="W4:Y4"/>
    <mergeCell ref="Z4:AE4"/>
    <mergeCell ref="AF4:AG4"/>
  </mergeCells>
  <conditionalFormatting sqref="AG8:AG33">
    <cfRule type="cellIs" dxfId="313" priority="7" operator="between">
      <formula>0.001</formula>
      <formula>0.99</formula>
    </cfRule>
    <cfRule type="cellIs" dxfId="312" priority="8" operator="equal">
      <formula>1</formula>
    </cfRule>
    <cfRule type="cellIs" dxfId="311" priority="9" operator="equal">
      <formula>0</formula>
    </cfRule>
  </conditionalFormatting>
  <conditionalFormatting sqref="AG8:AG33">
    <cfRule type="cellIs" dxfId="310" priority="10" operator="between">
      <formula>0.01</formula>
      <formula>0.99</formula>
    </cfRule>
    <cfRule type="cellIs" dxfId="309" priority="11" operator="equal">
      <formula>1</formula>
    </cfRule>
    <cfRule type="cellIs" dxfId="308" priority="12" operator="equal">
      <formula>0</formula>
    </cfRule>
  </conditionalFormatting>
  <conditionalFormatting sqref="AG34:AG39">
    <cfRule type="cellIs" dxfId="307" priority="1" operator="between">
      <formula>0.001</formula>
      <formula>0.99</formula>
    </cfRule>
    <cfRule type="cellIs" dxfId="306" priority="2" operator="equal">
      <formula>1</formula>
    </cfRule>
    <cfRule type="cellIs" dxfId="305" priority="3" operator="equal">
      <formula>0</formula>
    </cfRule>
  </conditionalFormatting>
  <conditionalFormatting sqref="AG34:AG39">
    <cfRule type="cellIs" dxfId="304" priority="4" operator="between">
      <formula>0.01</formula>
      <formula>0.99</formula>
    </cfRule>
    <cfRule type="cellIs" dxfId="303" priority="5" operator="equal">
      <formula>1</formula>
    </cfRule>
    <cfRule type="cellIs" dxfId="302" priority="6" operator="equal">
      <formula>0</formula>
    </cfRule>
  </conditionalFormatting>
  <dataValidations count="5">
    <dataValidation type="list" allowBlank="1" showInputMessage="1" showErrorMessage="1" sqref="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5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65561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7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3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69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5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1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7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3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49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5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1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7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3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29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5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G27 JC27 SY27 ACU27 AMQ27 AWM27 BGI27 BQE27 CAA27 CJW27 CTS27 DDO27 DNK27 DXG27 EHC27 EQY27 FAU27 FKQ27 FUM27 GEI27 GOE27 GYA27 HHW27 HRS27 IBO27 ILK27 IVG27 JFC27 JOY27 JYU27 KIQ27 KSM27 LCI27 LME27 LWA27 MFW27 MPS27 MZO27 NJK27 NTG27 ODC27 OMY27 OWU27 PGQ27 PQM27 QAI27 QKE27 QUA27 RDW27 RNS27 RXO27 SHK27 SRG27 TBC27 TKY27 TUU27 UEQ27 UOM27 UYI27 VIE27 VSA27 WBW27 WLS27 WVO27 G65567 JC65567 SY65567 ACU65567 AMQ65567 AWM65567 BGI65567 BQE65567 CAA65567 CJW65567 CTS65567 DDO65567 DNK65567 DXG65567 EHC65567 EQY65567 FAU65567 FKQ65567 FUM65567 GEI65567 GOE65567 GYA65567 HHW65567 HRS65567 IBO65567 ILK65567 IVG65567 JFC65567 JOY65567 JYU65567 KIQ65567 KSM65567 LCI65567 LME65567 LWA65567 MFW65567 MPS65567 MZO65567 NJK65567 NTG65567 ODC65567 OMY65567 OWU65567 PGQ65567 PQM65567 QAI65567 QKE65567 QUA65567 RDW65567 RNS65567 RXO65567 SHK65567 SRG65567 TBC65567 TKY65567 TUU65567 UEQ65567 UOM65567 UYI65567 VIE65567 VSA65567 WBW65567 WLS65567 WVO65567 G131103 JC131103 SY131103 ACU131103 AMQ131103 AWM131103 BGI131103 BQE131103 CAA131103 CJW131103 CTS131103 DDO131103 DNK131103 DXG131103 EHC131103 EQY131103 FAU131103 FKQ131103 FUM131103 GEI131103 GOE131103 GYA131103 HHW131103 HRS131103 IBO131103 ILK131103 IVG131103 JFC131103 JOY131103 JYU131103 KIQ131103 KSM131103 LCI131103 LME131103 LWA131103 MFW131103 MPS131103 MZO131103 NJK131103 NTG131103 ODC131103 OMY131103 OWU131103 PGQ131103 PQM131103 QAI131103 QKE131103 QUA131103 RDW131103 RNS131103 RXO131103 SHK131103 SRG131103 TBC131103 TKY131103 TUU131103 UEQ131103 UOM131103 UYI131103 VIE131103 VSA131103 WBW131103 WLS131103 WVO131103 G196639 JC196639 SY196639 ACU196639 AMQ196639 AWM196639 BGI196639 BQE196639 CAA196639 CJW196639 CTS196639 DDO196639 DNK196639 DXG196639 EHC196639 EQY196639 FAU196639 FKQ196639 FUM196639 GEI196639 GOE196639 GYA196639 HHW196639 HRS196639 IBO196639 ILK196639 IVG196639 JFC196639 JOY196639 JYU196639 KIQ196639 KSM196639 LCI196639 LME196639 LWA196639 MFW196639 MPS196639 MZO196639 NJK196639 NTG196639 ODC196639 OMY196639 OWU196639 PGQ196639 PQM196639 QAI196639 QKE196639 QUA196639 RDW196639 RNS196639 RXO196639 SHK196639 SRG196639 TBC196639 TKY196639 TUU196639 UEQ196639 UOM196639 UYI196639 VIE196639 VSA196639 WBW196639 WLS196639 WVO196639 G262175 JC262175 SY262175 ACU262175 AMQ262175 AWM262175 BGI262175 BQE262175 CAA262175 CJW262175 CTS262175 DDO262175 DNK262175 DXG262175 EHC262175 EQY262175 FAU262175 FKQ262175 FUM262175 GEI262175 GOE262175 GYA262175 HHW262175 HRS262175 IBO262175 ILK262175 IVG262175 JFC262175 JOY262175 JYU262175 KIQ262175 KSM262175 LCI262175 LME262175 LWA262175 MFW262175 MPS262175 MZO262175 NJK262175 NTG262175 ODC262175 OMY262175 OWU262175 PGQ262175 PQM262175 QAI262175 QKE262175 QUA262175 RDW262175 RNS262175 RXO262175 SHK262175 SRG262175 TBC262175 TKY262175 TUU262175 UEQ262175 UOM262175 UYI262175 VIE262175 VSA262175 WBW262175 WLS262175 WVO262175 G327711 JC327711 SY327711 ACU327711 AMQ327711 AWM327711 BGI327711 BQE327711 CAA327711 CJW327711 CTS327711 DDO327711 DNK327711 DXG327711 EHC327711 EQY327711 FAU327711 FKQ327711 FUM327711 GEI327711 GOE327711 GYA327711 HHW327711 HRS327711 IBO327711 ILK327711 IVG327711 JFC327711 JOY327711 JYU327711 KIQ327711 KSM327711 LCI327711 LME327711 LWA327711 MFW327711 MPS327711 MZO327711 NJK327711 NTG327711 ODC327711 OMY327711 OWU327711 PGQ327711 PQM327711 QAI327711 QKE327711 QUA327711 RDW327711 RNS327711 RXO327711 SHK327711 SRG327711 TBC327711 TKY327711 TUU327711 UEQ327711 UOM327711 UYI327711 VIE327711 VSA327711 WBW327711 WLS327711 WVO327711 G393247 JC393247 SY393247 ACU393247 AMQ393247 AWM393247 BGI393247 BQE393247 CAA393247 CJW393247 CTS393247 DDO393247 DNK393247 DXG393247 EHC393247 EQY393247 FAU393247 FKQ393247 FUM393247 GEI393247 GOE393247 GYA393247 HHW393247 HRS393247 IBO393247 ILK393247 IVG393247 JFC393247 JOY393247 JYU393247 KIQ393247 KSM393247 LCI393247 LME393247 LWA393247 MFW393247 MPS393247 MZO393247 NJK393247 NTG393247 ODC393247 OMY393247 OWU393247 PGQ393247 PQM393247 QAI393247 QKE393247 QUA393247 RDW393247 RNS393247 RXO393247 SHK393247 SRG393247 TBC393247 TKY393247 TUU393247 UEQ393247 UOM393247 UYI393247 VIE393247 VSA393247 WBW393247 WLS393247 WVO393247 G458783 JC458783 SY458783 ACU458783 AMQ458783 AWM458783 BGI458783 BQE458783 CAA458783 CJW458783 CTS458783 DDO458783 DNK458783 DXG458783 EHC458783 EQY458783 FAU458783 FKQ458783 FUM458783 GEI458783 GOE458783 GYA458783 HHW458783 HRS458783 IBO458783 ILK458783 IVG458783 JFC458783 JOY458783 JYU458783 KIQ458783 KSM458783 LCI458783 LME458783 LWA458783 MFW458783 MPS458783 MZO458783 NJK458783 NTG458783 ODC458783 OMY458783 OWU458783 PGQ458783 PQM458783 QAI458783 QKE458783 QUA458783 RDW458783 RNS458783 RXO458783 SHK458783 SRG458783 TBC458783 TKY458783 TUU458783 UEQ458783 UOM458783 UYI458783 VIE458783 VSA458783 WBW458783 WLS458783 WVO458783 G524319 JC524319 SY524319 ACU524319 AMQ524319 AWM524319 BGI524319 BQE524319 CAA524319 CJW524319 CTS524319 DDO524319 DNK524319 DXG524319 EHC524319 EQY524319 FAU524319 FKQ524319 FUM524319 GEI524319 GOE524319 GYA524319 HHW524319 HRS524319 IBO524319 ILK524319 IVG524319 JFC524319 JOY524319 JYU524319 KIQ524319 KSM524319 LCI524319 LME524319 LWA524319 MFW524319 MPS524319 MZO524319 NJK524319 NTG524319 ODC524319 OMY524319 OWU524319 PGQ524319 PQM524319 QAI524319 QKE524319 QUA524319 RDW524319 RNS524319 RXO524319 SHK524319 SRG524319 TBC524319 TKY524319 TUU524319 UEQ524319 UOM524319 UYI524319 VIE524319 VSA524319 WBW524319 WLS524319 WVO524319 G589855 JC589855 SY589855 ACU589855 AMQ589855 AWM589855 BGI589855 BQE589855 CAA589855 CJW589855 CTS589855 DDO589855 DNK589855 DXG589855 EHC589855 EQY589855 FAU589855 FKQ589855 FUM589855 GEI589855 GOE589855 GYA589855 HHW589855 HRS589855 IBO589855 ILK589855 IVG589855 JFC589855 JOY589855 JYU589855 KIQ589855 KSM589855 LCI589855 LME589855 LWA589855 MFW589855 MPS589855 MZO589855 NJK589855 NTG589855 ODC589855 OMY589855 OWU589855 PGQ589855 PQM589855 QAI589855 QKE589855 QUA589855 RDW589855 RNS589855 RXO589855 SHK589855 SRG589855 TBC589855 TKY589855 TUU589855 UEQ589855 UOM589855 UYI589855 VIE589855 VSA589855 WBW589855 WLS589855 WVO589855 G655391 JC655391 SY655391 ACU655391 AMQ655391 AWM655391 BGI655391 BQE655391 CAA655391 CJW655391 CTS655391 DDO655391 DNK655391 DXG655391 EHC655391 EQY655391 FAU655391 FKQ655391 FUM655391 GEI655391 GOE655391 GYA655391 HHW655391 HRS655391 IBO655391 ILK655391 IVG655391 JFC655391 JOY655391 JYU655391 KIQ655391 KSM655391 LCI655391 LME655391 LWA655391 MFW655391 MPS655391 MZO655391 NJK655391 NTG655391 ODC655391 OMY655391 OWU655391 PGQ655391 PQM655391 QAI655391 QKE655391 QUA655391 RDW655391 RNS655391 RXO655391 SHK655391 SRG655391 TBC655391 TKY655391 TUU655391 UEQ655391 UOM655391 UYI655391 VIE655391 VSA655391 WBW655391 WLS655391 WVO655391 G720927 JC720927 SY720927 ACU720927 AMQ720927 AWM720927 BGI720927 BQE720927 CAA720927 CJW720927 CTS720927 DDO720927 DNK720927 DXG720927 EHC720927 EQY720927 FAU720927 FKQ720927 FUM720927 GEI720927 GOE720927 GYA720927 HHW720927 HRS720927 IBO720927 ILK720927 IVG720927 JFC720927 JOY720927 JYU720927 KIQ720927 KSM720927 LCI720927 LME720927 LWA720927 MFW720927 MPS720927 MZO720927 NJK720927 NTG720927 ODC720927 OMY720927 OWU720927 PGQ720927 PQM720927 QAI720927 QKE720927 QUA720927 RDW720927 RNS720927 RXO720927 SHK720927 SRG720927 TBC720927 TKY720927 TUU720927 UEQ720927 UOM720927 UYI720927 VIE720927 VSA720927 WBW720927 WLS720927 WVO720927 G786463 JC786463 SY786463 ACU786463 AMQ786463 AWM786463 BGI786463 BQE786463 CAA786463 CJW786463 CTS786463 DDO786463 DNK786463 DXG786463 EHC786463 EQY786463 FAU786463 FKQ786463 FUM786463 GEI786463 GOE786463 GYA786463 HHW786463 HRS786463 IBO786463 ILK786463 IVG786463 JFC786463 JOY786463 JYU786463 KIQ786463 KSM786463 LCI786463 LME786463 LWA786463 MFW786463 MPS786463 MZO786463 NJK786463 NTG786463 ODC786463 OMY786463 OWU786463 PGQ786463 PQM786463 QAI786463 QKE786463 QUA786463 RDW786463 RNS786463 RXO786463 SHK786463 SRG786463 TBC786463 TKY786463 TUU786463 UEQ786463 UOM786463 UYI786463 VIE786463 VSA786463 WBW786463 WLS786463 WVO786463 G851999 JC851999 SY851999 ACU851999 AMQ851999 AWM851999 BGI851999 BQE851999 CAA851999 CJW851999 CTS851999 DDO851999 DNK851999 DXG851999 EHC851999 EQY851999 FAU851999 FKQ851999 FUM851999 GEI851999 GOE851999 GYA851999 HHW851999 HRS851999 IBO851999 ILK851999 IVG851999 JFC851999 JOY851999 JYU851999 KIQ851999 KSM851999 LCI851999 LME851999 LWA851999 MFW851999 MPS851999 MZO851999 NJK851999 NTG851999 ODC851999 OMY851999 OWU851999 PGQ851999 PQM851999 QAI851999 QKE851999 QUA851999 RDW851999 RNS851999 RXO851999 SHK851999 SRG851999 TBC851999 TKY851999 TUU851999 UEQ851999 UOM851999 UYI851999 VIE851999 VSA851999 WBW851999 WLS851999 WVO851999 G917535 JC917535 SY917535 ACU917535 AMQ917535 AWM917535 BGI917535 BQE917535 CAA917535 CJW917535 CTS917535 DDO917535 DNK917535 DXG917535 EHC917535 EQY917535 FAU917535 FKQ917535 FUM917535 GEI917535 GOE917535 GYA917535 HHW917535 HRS917535 IBO917535 ILK917535 IVG917535 JFC917535 JOY917535 JYU917535 KIQ917535 KSM917535 LCI917535 LME917535 LWA917535 MFW917535 MPS917535 MZO917535 NJK917535 NTG917535 ODC917535 OMY917535 OWU917535 PGQ917535 PQM917535 QAI917535 QKE917535 QUA917535 RDW917535 RNS917535 RXO917535 SHK917535 SRG917535 TBC917535 TKY917535 TUU917535 UEQ917535 UOM917535 UYI917535 VIE917535 VSA917535 WBW917535 WLS917535 WVO917535 G983071 JC983071 SY983071 ACU983071 AMQ983071 AWM983071 BGI983071 BQE983071 CAA983071 CJW983071 CTS983071 DDO983071 DNK983071 DXG983071 EHC983071 EQY983071 FAU983071 FKQ983071 FUM983071 GEI983071 GOE983071 GYA983071 HHW983071 HRS983071 IBO983071 ILK983071 IVG983071 JFC983071 JOY983071 JYU983071 KIQ983071 KSM983071 LCI983071 LME983071 LWA983071 MFW983071 MPS983071 MZO983071 NJK983071 NTG983071 ODC983071 OMY983071 OWU983071 PGQ983071 PQM983071 QAI983071 QKE983071 QUA983071 RDW983071 RNS983071 RXO983071 SHK983071 SRG983071 TBC983071 TKY983071 TUU983071 UEQ983071 UOM983071 UYI983071 VIE983071 VSA983071 WBW983071 WLS983071 WVO983071 G31 JC31 SY31 ACU31 AMQ31 AWM31 BGI31 BQE31 CAA31 CJW31 CTS31 DDO31 DNK31 DXG31 EHC31 EQY31 FAU31 FKQ31 FUM31 GEI31 GOE31 GYA31 HHW31 HRS31 IBO31 ILK31 IVG31 JFC31 JOY31 JYU31 KIQ31 KSM31 LCI31 LME31 LWA31 MFW31 MPS31 MZO31 NJK31 NTG31 ODC31 OMY31 OWU31 PGQ31 PQM31 QAI31 QKE31 QUA31 RDW31 RNS31 RXO31 SHK31 SRG31 TBC31 TKY31 TUU31 UEQ31 UOM31 UYI31 VIE31 VSA31 WBW31 WLS31 WVO31 G65571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7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3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79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5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1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7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3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59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5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1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7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3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39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5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4 G37">
      <formula1>$AK$53:$AK$65</formula1>
    </dataValidation>
    <dataValidation type="list" allowBlank="1" showInputMessage="1" showErrorMessage="1" sqref="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48 JE65548 TA65548 ACW65548 AMS65548 AWO65548 BGK65548 BQG65548 CAC65548 CJY65548 CTU65548 DDQ65548 DNM65548 DXI65548 EHE65548 ERA65548 FAW65548 FKS65548 FUO65548 GEK65548 GOG65548 GYC65548 HHY65548 HRU65548 IBQ65548 ILM65548 IVI65548 JFE65548 JPA65548 JYW65548 KIS65548 KSO65548 LCK65548 LMG65548 LWC65548 MFY65548 MPU65548 MZQ65548 NJM65548 NTI65548 ODE65548 ONA65548 OWW65548 PGS65548 PQO65548 QAK65548 QKG65548 QUC65548 RDY65548 RNU65548 RXQ65548 SHM65548 SRI65548 TBE65548 TLA65548 TUW65548 UES65548 UOO65548 UYK65548 VIG65548 VSC65548 WBY65548 WLU65548 WVQ65548 I131084 JE131084 TA131084 ACW131084 AMS131084 AWO131084 BGK131084 BQG131084 CAC131084 CJY131084 CTU131084 DDQ131084 DNM131084 DXI131084 EHE131084 ERA131084 FAW131084 FKS131084 FUO131084 GEK131084 GOG131084 GYC131084 HHY131084 HRU131084 IBQ131084 ILM131084 IVI131084 JFE131084 JPA131084 JYW131084 KIS131084 KSO131084 LCK131084 LMG131084 LWC131084 MFY131084 MPU131084 MZQ131084 NJM131084 NTI131084 ODE131084 ONA131084 OWW131084 PGS131084 PQO131084 QAK131084 QKG131084 QUC131084 RDY131084 RNU131084 RXQ131084 SHM131084 SRI131084 TBE131084 TLA131084 TUW131084 UES131084 UOO131084 UYK131084 VIG131084 VSC131084 WBY131084 WLU131084 WVQ131084 I196620 JE196620 TA196620 ACW196620 AMS196620 AWO196620 BGK196620 BQG196620 CAC196620 CJY196620 CTU196620 DDQ196620 DNM196620 DXI196620 EHE196620 ERA196620 FAW196620 FKS196620 FUO196620 GEK196620 GOG196620 GYC196620 HHY196620 HRU196620 IBQ196620 ILM196620 IVI196620 JFE196620 JPA196620 JYW196620 KIS196620 KSO196620 LCK196620 LMG196620 LWC196620 MFY196620 MPU196620 MZQ196620 NJM196620 NTI196620 ODE196620 ONA196620 OWW196620 PGS196620 PQO196620 QAK196620 QKG196620 QUC196620 RDY196620 RNU196620 RXQ196620 SHM196620 SRI196620 TBE196620 TLA196620 TUW196620 UES196620 UOO196620 UYK196620 VIG196620 VSC196620 WBY196620 WLU196620 WVQ196620 I262156 JE262156 TA262156 ACW262156 AMS262156 AWO262156 BGK262156 BQG262156 CAC262156 CJY262156 CTU262156 DDQ262156 DNM262156 DXI262156 EHE262156 ERA262156 FAW262156 FKS262156 FUO262156 GEK262156 GOG262156 GYC262156 HHY262156 HRU262156 IBQ262156 ILM262156 IVI262156 JFE262156 JPA262156 JYW262156 KIS262156 KSO262156 LCK262156 LMG262156 LWC262156 MFY262156 MPU262156 MZQ262156 NJM262156 NTI262156 ODE262156 ONA262156 OWW262156 PGS262156 PQO262156 QAK262156 QKG262156 QUC262156 RDY262156 RNU262156 RXQ262156 SHM262156 SRI262156 TBE262156 TLA262156 TUW262156 UES262156 UOO262156 UYK262156 VIG262156 VSC262156 WBY262156 WLU262156 WVQ262156 I327692 JE327692 TA327692 ACW327692 AMS327692 AWO327692 BGK327692 BQG327692 CAC327692 CJY327692 CTU327692 DDQ327692 DNM327692 DXI327692 EHE327692 ERA327692 FAW327692 FKS327692 FUO327692 GEK327692 GOG327692 GYC327692 HHY327692 HRU327692 IBQ327692 ILM327692 IVI327692 JFE327692 JPA327692 JYW327692 KIS327692 KSO327692 LCK327692 LMG327692 LWC327692 MFY327692 MPU327692 MZQ327692 NJM327692 NTI327692 ODE327692 ONA327692 OWW327692 PGS327692 PQO327692 QAK327692 QKG327692 QUC327692 RDY327692 RNU327692 RXQ327692 SHM327692 SRI327692 TBE327692 TLA327692 TUW327692 UES327692 UOO327692 UYK327692 VIG327692 VSC327692 WBY327692 WLU327692 WVQ327692 I393228 JE393228 TA393228 ACW393228 AMS393228 AWO393228 BGK393228 BQG393228 CAC393228 CJY393228 CTU393228 DDQ393228 DNM393228 DXI393228 EHE393228 ERA393228 FAW393228 FKS393228 FUO393228 GEK393228 GOG393228 GYC393228 HHY393228 HRU393228 IBQ393228 ILM393228 IVI393228 JFE393228 JPA393228 JYW393228 KIS393228 KSO393228 LCK393228 LMG393228 LWC393228 MFY393228 MPU393228 MZQ393228 NJM393228 NTI393228 ODE393228 ONA393228 OWW393228 PGS393228 PQO393228 QAK393228 QKG393228 QUC393228 RDY393228 RNU393228 RXQ393228 SHM393228 SRI393228 TBE393228 TLA393228 TUW393228 UES393228 UOO393228 UYK393228 VIG393228 VSC393228 WBY393228 WLU393228 WVQ393228 I458764 JE458764 TA458764 ACW458764 AMS458764 AWO458764 BGK458764 BQG458764 CAC458764 CJY458764 CTU458764 DDQ458764 DNM458764 DXI458764 EHE458764 ERA458764 FAW458764 FKS458764 FUO458764 GEK458764 GOG458764 GYC458764 HHY458764 HRU458764 IBQ458764 ILM458764 IVI458764 JFE458764 JPA458764 JYW458764 KIS458764 KSO458764 LCK458764 LMG458764 LWC458764 MFY458764 MPU458764 MZQ458764 NJM458764 NTI458764 ODE458764 ONA458764 OWW458764 PGS458764 PQO458764 QAK458764 QKG458764 QUC458764 RDY458764 RNU458764 RXQ458764 SHM458764 SRI458764 TBE458764 TLA458764 TUW458764 UES458764 UOO458764 UYK458764 VIG458764 VSC458764 WBY458764 WLU458764 WVQ458764 I524300 JE524300 TA524300 ACW524300 AMS524300 AWO524300 BGK524300 BQG524300 CAC524300 CJY524300 CTU524300 DDQ524300 DNM524300 DXI524300 EHE524300 ERA524300 FAW524300 FKS524300 FUO524300 GEK524300 GOG524300 GYC524300 HHY524300 HRU524300 IBQ524300 ILM524300 IVI524300 JFE524300 JPA524300 JYW524300 KIS524300 KSO524300 LCK524300 LMG524300 LWC524300 MFY524300 MPU524300 MZQ524300 NJM524300 NTI524300 ODE524300 ONA524300 OWW524300 PGS524300 PQO524300 QAK524300 QKG524300 QUC524300 RDY524300 RNU524300 RXQ524300 SHM524300 SRI524300 TBE524300 TLA524300 TUW524300 UES524300 UOO524300 UYK524300 VIG524300 VSC524300 WBY524300 WLU524300 WVQ524300 I589836 JE589836 TA589836 ACW589836 AMS589836 AWO589836 BGK589836 BQG589836 CAC589836 CJY589836 CTU589836 DDQ589836 DNM589836 DXI589836 EHE589836 ERA589836 FAW589836 FKS589836 FUO589836 GEK589836 GOG589836 GYC589836 HHY589836 HRU589836 IBQ589836 ILM589836 IVI589836 JFE589836 JPA589836 JYW589836 KIS589836 KSO589836 LCK589836 LMG589836 LWC589836 MFY589836 MPU589836 MZQ589836 NJM589836 NTI589836 ODE589836 ONA589836 OWW589836 PGS589836 PQO589836 QAK589836 QKG589836 QUC589836 RDY589836 RNU589836 RXQ589836 SHM589836 SRI589836 TBE589836 TLA589836 TUW589836 UES589836 UOO589836 UYK589836 VIG589836 VSC589836 WBY589836 WLU589836 WVQ589836 I655372 JE655372 TA655372 ACW655372 AMS655372 AWO655372 BGK655372 BQG655372 CAC655372 CJY655372 CTU655372 DDQ655372 DNM655372 DXI655372 EHE655372 ERA655372 FAW655372 FKS655372 FUO655372 GEK655372 GOG655372 GYC655372 HHY655372 HRU655372 IBQ655372 ILM655372 IVI655372 JFE655372 JPA655372 JYW655372 KIS655372 KSO655372 LCK655372 LMG655372 LWC655372 MFY655372 MPU655372 MZQ655372 NJM655372 NTI655372 ODE655372 ONA655372 OWW655372 PGS655372 PQO655372 QAK655372 QKG655372 QUC655372 RDY655372 RNU655372 RXQ655372 SHM655372 SRI655372 TBE655372 TLA655372 TUW655372 UES655372 UOO655372 UYK655372 VIG655372 VSC655372 WBY655372 WLU655372 WVQ655372 I720908 JE720908 TA720908 ACW720908 AMS720908 AWO720908 BGK720908 BQG720908 CAC720908 CJY720908 CTU720908 DDQ720908 DNM720908 DXI720908 EHE720908 ERA720908 FAW720908 FKS720908 FUO720908 GEK720908 GOG720908 GYC720908 HHY720908 HRU720908 IBQ720908 ILM720908 IVI720908 JFE720908 JPA720908 JYW720908 KIS720908 KSO720908 LCK720908 LMG720908 LWC720908 MFY720908 MPU720908 MZQ720908 NJM720908 NTI720908 ODE720908 ONA720908 OWW720908 PGS720908 PQO720908 QAK720908 QKG720908 QUC720908 RDY720908 RNU720908 RXQ720908 SHM720908 SRI720908 TBE720908 TLA720908 TUW720908 UES720908 UOO720908 UYK720908 VIG720908 VSC720908 WBY720908 WLU720908 WVQ720908 I786444 JE786444 TA786444 ACW786444 AMS786444 AWO786444 BGK786444 BQG786444 CAC786444 CJY786444 CTU786444 DDQ786444 DNM786444 DXI786444 EHE786444 ERA786444 FAW786444 FKS786444 FUO786444 GEK786444 GOG786444 GYC786444 HHY786444 HRU786444 IBQ786444 ILM786444 IVI786444 JFE786444 JPA786444 JYW786444 KIS786444 KSO786444 LCK786444 LMG786444 LWC786444 MFY786444 MPU786444 MZQ786444 NJM786444 NTI786444 ODE786444 ONA786444 OWW786444 PGS786444 PQO786444 QAK786444 QKG786444 QUC786444 RDY786444 RNU786444 RXQ786444 SHM786444 SRI786444 TBE786444 TLA786444 TUW786444 UES786444 UOO786444 UYK786444 VIG786444 VSC786444 WBY786444 WLU786444 WVQ786444 I851980 JE851980 TA851980 ACW851980 AMS851980 AWO851980 BGK851980 BQG851980 CAC851980 CJY851980 CTU851980 DDQ851980 DNM851980 DXI851980 EHE851980 ERA851980 FAW851980 FKS851980 FUO851980 GEK851980 GOG851980 GYC851980 HHY851980 HRU851980 IBQ851980 ILM851980 IVI851980 JFE851980 JPA851980 JYW851980 KIS851980 KSO851980 LCK851980 LMG851980 LWC851980 MFY851980 MPU851980 MZQ851980 NJM851980 NTI851980 ODE851980 ONA851980 OWW851980 PGS851980 PQO851980 QAK851980 QKG851980 QUC851980 RDY851980 RNU851980 RXQ851980 SHM851980 SRI851980 TBE851980 TLA851980 TUW851980 UES851980 UOO851980 UYK851980 VIG851980 VSC851980 WBY851980 WLU851980 WVQ851980 I917516 JE917516 TA917516 ACW917516 AMS917516 AWO917516 BGK917516 BQG917516 CAC917516 CJY917516 CTU917516 DDQ917516 DNM917516 DXI917516 EHE917516 ERA917516 FAW917516 FKS917516 FUO917516 GEK917516 GOG917516 GYC917516 HHY917516 HRU917516 IBQ917516 ILM917516 IVI917516 JFE917516 JPA917516 JYW917516 KIS917516 KSO917516 LCK917516 LMG917516 LWC917516 MFY917516 MPU917516 MZQ917516 NJM917516 NTI917516 ODE917516 ONA917516 OWW917516 PGS917516 PQO917516 QAK917516 QKG917516 QUC917516 RDY917516 RNU917516 RXQ917516 SHM917516 SRI917516 TBE917516 TLA917516 TUW917516 UES917516 UOO917516 UYK917516 VIG917516 VSC917516 WBY917516 WLU917516 WVQ917516 I983052 JE983052 TA983052 ACW983052 AMS983052 AWO983052 BGK983052 BQG983052 CAC983052 CJY983052 CTU983052 DDQ983052 DNM983052 DXI983052 EHE983052 ERA983052 FAW983052 FKS983052 FUO983052 GEK983052 GOG983052 GYC983052 HHY983052 HRU983052 IBQ983052 ILM983052 IVI983052 JFE983052 JPA983052 JYW983052 KIS983052 KSO983052 LCK983052 LMG983052 LWC983052 MFY983052 MPU983052 MZQ983052 NJM983052 NTI983052 ODE983052 ONA983052 OWW983052 PGS983052 PQO983052 QAK983052 QKG983052 QUC983052 RDY983052 RNU983052 RXQ983052 SHM983052 SRI983052 TBE983052 TLA983052 TUW983052 UES983052 UOO983052 UYK983052 VIG983052 VSC983052 WBY983052 WLU983052 WVQ983052 I15 JE15 TA15 ACW15 AMS15 AWO15 BGK15 BQG15 CAC15 CJY15 CTU15 DDQ15 DNM15 DXI15 EHE15 ERA15 FAW15 FKS15 FUO15 GEK15 GOG15 GYC15 HHY15 HRU15 IBQ15 ILM15 IVI15 JFE15 JPA15 JYW15 KIS15 KSO15 LCK15 LMG15 LWC15 MFY15 MPU15 MZQ15 NJM15 NTI15 ODE15 ONA15 OWW15 PGS15 PQO15 QAK15 QKG15 QUC15 RDY15 RNU15 RXQ15 SHM15 SRI15 TBE15 TLA15 TUW15 UES15 UOO15 UYK15 VIG15 VSC15 WBY15 WLU15 WVQ15 I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I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I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I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I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I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I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I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I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I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I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I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I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I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I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I18 JE18 TA18 ACW18 AMS18 AWO18 BGK18 BQG18 CAC18 CJY18 CTU18 DDQ18 DNM18 DXI18 EHE18 ERA18 FAW18 FKS18 FUO18 GEK18 GOG18 GYC18 HHY18 HRU18 IBQ18 ILM18 IVI18 JFE18 JPA18 JYW18 KIS18 KSO18 LCK18 LMG18 LWC18 MFY18 MPU18 MZQ18 NJM18 NTI18 ODE18 ONA18 OWW18 PGS18 PQO18 QAK18 QKG18 QUC18 RDY18 RNU18 RXQ18 SHM18 SRI18 TBE18 TLA18 TUW18 UES18 UOO18 UYK18 VIG18 VSC18 WBY18 WLU18 WVQ18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WVQ983062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7 JE65567 TA65567 ACW65567 AMS65567 AWO65567 BGK65567 BQG65567 CAC65567 CJY65567 CTU65567 DDQ65567 DNM65567 DXI65567 EHE65567 ERA65567 FAW65567 FKS65567 FUO65567 GEK65567 GOG65567 GYC65567 HHY65567 HRU65567 IBQ65567 ILM65567 IVI65567 JFE65567 JPA65567 JYW65567 KIS65567 KSO65567 LCK65567 LMG65567 LWC65567 MFY65567 MPU65567 MZQ65567 NJM65567 NTI65567 ODE65567 ONA65567 OWW65567 PGS65567 PQO65567 QAK65567 QKG65567 QUC65567 RDY65567 RNU65567 RXQ65567 SHM65567 SRI65567 TBE65567 TLA65567 TUW65567 UES65567 UOO65567 UYK65567 VIG65567 VSC65567 WBY65567 WLU65567 WVQ65567 I131103 JE131103 TA131103 ACW131103 AMS131103 AWO131103 BGK131103 BQG131103 CAC131103 CJY131103 CTU131103 DDQ131103 DNM131103 DXI131103 EHE131103 ERA131103 FAW131103 FKS131103 FUO131103 GEK131103 GOG131103 GYC131103 HHY131103 HRU131103 IBQ131103 ILM131103 IVI131103 JFE131103 JPA131103 JYW131103 KIS131103 KSO131103 LCK131103 LMG131103 LWC131103 MFY131103 MPU131103 MZQ131103 NJM131103 NTI131103 ODE131103 ONA131103 OWW131103 PGS131103 PQO131103 QAK131103 QKG131103 QUC131103 RDY131103 RNU131103 RXQ131103 SHM131103 SRI131103 TBE131103 TLA131103 TUW131103 UES131103 UOO131103 UYK131103 VIG131103 VSC131103 WBY131103 WLU131103 WVQ131103 I196639 JE196639 TA196639 ACW196639 AMS196639 AWO196639 BGK196639 BQG196639 CAC196639 CJY196639 CTU196639 DDQ196639 DNM196639 DXI196639 EHE196639 ERA196639 FAW196639 FKS196639 FUO196639 GEK196639 GOG196639 GYC196639 HHY196639 HRU196639 IBQ196639 ILM196639 IVI196639 JFE196639 JPA196639 JYW196639 KIS196639 KSO196639 LCK196639 LMG196639 LWC196639 MFY196639 MPU196639 MZQ196639 NJM196639 NTI196639 ODE196639 ONA196639 OWW196639 PGS196639 PQO196639 QAK196639 QKG196639 QUC196639 RDY196639 RNU196639 RXQ196639 SHM196639 SRI196639 TBE196639 TLA196639 TUW196639 UES196639 UOO196639 UYK196639 VIG196639 VSC196639 WBY196639 WLU196639 WVQ196639 I262175 JE262175 TA262175 ACW262175 AMS262175 AWO262175 BGK262175 BQG262175 CAC262175 CJY262175 CTU262175 DDQ262175 DNM262175 DXI262175 EHE262175 ERA262175 FAW262175 FKS262175 FUO262175 GEK262175 GOG262175 GYC262175 HHY262175 HRU262175 IBQ262175 ILM262175 IVI262175 JFE262175 JPA262175 JYW262175 KIS262175 KSO262175 LCK262175 LMG262175 LWC262175 MFY262175 MPU262175 MZQ262175 NJM262175 NTI262175 ODE262175 ONA262175 OWW262175 PGS262175 PQO262175 QAK262175 QKG262175 QUC262175 RDY262175 RNU262175 RXQ262175 SHM262175 SRI262175 TBE262175 TLA262175 TUW262175 UES262175 UOO262175 UYK262175 VIG262175 VSC262175 WBY262175 WLU262175 WVQ262175 I327711 JE327711 TA327711 ACW327711 AMS327711 AWO327711 BGK327711 BQG327711 CAC327711 CJY327711 CTU327711 DDQ327711 DNM327711 DXI327711 EHE327711 ERA327711 FAW327711 FKS327711 FUO327711 GEK327711 GOG327711 GYC327711 HHY327711 HRU327711 IBQ327711 ILM327711 IVI327711 JFE327711 JPA327711 JYW327711 KIS327711 KSO327711 LCK327711 LMG327711 LWC327711 MFY327711 MPU327711 MZQ327711 NJM327711 NTI327711 ODE327711 ONA327711 OWW327711 PGS327711 PQO327711 QAK327711 QKG327711 QUC327711 RDY327711 RNU327711 RXQ327711 SHM327711 SRI327711 TBE327711 TLA327711 TUW327711 UES327711 UOO327711 UYK327711 VIG327711 VSC327711 WBY327711 WLU327711 WVQ327711 I393247 JE393247 TA393247 ACW393247 AMS393247 AWO393247 BGK393247 BQG393247 CAC393247 CJY393247 CTU393247 DDQ393247 DNM393247 DXI393247 EHE393247 ERA393247 FAW393247 FKS393247 FUO393247 GEK393247 GOG393247 GYC393247 HHY393247 HRU393247 IBQ393247 ILM393247 IVI393247 JFE393247 JPA393247 JYW393247 KIS393247 KSO393247 LCK393247 LMG393247 LWC393247 MFY393247 MPU393247 MZQ393247 NJM393247 NTI393247 ODE393247 ONA393247 OWW393247 PGS393247 PQO393247 QAK393247 QKG393247 QUC393247 RDY393247 RNU393247 RXQ393247 SHM393247 SRI393247 TBE393247 TLA393247 TUW393247 UES393247 UOO393247 UYK393247 VIG393247 VSC393247 WBY393247 WLU393247 WVQ393247 I458783 JE458783 TA458783 ACW458783 AMS458783 AWO458783 BGK458783 BQG458783 CAC458783 CJY458783 CTU458783 DDQ458783 DNM458783 DXI458783 EHE458783 ERA458783 FAW458783 FKS458783 FUO458783 GEK458783 GOG458783 GYC458783 HHY458783 HRU458783 IBQ458783 ILM458783 IVI458783 JFE458783 JPA458783 JYW458783 KIS458783 KSO458783 LCK458783 LMG458783 LWC458783 MFY458783 MPU458783 MZQ458783 NJM458783 NTI458783 ODE458783 ONA458783 OWW458783 PGS458783 PQO458783 QAK458783 QKG458783 QUC458783 RDY458783 RNU458783 RXQ458783 SHM458783 SRI458783 TBE458783 TLA458783 TUW458783 UES458783 UOO458783 UYK458783 VIG458783 VSC458783 WBY458783 WLU458783 WVQ458783 I524319 JE524319 TA524319 ACW524319 AMS524319 AWO524319 BGK524319 BQG524319 CAC524319 CJY524319 CTU524319 DDQ524319 DNM524319 DXI524319 EHE524319 ERA524319 FAW524319 FKS524319 FUO524319 GEK524319 GOG524319 GYC524319 HHY524319 HRU524319 IBQ524319 ILM524319 IVI524319 JFE524319 JPA524319 JYW524319 KIS524319 KSO524319 LCK524319 LMG524319 LWC524319 MFY524319 MPU524319 MZQ524319 NJM524319 NTI524319 ODE524319 ONA524319 OWW524319 PGS524319 PQO524319 QAK524319 QKG524319 QUC524319 RDY524319 RNU524319 RXQ524319 SHM524319 SRI524319 TBE524319 TLA524319 TUW524319 UES524319 UOO524319 UYK524319 VIG524319 VSC524319 WBY524319 WLU524319 WVQ524319 I589855 JE589855 TA589855 ACW589855 AMS589855 AWO589855 BGK589855 BQG589855 CAC589855 CJY589855 CTU589855 DDQ589855 DNM589855 DXI589855 EHE589855 ERA589855 FAW589855 FKS589855 FUO589855 GEK589855 GOG589855 GYC589855 HHY589855 HRU589855 IBQ589855 ILM589855 IVI589855 JFE589855 JPA589855 JYW589855 KIS589855 KSO589855 LCK589855 LMG589855 LWC589855 MFY589855 MPU589855 MZQ589855 NJM589855 NTI589855 ODE589855 ONA589855 OWW589855 PGS589855 PQO589855 QAK589855 QKG589855 QUC589855 RDY589855 RNU589855 RXQ589855 SHM589855 SRI589855 TBE589855 TLA589855 TUW589855 UES589855 UOO589855 UYK589855 VIG589855 VSC589855 WBY589855 WLU589855 WVQ589855 I655391 JE655391 TA655391 ACW655391 AMS655391 AWO655391 BGK655391 BQG655391 CAC655391 CJY655391 CTU655391 DDQ655391 DNM655391 DXI655391 EHE655391 ERA655391 FAW655391 FKS655391 FUO655391 GEK655391 GOG655391 GYC655391 HHY655391 HRU655391 IBQ655391 ILM655391 IVI655391 JFE655391 JPA655391 JYW655391 KIS655391 KSO655391 LCK655391 LMG655391 LWC655391 MFY655391 MPU655391 MZQ655391 NJM655391 NTI655391 ODE655391 ONA655391 OWW655391 PGS655391 PQO655391 QAK655391 QKG655391 QUC655391 RDY655391 RNU655391 RXQ655391 SHM655391 SRI655391 TBE655391 TLA655391 TUW655391 UES655391 UOO655391 UYK655391 VIG655391 VSC655391 WBY655391 WLU655391 WVQ655391 I720927 JE720927 TA720927 ACW720927 AMS720927 AWO720927 BGK720927 BQG720927 CAC720927 CJY720927 CTU720927 DDQ720927 DNM720927 DXI720927 EHE720927 ERA720927 FAW720927 FKS720927 FUO720927 GEK720927 GOG720927 GYC720927 HHY720927 HRU720927 IBQ720927 ILM720927 IVI720927 JFE720927 JPA720927 JYW720927 KIS720927 KSO720927 LCK720927 LMG720927 LWC720927 MFY720927 MPU720927 MZQ720927 NJM720927 NTI720927 ODE720927 ONA720927 OWW720927 PGS720927 PQO720927 QAK720927 QKG720927 QUC720927 RDY720927 RNU720927 RXQ720927 SHM720927 SRI720927 TBE720927 TLA720927 TUW720927 UES720927 UOO720927 UYK720927 VIG720927 VSC720927 WBY720927 WLU720927 WVQ720927 I786463 JE786463 TA786463 ACW786463 AMS786463 AWO786463 BGK786463 BQG786463 CAC786463 CJY786463 CTU786463 DDQ786463 DNM786463 DXI786463 EHE786463 ERA786463 FAW786463 FKS786463 FUO786463 GEK786463 GOG786463 GYC786463 HHY786463 HRU786463 IBQ786463 ILM786463 IVI786463 JFE786463 JPA786463 JYW786463 KIS786463 KSO786463 LCK786463 LMG786463 LWC786463 MFY786463 MPU786463 MZQ786463 NJM786463 NTI786463 ODE786463 ONA786463 OWW786463 PGS786463 PQO786463 QAK786463 QKG786463 QUC786463 RDY786463 RNU786463 RXQ786463 SHM786463 SRI786463 TBE786463 TLA786463 TUW786463 UES786463 UOO786463 UYK786463 VIG786463 VSC786463 WBY786463 WLU786463 WVQ786463 I851999 JE851999 TA851999 ACW851999 AMS851999 AWO851999 BGK851999 BQG851999 CAC851999 CJY851999 CTU851999 DDQ851999 DNM851999 DXI851999 EHE851999 ERA851999 FAW851999 FKS851999 FUO851999 GEK851999 GOG851999 GYC851999 HHY851999 HRU851999 IBQ851999 ILM851999 IVI851999 JFE851999 JPA851999 JYW851999 KIS851999 KSO851999 LCK851999 LMG851999 LWC851999 MFY851999 MPU851999 MZQ851999 NJM851999 NTI851999 ODE851999 ONA851999 OWW851999 PGS851999 PQO851999 QAK851999 QKG851999 QUC851999 RDY851999 RNU851999 RXQ851999 SHM851999 SRI851999 TBE851999 TLA851999 TUW851999 UES851999 UOO851999 UYK851999 VIG851999 VSC851999 WBY851999 WLU851999 WVQ851999 I917535 JE917535 TA917535 ACW917535 AMS917535 AWO917535 BGK917535 BQG917535 CAC917535 CJY917535 CTU917535 DDQ917535 DNM917535 DXI917535 EHE917535 ERA917535 FAW917535 FKS917535 FUO917535 GEK917535 GOG917535 GYC917535 HHY917535 HRU917535 IBQ917535 ILM917535 IVI917535 JFE917535 JPA917535 JYW917535 KIS917535 KSO917535 LCK917535 LMG917535 LWC917535 MFY917535 MPU917535 MZQ917535 NJM917535 NTI917535 ODE917535 ONA917535 OWW917535 PGS917535 PQO917535 QAK917535 QKG917535 QUC917535 RDY917535 RNU917535 RXQ917535 SHM917535 SRI917535 TBE917535 TLA917535 TUW917535 UES917535 UOO917535 UYK917535 VIG917535 VSC917535 WBY917535 WLU917535 WVQ917535 I983071 JE983071 TA983071 ACW983071 AMS983071 AWO983071 BGK983071 BQG983071 CAC983071 CJY983071 CTU983071 DDQ983071 DNM983071 DXI983071 EHE983071 ERA983071 FAW983071 FKS983071 FUO983071 GEK983071 GOG983071 GYC983071 HHY983071 HRU983071 IBQ983071 ILM983071 IVI983071 JFE983071 JPA983071 JYW983071 KIS983071 KSO983071 LCK983071 LMG983071 LWC983071 MFY983071 MPU983071 MZQ983071 NJM983071 NTI983071 ODE983071 ONA983071 OWW983071 PGS983071 PQO983071 QAK983071 QKG983071 QUC983071 RDY983071 RNU983071 RXQ983071 SHM983071 SRI983071 TBE983071 TLA983071 TUW983071 UES983071 UOO983071 UYK983071 VIG983071 VSC983071 WBY983071 WLU983071 WVQ983071 I31 JE31 TA31 ACW31 AMS31 AWO31 BGK31 BQG31 CAC31 CJY31 CTU31 DDQ31 DNM31 DXI31 EHE31 ERA31 FAW31 FKS31 FUO31 GEK31 GOG31 GYC31 HHY31 HRU31 IBQ31 ILM31 IVI31 JFE31 JPA31 JYW31 KIS31 KSO31 LCK31 LMG31 LWC31 MFY31 MPU31 MZQ31 NJM31 NTI31 ODE31 ONA31 OWW31 PGS31 PQO31 QAK31 QKG31 QUC31 RDY31 RNU31 RXQ31 SHM31 SRI31 TBE31 TLA31 TUW31 UES31 UOO31 UYK31 VIG31 VSC31 WBY31 WLU31 WVQ31 I65571 JE65571 TA65571 ACW65571 AMS65571 AWO65571 BGK65571 BQG65571 CAC65571 CJY65571 CTU65571 DDQ65571 DNM65571 DXI65571 EHE65571 ERA65571 FAW65571 FKS65571 FUO65571 GEK65571 GOG65571 GYC65571 HHY65571 HRU65571 IBQ65571 ILM65571 IVI65571 JFE65571 JPA65571 JYW65571 KIS65571 KSO65571 LCK65571 LMG65571 LWC65571 MFY65571 MPU65571 MZQ65571 NJM65571 NTI65571 ODE65571 ONA65571 OWW65571 PGS65571 PQO65571 QAK65571 QKG65571 QUC65571 RDY65571 RNU65571 RXQ65571 SHM65571 SRI65571 TBE65571 TLA65571 TUW65571 UES65571 UOO65571 UYK65571 VIG65571 VSC65571 WBY65571 WLU65571 WVQ65571 I131107 JE131107 TA131107 ACW131107 AMS131107 AWO131107 BGK131107 BQG131107 CAC131107 CJY131107 CTU131107 DDQ131107 DNM131107 DXI131107 EHE131107 ERA131107 FAW131107 FKS131107 FUO131107 GEK131107 GOG131107 GYC131107 HHY131107 HRU131107 IBQ131107 ILM131107 IVI131107 JFE131107 JPA131107 JYW131107 KIS131107 KSO131107 LCK131107 LMG131107 LWC131107 MFY131107 MPU131107 MZQ131107 NJM131107 NTI131107 ODE131107 ONA131107 OWW131107 PGS131107 PQO131107 QAK131107 QKG131107 QUC131107 RDY131107 RNU131107 RXQ131107 SHM131107 SRI131107 TBE131107 TLA131107 TUW131107 UES131107 UOO131107 UYK131107 VIG131107 VSC131107 WBY131107 WLU131107 WVQ131107 I196643 JE196643 TA196643 ACW196643 AMS196643 AWO196643 BGK196643 BQG196643 CAC196643 CJY196643 CTU196643 DDQ196643 DNM196643 DXI196643 EHE196643 ERA196643 FAW196643 FKS196643 FUO196643 GEK196643 GOG196643 GYC196643 HHY196643 HRU196643 IBQ196643 ILM196643 IVI196643 JFE196643 JPA196643 JYW196643 KIS196643 KSO196643 LCK196643 LMG196643 LWC196643 MFY196643 MPU196643 MZQ196643 NJM196643 NTI196643 ODE196643 ONA196643 OWW196643 PGS196643 PQO196643 QAK196643 QKG196643 QUC196643 RDY196643 RNU196643 RXQ196643 SHM196643 SRI196643 TBE196643 TLA196643 TUW196643 UES196643 UOO196643 UYK196643 VIG196643 VSC196643 WBY196643 WLU196643 WVQ196643 I262179 JE262179 TA262179 ACW262179 AMS262179 AWO262179 BGK262179 BQG262179 CAC262179 CJY262179 CTU262179 DDQ262179 DNM262179 DXI262179 EHE262179 ERA262179 FAW262179 FKS262179 FUO262179 GEK262179 GOG262179 GYC262179 HHY262179 HRU262179 IBQ262179 ILM262179 IVI262179 JFE262179 JPA262179 JYW262179 KIS262179 KSO262179 LCK262179 LMG262179 LWC262179 MFY262179 MPU262179 MZQ262179 NJM262179 NTI262179 ODE262179 ONA262179 OWW262179 PGS262179 PQO262179 QAK262179 QKG262179 QUC262179 RDY262179 RNU262179 RXQ262179 SHM262179 SRI262179 TBE262179 TLA262179 TUW262179 UES262179 UOO262179 UYK262179 VIG262179 VSC262179 WBY262179 WLU262179 WVQ262179 I327715 JE327715 TA327715 ACW327715 AMS327715 AWO327715 BGK327715 BQG327715 CAC327715 CJY327715 CTU327715 DDQ327715 DNM327715 DXI327715 EHE327715 ERA327715 FAW327715 FKS327715 FUO327715 GEK327715 GOG327715 GYC327715 HHY327715 HRU327715 IBQ327715 ILM327715 IVI327715 JFE327715 JPA327715 JYW327715 KIS327715 KSO327715 LCK327715 LMG327715 LWC327715 MFY327715 MPU327715 MZQ327715 NJM327715 NTI327715 ODE327715 ONA327715 OWW327715 PGS327715 PQO327715 QAK327715 QKG327715 QUC327715 RDY327715 RNU327715 RXQ327715 SHM327715 SRI327715 TBE327715 TLA327715 TUW327715 UES327715 UOO327715 UYK327715 VIG327715 VSC327715 WBY327715 WLU327715 WVQ327715 I393251 JE393251 TA393251 ACW393251 AMS393251 AWO393251 BGK393251 BQG393251 CAC393251 CJY393251 CTU393251 DDQ393251 DNM393251 DXI393251 EHE393251 ERA393251 FAW393251 FKS393251 FUO393251 GEK393251 GOG393251 GYC393251 HHY393251 HRU393251 IBQ393251 ILM393251 IVI393251 JFE393251 JPA393251 JYW393251 KIS393251 KSO393251 LCK393251 LMG393251 LWC393251 MFY393251 MPU393251 MZQ393251 NJM393251 NTI393251 ODE393251 ONA393251 OWW393251 PGS393251 PQO393251 QAK393251 QKG393251 QUC393251 RDY393251 RNU393251 RXQ393251 SHM393251 SRI393251 TBE393251 TLA393251 TUW393251 UES393251 UOO393251 UYK393251 VIG393251 VSC393251 WBY393251 WLU393251 WVQ393251 I458787 JE458787 TA458787 ACW458787 AMS458787 AWO458787 BGK458787 BQG458787 CAC458787 CJY458787 CTU458787 DDQ458787 DNM458787 DXI458787 EHE458787 ERA458787 FAW458787 FKS458787 FUO458787 GEK458787 GOG458787 GYC458787 HHY458787 HRU458787 IBQ458787 ILM458787 IVI458787 JFE458787 JPA458787 JYW458787 KIS458787 KSO458787 LCK458787 LMG458787 LWC458787 MFY458787 MPU458787 MZQ458787 NJM458787 NTI458787 ODE458787 ONA458787 OWW458787 PGS458787 PQO458787 QAK458787 QKG458787 QUC458787 RDY458787 RNU458787 RXQ458787 SHM458787 SRI458787 TBE458787 TLA458787 TUW458787 UES458787 UOO458787 UYK458787 VIG458787 VSC458787 WBY458787 WLU458787 WVQ458787 I524323 JE524323 TA524323 ACW524323 AMS524323 AWO524323 BGK524323 BQG524323 CAC524323 CJY524323 CTU524323 DDQ524323 DNM524323 DXI524323 EHE524323 ERA524323 FAW524323 FKS524323 FUO524323 GEK524323 GOG524323 GYC524323 HHY524323 HRU524323 IBQ524323 ILM524323 IVI524323 JFE524323 JPA524323 JYW524323 KIS524323 KSO524323 LCK524323 LMG524323 LWC524323 MFY524323 MPU524323 MZQ524323 NJM524323 NTI524323 ODE524323 ONA524323 OWW524323 PGS524323 PQO524323 QAK524323 QKG524323 QUC524323 RDY524323 RNU524323 RXQ524323 SHM524323 SRI524323 TBE524323 TLA524323 TUW524323 UES524323 UOO524323 UYK524323 VIG524323 VSC524323 WBY524323 WLU524323 WVQ524323 I589859 JE589859 TA589859 ACW589859 AMS589859 AWO589859 BGK589859 BQG589859 CAC589859 CJY589859 CTU589859 DDQ589859 DNM589859 DXI589859 EHE589859 ERA589859 FAW589859 FKS589859 FUO589859 GEK589859 GOG589859 GYC589859 HHY589859 HRU589859 IBQ589859 ILM589859 IVI589859 JFE589859 JPA589859 JYW589859 KIS589859 KSO589859 LCK589859 LMG589859 LWC589859 MFY589859 MPU589859 MZQ589859 NJM589859 NTI589859 ODE589859 ONA589859 OWW589859 PGS589859 PQO589859 QAK589859 QKG589859 QUC589859 RDY589859 RNU589859 RXQ589859 SHM589859 SRI589859 TBE589859 TLA589859 TUW589859 UES589859 UOO589859 UYK589859 VIG589859 VSC589859 WBY589859 WLU589859 WVQ589859 I655395 JE655395 TA655395 ACW655395 AMS655395 AWO655395 BGK655395 BQG655395 CAC655395 CJY655395 CTU655395 DDQ655395 DNM655395 DXI655395 EHE655395 ERA655395 FAW655395 FKS655395 FUO655395 GEK655395 GOG655395 GYC655395 HHY655395 HRU655395 IBQ655395 ILM655395 IVI655395 JFE655395 JPA655395 JYW655395 KIS655395 KSO655395 LCK655395 LMG655395 LWC655395 MFY655395 MPU655395 MZQ655395 NJM655395 NTI655395 ODE655395 ONA655395 OWW655395 PGS655395 PQO655395 QAK655395 QKG655395 QUC655395 RDY655395 RNU655395 RXQ655395 SHM655395 SRI655395 TBE655395 TLA655395 TUW655395 UES655395 UOO655395 UYK655395 VIG655395 VSC655395 WBY655395 WLU655395 WVQ655395 I720931 JE720931 TA720931 ACW720931 AMS720931 AWO720931 BGK720931 BQG720931 CAC720931 CJY720931 CTU720931 DDQ720931 DNM720931 DXI720931 EHE720931 ERA720931 FAW720931 FKS720931 FUO720931 GEK720931 GOG720931 GYC720931 HHY720931 HRU720931 IBQ720931 ILM720931 IVI720931 JFE720931 JPA720931 JYW720931 KIS720931 KSO720931 LCK720931 LMG720931 LWC720931 MFY720931 MPU720931 MZQ720931 NJM720931 NTI720931 ODE720931 ONA720931 OWW720931 PGS720931 PQO720931 QAK720931 QKG720931 QUC720931 RDY720931 RNU720931 RXQ720931 SHM720931 SRI720931 TBE720931 TLA720931 TUW720931 UES720931 UOO720931 UYK720931 VIG720931 VSC720931 WBY720931 WLU720931 WVQ720931 I786467 JE786467 TA786467 ACW786467 AMS786467 AWO786467 BGK786467 BQG786467 CAC786467 CJY786467 CTU786467 DDQ786467 DNM786467 DXI786467 EHE786467 ERA786467 FAW786467 FKS786467 FUO786467 GEK786467 GOG786467 GYC786467 HHY786467 HRU786467 IBQ786467 ILM786467 IVI786467 JFE786467 JPA786467 JYW786467 KIS786467 KSO786467 LCK786467 LMG786467 LWC786467 MFY786467 MPU786467 MZQ786467 NJM786467 NTI786467 ODE786467 ONA786467 OWW786467 PGS786467 PQO786467 QAK786467 QKG786467 QUC786467 RDY786467 RNU786467 RXQ786467 SHM786467 SRI786467 TBE786467 TLA786467 TUW786467 UES786467 UOO786467 UYK786467 VIG786467 VSC786467 WBY786467 WLU786467 WVQ786467 I852003 JE852003 TA852003 ACW852003 AMS852003 AWO852003 BGK852003 BQG852003 CAC852003 CJY852003 CTU852003 DDQ852003 DNM852003 DXI852003 EHE852003 ERA852003 FAW852003 FKS852003 FUO852003 GEK852003 GOG852003 GYC852003 HHY852003 HRU852003 IBQ852003 ILM852003 IVI852003 JFE852003 JPA852003 JYW852003 KIS852003 KSO852003 LCK852003 LMG852003 LWC852003 MFY852003 MPU852003 MZQ852003 NJM852003 NTI852003 ODE852003 ONA852003 OWW852003 PGS852003 PQO852003 QAK852003 QKG852003 QUC852003 RDY852003 RNU852003 RXQ852003 SHM852003 SRI852003 TBE852003 TLA852003 TUW852003 UES852003 UOO852003 UYK852003 VIG852003 VSC852003 WBY852003 WLU852003 WVQ852003 I917539 JE917539 TA917539 ACW917539 AMS917539 AWO917539 BGK917539 BQG917539 CAC917539 CJY917539 CTU917539 DDQ917539 DNM917539 DXI917539 EHE917539 ERA917539 FAW917539 FKS917539 FUO917539 GEK917539 GOG917539 GYC917539 HHY917539 HRU917539 IBQ917539 ILM917539 IVI917539 JFE917539 JPA917539 JYW917539 KIS917539 KSO917539 LCK917539 LMG917539 LWC917539 MFY917539 MPU917539 MZQ917539 NJM917539 NTI917539 ODE917539 ONA917539 OWW917539 PGS917539 PQO917539 QAK917539 QKG917539 QUC917539 RDY917539 RNU917539 RXQ917539 SHM917539 SRI917539 TBE917539 TLA917539 TUW917539 UES917539 UOO917539 UYK917539 VIG917539 VSC917539 WBY917539 WLU917539 WVQ917539 I983075 JE983075 TA983075 ACW983075 AMS983075 AWO983075 BGK983075 BQG983075 CAC983075 CJY983075 CTU983075 DDQ983075 DNM983075 DXI983075 EHE983075 ERA983075 FAW983075 FKS983075 FUO983075 GEK983075 GOG983075 GYC983075 HHY983075 HRU983075 IBQ983075 ILM983075 IVI983075 JFE983075 JPA983075 JYW983075 KIS983075 KSO983075 LCK983075 LMG983075 LWC983075 MFY983075 MPU983075 MZQ983075 NJM983075 NTI983075 ODE983075 ONA983075 OWW983075 PGS983075 PQO983075 QAK983075 QKG983075 QUC983075 RDY983075 RNU983075 RXQ983075 SHM983075 SRI983075 TBE983075 TLA983075 TUW983075 UES983075 UOO983075 UYK983075 VIG983075 VSC983075 WBY983075 WLU983075 WVQ983075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UYK983078 VIG983078 VSC983078 WBY983078 WLU983078 WVQ983078 I34 I37">
      <formula1>$X$49:$X$50</formula1>
    </dataValidation>
    <dataValidation type="list" allowBlank="1" showInputMessage="1" showErrorMessage="1" sqref="WWN983052:WWN983079 TX8:TX39 ADT8:ADT39 ANP8:ANP39 AXL8:AXL39 BHH8:BHH39 BRD8:BRD39 CAZ8:CAZ39 CKV8:CKV39 CUR8:CUR39 DEN8:DEN39 DOJ8:DOJ39 DYF8:DYF39 EIB8:EIB39 ERX8:ERX39 FBT8:FBT39 FLP8:FLP39 FVL8:FVL39 GFH8:GFH39 GPD8:GPD39 GYZ8:GYZ39 HIV8:HIV39 HSR8:HSR39 ICN8:ICN39 IMJ8:IMJ39 IWF8:IWF39 JGB8:JGB39 JPX8:JPX39 JZT8:JZT39 KJP8:KJP39 KTL8:KTL39 LDH8:LDH39 LND8:LND39 LWZ8:LWZ39 MGV8:MGV39 MQR8:MQR39 NAN8:NAN39 NKJ8:NKJ39 NUF8:NUF39 OEB8:OEB39 ONX8:ONX39 OXT8:OXT39 PHP8:PHP39 PRL8:PRL39 QBH8:QBH39 QLD8:QLD39 QUZ8:QUZ39 REV8:REV39 ROR8:ROR39 RYN8:RYN39 SIJ8:SIJ39 SSF8:SSF39 TCB8:TCB39 TLX8:TLX39 TVT8:TVT39 UFP8:UFP39 UPL8:UPL39 UZH8:UZH39 VJD8:VJD39 VSZ8:VSZ39 WCV8:WCV39 WMR8:WMR39 WWN8:WWN39 AF8:AF39 AF65548:AF65575 KB65548:KB65575 TX65548:TX65575 ADT65548:ADT65575 ANP65548:ANP65575 AXL65548:AXL65575 BHH65548:BHH65575 BRD65548:BRD65575 CAZ65548:CAZ65575 CKV65548:CKV65575 CUR65548:CUR65575 DEN65548:DEN65575 DOJ65548:DOJ65575 DYF65548:DYF65575 EIB65548:EIB65575 ERX65548:ERX65575 FBT65548:FBT65575 FLP65548:FLP65575 FVL65548:FVL65575 GFH65548:GFH65575 GPD65548:GPD65575 GYZ65548:GYZ65575 HIV65548:HIV65575 HSR65548:HSR65575 ICN65548:ICN65575 IMJ65548:IMJ65575 IWF65548:IWF65575 JGB65548:JGB65575 JPX65548:JPX65575 JZT65548:JZT65575 KJP65548:KJP65575 KTL65548:KTL65575 LDH65548:LDH65575 LND65548:LND65575 LWZ65548:LWZ65575 MGV65548:MGV65575 MQR65548:MQR65575 NAN65548:NAN65575 NKJ65548:NKJ65575 NUF65548:NUF65575 OEB65548:OEB65575 ONX65548:ONX65575 OXT65548:OXT65575 PHP65548:PHP65575 PRL65548:PRL65575 QBH65548:QBH65575 QLD65548:QLD65575 QUZ65548:QUZ65575 REV65548:REV65575 ROR65548:ROR65575 RYN65548:RYN65575 SIJ65548:SIJ65575 SSF65548:SSF65575 TCB65548:TCB65575 TLX65548:TLX65575 TVT65548:TVT65575 UFP65548:UFP65575 UPL65548:UPL65575 UZH65548:UZH65575 VJD65548:VJD65575 VSZ65548:VSZ65575 WCV65548:WCV65575 WMR65548:WMR65575 WWN65548:WWN65575 AF131084:AF131111 KB131084:KB131111 TX131084:TX131111 ADT131084:ADT131111 ANP131084:ANP131111 AXL131084:AXL131111 BHH131084:BHH131111 BRD131084:BRD131111 CAZ131084:CAZ131111 CKV131084:CKV131111 CUR131084:CUR131111 DEN131084:DEN131111 DOJ131084:DOJ131111 DYF131084:DYF131111 EIB131084:EIB131111 ERX131084:ERX131111 FBT131084:FBT131111 FLP131084:FLP131111 FVL131084:FVL131111 GFH131084:GFH131111 GPD131084:GPD131111 GYZ131084:GYZ131111 HIV131084:HIV131111 HSR131084:HSR131111 ICN131084:ICN131111 IMJ131084:IMJ131111 IWF131084:IWF131111 JGB131084:JGB131111 JPX131084:JPX131111 JZT131084:JZT131111 KJP131084:KJP131111 KTL131084:KTL131111 LDH131084:LDH131111 LND131084:LND131111 LWZ131084:LWZ131111 MGV131084:MGV131111 MQR131084:MQR131111 NAN131084:NAN131111 NKJ131084:NKJ131111 NUF131084:NUF131111 OEB131084:OEB131111 ONX131084:ONX131111 OXT131084:OXT131111 PHP131084:PHP131111 PRL131084:PRL131111 QBH131084:QBH131111 QLD131084:QLD131111 QUZ131084:QUZ131111 REV131084:REV131111 ROR131084:ROR131111 RYN131084:RYN131111 SIJ131084:SIJ131111 SSF131084:SSF131111 TCB131084:TCB131111 TLX131084:TLX131111 TVT131084:TVT131111 UFP131084:UFP131111 UPL131084:UPL131111 UZH131084:UZH131111 VJD131084:VJD131111 VSZ131084:VSZ131111 WCV131084:WCV131111 WMR131084:WMR131111 WWN131084:WWN131111 AF196620:AF196647 KB196620:KB196647 TX196620:TX196647 ADT196620:ADT196647 ANP196620:ANP196647 AXL196620:AXL196647 BHH196620:BHH196647 BRD196620:BRD196647 CAZ196620:CAZ196647 CKV196620:CKV196647 CUR196620:CUR196647 DEN196620:DEN196647 DOJ196620:DOJ196647 DYF196620:DYF196647 EIB196620:EIB196647 ERX196620:ERX196647 FBT196620:FBT196647 FLP196620:FLP196647 FVL196620:FVL196647 GFH196620:GFH196647 GPD196620:GPD196647 GYZ196620:GYZ196647 HIV196620:HIV196647 HSR196620:HSR196647 ICN196620:ICN196647 IMJ196620:IMJ196647 IWF196620:IWF196647 JGB196620:JGB196647 JPX196620:JPX196647 JZT196620:JZT196647 KJP196620:KJP196647 KTL196620:KTL196647 LDH196620:LDH196647 LND196620:LND196647 LWZ196620:LWZ196647 MGV196620:MGV196647 MQR196620:MQR196647 NAN196620:NAN196647 NKJ196620:NKJ196647 NUF196620:NUF196647 OEB196620:OEB196647 ONX196620:ONX196647 OXT196620:OXT196647 PHP196620:PHP196647 PRL196620:PRL196647 QBH196620:QBH196647 QLD196620:QLD196647 QUZ196620:QUZ196647 REV196620:REV196647 ROR196620:ROR196647 RYN196620:RYN196647 SIJ196620:SIJ196647 SSF196620:SSF196647 TCB196620:TCB196647 TLX196620:TLX196647 TVT196620:TVT196647 UFP196620:UFP196647 UPL196620:UPL196647 UZH196620:UZH196647 VJD196620:VJD196647 VSZ196620:VSZ196647 WCV196620:WCV196647 WMR196620:WMR196647 WWN196620:WWN196647 AF262156:AF262183 KB262156:KB262183 TX262156:TX262183 ADT262156:ADT262183 ANP262156:ANP262183 AXL262156:AXL262183 BHH262156:BHH262183 BRD262156:BRD262183 CAZ262156:CAZ262183 CKV262156:CKV262183 CUR262156:CUR262183 DEN262156:DEN262183 DOJ262156:DOJ262183 DYF262156:DYF262183 EIB262156:EIB262183 ERX262156:ERX262183 FBT262156:FBT262183 FLP262156:FLP262183 FVL262156:FVL262183 GFH262156:GFH262183 GPD262156:GPD262183 GYZ262156:GYZ262183 HIV262156:HIV262183 HSR262156:HSR262183 ICN262156:ICN262183 IMJ262156:IMJ262183 IWF262156:IWF262183 JGB262156:JGB262183 JPX262156:JPX262183 JZT262156:JZT262183 KJP262156:KJP262183 KTL262156:KTL262183 LDH262156:LDH262183 LND262156:LND262183 LWZ262156:LWZ262183 MGV262156:MGV262183 MQR262156:MQR262183 NAN262156:NAN262183 NKJ262156:NKJ262183 NUF262156:NUF262183 OEB262156:OEB262183 ONX262156:ONX262183 OXT262156:OXT262183 PHP262156:PHP262183 PRL262156:PRL262183 QBH262156:QBH262183 QLD262156:QLD262183 QUZ262156:QUZ262183 REV262156:REV262183 ROR262156:ROR262183 RYN262156:RYN262183 SIJ262156:SIJ262183 SSF262156:SSF262183 TCB262156:TCB262183 TLX262156:TLX262183 TVT262156:TVT262183 UFP262156:UFP262183 UPL262156:UPL262183 UZH262156:UZH262183 VJD262156:VJD262183 VSZ262156:VSZ262183 WCV262156:WCV262183 WMR262156:WMR262183 WWN262156:WWN262183 AF327692:AF327719 KB327692:KB327719 TX327692:TX327719 ADT327692:ADT327719 ANP327692:ANP327719 AXL327692:AXL327719 BHH327692:BHH327719 BRD327692:BRD327719 CAZ327692:CAZ327719 CKV327692:CKV327719 CUR327692:CUR327719 DEN327692:DEN327719 DOJ327692:DOJ327719 DYF327692:DYF327719 EIB327692:EIB327719 ERX327692:ERX327719 FBT327692:FBT327719 FLP327692:FLP327719 FVL327692:FVL327719 GFH327692:GFH327719 GPD327692:GPD327719 GYZ327692:GYZ327719 HIV327692:HIV327719 HSR327692:HSR327719 ICN327692:ICN327719 IMJ327692:IMJ327719 IWF327692:IWF327719 JGB327692:JGB327719 JPX327692:JPX327719 JZT327692:JZT327719 KJP327692:KJP327719 KTL327692:KTL327719 LDH327692:LDH327719 LND327692:LND327719 LWZ327692:LWZ327719 MGV327692:MGV327719 MQR327692:MQR327719 NAN327692:NAN327719 NKJ327692:NKJ327719 NUF327692:NUF327719 OEB327692:OEB327719 ONX327692:ONX327719 OXT327692:OXT327719 PHP327692:PHP327719 PRL327692:PRL327719 QBH327692:QBH327719 QLD327692:QLD327719 QUZ327692:QUZ327719 REV327692:REV327719 ROR327692:ROR327719 RYN327692:RYN327719 SIJ327692:SIJ327719 SSF327692:SSF327719 TCB327692:TCB327719 TLX327692:TLX327719 TVT327692:TVT327719 UFP327692:UFP327719 UPL327692:UPL327719 UZH327692:UZH327719 VJD327692:VJD327719 VSZ327692:VSZ327719 WCV327692:WCV327719 WMR327692:WMR327719 WWN327692:WWN327719 AF393228:AF393255 KB393228:KB393255 TX393228:TX393255 ADT393228:ADT393255 ANP393228:ANP393255 AXL393228:AXL393255 BHH393228:BHH393255 BRD393228:BRD393255 CAZ393228:CAZ393255 CKV393228:CKV393255 CUR393228:CUR393255 DEN393228:DEN393255 DOJ393228:DOJ393255 DYF393228:DYF393255 EIB393228:EIB393255 ERX393228:ERX393255 FBT393228:FBT393255 FLP393228:FLP393255 FVL393228:FVL393255 GFH393228:GFH393255 GPD393228:GPD393255 GYZ393228:GYZ393255 HIV393228:HIV393255 HSR393228:HSR393255 ICN393228:ICN393255 IMJ393228:IMJ393255 IWF393228:IWF393255 JGB393228:JGB393255 JPX393228:JPX393255 JZT393228:JZT393255 KJP393228:KJP393255 KTL393228:KTL393255 LDH393228:LDH393255 LND393228:LND393255 LWZ393228:LWZ393255 MGV393228:MGV393255 MQR393228:MQR393255 NAN393228:NAN393255 NKJ393228:NKJ393255 NUF393228:NUF393255 OEB393228:OEB393255 ONX393228:ONX393255 OXT393228:OXT393255 PHP393228:PHP393255 PRL393228:PRL393255 QBH393228:QBH393255 QLD393228:QLD393255 QUZ393228:QUZ393255 REV393228:REV393255 ROR393228:ROR393255 RYN393228:RYN393255 SIJ393228:SIJ393255 SSF393228:SSF393255 TCB393228:TCB393255 TLX393228:TLX393255 TVT393228:TVT393255 UFP393228:UFP393255 UPL393228:UPL393255 UZH393228:UZH393255 VJD393228:VJD393255 VSZ393228:VSZ393255 WCV393228:WCV393255 WMR393228:WMR393255 WWN393228:WWN393255 AF458764:AF458791 KB458764:KB458791 TX458764:TX458791 ADT458764:ADT458791 ANP458764:ANP458791 AXL458764:AXL458791 BHH458764:BHH458791 BRD458764:BRD458791 CAZ458764:CAZ458791 CKV458764:CKV458791 CUR458764:CUR458791 DEN458764:DEN458791 DOJ458764:DOJ458791 DYF458764:DYF458791 EIB458764:EIB458791 ERX458764:ERX458791 FBT458764:FBT458791 FLP458764:FLP458791 FVL458764:FVL458791 GFH458764:GFH458791 GPD458764:GPD458791 GYZ458764:GYZ458791 HIV458764:HIV458791 HSR458764:HSR458791 ICN458764:ICN458791 IMJ458764:IMJ458791 IWF458764:IWF458791 JGB458764:JGB458791 JPX458764:JPX458791 JZT458764:JZT458791 KJP458764:KJP458791 KTL458764:KTL458791 LDH458764:LDH458791 LND458764:LND458791 LWZ458764:LWZ458791 MGV458764:MGV458791 MQR458764:MQR458791 NAN458764:NAN458791 NKJ458764:NKJ458791 NUF458764:NUF458791 OEB458764:OEB458791 ONX458764:ONX458791 OXT458764:OXT458791 PHP458764:PHP458791 PRL458764:PRL458791 QBH458764:QBH458791 QLD458764:QLD458791 QUZ458764:QUZ458791 REV458764:REV458791 ROR458764:ROR458791 RYN458764:RYN458791 SIJ458764:SIJ458791 SSF458764:SSF458791 TCB458764:TCB458791 TLX458764:TLX458791 TVT458764:TVT458791 UFP458764:UFP458791 UPL458764:UPL458791 UZH458764:UZH458791 VJD458764:VJD458791 VSZ458764:VSZ458791 WCV458764:WCV458791 WMR458764:WMR458791 WWN458764:WWN458791 AF524300:AF524327 KB524300:KB524327 TX524300:TX524327 ADT524300:ADT524327 ANP524300:ANP524327 AXL524300:AXL524327 BHH524300:BHH524327 BRD524300:BRD524327 CAZ524300:CAZ524327 CKV524300:CKV524327 CUR524300:CUR524327 DEN524300:DEN524327 DOJ524300:DOJ524327 DYF524300:DYF524327 EIB524300:EIB524327 ERX524300:ERX524327 FBT524300:FBT524327 FLP524300:FLP524327 FVL524300:FVL524327 GFH524300:GFH524327 GPD524300:GPD524327 GYZ524300:GYZ524327 HIV524300:HIV524327 HSR524300:HSR524327 ICN524300:ICN524327 IMJ524300:IMJ524327 IWF524300:IWF524327 JGB524300:JGB524327 JPX524300:JPX524327 JZT524300:JZT524327 KJP524300:KJP524327 KTL524300:KTL524327 LDH524300:LDH524327 LND524300:LND524327 LWZ524300:LWZ524327 MGV524300:MGV524327 MQR524300:MQR524327 NAN524300:NAN524327 NKJ524300:NKJ524327 NUF524300:NUF524327 OEB524300:OEB524327 ONX524300:ONX524327 OXT524300:OXT524327 PHP524300:PHP524327 PRL524300:PRL524327 QBH524300:QBH524327 QLD524300:QLD524327 QUZ524300:QUZ524327 REV524300:REV524327 ROR524300:ROR524327 RYN524300:RYN524327 SIJ524300:SIJ524327 SSF524300:SSF524327 TCB524300:TCB524327 TLX524300:TLX524327 TVT524300:TVT524327 UFP524300:UFP524327 UPL524300:UPL524327 UZH524300:UZH524327 VJD524300:VJD524327 VSZ524300:VSZ524327 WCV524300:WCV524327 WMR524300:WMR524327 WWN524300:WWN524327 AF589836:AF589863 KB589836:KB589863 TX589836:TX589863 ADT589836:ADT589863 ANP589836:ANP589863 AXL589836:AXL589863 BHH589836:BHH589863 BRD589836:BRD589863 CAZ589836:CAZ589863 CKV589836:CKV589863 CUR589836:CUR589863 DEN589836:DEN589863 DOJ589836:DOJ589863 DYF589836:DYF589863 EIB589836:EIB589863 ERX589836:ERX589863 FBT589836:FBT589863 FLP589836:FLP589863 FVL589836:FVL589863 GFH589836:GFH589863 GPD589836:GPD589863 GYZ589836:GYZ589863 HIV589836:HIV589863 HSR589836:HSR589863 ICN589836:ICN589863 IMJ589836:IMJ589863 IWF589836:IWF589863 JGB589836:JGB589863 JPX589836:JPX589863 JZT589836:JZT589863 KJP589836:KJP589863 KTL589836:KTL589863 LDH589836:LDH589863 LND589836:LND589863 LWZ589836:LWZ589863 MGV589836:MGV589863 MQR589836:MQR589863 NAN589836:NAN589863 NKJ589836:NKJ589863 NUF589836:NUF589863 OEB589836:OEB589863 ONX589836:ONX589863 OXT589836:OXT589863 PHP589836:PHP589863 PRL589836:PRL589863 QBH589836:QBH589863 QLD589836:QLD589863 QUZ589836:QUZ589863 REV589836:REV589863 ROR589836:ROR589863 RYN589836:RYN589863 SIJ589836:SIJ589863 SSF589836:SSF589863 TCB589836:TCB589863 TLX589836:TLX589863 TVT589836:TVT589863 UFP589836:UFP589863 UPL589836:UPL589863 UZH589836:UZH589863 VJD589836:VJD589863 VSZ589836:VSZ589863 WCV589836:WCV589863 WMR589836:WMR589863 WWN589836:WWN589863 AF655372:AF655399 KB655372:KB655399 TX655372:TX655399 ADT655372:ADT655399 ANP655372:ANP655399 AXL655372:AXL655399 BHH655372:BHH655399 BRD655372:BRD655399 CAZ655372:CAZ655399 CKV655372:CKV655399 CUR655372:CUR655399 DEN655372:DEN655399 DOJ655372:DOJ655399 DYF655372:DYF655399 EIB655372:EIB655399 ERX655372:ERX655399 FBT655372:FBT655399 FLP655372:FLP655399 FVL655372:FVL655399 GFH655372:GFH655399 GPD655372:GPD655399 GYZ655372:GYZ655399 HIV655372:HIV655399 HSR655372:HSR655399 ICN655372:ICN655399 IMJ655372:IMJ655399 IWF655372:IWF655399 JGB655372:JGB655399 JPX655372:JPX655399 JZT655372:JZT655399 KJP655372:KJP655399 KTL655372:KTL655399 LDH655372:LDH655399 LND655372:LND655399 LWZ655372:LWZ655399 MGV655372:MGV655399 MQR655372:MQR655399 NAN655372:NAN655399 NKJ655372:NKJ655399 NUF655372:NUF655399 OEB655372:OEB655399 ONX655372:ONX655399 OXT655372:OXT655399 PHP655372:PHP655399 PRL655372:PRL655399 QBH655372:QBH655399 QLD655372:QLD655399 QUZ655372:QUZ655399 REV655372:REV655399 ROR655372:ROR655399 RYN655372:RYN655399 SIJ655372:SIJ655399 SSF655372:SSF655399 TCB655372:TCB655399 TLX655372:TLX655399 TVT655372:TVT655399 UFP655372:UFP655399 UPL655372:UPL655399 UZH655372:UZH655399 VJD655372:VJD655399 VSZ655372:VSZ655399 WCV655372:WCV655399 WMR655372:WMR655399 WWN655372:WWN655399 AF720908:AF720935 KB720908:KB720935 TX720908:TX720935 ADT720908:ADT720935 ANP720908:ANP720935 AXL720908:AXL720935 BHH720908:BHH720935 BRD720908:BRD720935 CAZ720908:CAZ720935 CKV720908:CKV720935 CUR720908:CUR720935 DEN720908:DEN720935 DOJ720908:DOJ720935 DYF720908:DYF720935 EIB720908:EIB720935 ERX720908:ERX720935 FBT720908:FBT720935 FLP720908:FLP720935 FVL720908:FVL720935 GFH720908:GFH720935 GPD720908:GPD720935 GYZ720908:GYZ720935 HIV720908:HIV720935 HSR720908:HSR720935 ICN720908:ICN720935 IMJ720908:IMJ720935 IWF720908:IWF720935 JGB720908:JGB720935 JPX720908:JPX720935 JZT720908:JZT720935 KJP720908:KJP720935 KTL720908:KTL720935 LDH720908:LDH720935 LND720908:LND720935 LWZ720908:LWZ720935 MGV720908:MGV720935 MQR720908:MQR720935 NAN720908:NAN720935 NKJ720908:NKJ720935 NUF720908:NUF720935 OEB720908:OEB720935 ONX720908:ONX720935 OXT720908:OXT720935 PHP720908:PHP720935 PRL720908:PRL720935 QBH720908:QBH720935 QLD720908:QLD720935 QUZ720908:QUZ720935 REV720908:REV720935 ROR720908:ROR720935 RYN720908:RYN720935 SIJ720908:SIJ720935 SSF720908:SSF720935 TCB720908:TCB720935 TLX720908:TLX720935 TVT720908:TVT720935 UFP720908:UFP720935 UPL720908:UPL720935 UZH720908:UZH720935 VJD720908:VJD720935 VSZ720908:VSZ720935 WCV720908:WCV720935 WMR720908:WMR720935 WWN720908:WWN720935 AF786444:AF786471 KB786444:KB786471 TX786444:TX786471 ADT786444:ADT786471 ANP786444:ANP786471 AXL786444:AXL786471 BHH786444:BHH786471 BRD786444:BRD786471 CAZ786444:CAZ786471 CKV786444:CKV786471 CUR786444:CUR786471 DEN786444:DEN786471 DOJ786444:DOJ786471 DYF786444:DYF786471 EIB786444:EIB786471 ERX786444:ERX786471 FBT786444:FBT786471 FLP786444:FLP786471 FVL786444:FVL786471 GFH786444:GFH786471 GPD786444:GPD786471 GYZ786444:GYZ786471 HIV786444:HIV786471 HSR786444:HSR786471 ICN786444:ICN786471 IMJ786444:IMJ786471 IWF786444:IWF786471 JGB786444:JGB786471 JPX786444:JPX786471 JZT786444:JZT786471 KJP786444:KJP786471 KTL786444:KTL786471 LDH786444:LDH786471 LND786444:LND786471 LWZ786444:LWZ786471 MGV786444:MGV786471 MQR786444:MQR786471 NAN786444:NAN786471 NKJ786444:NKJ786471 NUF786444:NUF786471 OEB786444:OEB786471 ONX786444:ONX786471 OXT786444:OXT786471 PHP786444:PHP786471 PRL786444:PRL786471 QBH786444:QBH786471 QLD786444:QLD786471 QUZ786444:QUZ786471 REV786444:REV786471 ROR786444:ROR786471 RYN786444:RYN786471 SIJ786444:SIJ786471 SSF786444:SSF786471 TCB786444:TCB786471 TLX786444:TLX786471 TVT786444:TVT786471 UFP786444:UFP786471 UPL786444:UPL786471 UZH786444:UZH786471 VJD786444:VJD786471 VSZ786444:VSZ786471 WCV786444:WCV786471 WMR786444:WMR786471 WWN786444:WWN786471 AF851980:AF852007 KB851980:KB852007 TX851980:TX852007 ADT851980:ADT852007 ANP851980:ANP852007 AXL851980:AXL852007 BHH851980:BHH852007 BRD851980:BRD852007 CAZ851980:CAZ852007 CKV851980:CKV852007 CUR851980:CUR852007 DEN851980:DEN852007 DOJ851980:DOJ852007 DYF851980:DYF852007 EIB851980:EIB852007 ERX851980:ERX852007 FBT851980:FBT852007 FLP851980:FLP852007 FVL851980:FVL852007 GFH851980:GFH852007 GPD851980:GPD852007 GYZ851980:GYZ852007 HIV851980:HIV852007 HSR851980:HSR852007 ICN851980:ICN852007 IMJ851980:IMJ852007 IWF851980:IWF852007 JGB851980:JGB852007 JPX851980:JPX852007 JZT851980:JZT852007 KJP851980:KJP852007 KTL851980:KTL852007 LDH851980:LDH852007 LND851980:LND852007 LWZ851980:LWZ852007 MGV851980:MGV852007 MQR851980:MQR852007 NAN851980:NAN852007 NKJ851980:NKJ852007 NUF851980:NUF852007 OEB851980:OEB852007 ONX851980:ONX852007 OXT851980:OXT852007 PHP851980:PHP852007 PRL851980:PRL852007 QBH851980:QBH852007 QLD851980:QLD852007 QUZ851980:QUZ852007 REV851980:REV852007 ROR851980:ROR852007 RYN851980:RYN852007 SIJ851980:SIJ852007 SSF851980:SSF852007 TCB851980:TCB852007 TLX851980:TLX852007 TVT851980:TVT852007 UFP851980:UFP852007 UPL851980:UPL852007 UZH851980:UZH852007 VJD851980:VJD852007 VSZ851980:VSZ852007 WCV851980:WCV852007 WMR851980:WMR852007 WWN851980:WWN852007 AF917516:AF917543 KB917516:KB917543 TX917516:TX917543 ADT917516:ADT917543 ANP917516:ANP917543 AXL917516:AXL917543 BHH917516:BHH917543 BRD917516:BRD917543 CAZ917516:CAZ917543 CKV917516:CKV917543 CUR917516:CUR917543 DEN917516:DEN917543 DOJ917516:DOJ917543 DYF917516:DYF917543 EIB917516:EIB917543 ERX917516:ERX917543 FBT917516:FBT917543 FLP917516:FLP917543 FVL917516:FVL917543 GFH917516:GFH917543 GPD917516:GPD917543 GYZ917516:GYZ917543 HIV917516:HIV917543 HSR917516:HSR917543 ICN917516:ICN917543 IMJ917516:IMJ917543 IWF917516:IWF917543 JGB917516:JGB917543 JPX917516:JPX917543 JZT917516:JZT917543 KJP917516:KJP917543 KTL917516:KTL917543 LDH917516:LDH917543 LND917516:LND917543 LWZ917516:LWZ917543 MGV917516:MGV917543 MQR917516:MQR917543 NAN917516:NAN917543 NKJ917516:NKJ917543 NUF917516:NUF917543 OEB917516:OEB917543 ONX917516:ONX917543 OXT917516:OXT917543 PHP917516:PHP917543 PRL917516:PRL917543 QBH917516:QBH917543 QLD917516:QLD917543 QUZ917516:QUZ917543 REV917516:REV917543 ROR917516:ROR917543 RYN917516:RYN917543 SIJ917516:SIJ917543 SSF917516:SSF917543 TCB917516:TCB917543 TLX917516:TLX917543 TVT917516:TVT917543 UFP917516:UFP917543 UPL917516:UPL917543 UZH917516:UZH917543 VJD917516:VJD917543 VSZ917516:VSZ917543 WCV917516:WCV917543 WMR917516:WMR917543 WWN917516:WWN917543 AF983052:AF983079 KB983052:KB983079 TX983052:TX983079 ADT983052:ADT983079 ANP983052:ANP983079 AXL983052:AXL983079 BHH983052:BHH983079 BRD983052:BRD983079 CAZ983052:CAZ983079 CKV983052:CKV983079 CUR983052:CUR983079 DEN983052:DEN983079 DOJ983052:DOJ983079 DYF983052:DYF983079 EIB983052:EIB983079 ERX983052:ERX983079 FBT983052:FBT983079 FLP983052:FLP983079 FVL983052:FVL983079 GFH983052:GFH983079 GPD983052:GPD983079 GYZ983052:GYZ983079 HIV983052:HIV983079 HSR983052:HSR983079 ICN983052:ICN983079 IMJ983052:IMJ983079 IWF983052:IWF983079 JGB983052:JGB983079 JPX983052:JPX983079 JZT983052:JZT983079 KJP983052:KJP983079 KTL983052:KTL983079 LDH983052:LDH983079 LND983052:LND983079 LWZ983052:LWZ983079 MGV983052:MGV983079 MQR983052:MQR983079 NAN983052:NAN983079 NKJ983052:NKJ983079 NUF983052:NUF983079 OEB983052:OEB983079 ONX983052:ONX983079 OXT983052:OXT983079 PHP983052:PHP983079 PRL983052:PRL983079 QBH983052:QBH983079 QLD983052:QLD983079 QUZ983052:QUZ983079 REV983052:REV983079 ROR983052:ROR983079 RYN983052:RYN983079 SIJ983052:SIJ983079 SSF983052:SSF983079 TCB983052:TCB983079 TLX983052:TLX983079 TVT983052:TVT983079 UFP983052:UFP983079 UPL983052:UPL983079 UZH983052:UZH983079 VJD983052:VJD983079 VSZ983052:VSZ983079 WCV983052:WCV983079 WMR983052:WMR983079 KB8:KB39">
      <formula1>$AJ$1:$AJ$4</formula1>
    </dataValidation>
    <dataValidation type="list" allowBlank="1" showInputMessage="1" showErrorMessage="1" sqref="WWM983052 KA8 TW8 ADS8 ANO8 AXK8 BHG8 BRC8 CAY8 CKU8 CUQ8 DEM8 DOI8 DYE8 EIA8 ERW8 FBS8 FLO8 FVK8 GFG8 GPC8 GYY8 HIU8 HSQ8 ICM8 IMI8 IWE8 JGA8 JPW8 JZS8 KJO8 KTK8 LDG8 LNC8 LWY8 MGU8 MQQ8 NAM8 NKI8 NUE8 OEA8 ONW8 OXS8 PHO8 PRK8 QBG8 QLC8 QUY8 REU8 ROQ8 RYM8 SII8 SSE8 TCA8 TLW8 TVS8 UFO8 UPK8 UZG8 VJC8 VSY8 WCU8 WMQ8 WWM8 AE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AE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AE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AE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AE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AE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AE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AE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AE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AE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AE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AE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AE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AE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AE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AE8:AE39">
      <formula1>$B$49:$B$51</formula1>
    </dataValidation>
    <dataValidation type="list" allowBlank="1" showInputMessage="1" showErrorMessage="1" sqref="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5 JD65555 SZ65555 ACV65555 AMR65555 AWN65555 BGJ65555 BQF65555 CAB65555 CJX65555 CTT65555 DDP65555 DNL65555 DXH65555 EHD65555 EQZ65555 FAV65555 FKR65555 FUN65555 GEJ65555 GOF65555 GYB65555 HHX65555 HRT65555 IBP65555 ILL65555 IVH65555 JFD65555 JOZ65555 JYV65555 KIR65555 KSN65555 LCJ65555 LMF65555 LWB65555 MFX65555 MPT65555 MZP65555 NJL65555 NTH65555 ODD65555 OMZ65555 OWV65555 PGR65555 PQN65555 QAJ65555 QKF65555 QUB65555 RDX65555 RNT65555 RXP65555 SHL65555 SRH65555 TBD65555 TKZ65555 TUV65555 UER65555 UON65555 UYJ65555 VIF65555 VSB65555 WBX65555 WLT65555 WVP65555 H131091 JD131091 SZ131091 ACV131091 AMR131091 AWN131091 BGJ131091 BQF131091 CAB131091 CJX131091 CTT131091 DDP131091 DNL131091 DXH131091 EHD131091 EQZ131091 FAV131091 FKR131091 FUN131091 GEJ131091 GOF131091 GYB131091 HHX131091 HRT131091 IBP131091 ILL131091 IVH131091 JFD131091 JOZ131091 JYV131091 KIR131091 KSN131091 LCJ131091 LMF131091 LWB131091 MFX131091 MPT131091 MZP131091 NJL131091 NTH131091 ODD131091 OMZ131091 OWV131091 PGR131091 PQN131091 QAJ131091 QKF131091 QUB131091 RDX131091 RNT131091 RXP131091 SHL131091 SRH131091 TBD131091 TKZ131091 TUV131091 UER131091 UON131091 UYJ131091 VIF131091 VSB131091 WBX131091 WLT131091 WVP131091 H196627 JD196627 SZ196627 ACV196627 AMR196627 AWN196627 BGJ196627 BQF196627 CAB196627 CJX196627 CTT196627 DDP196627 DNL196627 DXH196627 EHD196627 EQZ196627 FAV196627 FKR196627 FUN196627 GEJ196627 GOF196627 GYB196627 HHX196627 HRT196627 IBP196627 ILL196627 IVH196627 JFD196627 JOZ196627 JYV196627 KIR196627 KSN196627 LCJ196627 LMF196627 LWB196627 MFX196627 MPT196627 MZP196627 NJL196627 NTH196627 ODD196627 OMZ196627 OWV196627 PGR196627 PQN196627 QAJ196627 QKF196627 QUB196627 RDX196627 RNT196627 RXP196627 SHL196627 SRH196627 TBD196627 TKZ196627 TUV196627 UER196627 UON196627 UYJ196627 VIF196627 VSB196627 WBX196627 WLT196627 WVP196627 H262163 JD262163 SZ262163 ACV262163 AMR262163 AWN262163 BGJ262163 BQF262163 CAB262163 CJX262163 CTT262163 DDP262163 DNL262163 DXH262163 EHD262163 EQZ262163 FAV262163 FKR262163 FUN262163 GEJ262163 GOF262163 GYB262163 HHX262163 HRT262163 IBP262163 ILL262163 IVH262163 JFD262163 JOZ262163 JYV262163 KIR262163 KSN262163 LCJ262163 LMF262163 LWB262163 MFX262163 MPT262163 MZP262163 NJL262163 NTH262163 ODD262163 OMZ262163 OWV262163 PGR262163 PQN262163 QAJ262163 QKF262163 QUB262163 RDX262163 RNT262163 RXP262163 SHL262163 SRH262163 TBD262163 TKZ262163 TUV262163 UER262163 UON262163 UYJ262163 VIF262163 VSB262163 WBX262163 WLT262163 WVP262163 H327699 JD327699 SZ327699 ACV327699 AMR327699 AWN327699 BGJ327699 BQF327699 CAB327699 CJX327699 CTT327699 DDP327699 DNL327699 DXH327699 EHD327699 EQZ327699 FAV327699 FKR327699 FUN327699 GEJ327699 GOF327699 GYB327699 HHX327699 HRT327699 IBP327699 ILL327699 IVH327699 JFD327699 JOZ327699 JYV327699 KIR327699 KSN327699 LCJ327699 LMF327699 LWB327699 MFX327699 MPT327699 MZP327699 NJL327699 NTH327699 ODD327699 OMZ327699 OWV327699 PGR327699 PQN327699 QAJ327699 QKF327699 QUB327699 RDX327699 RNT327699 RXP327699 SHL327699 SRH327699 TBD327699 TKZ327699 TUV327699 UER327699 UON327699 UYJ327699 VIF327699 VSB327699 WBX327699 WLT327699 WVP327699 H393235 JD393235 SZ393235 ACV393235 AMR393235 AWN393235 BGJ393235 BQF393235 CAB393235 CJX393235 CTT393235 DDP393235 DNL393235 DXH393235 EHD393235 EQZ393235 FAV393235 FKR393235 FUN393235 GEJ393235 GOF393235 GYB393235 HHX393235 HRT393235 IBP393235 ILL393235 IVH393235 JFD393235 JOZ393235 JYV393235 KIR393235 KSN393235 LCJ393235 LMF393235 LWB393235 MFX393235 MPT393235 MZP393235 NJL393235 NTH393235 ODD393235 OMZ393235 OWV393235 PGR393235 PQN393235 QAJ393235 QKF393235 QUB393235 RDX393235 RNT393235 RXP393235 SHL393235 SRH393235 TBD393235 TKZ393235 TUV393235 UER393235 UON393235 UYJ393235 VIF393235 VSB393235 WBX393235 WLT393235 WVP393235 H458771 JD458771 SZ458771 ACV458771 AMR458771 AWN458771 BGJ458771 BQF458771 CAB458771 CJX458771 CTT458771 DDP458771 DNL458771 DXH458771 EHD458771 EQZ458771 FAV458771 FKR458771 FUN458771 GEJ458771 GOF458771 GYB458771 HHX458771 HRT458771 IBP458771 ILL458771 IVH458771 JFD458771 JOZ458771 JYV458771 KIR458771 KSN458771 LCJ458771 LMF458771 LWB458771 MFX458771 MPT458771 MZP458771 NJL458771 NTH458771 ODD458771 OMZ458771 OWV458771 PGR458771 PQN458771 QAJ458771 QKF458771 QUB458771 RDX458771 RNT458771 RXP458771 SHL458771 SRH458771 TBD458771 TKZ458771 TUV458771 UER458771 UON458771 UYJ458771 VIF458771 VSB458771 WBX458771 WLT458771 WVP458771 H524307 JD524307 SZ524307 ACV524307 AMR524307 AWN524307 BGJ524307 BQF524307 CAB524307 CJX524307 CTT524307 DDP524307 DNL524307 DXH524307 EHD524307 EQZ524307 FAV524307 FKR524307 FUN524307 GEJ524307 GOF524307 GYB524307 HHX524307 HRT524307 IBP524307 ILL524307 IVH524307 JFD524307 JOZ524307 JYV524307 KIR524307 KSN524307 LCJ524307 LMF524307 LWB524307 MFX524307 MPT524307 MZP524307 NJL524307 NTH524307 ODD524307 OMZ524307 OWV524307 PGR524307 PQN524307 QAJ524307 QKF524307 QUB524307 RDX524307 RNT524307 RXP524307 SHL524307 SRH524307 TBD524307 TKZ524307 TUV524307 UER524307 UON524307 UYJ524307 VIF524307 VSB524307 WBX524307 WLT524307 WVP524307 H589843 JD589843 SZ589843 ACV589843 AMR589843 AWN589843 BGJ589843 BQF589843 CAB589843 CJX589843 CTT589843 DDP589843 DNL589843 DXH589843 EHD589843 EQZ589843 FAV589843 FKR589843 FUN589843 GEJ589843 GOF589843 GYB589843 HHX589843 HRT589843 IBP589843 ILL589843 IVH589843 JFD589843 JOZ589843 JYV589843 KIR589843 KSN589843 LCJ589843 LMF589843 LWB589843 MFX589843 MPT589843 MZP589843 NJL589843 NTH589843 ODD589843 OMZ589843 OWV589843 PGR589843 PQN589843 QAJ589843 QKF589843 QUB589843 RDX589843 RNT589843 RXP589843 SHL589843 SRH589843 TBD589843 TKZ589843 TUV589843 UER589843 UON589843 UYJ589843 VIF589843 VSB589843 WBX589843 WLT589843 WVP589843 H655379 JD655379 SZ655379 ACV655379 AMR655379 AWN655379 BGJ655379 BQF655379 CAB655379 CJX655379 CTT655379 DDP655379 DNL655379 DXH655379 EHD655379 EQZ655379 FAV655379 FKR655379 FUN655379 GEJ655379 GOF655379 GYB655379 HHX655379 HRT655379 IBP655379 ILL655379 IVH655379 JFD655379 JOZ655379 JYV655379 KIR655379 KSN655379 LCJ655379 LMF655379 LWB655379 MFX655379 MPT655379 MZP655379 NJL655379 NTH655379 ODD655379 OMZ655379 OWV655379 PGR655379 PQN655379 QAJ655379 QKF655379 QUB655379 RDX655379 RNT655379 RXP655379 SHL655379 SRH655379 TBD655379 TKZ655379 TUV655379 UER655379 UON655379 UYJ655379 VIF655379 VSB655379 WBX655379 WLT655379 WVP655379 H720915 JD720915 SZ720915 ACV720915 AMR720915 AWN720915 BGJ720915 BQF720915 CAB720915 CJX720915 CTT720915 DDP720915 DNL720915 DXH720915 EHD720915 EQZ720915 FAV720915 FKR720915 FUN720915 GEJ720915 GOF720915 GYB720915 HHX720915 HRT720915 IBP720915 ILL720915 IVH720915 JFD720915 JOZ720915 JYV720915 KIR720915 KSN720915 LCJ720915 LMF720915 LWB720915 MFX720915 MPT720915 MZP720915 NJL720915 NTH720915 ODD720915 OMZ720915 OWV720915 PGR720915 PQN720915 QAJ720915 QKF720915 QUB720915 RDX720915 RNT720915 RXP720915 SHL720915 SRH720915 TBD720915 TKZ720915 TUV720915 UER720915 UON720915 UYJ720915 VIF720915 VSB720915 WBX720915 WLT720915 WVP720915 H786451 JD786451 SZ786451 ACV786451 AMR786451 AWN786451 BGJ786451 BQF786451 CAB786451 CJX786451 CTT786451 DDP786451 DNL786451 DXH786451 EHD786451 EQZ786451 FAV786451 FKR786451 FUN786451 GEJ786451 GOF786451 GYB786451 HHX786451 HRT786451 IBP786451 ILL786451 IVH786451 JFD786451 JOZ786451 JYV786451 KIR786451 KSN786451 LCJ786451 LMF786451 LWB786451 MFX786451 MPT786451 MZP786451 NJL786451 NTH786451 ODD786451 OMZ786451 OWV786451 PGR786451 PQN786451 QAJ786451 QKF786451 QUB786451 RDX786451 RNT786451 RXP786451 SHL786451 SRH786451 TBD786451 TKZ786451 TUV786451 UER786451 UON786451 UYJ786451 VIF786451 VSB786451 WBX786451 WLT786451 WVP786451 H851987 JD851987 SZ851987 ACV851987 AMR851987 AWN851987 BGJ851987 BQF851987 CAB851987 CJX851987 CTT851987 DDP851987 DNL851987 DXH851987 EHD851987 EQZ851987 FAV851987 FKR851987 FUN851987 GEJ851987 GOF851987 GYB851987 HHX851987 HRT851987 IBP851987 ILL851987 IVH851987 JFD851987 JOZ851987 JYV851987 KIR851987 KSN851987 LCJ851987 LMF851987 LWB851987 MFX851987 MPT851987 MZP851987 NJL851987 NTH851987 ODD851987 OMZ851987 OWV851987 PGR851987 PQN851987 QAJ851987 QKF851987 QUB851987 RDX851987 RNT851987 RXP851987 SHL851987 SRH851987 TBD851987 TKZ851987 TUV851987 UER851987 UON851987 UYJ851987 VIF851987 VSB851987 WBX851987 WLT851987 WVP851987 H917523 JD917523 SZ917523 ACV917523 AMR917523 AWN917523 BGJ917523 BQF917523 CAB917523 CJX917523 CTT917523 DDP917523 DNL917523 DXH917523 EHD917523 EQZ917523 FAV917523 FKR917523 FUN917523 GEJ917523 GOF917523 GYB917523 HHX917523 HRT917523 IBP917523 ILL917523 IVH917523 JFD917523 JOZ917523 JYV917523 KIR917523 KSN917523 LCJ917523 LMF917523 LWB917523 MFX917523 MPT917523 MZP917523 NJL917523 NTH917523 ODD917523 OMZ917523 OWV917523 PGR917523 PQN917523 QAJ917523 QKF917523 QUB917523 RDX917523 RNT917523 RXP917523 SHL917523 SRH917523 TBD917523 TKZ917523 TUV917523 UER917523 UON917523 UYJ917523 VIF917523 VSB917523 WBX917523 WLT917523 WVP917523 H983059 JD983059 SZ983059 ACV983059 AMR983059 AWN983059 BGJ983059 BQF983059 CAB983059 CJX983059 CTT983059 DDP983059 DNL983059 DXH983059 EHD983059 EQZ983059 FAV983059 FKR983059 FUN983059 GEJ983059 GOF983059 GYB983059 HHX983059 HRT983059 IBP983059 ILL983059 IVH983059 JFD983059 JOZ983059 JYV983059 KIR983059 KSN983059 LCJ983059 LMF983059 LWB983059 MFX983059 MPT983059 MZP983059 NJL983059 NTH983059 ODD983059 OMZ983059 OWV983059 PGR983059 PQN983059 QAJ983059 QKF983059 QUB983059 RDX983059 RNT983059 RXP983059 SHL983059 SRH983059 TBD983059 TKZ983059 TUV983059 UER983059 UON983059 UYJ983059 VIF983059 VSB983059 WBX983059 WLT983059 WVP983059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H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H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H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H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H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H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H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H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H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H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H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H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H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H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H27 JD27 SZ27 ACV27 AMR27 AWN27 BGJ27 BQF27 CAB27 CJX27 CTT27 DDP27 DNL27 DXH27 EHD27 EQZ27 FAV27 FKR27 FUN27 GEJ27 GOF27 GYB27 HHX27 HRT27 IBP27 ILL27 IVH27 JFD27 JOZ27 JYV27 KIR27 KSN27 LCJ27 LMF27 LWB27 MFX27 MPT27 MZP27 NJL27 NTH27 ODD27 OMZ27 OWV27 PGR27 PQN27 QAJ27 QKF27 QUB27 RDX27 RNT27 RXP27 SHL27 SRH27 TBD27 TKZ27 TUV27 UER27 UON27 UYJ27 VIF27 VSB27 WBX27 WLT27 WVP27 H65567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H131103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H196639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H262175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H327711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H393247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H458783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H524319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H589855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H655391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H720927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H786463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H851999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H917535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H983071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H31 JD31 SZ31 ACV31 AMR31 AWN31 BGJ31 BQF31 CAB31 CJX31 CTT31 DDP31 DNL31 DXH31 EHD31 EQZ31 FAV31 FKR31 FUN31 GEJ31 GOF31 GYB31 HHX31 HRT31 IBP31 ILL31 IVH31 JFD31 JOZ31 JYV31 KIR31 KSN31 LCJ31 LMF31 LWB31 MFX31 MPT31 MZP31 NJL31 NTH31 ODD31 OMZ31 OWV31 PGR31 PQN31 QAJ31 QKF31 QUB31 RDX31 RNT31 RXP31 SHL31 SRH31 TBD31 TKZ31 TUV31 UER31 UON31 UYJ31 VIF31 VSB31 WBX31 WLT31 WVP31 H65571 JD65571 SZ65571 ACV65571 AMR65571 AWN65571 BGJ65571 BQF65571 CAB65571 CJX65571 CTT65571 DDP65571 DNL65571 DXH65571 EHD65571 EQZ65571 FAV65571 FKR65571 FUN65571 GEJ65571 GOF65571 GYB65571 HHX65571 HRT65571 IBP65571 ILL65571 IVH65571 JFD65571 JOZ65571 JYV65571 KIR65571 KSN65571 LCJ65571 LMF65571 LWB65571 MFX65571 MPT65571 MZP65571 NJL65571 NTH65571 ODD65571 OMZ65571 OWV65571 PGR65571 PQN65571 QAJ65571 QKF65571 QUB65571 RDX65571 RNT65571 RXP65571 SHL65571 SRH65571 TBD65571 TKZ65571 TUV65571 UER65571 UON65571 UYJ65571 VIF65571 VSB65571 WBX65571 WLT65571 WVP65571 H131107 JD131107 SZ131107 ACV131107 AMR131107 AWN131107 BGJ131107 BQF131107 CAB131107 CJX131107 CTT131107 DDP131107 DNL131107 DXH131107 EHD131107 EQZ131107 FAV131107 FKR131107 FUN131107 GEJ131107 GOF131107 GYB131107 HHX131107 HRT131107 IBP131107 ILL131107 IVH131107 JFD131107 JOZ131107 JYV131107 KIR131107 KSN131107 LCJ131107 LMF131107 LWB131107 MFX131107 MPT131107 MZP131107 NJL131107 NTH131107 ODD131107 OMZ131107 OWV131107 PGR131107 PQN131107 QAJ131107 QKF131107 QUB131107 RDX131107 RNT131107 RXP131107 SHL131107 SRH131107 TBD131107 TKZ131107 TUV131107 UER131107 UON131107 UYJ131107 VIF131107 VSB131107 WBX131107 WLT131107 WVP131107 H196643 JD196643 SZ196643 ACV196643 AMR196643 AWN196643 BGJ196643 BQF196643 CAB196643 CJX196643 CTT196643 DDP196643 DNL196643 DXH196643 EHD196643 EQZ196643 FAV196643 FKR196643 FUN196643 GEJ196643 GOF196643 GYB196643 HHX196643 HRT196643 IBP196643 ILL196643 IVH196643 JFD196643 JOZ196643 JYV196643 KIR196643 KSN196643 LCJ196643 LMF196643 LWB196643 MFX196643 MPT196643 MZP196643 NJL196643 NTH196643 ODD196643 OMZ196643 OWV196643 PGR196643 PQN196643 QAJ196643 QKF196643 QUB196643 RDX196643 RNT196643 RXP196643 SHL196643 SRH196643 TBD196643 TKZ196643 TUV196643 UER196643 UON196643 UYJ196643 VIF196643 VSB196643 WBX196643 WLT196643 WVP196643 H262179 JD262179 SZ262179 ACV262179 AMR262179 AWN262179 BGJ262179 BQF262179 CAB262179 CJX262179 CTT262179 DDP262179 DNL262179 DXH262179 EHD262179 EQZ262179 FAV262179 FKR262179 FUN262179 GEJ262179 GOF262179 GYB262179 HHX262179 HRT262179 IBP262179 ILL262179 IVH262179 JFD262179 JOZ262179 JYV262179 KIR262179 KSN262179 LCJ262179 LMF262179 LWB262179 MFX262179 MPT262179 MZP262179 NJL262179 NTH262179 ODD262179 OMZ262179 OWV262179 PGR262179 PQN262179 QAJ262179 QKF262179 QUB262179 RDX262179 RNT262179 RXP262179 SHL262179 SRH262179 TBD262179 TKZ262179 TUV262179 UER262179 UON262179 UYJ262179 VIF262179 VSB262179 WBX262179 WLT262179 WVP262179 H327715 JD327715 SZ327715 ACV327715 AMR327715 AWN327715 BGJ327715 BQF327715 CAB327715 CJX327715 CTT327715 DDP327715 DNL327715 DXH327715 EHD327715 EQZ327715 FAV327715 FKR327715 FUN327715 GEJ327715 GOF327715 GYB327715 HHX327715 HRT327715 IBP327715 ILL327715 IVH327715 JFD327715 JOZ327715 JYV327715 KIR327715 KSN327715 LCJ327715 LMF327715 LWB327715 MFX327715 MPT327715 MZP327715 NJL327715 NTH327715 ODD327715 OMZ327715 OWV327715 PGR327715 PQN327715 QAJ327715 QKF327715 QUB327715 RDX327715 RNT327715 RXP327715 SHL327715 SRH327715 TBD327715 TKZ327715 TUV327715 UER327715 UON327715 UYJ327715 VIF327715 VSB327715 WBX327715 WLT327715 WVP327715 H393251 JD393251 SZ393251 ACV393251 AMR393251 AWN393251 BGJ393251 BQF393251 CAB393251 CJX393251 CTT393251 DDP393251 DNL393251 DXH393251 EHD393251 EQZ393251 FAV393251 FKR393251 FUN393251 GEJ393251 GOF393251 GYB393251 HHX393251 HRT393251 IBP393251 ILL393251 IVH393251 JFD393251 JOZ393251 JYV393251 KIR393251 KSN393251 LCJ393251 LMF393251 LWB393251 MFX393251 MPT393251 MZP393251 NJL393251 NTH393251 ODD393251 OMZ393251 OWV393251 PGR393251 PQN393251 QAJ393251 QKF393251 QUB393251 RDX393251 RNT393251 RXP393251 SHL393251 SRH393251 TBD393251 TKZ393251 TUV393251 UER393251 UON393251 UYJ393251 VIF393251 VSB393251 WBX393251 WLT393251 WVP393251 H458787 JD458787 SZ458787 ACV458787 AMR458787 AWN458787 BGJ458787 BQF458787 CAB458787 CJX458787 CTT458787 DDP458787 DNL458787 DXH458787 EHD458787 EQZ458787 FAV458787 FKR458787 FUN458787 GEJ458787 GOF458787 GYB458787 HHX458787 HRT458787 IBP458787 ILL458787 IVH458787 JFD458787 JOZ458787 JYV458787 KIR458787 KSN458787 LCJ458787 LMF458787 LWB458787 MFX458787 MPT458787 MZP458787 NJL458787 NTH458787 ODD458787 OMZ458787 OWV458787 PGR458787 PQN458787 QAJ458787 QKF458787 QUB458787 RDX458787 RNT458787 RXP458787 SHL458787 SRH458787 TBD458787 TKZ458787 TUV458787 UER458787 UON458787 UYJ458787 VIF458787 VSB458787 WBX458787 WLT458787 WVP458787 H524323 JD524323 SZ524323 ACV524323 AMR524323 AWN524323 BGJ524323 BQF524323 CAB524323 CJX524323 CTT524323 DDP524323 DNL524323 DXH524323 EHD524323 EQZ524323 FAV524323 FKR524323 FUN524323 GEJ524323 GOF524323 GYB524323 HHX524323 HRT524323 IBP524323 ILL524323 IVH524323 JFD524323 JOZ524323 JYV524323 KIR524323 KSN524323 LCJ524323 LMF524323 LWB524323 MFX524323 MPT524323 MZP524323 NJL524323 NTH524323 ODD524323 OMZ524323 OWV524323 PGR524323 PQN524323 QAJ524323 QKF524323 QUB524323 RDX524323 RNT524323 RXP524323 SHL524323 SRH524323 TBD524323 TKZ524323 TUV524323 UER524323 UON524323 UYJ524323 VIF524323 VSB524323 WBX524323 WLT524323 WVP524323 H589859 JD589859 SZ589859 ACV589859 AMR589859 AWN589859 BGJ589859 BQF589859 CAB589859 CJX589859 CTT589859 DDP589859 DNL589859 DXH589859 EHD589859 EQZ589859 FAV589859 FKR589859 FUN589859 GEJ589859 GOF589859 GYB589859 HHX589859 HRT589859 IBP589859 ILL589859 IVH589859 JFD589859 JOZ589859 JYV589859 KIR589859 KSN589859 LCJ589859 LMF589859 LWB589859 MFX589859 MPT589859 MZP589859 NJL589859 NTH589859 ODD589859 OMZ589859 OWV589859 PGR589859 PQN589859 QAJ589859 QKF589859 QUB589859 RDX589859 RNT589859 RXP589859 SHL589859 SRH589859 TBD589859 TKZ589859 TUV589859 UER589859 UON589859 UYJ589859 VIF589859 VSB589859 WBX589859 WLT589859 WVP589859 H655395 JD655395 SZ655395 ACV655395 AMR655395 AWN655395 BGJ655395 BQF655395 CAB655395 CJX655395 CTT655395 DDP655395 DNL655395 DXH655395 EHD655395 EQZ655395 FAV655395 FKR655395 FUN655395 GEJ655395 GOF655395 GYB655395 HHX655395 HRT655395 IBP655395 ILL655395 IVH655395 JFD655395 JOZ655395 JYV655395 KIR655395 KSN655395 LCJ655395 LMF655395 LWB655395 MFX655395 MPT655395 MZP655395 NJL655395 NTH655395 ODD655395 OMZ655395 OWV655395 PGR655395 PQN655395 QAJ655395 QKF655395 QUB655395 RDX655395 RNT655395 RXP655395 SHL655395 SRH655395 TBD655395 TKZ655395 TUV655395 UER655395 UON655395 UYJ655395 VIF655395 VSB655395 WBX655395 WLT655395 WVP655395 H720931 JD720931 SZ720931 ACV720931 AMR720931 AWN720931 BGJ720931 BQF720931 CAB720931 CJX720931 CTT720931 DDP720931 DNL720931 DXH720931 EHD720931 EQZ720931 FAV720931 FKR720931 FUN720931 GEJ720931 GOF720931 GYB720931 HHX720931 HRT720931 IBP720931 ILL720931 IVH720931 JFD720931 JOZ720931 JYV720931 KIR720931 KSN720931 LCJ720931 LMF720931 LWB720931 MFX720931 MPT720931 MZP720931 NJL720931 NTH720931 ODD720931 OMZ720931 OWV720931 PGR720931 PQN720931 QAJ720931 QKF720931 QUB720931 RDX720931 RNT720931 RXP720931 SHL720931 SRH720931 TBD720931 TKZ720931 TUV720931 UER720931 UON720931 UYJ720931 VIF720931 VSB720931 WBX720931 WLT720931 WVP720931 H786467 JD786467 SZ786467 ACV786467 AMR786467 AWN786467 BGJ786467 BQF786467 CAB786467 CJX786467 CTT786467 DDP786467 DNL786467 DXH786467 EHD786467 EQZ786467 FAV786467 FKR786467 FUN786467 GEJ786467 GOF786467 GYB786467 HHX786467 HRT786467 IBP786467 ILL786467 IVH786467 JFD786467 JOZ786467 JYV786467 KIR786467 KSN786467 LCJ786467 LMF786467 LWB786467 MFX786467 MPT786467 MZP786467 NJL786467 NTH786467 ODD786467 OMZ786467 OWV786467 PGR786467 PQN786467 QAJ786467 QKF786467 QUB786467 RDX786467 RNT786467 RXP786467 SHL786467 SRH786467 TBD786467 TKZ786467 TUV786467 UER786467 UON786467 UYJ786467 VIF786467 VSB786467 WBX786467 WLT786467 WVP786467 H852003 JD852003 SZ852003 ACV852003 AMR852003 AWN852003 BGJ852003 BQF852003 CAB852003 CJX852003 CTT852003 DDP852003 DNL852003 DXH852003 EHD852003 EQZ852003 FAV852003 FKR852003 FUN852003 GEJ852003 GOF852003 GYB852003 HHX852003 HRT852003 IBP852003 ILL852003 IVH852003 JFD852003 JOZ852003 JYV852003 KIR852003 KSN852003 LCJ852003 LMF852003 LWB852003 MFX852003 MPT852003 MZP852003 NJL852003 NTH852003 ODD852003 OMZ852003 OWV852003 PGR852003 PQN852003 QAJ852003 QKF852003 QUB852003 RDX852003 RNT852003 RXP852003 SHL852003 SRH852003 TBD852003 TKZ852003 TUV852003 UER852003 UON852003 UYJ852003 VIF852003 VSB852003 WBX852003 WLT852003 WVP852003 H917539 JD917539 SZ917539 ACV917539 AMR917539 AWN917539 BGJ917539 BQF917539 CAB917539 CJX917539 CTT917539 DDP917539 DNL917539 DXH917539 EHD917539 EQZ917539 FAV917539 FKR917539 FUN917539 GEJ917539 GOF917539 GYB917539 HHX917539 HRT917539 IBP917539 ILL917539 IVH917539 JFD917539 JOZ917539 JYV917539 KIR917539 KSN917539 LCJ917539 LMF917539 LWB917539 MFX917539 MPT917539 MZP917539 NJL917539 NTH917539 ODD917539 OMZ917539 OWV917539 PGR917539 PQN917539 QAJ917539 QKF917539 QUB917539 RDX917539 RNT917539 RXP917539 SHL917539 SRH917539 TBD917539 TKZ917539 TUV917539 UER917539 UON917539 UYJ917539 VIF917539 VSB917539 WBX917539 WLT917539 WVP917539 H983075 JD983075 SZ983075 ACV983075 AMR983075 AWN983075 BGJ983075 BQF983075 CAB983075 CJX983075 CTT983075 DDP983075 DNL983075 DXH983075 EHD983075 EQZ983075 FAV983075 FKR983075 FUN983075 GEJ983075 GOF983075 GYB983075 HHX983075 HRT983075 IBP983075 ILL983075 IVH983075 JFD983075 JOZ983075 JYV983075 KIR983075 KSN983075 LCJ983075 LMF983075 LWB983075 MFX983075 MPT983075 MZP983075 NJL983075 NTH983075 ODD983075 OMZ983075 OWV983075 PGR983075 PQN983075 QAJ983075 QKF983075 QUB983075 RDX983075 RNT983075 RXP983075 SHL983075 SRH983075 TBD983075 TKZ983075 TUV983075 UER983075 UON983075 UYJ983075 VIF983075 VSB983075 WBX983075 WLT983075 WVP983075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WBX983078 WLT983078 WVP983078 H34 H37">
      <formula1>$H$47:$H$51</formula1>
    </dataValidation>
  </dataValidations>
  <printOptions horizontalCentered="1"/>
  <pageMargins left="0.25" right="0.25" top="0.75" bottom="0.75" header="0.3" footer="0.3"/>
  <pageSetup scale="45" orientation="landscape" copies="2" r:id="rId1"/>
  <headerFooter>
    <oddFooter>&amp;C&amp;"Tahoma,Cursiva"&amp;9Si usted ha accedido a este formato a través de un medio diferente al sitio web del Sistema de Control Documental del SIGEC asegúrese que ésta es la versión vigente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CF36"/>
  <sheetViews>
    <sheetView view="pageBreakPreview" topLeftCell="A9" zoomScale="80" zoomScaleNormal="100" zoomScaleSheetLayoutView="80" workbookViewId="0">
      <selection activeCell="D13" sqref="D13:E14"/>
    </sheetView>
  </sheetViews>
  <sheetFormatPr baseColWidth="10" defaultRowHeight="12.75"/>
  <cols>
    <col min="1" max="1" width="8" style="2" customWidth="1"/>
    <col min="2" max="2" width="13.42578125" style="2" customWidth="1"/>
    <col min="3" max="3" width="4.28515625" style="2" customWidth="1"/>
    <col min="4" max="4" width="4" style="2" customWidth="1"/>
    <col min="5" max="5" width="17.42578125" style="2" customWidth="1"/>
    <col min="6" max="6" width="4.140625" style="2" customWidth="1"/>
    <col min="7" max="7" width="11.28515625" style="2" customWidth="1"/>
    <col min="8" max="8" width="11" style="2" customWidth="1"/>
    <col min="9" max="10" width="2.140625" style="2" customWidth="1"/>
    <col min="11" max="11" width="3.28515625" style="2" customWidth="1"/>
    <col min="12" max="12" width="0.28515625" style="2" hidden="1" customWidth="1"/>
    <col min="13" max="13" width="0.42578125" style="2" hidden="1" customWidth="1"/>
    <col min="14" max="14" width="2.85546875" style="2" customWidth="1"/>
    <col min="15" max="15" width="3.28515625" style="2" customWidth="1"/>
    <col min="16" max="16" width="1.42578125" style="2" customWidth="1"/>
    <col min="17" max="17" width="1.85546875" style="2" hidden="1" customWidth="1"/>
    <col min="18" max="18" width="6.85546875" style="2" customWidth="1"/>
    <col min="19" max="19" width="3" style="2" hidden="1" customWidth="1"/>
    <col min="20" max="21" width="6.28515625" style="2" customWidth="1"/>
    <col min="22" max="22" width="13.85546875" style="2" customWidth="1"/>
    <col min="23" max="23" width="12.7109375" style="2" customWidth="1"/>
    <col min="24" max="24" width="15" style="2" customWidth="1"/>
    <col min="25" max="25" width="0.42578125" style="2" hidden="1" customWidth="1"/>
    <col min="26" max="26" width="14.140625" style="2" customWidth="1"/>
    <col min="27" max="27" width="23.28515625" style="2" customWidth="1"/>
    <col min="28" max="28" width="13.140625" style="2" customWidth="1"/>
    <col min="29" max="29" width="14" style="2" customWidth="1"/>
    <col min="30" max="30" width="8.140625" style="2" customWidth="1"/>
    <col min="31" max="31" width="13.42578125" style="2" customWidth="1"/>
    <col min="32" max="32" width="50.42578125" style="2" customWidth="1"/>
    <col min="33" max="33" width="12" style="92" customWidth="1"/>
    <col min="34" max="35" width="0.28515625" style="92" customWidth="1"/>
    <col min="36" max="36" width="1.42578125" style="92" customWidth="1"/>
    <col min="37" max="37" width="1.28515625" style="92" hidden="1" customWidth="1"/>
    <col min="38" max="84" width="11.42578125" style="92"/>
    <col min="85" max="256" width="11.42578125" style="2"/>
    <col min="257" max="257" width="8" style="2" customWidth="1"/>
    <col min="258" max="258" width="13.42578125" style="2" customWidth="1"/>
    <col min="259" max="259" width="4.28515625" style="2" customWidth="1"/>
    <col min="260" max="260" width="4" style="2" customWidth="1"/>
    <col min="261" max="261" width="17" style="2" customWidth="1"/>
    <col min="262" max="262" width="4.140625" style="2" customWidth="1"/>
    <col min="263" max="263" width="11.28515625" style="2" customWidth="1"/>
    <col min="264" max="264" width="11" style="2" customWidth="1"/>
    <col min="265" max="266" width="2.140625" style="2" customWidth="1"/>
    <col min="267" max="267" width="3.28515625" style="2" customWidth="1"/>
    <col min="268" max="269" width="0" style="2" hidden="1" customWidth="1"/>
    <col min="270" max="270" width="2.85546875" style="2" customWidth="1"/>
    <col min="271" max="271" width="3.28515625" style="2" customWidth="1"/>
    <col min="272" max="272" width="1.42578125" style="2" customWidth="1"/>
    <col min="273" max="273" width="0" style="2" hidden="1" customWidth="1"/>
    <col min="274" max="274" width="6.85546875" style="2" customWidth="1"/>
    <col min="275" max="275" width="0" style="2" hidden="1" customWidth="1"/>
    <col min="276" max="277" width="6.28515625" style="2" customWidth="1"/>
    <col min="278" max="278" width="13.85546875" style="2" customWidth="1"/>
    <col min="279" max="279" width="10.85546875" style="2" customWidth="1"/>
    <col min="280" max="280" width="14.7109375" style="2" customWidth="1"/>
    <col min="281" max="281" width="0" style="2" hidden="1" customWidth="1"/>
    <col min="282" max="282" width="13" style="2" customWidth="1"/>
    <col min="283" max="283" width="12.7109375" style="2" customWidth="1"/>
    <col min="284" max="284" width="13.140625" style="2" customWidth="1"/>
    <col min="285" max="285" width="14" style="2" customWidth="1"/>
    <col min="286" max="286" width="8.140625" style="2" customWidth="1"/>
    <col min="287" max="287" width="11.42578125" style="2" customWidth="1"/>
    <col min="288" max="288" width="24.7109375" style="2" customWidth="1"/>
    <col min="289" max="289" width="12" style="2" customWidth="1"/>
    <col min="290" max="291" width="0.28515625" style="2" customWidth="1"/>
    <col min="292" max="292" width="1.42578125" style="2" customWidth="1"/>
    <col min="293" max="293" width="0" style="2" hidden="1" customWidth="1"/>
    <col min="294" max="512" width="11.42578125" style="2"/>
    <col min="513" max="513" width="8" style="2" customWidth="1"/>
    <col min="514" max="514" width="13.42578125" style="2" customWidth="1"/>
    <col min="515" max="515" width="4.28515625" style="2" customWidth="1"/>
    <col min="516" max="516" width="4" style="2" customWidth="1"/>
    <col min="517" max="517" width="17" style="2" customWidth="1"/>
    <col min="518" max="518" width="4.140625" style="2" customWidth="1"/>
    <col min="519" max="519" width="11.28515625" style="2" customWidth="1"/>
    <col min="520" max="520" width="11" style="2" customWidth="1"/>
    <col min="521" max="522" width="2.140625" style="2" customWidth="1"/>
    <col min="523" max="523" width="3.28515625" style="2" customWidth="1"/>
    <col min="524" max="525" width="0" style="2" hidden="1" customWidth="1"/>
    <col min="526" max="526" width="2.85546875" style="2" customWidth="1"/>
    <col min="527" max="527" width="3.28515625" style="2" customWidth="1"/>
    <col min="528" max="528" width="1.42578125" style="2" customWidth="1"/>
    <col min="529" max="529" width="0" style="2" hidden="1" customWidth="1"/>
    <col min="530" max="530" width="6.85546875" style="2" customWidth="1"/>
    <col min="531" max="531" width="0" style="2" hidden="1" customWidth="1"/>
    <col min="532" max="533" width="6.28515625" style="2" customWidth="1"/>
    <col min="534" max="534" width="13.85546875" style="2" customWidth="1"/>
    <col min="535" max="535" width="10.85546875" style="2" customWidth="1"/>
    <col min="536" max="536" width="14.7109375" style="2" customWidth="1"/>
    <col min="537" max="537" width="0" style="2" hidden="1" customWidth="1"/>
    <col min="538" max="538" width="13" style="2" customWidth="1"/>
    <col min="539" max="539" width="12.7109375" style="2" customWidth="1"/>
    <col min="540" max="540" width="13.140625" style="2" customWidth="1"/>
    <col min="541" max="541" width="14" style="2" customWidth="1"/>
    <col min="542" max="542" width="8.140625" style="2" customWidth="1"/>
    <col min="543" max="543" width="11.42578125" style="2" customWidth="1"/>
    <col min="544" max="544" width="24.7109375" style="2" customWidth="1"/>
    <col min="545" max="545" width="12" style="2" customWidth="1"/>
    <col min="546" max="547" width="0.28515625" style="2" customWidth="1"/>
    <col min="548" max="548" width="1.42578125" style="2" customWidth="1"/>
    <col min="549" max="549" width="0" style="2" hidden="1" customWidth="1"/>
    <col min="550" max="768" width="11.42578125" style="2"/>
    <col min="769" max="769" width="8" style="2" customWidth="1"/>
    <col min="770" max="770" width="13.42578125" style="2" customWidth="1"/>
    <col min="771" max="771" width="4.28515625" style="2" customWidth="1"/>
    <col min="772" max="772" width="4" style="2" customWidth="1"/>
    <col min="773" max="773" width="17" style="2" customWidth="1"/>
    <col min="774" max="774" width="4.140625" style="2" customWidth="1"/>
    <col min="775" max="775" width="11.28515625" style="2" customWidth="1"/>
    <col min="776" max="776" width="11" style="2" customWidth="1"/>
    <col min="777" max="778" width="2.140625" style="2" customWidth="1"/>
    <col min="779" max="779" width="3.28515625" style="2" customWidth="1"/>
    <col min="780" max="781" width="0" style="2" hidden="1" customWidth="1"/>
    <col min="782" max="782" width="2.85546875" style="2" customWidth="1"/>
    <col min="783" max="783" width="3.28515625" style="2" customWidth="1"/>
    <col min="784" max="784" width="1.42578125" style="2" customWidth="1"/>
    <col min="785" max="785" width="0" style="2" hidden="1" customWidth="1"/>
    <col min="786" max="786" width="6.85546875" style="2" customWidth="1"/>
    <col min="787" max="787" width="0" style="2" hidden="1" customWidth="1"/>
    <col min="788" max="789" width="6.28515625" style="2" customWidth="1"/>
    <col min="790" max="790" width="13.85546875" style="2" customWidth="1"/>
    <col min="791" max="791" width="10.85546875" style="2" customWidth="1"/>
    <col min="792" max="792" width="14.7109375" style="2" customWidth="1"/>
    <col min="793" max="793" width="0" style="2" hidden="1" customWidth="1"/>
    <col min="794" max="794" width="13" style="2" customWidth="1"/>
    <col min="795" max="795" width="12.7109375" style="2" customWidth="1"/>
    <col min="796" max="796" width="13.140625" style="2" customWidth="1"/>
    <col min="797" max="797" width="14" style="2" customWidth="1"/>
    <col min="798" max="798" width="8.140625" style="2" customWidth="1"/>
    <col min="799" max="799" width="11.42578125" style="2" customWidth="1"/>
    <col min="800" max="800" width="24.7109375" style="2" customWidth="1"/>
    <col min="801" max="801" width="12" style="2" customWidth="1"/>
    <col min="802" max="803" width="0.28515625" style="2" customWidth="1"/>
    <col min="804" max="804" width="1.42578125" style="2" customWidth="1"/>
    <col min="805" max="805" width="0" style="2" hidden="1" customWidth="1"/>
    <col min="806" max="1024" width="11.42578125" style="2"/>
    <col min="1025" max="1025" width="8" style="2" customWidth="1"/>
    <col min="1026" max="1026" width="13.42578125" style="2" customWidth="1"/>
    <col min="1027" max="1027" width="4.28515625" style="2" customWidth="1"/>
    <col min="1028" max="1028" width="4" style="2" customWidth="1"/>
    <col min="1029" max="1029" width="17" style="2" customWidth="1"/>
    <col min="1030" max="1030" width="4.140625" style="2" customWidth="1"/>
    <col min="1031" max="1031" width="11.28515625" style="2" customWidth="1"/>
    <col min="1032" max="1032" width="11" style="2" customWidth="1"/>
    <col min="1033" max="1034" width="2.140625" style="2" customWidth="1"/>
    <col min="1035" max="1035" width="3.28515625" style="2" customWidth="1"/>
    <col min="1036" max="1037" width="0" style="2" hidden="1" customWidth="1"/>
    <col min="1038" max="1038" width="2.85546875" style="2" customWidth="1"/>
    <col min="1039" max="1039" width="3.28515625" style="2" customWidth="1"/>
    <col min="1040" max="1040" width="1.42578125" style="2" customWidth="1"/>
    <col min="1041" max="1041" width="0" style="2" hidden="1" customWidth="1"/>
    <col min="1042" max="1042" width="6.85546875" style="2" customWidth="1"/>
    <col min="1043" max="1043" width="0" style="2" hidden="1" customWidth="1"/>
    <col min="1044" max="1045" width="6.28515625" style="2" customWidth="1"/>
    <col min="1046" max="1046" width="13.85546875" style="2" customWidth="1"/>
    <col min="1047" max="1047" width="10.85546875" style="2" customWidth="1"/>
    <col min="1048" max="1048" width="14.7109375" style="2" customWidth="1"/>
    <col min="1049" max="1049" width="0" style="2" hidden="1" customWidth="1"/>
    <col min="1050" max="1050" width="13" style="2" customWidth="1"/>
    <col min="1051" max="1051" width="12.7109375" style="2" customWidth="1"/>
    <col min="1052" max="1052" width="13.140625" style="2" customWidth="1"/>
    <col min="1053" max="1053" width="14" style="2" customWidth="1"/>
    <col min="1054" max="1054" width="8.140625" style="2" customWidth="1"/>
    <col min="1055" max="1055" width="11.42578125" style="2" customWidth="1"/>
    <col min="1056" max="1056" width="24.7109375" style="2" customWidth="1"/>
    <col min="1057" max="1057" width="12" style="2" customWidth="1"/>
    <col min="1058" max="1059" width="0.28515625" style="2" customWidth="1"/>
    <col min="1060" max="1060" width="1.42578125" style="2" customWidth="1"/>
    <col min="1061" max="1061" width="0" style="2" hidden="1" customWidth="1"/>
    <col min="1062" max="1280" width="11.42578125" style="2"/>
    <col min="1281" max="1281" width="8" style="2" customWidth="1"/>
    <col min="1282" max="1282" width="13.42578125" style="2" customWidth="1"/>
    <col min="1283" max="1283" width="4.28515625" style="2" customWidth="1"/>
    <col min="1284" max="1284" width="4" style="2" customWidth="1"/>
    <col min="1285" max="1285" width="17" style="2" customWidth="1"/>
    <col min="1286" max="1286" width="4.140625" style="2" customWidth="1"/>
    <col min="1287" max="1287" width="11.28515625" style="2" customWidth="1"/>
    <col min="1288" max="1288" width="11" style="2" customWidth="1"/>
    <col min="1289" max="1290" width="2.140625" style="2" customWidth="1"/>
    <col min="1291" max="1291" width="3.28515625" style="2" customWidth="1"/>
    <col min="1292" max="1293" width="0" style="2" hidden="1" customWidth="1"/>
    <col min="1294" max="1294" width="2.85546875" style="2" customWidth="1"/>
    <col min="1295" max="1295" width="3.28515625" style="2" customWidth="1"/>
    <col min="1296" max="1296" width="1.42578125" style="2" customWidth="1"/>
    <col min="1297" max="1297" width="0" style="2" hidden="1" customWidth="1"/>
    <col min="1298" max="1298" width="6.85546875" style="2" customWidth="1"/>
    <col min="1299" max="1299" width="0" style="2" hidden="1" customWidth="1"/>
    <col min="1300" max="1301" width="6.28515625" style="2" customWidth="1"/>
    <col min="1302" max="1302" width="13.85546875" style="2" customWidth="1"/>
    <col min="1303" max="1303" width="10.85546875" style="2" customWidth="1"/>
    <col min="1304" max="1304" width="14.7109375" style="2" customWidth="1"/>
    <col min="1305" max="1305" width="0" style="2" hidden="1" customWidth="1"/>
    <col min="1306" max="1306" width="13" style="2" customWidth="1"/>
    <col min="1307" max="1307" width="12.7109375" style="2" customWidth="1"/>
    <col min="1308" max="1308" width="13.140625" style="2" customWidth="1"/>
    <col min="1309" max="1309" width="14" style="2" customWidth="1"/>
    <col min="1310" max="1310" width="8.140625" style="2" customWidth="1"/>
    <col min="1311" max="1311" width="11.42578125" style="2" customWidth="1"/>
    <col min="1312" max="1312" width="24.7109375" style="2" customWidth="1"/>
    <col min="1313" max="1313" width="12" style="2" customWidth="1"/>
    <col min="1314" max="1315" width="0.28515625" style="2" customWidth="1"/>
    <col min="1316" max="1316" width="1.42578125" style="2" customWidth="1"/>
    <col min="1317" max="1317" width="0" style="2" hidden="1" customWidth="1"/>
    <col min="1318" max="1536" width="11.42578125" style="2"/>
    <col min="1537" max="1537" width="8" style="2" customWidth="1"/>
    <col min="1538" max="1538" width="13.42578125" style="2" customWidth="1"/>
    <col min="1539" max="1539" width="4.28515625" style="2" customWidth="1"/>
    <col min="1540" max="1540" width="4" style="2" customWidth="1"/>
    <col min="1541" max="1541" width="17" style="2" customWidth="1"/>
    <col min="1542" max="1542" width="4.140625" style="2" customWidth="1"/>
    <col min="1543" max="1543" width="11.28515625" style="2" customWidth="1"/>
    <col min="1544" max="1544" width="11" style="2" customWidth="1"/>
    <col min="1545" max="1546" width="2.140625" style="2" customWidth="1"/>
    <col min="1547" max="1547" width="3.28515625" style="2" customWidth="1"/>
    <col min="1548" max="1549" width="0" style="2" hidden="1" customWidth="1"/>
    <col min="1550" max="1550" width="2.85546875" style="2" customWidth="1"/>
    <col min="1551" max="1551" width="3.28515625" style="2" customWidth="1"/>
    <col min="1552" max="1552" width="1.42578125" style="2" customWidth="1"/>
    <col min="1553" max="1553" width="0" style="2" hidden="1" customWidth="1"/>
    <col min="1554" max="1554" width="6.85546875" style="2" customWidth="1"/>
    <col min="1555" max="1555" width="0" style="2" hidden="1" customWidth="1"/>
    <col min="1556" max="1557" width="6.28515625" style="2" customWidth="1"/>
    <col min="1558" max="1558" width="13.85546875" style="2" customWidth="1"/>
    <col min="1559" max="1559" width="10.85546875" style="2" customWidth="1"/>
    <col min="1560" max="1560" width="14.7109375" style="2" customWidth="1"/>
    <col min="1561" max="1561" width="0" style="2" hidden="1" customWidth="1"/>
    <col min="1562" max="1562" width="13" style="2" customWidth="1"/>
    <col min="1563" max="1563" width="12.7109375" style="2" customWidth="1"/>
    <col min="1564" max="1564" width="13.140625" style="2" customWidth="1"/>
    <col min="1565" max="1565" width="14" style="2" customWidth="1"/>
    <col min="1566" max="1566" width="8.140625" style="2" customWidth="1"/>
    <col min="1567" max="1567" width="11.42578125" style="2" customWidth="1"/>
    <col min="1568" max="1568" width="24.7109375" style="2" customWidth="1"/>
    <col min="1569" max="1569" width="12" style="2" customWidth="1"/>
    <col min="1570" max="1571" width="0.28515625" style="2" customWidth="1"/>
    <col min="1572" max="1572" width="1.42578125" style="2" customWidth="1"/>
    <col min="1573" max="1573" width="0" style="2" hidden="1" customWidth="1"/>
    <col min="1574" max="1792" width="11.42578125" style="2"/>
    <col min="1793" max="1793" width="8" style="2" customWidth="1"/>
    <col min="1794" max="1794" width="13.42578125" style="2" customWidth="1"/>
    <col min="1795" max="1795" width="4.28515625" style="2" customWidth="1"/>
    <col min="1796" max="1796" width="4" style="2" customWidth="1"/>
    <col min="1797" max="1797" width="17" style="2" customWidth="1"/>
    <col min="1798" max="1798" width="4.140625" style="2" customWidth="1"/>
    <col min="1799" max="1799" width="11.28515625" style="2" customWidth="1"/>
    <col min="1800" max="1800" width="11" style="2" customWidth="1"/>
    <col min="1801" max="1802" width="2.140625" style="2" customWidth="1"/>
    <col min="1803" max="1803" width="3.28515625" style="2" customWidth="1"/>
    <col min="1804" max="1805" width="0" style="2" hidden="1" customWidth="1"/>
    <col min="1806" max="1806" width="2.85546875" style="2" customWidth="1"/>
    <col min="1807" max="1807" width="3.28515625" style="2" customWidth="1"/>
    <col min="1808" max="1808" width="1.42578125" style="2" customWidth="1"/>
    <col min="1809" max="1809" width="0" style="2" hidden="1" customWidth="1"/>
    <col min="1810" max="1810" width="6.85546875" style="2" customWidth="1"/>
    <col min="1811" max="1811" width="0" style="2" hidden="1" customWidth="1"/>
    <col min="1812" max="1813" width="6.28515625" style="2" customWidth="1"/>
    <col min="1814" max="1814" width="13.85546875" style="2" customWidth="1"/>
    <col min="1815" max="1815" width="10.85546875" style="2" customWidth="1"/>
    <col min="1816" max="1816" width="14.7109375" style="2" customWidth="1"/>
    <col min="1817" max="1817" width="0" style="2" hidden="1" customWidth="1"/>
    <col min="1818" max="1818" width="13" style="2" customWidth="1"/>
    <col min="1819" max="1819" width="12.7109375" style="2" customWidth="1"/>
    <col min="1820" max="1820" width="13.140625" style="2" customWidth="1"/>
    <col min="1821" max="1821" width="14" style="2" customWidth="1"/>
    <col min="1822" max="1822" width="8.140625" style="2" customWidth="1"/>
    <col min="1823" max="1823" width="11.42578125" style="2" customWidth="1"/>
    <col min="1824" max="1824" width="24.7109375" style="2" customWidth="1"/>
    <col min="1825" max="1825" width="12" style="2" customWidth="1"/>
    <col min="1826" max="1827" width="0.28515625" style="2" customWidth="1"/>
    <col min="1828" max="1828" width="1.42578125" style="2" customWidth="1"/>
    <col min="1829" max="1829" width="0" style="2" hidden="1" customWidth="1"/>
    <col min="1830" max="2048" width="11.42578125" style="2"/>
    <col min="2049" max="2049" width="8" style="2" customWidth="1"/>
    <col min="2050" max="2050" width="13.42578125" style="2" customWidth="1"/>
    <col min="2051" max="2051" width="4.28515625" style="2" customWidth="1"/>
    <col min="2052" max="2052" width="4" style="2" customWidth="1"/>
    <col min="2053" max="2053" width="17" style="2" customWidth="1"/>
    <col min="2054" max="2054" width="4.140625" style="2" customWidth="1"/>
    <col min="2055" max="2055" width="11.28515625" style="2" customWidth="1"/>
    <col min="2056" max="2056" width="11" style="2" customWidth="1"/>
    <col min="2057" max="2058" width="2.140625" style="2" customWidth="1"/>
    <col min="2059" max="2059" width="3.28515625" style="2" customWidth="1"/>
    <col min="2060" max="2061" width="0" style="2" hidden="1" customWidth="1"/>
    <col min="2062" max="2062" width="2.85546875" style="2" customWidth="1"/>
    <col min="2063" max="2063" width="3.28515625" style="2" customWidth="1"/>
    <col min="2064" max="2064" width="1.42578125" style="2" customWidth="1"/>
    <col min="2065" max="2065" width="0" style="2" hidden="1" customWidth="1"/>
    <col min="2066" max="2066" width="6.85546875" style="2" customWidth="1"/>
    <col min="2067" max="2067" width="0" style="2" hidden="1" customWidth="1"/>
    <col min="2068" max="2069" width="6.28515625" style="2" customWidth="1"/>
    <col min="2070" max="2070" width="13.85546875" style="2" customWidth="1"/>
    <col min="2071" max="2071" width="10.85546875" style="2" customWidth="1"/>
    <col min="2072" max="2072" width="14.7109375" style="2" customWidth="1"/>
    <col min="2073" max="2073" width="0" style="2" hidden="1" customWidth="1"/>
    <col min="2074" max="2074" width="13" style="2" customWidth="1"/>
    <col min="2075" max="2075" width="12.7109375" style="2" customWidth="1"/>
    <col min="2076" max="2076" width="13.140625" style="2" customWidth="1"/>
    <col min="2077" max="2077" width="14" style="2" customWidth="1"/>
    <col min="2078" max="2078" width="8.140625" style="2" customWidth="1"/>
    <col min="2079" max="2079" width="11.42578125" style="2" customWidth="1"/>
    <col min="2080" max="2080" width="24.7109375" style="2" customWidth="1"/>
    <col min="2081" max="2081" width="12" style="2" customWidth="1"/>
    <col min="2082" max="2083" width="0.28515625" style="2" customWidth="1"/>
    <col min="2084" max="2084" width="1.42578125" style="2" customWidth="1"/>
    <col min="2085" max="2085" width="0" style="2" hidden="1" customWidth="1"/>
    <col min="2086" max="2304" width="11.42578125" style="2"/>
    <col min="2305" max="2305" width="8" style="2" customWidth="1"/>
    <col min="2306" max="2306" width="13.42578125" style="2" customWidth="1"/>
    <col min="2307" max="2307" width="4.28515625" style="2" customWidth="1"/>
    <col min="2308" max="2308" width="4" style="2" customWidth="1"/>
    <col min="2309" max="2309" width="17" style="2" customWidth="1"/>
    <col min="2310" max="2310" width="4.140625" style="2" customWidth="1"/>
    <col min="2311" max="2311" width="11.28515625" style="2" customWidth="1"/>
    <col min="2312" max="2312" width="11" style="2" customWidth="1"/>
    <col min="2313" max="2314" width="2.140625" style="2" customWidth="1"/>
    <col min="2315" max="2315" width="3.28515625" style="2" customWidth="1"/>
    <col min="2316" max="2317" width="0" style="2" hidden="1" customWidth="1"/>
    <col min="2318" max="2318" width="2.85546875" style="2" customWidth="1"/>
    <col min="2319" max="2319" width="3.28515625" style="2" customWidth="1"/>
    <col min="2320" max="2320" width="1.42578125" style="2" customWidth="1"/>
    <col min="2321" max="2321" width="0" style="2" hidden="1" customWidth="1"/>
    <col min="2322" max="2322" width="6.85546875" style="2" customWidth="1"/>
    <col min="2323" max="2323" width="0" style="2" hidden="1" customWidth="1"/>
    <col min="2324" max="2325" width="6.28515625" style="2" customWidth="1"/>
    <col min="2326" max="2326" width="13.85546875" style="2" customWidth="1"/>
    <col min="2327" max="2327" width="10.85546875" style="2" customWidth="1"/>
    <col min="2328" max="2328" width="14.7109375" style="2" customWidth="1"/>
    <col min="2329" max="2329" width="0" style="2" hidden="1" customWidth="1"/>
    <col min="2330" max="2330" width="13" style="2" customWidth="1"/>
    <col min="2331" max="2331" width="12.7109375" style="2" customWidth="1"/>
    <col min="2332" max="2332" width="13.140625" style="2" customWidth="1"/>
    <col min="2333" max="2333" width="14" style="2" customWidth="1"/>
    <col min="2334" max="2334" width="8.140625" style="2" customWidth="1"/>
    <col min="2335" max="2335" width="11.42578125" style="2" customWidth="1"/>
    <col min="2336" max="2336" width="24.7109375" style="2" customWidth="1"/>
    <col min="2337" max="2337" width="12" style="2" customWidth="1"/>
    <col min="2338" max="2339" width="0.28515625" style="2" customWidth="1"/>
    <col min="2340" max="2340" width="1.42578125" style="2" customWidth="1"/>
    <col min="2341" max="2341" width="0" style="2" hidden="1" customWidth="1"/>
    <col min="2342" max="2560" width="11.42578125" style="2"/>
    <col min="2561" max="2561" width="8" style="2" customWidth="1"/>
    <col min="2562" max="2562" width="13.42578125" style="2" customWidth="1"/>
    <col min="2563" max="2563" width="4.28515625" style="2" customWidth="1"/>
    <col min="2564" max="2564" width="4" style="2" customWidth="1"/>
    <col min="2565" max="2565" width="17" style="2" customWidth="1"/>
    <col min="2566" max="2566" width="4.140625" style="2" customWidth="1"/>
    <col min="2567" max="2567" width="11.28515625" style="2" customWidth="1"/>
    <col min="2568" max="2568" width="11" style="2" customWidth="1"/>
    <col min="2569" max="2570" width="2.140625" style="2" customWidth="1"/>
    <col min="2571" max="2571" width="3.28515625" style="2" customWidth="1"/>
    <col min="2572" max="2573" width="0" style="2" hidden="1" customWidth="1"/>
    <col min="2574" max="2574" width="2.85546875" style="2" customWidth="1"/>
    <col min="2575" max="2575" width="3.28515625" style="2" customWidth="1"/>
    <col min="2576" max="2576" width="1.42578125" style="2" customWidth="1"/>
    <col min="2577" max="2577" width="0" style="2" hidden="1" customWidth="1"/>
    <col min="2578" max="2578" width="6.85546875" style="2" customWidth="1"/>
    <col min="2579" max="2579" width="0" style="2" hidden="1" customWidth="1"/>
    <col min="2580" max="2581" width="6.28515625" style="2" customWidth="1"/>
    <col min="2582" max="2582" width="13.85546875" style="2" customWidth="1"/>
    <col min="2583" max="2583" width="10.85546875" style="2" customWidth="1"/>
    <col min="2584" max="2584" width="14.7109375" style="2" customWidth="1"/>
    <col min="2585" max="2585" width="0" style="2" hidden="1" customWidth="1"/>
    <col min="2586" max="2586" width="13" style="2" customWidth="1"/>
    <col min="2587" max="2587" width="12.7109375" style="2" customWidth="1"/>
    <col min="2588" max="2588" width="13.140625" style="2" customWidth="1"/>
    <col min="2589" max="2589" width="14" style="2" customWidth="1"/>
    <col min="2590" max="2590" width="8.140625" style="2" customWidth="1"/>
    <col min="2591" max="2591" width="11.42578125" style="2" customWidth="1"/>
    <col min="2592" max="2592" width="24.7109375" style="2" customWidth="1"/>
    <col min="2593" max="2593" width="12" style="2" customWidth="1"/>
    <col min="2594" max="2595" width="0.28515625" style="2" customWidth="1"/>
    <col min="2596" max="2596" width="1.42578125" style="2" customWidth="1"/>
    <col min="2597" max="2597" width="0" style="2" hidden="1" customWidth="1"/>
    <col min="2598" max="2816" width="11.42578125" style="2"/>
    <col min="2817" max="2817" width="8" style="2" customWidth="1"/>
    <col min="2818" max="2818" width="13.42578125" style="2" customWidth="1"/>
    <col min="2819" max="2819" width="4.28515625" style="2" customWidth="1"/>
    <col min="2820" max="2820" width="4" style="2" customWidth="1"/>
    <col min="2821" max="2821" width="17" style="2" customWidth="1"/>
    <col min="2822" max="2822" width="4.140625" style="2" customWidth="1"/>
    <col min="2823" max="2823" width="11.28515625" style="2" customWidth="1"/>
    <col min="2824" max="2824" width="11" style="2" customWidth="1"/>
    <col min="2825" max="2826" width="2.140625" style="2" customWidth="1"/>
    <col min="2827" max="2827" width="3.28515625" style="2" customWidth="1"/>
    <col min="2828" max="2829" width="0" style="2" hidden="1" customWidth="1"/>
    <col min="2830" max="2830" width="2.85546875" style="2" customWidth="1"/>
    <col min="2831" max="2831" width="3.28515625" style="2" customWidth="1"/>
    <col min="2832" max="2832" width="1.42578125" style="2" customWidth="1"/>
    <col min="2833" max="2833" width="0" style="2" hidden="1" customWidth="1"/>
    <col min="2834" max="2834" width="6.85546875" style="2" customWidth="1"/>
    <col min="2835" max="2835" width="0" style="2" hidden="1" customWidth="1"/>
    <col min="2836" max="2837" width="6.28515625" style="2" customWidth="1"/>
    <col min="2838" max="2838" width="13.85546875" style="2" customWidth="1"/>
    <col min="2839" max="2839" width="10.85546875" style="2" customWidth="1"/>
    <col min="2840" max="2840" width="14.7109375" style="2" customWidth="1"/>
    <col min="2841" max="2841" width="0" style="2" hidden="1" customWidth="1"/>
    <col min="2842" max="2842" width="13" style="2" customWidth="1"/>
    <col min="2843" max="2843" width="12.7109375" style="2" customWidth="1"/>
    <col min="2844" max="2844" width="13.140625" style="2" customWidth="1"/>
    <col min="2845" max="2845" width="14" style="2" customWidth="1"/>
    <col min="2846" max="2846" width="8.140625" style="2" customWidth="1"/>
    <col min="2847" max="2847" width="11.42578125" style="2" customWidth="1"/>
    <col min="2848" max="2848" width="24.7109375" style="2" customWidth="1"/>
    <col min="2849" max="2849" width="12" style="2" customWidth="1"/>
    <col min="2850" max="2851" width="0.28515625" style="2" customWidth="1"/>
    <col min="2852" max="2852" width="1.42578125" style="2" customWidth="1"/>
    <col min="2853" max="2853" width="0" style="2" hidden="1" customWidth="1"/>
    <col min="2854" max="3072" width="11.42578125" style="2"/>
    <col min="3073" max="3073" width="8" style="2" customWidth="1"/>
    <col min="3074" max="3074" width="13.42578125" style="2" customWidth="1"/>
    <col min="3075" max="3075" width="4.28515625" style="2" customWidth="1"/>
    <col min="3076" max="3076" width="4" style="2" customWidth="1"/>
    <col min="3077" max="3077" width="17" style="2" customWidth="1"/>
    <col min="3078" max="3078" width="4.140625" style="2" customWidth="1"/>
    <col min="3079" max="3079" width="11.28515625" style="2" customWidth="1"/>
    <col min="3080" max="3080" width="11" style="2" customWidth="1"/>
    <col min="3081" max="3082" width="2.140625" style="2" customWidth="1"/>
    <col min="3083" max="3083" width="3.28515625" style="2" customWidth="1"/>
    <col min="3084" max="3085" width="0" style="2" hidden="1" customWidth="1"/>
    <col min="3086" max="3086" width="2.85546875" style="2" customWidth="1"/>
    <col min="3087" max="3087" width="3.28515625" style="2" customWidth="1"/>
    <col min="3088" max="3088" width="1.42578125" style="2" customWidth="1"/>
    <col min="3089" max="3089" width="0" style="2" hidden="1" customWidth="1"/>
    <col min="3090" max="3090" width="6.85546875" style="2" customWidth="1"/>
    <col min="3091" max="3091" width="0" style="2" hidden="1" customWidth="1"/>
    <col min="3092" max="3093" width="6.28515625" style="2" customWidth="1"/>
    <col min="3094" max="3094" width="13.85546875" style="2" customWidth="1"/>
    <col min="3095" max="3095" width="10.85546875" style="2" customWidth="1"/>
    <col min="3096" max="3096" width="14.7109375" style="2" customWidth="1"/>
    <col min="3097" max="3097" width="0" style="2" hidden="1" customWidth="1"/>
    <col min="3098" max="3098" width="13" style="2" customWidth="1"/>
    <col min="3099" max="3099" width="12.7109375" style="2" customWidth="1"/>
    <col min="3100" max="3100" width="13.140625" style="2" customWidth="1"/>
    <col min="3101" max="3101" width="14" style="2" customWidth="1"/>
    <col min="3102" max="3102" width="8.140625" style="2" customWidth="1"/>
    <col min="3103" max="3103" width="11.42578125" style="2" customWidth="1"/>
    <col min="3104" max="3104" width="24.7109375" style="2" customWidth="1"/>
    <col min="3105" max="3105" width="12" style="2" customWidth="1"/>
    <col min="3106" max="3107" width="0.28515625" style="2" customWidth="1"/>
    <col min="3108" max="3108" width="1.42578125" style="2" customWidth="1"/>
    <col min="3109" max="3109" width="0" style="2" hidden="1" customWidth="1"/>
    <col min="3110" max="3328" width="11.42578125" style="2"/>
    <col min="3329" max="3329" width="8" style="2" customWidth="1"/>
    <col min="3330" max="3330" width="13.42578125" style="2" customWidth="1"/>
    <col min="3331" max="3331" width="4.28515625" style="2" customWidth="1"/>
    <col min="3332" max="3332" width="4" style="2" customWidth="1"/>
    <col min="3333" max="3333" width="17" style="2" customWidth="1"/>
    <col min="3334" max="3334" width="4.140625" style="2" customWidth="1"/>
    <col min="3335" max="3335" width="11.28515625" style="2" customWidth="1"/>
    <col min="3336" max="3336" width="11" style="2" customWidth="1"/>
    <col min="3337" max="3338" width="2.140625" style="2" customWidth="1"/>
    <col min="3339" max="3339" width="3.28515625" style="2" customWidth="1"/>
    <col min="3340" max="3341" width="0" style="2" hidden="1" customWidth="1"/>
    <col min="3342" max="3342" width="2.85546875" style="2" customWidth="1"/>
    <col min="3343" max="3343" width="3.28515625" style="2" customWidth="1"/>
    <col min="3344" max="3344" width="1.42578125" style="2" customWidth="1"/>
    <col min="3345" max="3345" width="0" style="2" hidden="1" customWidth="1"/>
    <col min="3346" max="3346" width="6.85546875" style="2" customWidth="1"/>
    <col min="3347" max="3347" width="0" style="2" hidden="1" customWidth="1"/>
    <col min="3348" max="3349" width="6.28515625" style="2" customWidth="1"/>
    <col min="3350" max="3350" width="13.85546875" style="2" customWidth="1"/>
    <col min="3351" max="3351" width="10.85546875" style="2" customWidth="1"/>
    <col min="3352" max="3352" width="14.7109375" style="2" customWidth="1"/>
    <col min="3353" max="3353" width="0" style="2" hidden="1" customWidth="1"/>
    <col min="3354" max="3354" width="13" style="2" customWidth="1"/>
    <col min="3355" max="3355" width="12.7109375" style="2" customWidth="1"/>
    <col min="3356" max="3356" width="13.140625" style="2" customWidth="1"/>
    <col min="3357" max="3357" width="14" style="2" customWidth="1"/>
    <col min="3358" max="3358" width="8.140625" style="2" customWidth="1"/>
    <col min="3359" max="3359" width="11.42578125" style="2" customWidth="1"/>
    <col min="3360" max="3360" width="24.7109375" style="2" customWidth="1"/>
    <col min="3361" max="3361" width="12" style="2" customWidth="1"/>
    <col min="3362" max="3363" width="0.28515625" style="2" customWidth="1"/>
    <col min="3364" max="3364" width="1.42578125" style="2" customWidth="1"/>
    <col min="3365" max="3365" width="0" style="2" hidden="1" customWidth="1"/>
    <col min="3366" max="3584" width="11.42578125" style="2"/>
    <col min="3585" max="3585" width="8" style="2" customWidth="1"/>
    <col min="3586" max="3586" width="13.42578125" style="2" customWidth="1"/>
    <col min="3587" max="3587" width="4.28515625" style="2" customWidth="1"/>
    <col min="3588" max="3588" width="4" style="2" customWidth="1"/>
    <col min="3589" max="3589" width="17" style="2" customWidth="1"/>
    <col min="3590" max="3590" width="4.140625" style="2" customWidth="1"/>
    <col min="3591" max="3591" width="11.28515625" style="2" customWidth="1"/>
    <col min="3592" max="3592" width="11" style="2" customWidth="1"/>
    <col min="3593" max="3594" width="2.140625" style="2" customWidth="1"/>
    <col min="3595" max="3595" width="3.28515625" style="2" customWidth="1"/>
    <col min="3596" max="3597" width="0" style="2" hidden="1" customWidth="1"/>
    <col min="3598" max="3598" width="2.85546875" style="2" customWidth="1"/>
    <col min="3599" max="3599" width="3.28515625" style="2" customWidth="1"/>
    <col min="3600" max="3600" width="1.42578125" style="2" customWidth="1"/>
    <col min="3601" max="3601" width="0" style="2" hidden="1" customWidth="1"/>
    <col min="3602" max="3602" width="6.85546875" style="2" customWidth="1"/>
    <col min="3603" max="3603" width="0" style="2" hidden="1" customWidth="1"/>
    <col min="3604" max="3605" width="6.28515625" style="2" customWidth="1"/>
    <col min="3606" max="3606" width="13.85546875" style="2" customWidth="1"/>
    <col min="3607" max="3607" width="10.85546875" style="2" customWidth="1"/>
    <col min="3608" max="3608" width="14.7109375" style="2" customWidth="1"/>
    <col min="3609" max="3609" width="0" style="2" hidden="1" customWidth="1"/>
    <col min="3610" max="3610" width="13" style="2" customWidth="1"/>
    <col min="3611" max="3611" width="12.7109375" style="2" customWidth="1"/>
    <col min="3612" max="3612" width="13.140625" style="2" customWidth="1"/>
    <col min="3613" max="3613" width="14" style="2" customWidth="1"/>
    <col min="3614" max="3614" width="8.140625" style="2" customWidth="1"/>
    <col min="3615" max="3615" width="11.42578125" style="2" customWidth="1"/>
    <col min="3616" max="3616" width="24.7109375" style="2" customWidth="1"/>
    <col min="3617" max="3617" width="12" style="2" customWidth="1"/>
    <col min="3618" max="3619" width="0.28515625" style="2" customWidth="1"/>
    <col min="3620" max="3620" width="1.42578125" style="2" customWidth="1"/>
    <col min="3621" max="3621" width="0" style="2" hidden="1" customWidth="1"/>
    <col min="3622" max="3840" width="11.42578125" style="2"/>
    <col min="3841" max="3841" width="8" style="2" customWidth="1"/>
    <col min="3842" max="3842" width="13.42578125" style="2" customWidth="1"/>
    <col min="3843" max="3843" width="4.28515625" style="2" customWidth="1"/>
    <col min="3844" max="3844" width="4" style="2" customWidth="1"/>
    <col min="3845" max="3845" width="17" style="2" customWidth="1"/>
    <col min="3846" max="3846" width="4.140625" style="2" customWidth="1"/>
    <col min="3847" max="3847" width="11.28515625" style="2" customWidth="1"/>
    <col min="3848" max="3848" width="11" style="2" customWidth="1"/>
    <col min="3849" max="3850" width="2.140625" style="2" customWidth="1"/>
    <col min="3851" max="3851" width="3.28515625" style="2" customWidth="1"/>
    <col min="3852" max="3853" width="0" style="2" hidden="1" customWidth="1"/>
    <col min="3854" max="3854" width="2.85546875" style="2" customWidth="1"/>
    <col min="3855" max="3855" width="3.28515625" style="2" customWidth="1"/>
    <col min="3856" max="3856" width="1.42578125" style="2" customWidth="1"/>
    <col min="3857" max="3857" width="0" style="2" hidden="1" customWidth="1"/>
    <col min="3858" max="3858" width="6.85546875" style="2" customWidth="1"/>
    <col min="3859" max="3859" width="0" style="2" hidden="1" customWidth="1"/>
    <col min="3860" max="3861" width="6.28515625" style="2" customWidth="1"/>
    <col min="3862" max="3862" width="13.85546875" style="2" customWidth="1"/>
    <col min="3863" max="3863" width="10.85546875" style="2" customWidth="1"/>
    <col min="3864" max="3864" width="14.7109375" style="2" customWidth="1"/>
    <col min="3865" max="3865" width="0" style="2" hidden="1" customWidth="1"/>
    <col min="3866" max="3866" width="13" style="2" customWidth="1"/>
    <col min="3867" max="3867" width="12.7109375" style="2" customWidth="1"/>
    <col min="3868" max="3868" width="13.140625" style="2" customWidth="1"/>
    <col min="3869" max="3869" width="14" style="2" customWidth="1"/>
    <col min="3870" max="3870" width="8.140625" style="2" customWidth="1"/>
    <col min="3871" max="3871" width="11.42578125" style="2" customWidth="1"/>
    <col min="3872" max="3872" width="24.7109375" style="2" customWidth="1"/>
    <col min="3873" max="3873" width="12" style="2" customWidth="1"/>
    <col min="3874" max="3875" width="0.28515625" style="2" customWidth="1"/>
    <col min="3876" max="3876" width="1.42578125" style="2" customWidth="1"/>
    <col min="3877" max="3877" width="0" style="2" hidden="1" customWidth="1"/>
    <col min="3878" max="4096" width="11.42578125" style="2"/>
    <col min="4097" max="4097" width="8" style="2" customWidth="1"/>
    <col min="4098" max="4098" width="13.42578125" style="2" customWidth="1"/>
    <col min="4099" max="4099" width="4.28515625" style="2" customWidth="1"/>
    <col min="4100" max="4100" width="4" style="2" customWidth="1"/>
    <col min="4101" max="4101" width="17" style="2" customWidth="1"/>
    <col min="4102" max="4102" width="4.140625" style="2" customWidth="1"/>
    <col min="4103" max="4103" width="11.28515625" style="2" customWidth="1"/>
    <col min="4104" max="4104" width="11" style="2" customWidth="1"/>
    <col min="4105" max="4106" width="2.140625" style="2" customWidth="1"/>
    <col min="4107" max="4107" width="3.28515625" style="2" customWidth="1"/>
    <col min="4108" max="4109" width="0" style="2" hidden="1" customWidth="1"/>
    <col min="4110" max="4110" width="2.85546875" style="2" customWidth="1"/>
    <col min="4111" max="4111" width="3.28515625" style="2" customWidth="1"/>
    <col min="4112" max="4112" width="1.42578125" style="2" customWidth="1"/>
    <col min="4113" max="4113" width="0" style="2" hidden="1" customWidth="1"/>
    <col min="4114" max="4114" width="6.85546875" style="2" customWidth="1"/>
    <col min="4115" max="4115" width="0" style="2" hidden="1" customWidth="1"/>
    <col min="4116" max="4117" width="6.28515625" style="2" customWidth="1"/>
    <col min="4118" max="4118" width="13.85546875" style="2" customWidth="1"/>
    <col min="4119" max="4119" width="10.85546875" style="2" customWidth="1"/>
    <col min="4120" max="4120" width="14.7109375" style="2" customWidth="1"/>
    <col min="4121" max="4121" width="0" style="2" hidden="1" customWidth="1"/>
    <col min="4122" max="4122" width="13" style="2" customWidth="1"/>
    <col min="4123" max="4123" width="12.7109375" style="2" customWidth="1"/>
    <col min="4124" max="4124" width="13.140625" style="2" customWidth="1"/>
    <col min="4125" max="4125" width="14" style="2" customWidth="1"/>
    <col min="4126" max="4126" width="8.140625" style="2" customWidth="1"/>
    <col min="4127" max="4127" width="11.42578125" style="2" customWidth="1"/>
    <col min="4128" max="4128" width="24.7109375" style="2" customWidth="1"/>
    <col min="4129" max="4129" width="12" style="2" customWidth="1"/>
    <col min="4130" max="4131" width="0.28515625" style="2" customWidth="1"/>
    <col min="4132" max="4132" width="1.42578125" style="2" customWidth="1"/>
    <col min="4133" max="4133" width="0" style="2" hidden="1" customWidth="1"/>
    <col min="4134" max="4352" width="11.42578125" style="2"/>
    <col min="4353" max="4353" width="8" style="2" customWidth="1"/>
    <col min="4354" max="4354" width="13.42578125" style="2" customWidth="1"/>
    <col min="4355" max="4355" width="4.28515625" style="2" customWidth="1"/>
    <col min="4356" max="4356" width="4" style="2" customWidth="1"/>
    <col min="4357" max="4357" width="17" style="2" customWidth="1"/>
    <col min="4358" max="4358" width="4.140625" style="2" customWidth="1"/>
    <col min="4359" max="4359" width="11.28515625" style="2" customWidth="1"/>
    <col min="4360" max="4360" width="11" style="2" customWidth="1"/>
    <col min="4361" max="4362" width="2.140625" style="2" customWidth="1"/>
    <col min="4363" max="4363" width="3.28515625" style="2" customWidth="1"/>
    <col min="4364" max="4365" width="0" style="2" hidden="1" customWidth="1"/>
    <col min="4366" max="4366" width="2.85546875" style="2" customWidth="1"/>
    <col min="4367" max="4367" width="3.28515625" style="2" customWidth="1"/>
    <col min="4368" max="4368" width="1.42578125" style="2" customWidth="1"/>
    <col min="4369" max="4369" width="0" style="2" hidden="1" customWidth="1"/>
    <col min="4370" max="4370" width="6.85546875" style="2" customWidth="1"/>
    <col min="4371" max="4371" width="0" style="2" hidden="1" customWidth="1"/>
    <col min="4372" max="4373" width="6.28515625" style="2" customWidth="1"/>
    <col min="4374" max="4374" width="13.85546875" style="2" customWidth="1"/>
    <col min="4375" max="4375" width="10.85546875" style="2" customWidth="1"/>
    <col min="4376" max="4376" width="14.7109375" style="2" customWidth="1"/>
    <col min="4377" max="4377" width="0" style="2" hidden="1" customWidth="1"/>
    <col min="4378" max="4378" width="13" style="2" customWidth="1"/>
    <col min="4379" max="4379" width="12.7109375" style="2" customWidth="1"/>
    <col min="4380" max="4380" width="13.140625" style="2" customWidth="1"/>
    <col min="4381" max="4381" width="14" style="2" customWidth="1"/>
    <col min="4382" max="4382" width="8.140625" style="2" customWidth="1"/>
    <col min="4383" max="4383" width="11.42578125" style="2" customWidth="1"/>
    <col min="4384" max="4384" width="24.7109375" style="2" customWidth="1"/>
    <col min="4385" max="4385" width="12" style="2" customWidth="1"/>
    <col min="4386" max="4387" width="0.28515625" style="2" customWidth="1"/>
    <col min="4388" max="4388" width="1.42578125" style="2" customWidth="1"/>
    <col min="4389" max="4389" width="0" style="2" hidden="1" customWidth="1"/>
    <col min="4390" max="4608" width="11.42578125" style="2"/>
    <col min="4609" max="4609" width="8" style="2" customWidth="1"/>
    <col min="4610" max="4610" width="13.42578125" style="2" customWidth="1"/>
    <col min="4611" max="4611" width="4.28515625" style="2" customWidth="1"/>
    <col min="4612" max="4612" width="4" style="2" customWidth="1"/>
    <col min="4613" max="4613" width="17" style="2" customWidth="1"/>
    <col min="4614" max="4614" width="4.140625" style="2" customWidth="1"/>
    <col min="4615" max="4615" width="11.28515625" style="2" customWidth="1"/>
    <col min="4616" max="4616" width="11" style="2" customWidth="1"/>
    <col min="4617" max="4618" width="2.140625" style="2" customWidth="1"/>
    <col min="4619" max="4619" width="3.28515625" style="2" customWidth="1"/>
    <col min="4620" max="4621" width="0" style="2" hidden="1" customWidth="1"/>
    <col min="4622" max="4622" width="2.85546875" style="2" customWidth="1"/>
    <col min="4623" max="4623" width="3.28515625" style="2" customWidth="1"/>
    <col min="4624" max="4624" width="1.42578125" style="2" customWidth="1"/>
    <col min="4625" max="4625" width="0" style="2" hidden="1" customWidth="1"/>
    <col min="4626" max="4626" width="6.85546875" style="2" customWidth="1"/>
    <col min="4627" max="4627" width="0" style="2" hidden="1" customWidth="1"/>
    <col min="4628" max="4629" width="6.28515625" style="2" customWidth="1"/>
    <col min="4630" max="4630" width="13.85546875" style="2" customWidth="1"/>
    <col min="4631" max="4631" width="10.85546875" style="2" customWidth="1"/>
    <col min="4632" max="4632" width="14.7109375" style="2" customWidth="1"/>
    <col min="4633" max="4633" width="0" style="2" hidden="1" customWidth="1"/>
    <col min="4634" max="4634" width="13" style="2" customWidth="1"/>
    <col min="4635" max="4635" width="12.7109375" style="2" customWidth="1"/>
    <col min="4636" max="4636" width="13.140625" style="2" customWidth="1"/>
    <col min="4637" max="4637" width="14" style="2" customWidth="1"/>
    <col min="4638" max="4638" width="8.140625" style="2" customWidth="1"/>
    <col min="4639" max="4639" width="11.42578125" style="2" customWidth="1"/>
    <col min="4640" max="4640" width="24.7109375" style="2" customWidth="1"/>
    <col min="4641" max="4641" width="12" style="2" customWidth="1"/>
    <col min="4642" max="4643" width="0.28515625" style="2" customWidth="1"/>
    <col min="4644" max="4644" width="1.42578125" style="2" customWidth="1"/>
    <col min="4645" max="4645" width="0" style="2" hidden="1" customWidth="1"/>
    <col min="4646" max="4864" width="11.42578125" style="2"/>
    <col min="4865" max="4865" width="8" style="2" customWidth="1"/>
    <col min="4866" max="4866" width="13.42578125" style="2" customWidth="1"/>
    <col min="4867" max="4867" width="4.28515625" style="2" customWidth="1"/>
    <col min="4868" max="4868" width="4" style="2" customWidth="1"/>
    <col min="4869" max="4869" width="17" style="2" customWidth="1"/>
    <col min="4870" max="4870" width="4.140625" style="2" customWidth="1"/>
    <col min="4871" max="4871" width="11.28515625" style="2" customWidth="1"/>
    <col min="4872" max="4872" width="11" style="2" customWidth="1"/>
    <col min="4873" max="4874" width="2.140625" style="2" customWidth="1"/>
    <col min="4875" max="4875" width="3.28515625" style="2" customWidth="1"/>
    <col min="4876" max="4877" width="0" style="2" hidden="1" customWidth="1"/>
    <col min="4878" max="4878" width="2.85546875" style="2" customWidth="1"/>
    <col min="4879" max="4879" width="3.28515625" style="2" customWidth="1"/>
    <col min="4880" max="4880" width="1.42578125" style="2" customWidth="1"/>
    <col min="4881" max="4881" width="0" style="2" hidden="1" customWidth="1"/>
    <col min="4882" max="4882" width="6.85546875" style="2" customWidth="1"/>
    <col min="4883" max="4883" width="0" style="2" hidden="1" customWidth="1"/>
    <col min="4884" max="4885" width="6.28515625" style="2" customWidth="1"/>
    <col min="4886" max="4886" width="13.85546875" style="2" customWidth="1"/>
    <col min="4887" max="4887" width="10.85546875" style="2" customWidth="1"/>
    <col min="4888" max="4888" width="14.7109375" style="2" customWidth="1"/>
    <col min="4889" max="4889" width="0" style="2" hidden="1" customWidth="1"/>
    <col min="4890" max="4890" width="13" style="2" customWidth="1"/>
    <col min="4891" max="4891" width="12.7109375" style="2" customWidth="1"/>
    <col min="4892" max="4892" width="13.140625" style="2" customWidth="1"/>
    <col min="4893" max="4893" width="14" style="2" customWidth="1"/>
    <col min="4894" max="4894" width="8.140625" style="2" customWidth="1"/>
    <col min="4895" max="4895" width="11.42578125" style="2" customWidth="1"/>
    <col min="4896" max="4896" width="24.7109375" style="2" customWidth="1"/>
    <col min="4897" max="4897" width="12" style="2" customWidth="1"/>
    <col min="4898" max="4899" width="0.28515625" style="2" customWidth="1"/>
    <col min="4900" max="4900" width="1.42578125" style="2" customWidth="1"/>
    <col min="4901" max="4901" width="0" style="2" hidden="1" customWidth="1"/>
    <col min="4902" max="5120" width="11.42578125" style="2"/>
    <col min="5121" max="5121" width="8" style="2" customWidth="1"/>
    <col min="5122" max="5122" width="13.42578125" style="2" customWidth="1"/>
    <col min="5123" max="5123" width="4.28515625" style="2" customWidth="1"/>
    <col min="5124" max="5124" width="4" style="2" customWidth="1"/>
    <col min="5125" max="5125" width="17" style="2" customWidth="1"/>
    <col min="5126" max="5126" width="4.140625" style="2" customWidth="1"/>
    <col min="5127" max="5127" width="11.28515625" style="2" customWidth="1"/>
    <col min="5128" max="5128" width="11" style="2" customWidth="1"/>
    <col min="5129" max="5130" width="2.140625" style="2" customWidth="1"/>
    <col min="5131" max="5131" width="3.28515625" style="2" customWidth="1"/>
    <col min="5132" max="5133" width="0" style="2" hidden="1" customWidth="1"/>
    <col min="5134" max="5134" width="2.85546875" style="2" customWidth="1"/>
    <col min="5135" max="5135" width="3.28515625" style="2" customWidth="1"/>
    <col min="5136" max="5136" width="1.42578125" style="2" customWidth="1"/>
    <col min="5137" max="5137" width="0" style="2" hidden="1" customWidth="1"/>
    <col min="5138" max="5138" width="6.85546875" style="2" customWidth="1"/>
    <col min="5139" max="5139" width="0" style="2" hidden="1" customWidth="1"/>
    <col min="5140" max="5141" width="6.28515625" style="2" customWidth="1"/>
    <col min="5142" max="5142" width="13.85546875" style="2" customWidth="1"/>
    <col min="5143" max="5143" width="10.85546875" style="2" customWidth="1"/>
    <col min="5144" max="5144" width="14.7109375" style="2" customWidth="1"/>
    <col min="5145" max="5145" width="0" style="2" hidden="1" customWidth="1"/>
    <col min="5146" max="5146" width="13" style="2" customWidth="1"/>
    <col min="5147" max="5147" width="12.7109375" style="2" customWidth="1"/>
    <col min="5148" max="5148" width="13.140625" style="2" customWidth="1"/>
    <col min="5149" max="5149" width="14" style="2" customWidth="1"/>
    <col min="5150" max="5150" width="8.140625" style="2" customWidth="1"/>
    <col min="5151" max="5151" width="11.42578125" style="2" customWidth="1"/>
    <col min="5152" max="5152" width="24.7109375" style="2" customWidth="1"/>
    <col min="5153" max="5153" width="12" style="2" customWidth="1"/>
    <col min="5154" max="5155" width="0.28515625" style="2" customWidth="1"/>
    <col min="5156" max="5156" width="1.42578125" style="2" customWidth="1"/>
    <col min="5157" max="5157" width="0" style="2" hidden="1" customWidth="1"/>
    <col min="5158" max="5376" width="11.42578125" style="2"/>
    <col min="5377" max="5377" width="8" style="2" customWidth="1"/>
    <col min="5378" max="5378" width="13.42578125" style="2" customWidth="1"/>
    <col min="5379" max="5379" width="4.28515625" style="2" customWidth="1"/>
    <col min="5380" max="5380" width="4" style="2" customWidth="1"/>
    <col min="5381" max="5381" width="17" style="2" customWidth="1"/>
    <col min="5382" max="5382" width="4.140625" style="2" customWidth="1"/>
    <col min="5383" max="5383" width="11.28515625" style="2" customWidth="1"/>
    <col min="5384" max="5384" width="11" style="2" customWidth="1"/>
    <col min="5385" max="5386" width="2.140625" style="2" customWidth="1"/>
    <col min="5387" max="5387" width="3.28515625" style="2" customWidth="1"/>
    <col min="5388" max="5389" width="0" style="2" hidden="1" customWidth="1"/>
    <col min="5390" max="5390" width="2.85546875" style="2" customWidth="1"/>
    <col min="5391" max="5391" width="3.28515625" style="2" customWidth="1"/>
    <col min="5392" max="5392" width="1.42578125" style="2" customWidth="1"/>
    <col min="5393" max="5393" width="0" style="2" hidden="1" customWidth="1"/>
    <col min="5394" max="5394" width="6.85546875" style="2" customWidth="1"/>
    <col min="5395" max="5395" width="0" style="2" hidden="1" customWidth="1"/>
    <col min="5396" max="5397" width="6.28515625" style="2" customWidth="1"/>
    <col min="5398" max="5398" width="13.85546875" style="2" customWidth="1"/>
    <col min="5399" max="5399" width="10.85546875" style="2" customWidth="1"/>
    <col min="5400" max="5400" width="14.7109375" style="2" customWidth="1"/>
    <col min="5401" max="5401" width="0" style="2" hidden="1" customWidth="1"/>
    <col min="5402" max="5402" width="13" style="2" customWidth="1"/>
    <col min="5403" max="5403" width="12.7109375" style="2" customWidth="1"/>
    <col min="5404" max="5404" width="13.140625" style="2" customWidth="1"/>
    <col min="5405" max="5405" width="14" style="2" customWidth="1"/>
    <col min="5406" max="5406" width="8.140625" style="2" customWidth="1"/>
    <col min="5407" max="5407" width="11.42578125" style="2" customWidth="1"/>
    <col min="5408" max="5408" width="24.7109375" style="2" customWidth="1"/>
    <col min="5409" max="5409" width="12" style="2" customWidth="1"/>
    <col min="5410" max="5411" width="0.28515625" style="2" customWidth="1"/>
    <col min="5412" max="5412" width="1.42578125" style="2" customWidth="1"/>
    <col min="5413" max="5413" width="0" style="2" hidden="1" customWidth="1"/>
    <col min="5414" max="5632" width="11.42578125" style="2"/>
    <col min="5633" max="5633" width="8" style="2" customWidth="1"/>
    <col min="5634" max="5634" width="13.42578125" style="2" customWidth="1"/>
    <col min="5635" max="5635" width="4.28515625" style="2" customWidth="1"/>
    <col min="5636" max="5636" width="4" style="2" customWidth="1"/>
    <col min="5637" max="5637" width="17" style="2" customWidth="1"/>
    <col min="5638" max="5638" width="4.140625" style="2" customWidth="1"/>
    <col min="5639" max="5639" width="11.28515625" style="2" customWidth="1"/>
    <col min="5640" max="5640" width="11" style="2" customWidth="1"/>
    <col min="5641" max="5642" width="2.140625" style="2" customWidth="1"/>
    <col min="5643" max="5643" width="3.28515625" style="2" customWidth="1"/>
    <col min="5644" max="5645" width="0" style="2" hidden="1" customWidth="1"/>
    <col min="5646" max="5646" width="2.85546875" style="2" customWidth="1"/>
    <col min="5647" max="5647" width="3.28515625" style="2" customWidth="1"/>
    <col min="5648" max="5648" width="1.42578125" style="2" customWidth="1"/>
    <col min="5649" max="5649" width="0" style="2" hidden="1" customWidth="1"/>
    <col min="5650" max="5650" width="6.85546875" style="2" customWidth="1"/>
    <col min="5651" max="5651" width="0" style="2" hidden="1" customWidth="1"/>
    <col min="5652" max="5653" width="6.28515625" style="2" customWidth="1"/>
    <col min="5654" max="5654" width="13.85546875" style="2" customWidth="1"/>
    <col min="5655" max="5655" width="10.85546875" style="2" customWidth="1"/>
    <col min="5656" max="5656" width="14.7109375" style="2" customWidth="1"/>
    <col min="5657" max="5657" width="0" style="2" hidden="1" customWidth="1"/>
    <col min="5658" max="5658" width="13" style="2" customWidth="1"/>
    <col min="5659" max="5659" width="12.7109375" style="2" customWidth="1"/>
    <col min="5660" max="5660" width="13.140625" style="2" customWidth="1"/>
    <col min="5661" max="5661" width="14" style="2" customWidth="1"/>
    <col min="5662" max="5662" width="8.140625" style="2" customWidth="1"/>
    <col min="5663" max="5663" width="11.42578125" style="2" customWidth="1"/>
    <col min="5664" max="5664" width="24.7109375" style="2" customWidth="1"/>
    <col min="5665" max="5665" width="12" style="2" customWidth="1"/>
    <col min="5666" max="5667" width="0.28515625" style="2" customWidth="1"/>
    <col min="5668" max="5668" width="1.42578125" style="2" customWidth="1"/>
    <col min="5669" max="5669" width="0" style="2" hidden="1" customWidth="1"/>
    <col min="5670" max="5888" width="11.42578125" style="2"/>
    <col min="5889" max="5889" width="8" style="2" customWidth="1"/>
    <col min="5890" max="5890" width="13.42578125" style="2" customWidth="1"/>
    <col min="5891" max="5891" width="4.28515625" style="2" customWidth="1"/>
    <col min="5892" max="5892" width="4" style="2" customWidth="1"/>
    <col min="5893" max="5893" width="17" style="2" customWidth="1"/>
    <col min="5894" max="5894" width="4.140625" style="2" customWidth="1"/>
    <col min="5895" max="5895" width="11.28515625" style="2" customWidth="1"/>
    <col min="5896" max="5896" width="11" style="2" customWidth="1"/>
    <col min="5897" max="5898" width="2.140625" style="2" customWidth="1"/>
    <col min="5899" max="5899" width="3.28515625" style="2" customWidth="1"/>
    <col min="5900" max="5901" width="0" style="2" hidden="1" customWidth="1"/>
    <col min="5902" max="5902" width="2.85546875" style="2" customWidth="1"/>
    <col min="5903" max="5903" width="3.28515625" style="2" customWidth="1"/>
    <col min="5904" max="5904" width="1.42578125" style="2" customWidth="1"/>
    <col min="5905" max="5905" width="0" style="2" hidden="1" customWidth="1"/>
    <col min="5906" max="5906" width="6.85546875" style="2" customWidth="1"/>
    <col min="5907" max="5907" width="0" style="2" hidden="1" customWidth="1"/>
    <col min="5908" max="5909" width="6.28515625" style="2" customWidth="1"/>
    <col min="5910" max="5910" width="13.85546875" style="2" customWidth="1"/>
    <col min="5911" max="5911" width="10.85546875" style="2" customWidth="1"/>
    <col min="5912" max="5912" width="14.7109375" style="2" customWidth="1"/>
    <col min="5913" max="5913" width="0" style="2" hidden="1" customWidth="1"/>
    <col min="5914" max="5914" width="13" style="2" customWidth="1"/>
    <col min="5915" max="5915" width="12.7109375" style="2" customWidth="1"/>
    <col min="5916" max="5916" width="13.140625" style="2" customWidth="1"/>
    <col min="5917" max="5917" width="14" style="2" customWidth="1"/>
    <col min="5918" max="5918" width="8.140625" style="2" customWidth="1"/>
    <col min="5919" max="5919" width="11.42578125" style="2" customWidth="1"/>
    <col min="5920" max="5920" width="24.7109375" style="2" customWidth="1"/>
    <col min="5921" max="5921" width="12" style="2" customWidth="1"/>
    <col min="5922" max="5923" width="0.28515625" style="2" customWidth="1"/>
    <col min="5924" max="5924" width="1.42578125" style="2" customWidth="1"/>
    <col min="5925" max="5925" width="0" style="2" hidden="1" customWidth="1"/>
    <col min="5926" max="6144" width="11.42578125" style="2"/>
    <col min="6145" max="6145" width="8" style="2" customWidth="1"/>
    <col min="6146" max="6146" width="13.42578125" style="2" customWidth="1"/>
    <col min="6147" max="6147" width="4.28515625" style="2" customWidth="1"/>
    <col min="6148" max="6148" width="4" style="2" customWidth="1"/>
    <col min="6149" max="6149" width="17" style="2" customWidth="1"/>
    <col min="6150" max="6150" width="4.140625" style="2" customWidth="1"/>
    <col min="6151" max="6151" width="11.28515625" style="2" customWidth="1"/>
    <col min="6152" max="6152" width="11" style="2" customWidth="1"/>
    <col min="6153" max="6154" width="2.140625" style="2" customWidth="1"/>
    <col min="6155" max="6155" width="3.28515625" style="2" customWidth="1"/>
    <col min="6156" max="6157" width="0" style="2" hidden="1" customWidth="1"/>
    <col min="6158" max="6158" width="2.85546875" style="2" customWidth="1"/>
    <col min="6159" max="6159" width="3.28515625" style="2" customWidth="1"/>
    <col min="6160" max="6160" width="1.42578125" style="2" customWidth="1"/>
    <col min="6161" max="6161" width="0" style="2" hidden="1" customWidth="1"/>
    <col min="6162" max="6162" width="6.85546875" style="2" customWidth="1"/>
    <col min="6163" max="6163" width="0" style="2" hidden="1" customWidth="1"/>
    <col min="6164" max="6165" width="6.28515625" style="2" customWidth="1"/>
    <col min="6166" max="6166" width="13.85546875" style="2" customWidth="1"/>
    <col min="6167" max="6167" width="10.85546875" style="2" customWidth="1"/>
    <col min="6168" max="6168" width="14.7109375" style="2" customWidth="1"/>
    <col min="6169" max="6169" width="0" style="2" hidden="1" customWidth="1"/>
    <col min="6170" max="6170" width="13" style="2" customWidth="1"/>
    <col min="6171" max="6171" width="12.7109375" style="2" customWidth="1"/>
    <col min="6172" max="6172" width="13.140625" style="2" customWidth="1"/>
    <col min="6173" max="6173" width="14" style="2" customWidth="1"/>
    <col min="6174" max="6174" width="8.140625" style="2" customWidth="1"/>
    <col min="6175" max="6175" width="11.42578125" style="2" customWidth="1"/>
    <col min="6176" max="6176" width="24.7109375" style="2" customWidth="1"/>
    <col min="6177" max="6177" width="12" style="2" customWidth="1"/>
    <col min="6178" max="6179" width="0.28515625" style="2" customWidth="1"/>
    <col min="6180" max="6180" width="1.42578125" style="2" customWidth="1"/>
    <col min="6181" max="6181" width="0" style="2" hidden="1" customWidth="1"/>
    <col min="6182" max="6400" width="11.42578125" style="2"/>
    <col min="6401" max="6401" width="8" style="2" customWidth="1"/>
    <col min="6402" max="6402" width="13.42578125" style="2" customWidth="1"/>
    <col min="6403" max="6403" width="4.28515625" style="2" customWidth="1"/>
    <col min="6404" max="6404" width="4" style="2" customWidth="1"/>
    <col min="6405" max="6405" width="17" style="2" customWidth="1"/>
    <col min="6406" max="6406" width="4.140625" style="2" customWidth="1"/>
    <col min="6407" max="6407" width="11.28515625" style="2" customWidth="1"/>
    <col min="6408" max="6408" width="11" style="2" customWidth="1"/>
    <col min="6409" max="6410" width="2.140625" style="2" customWidth="1"/>
    <col min="6411" max="6411" width="3.28515625" style="2" customWidth="1"/>
    <col min="6412" max="6413" width="0" style="2" hidden="1" customWidth="1"/>
    <col min="6414" max="6414" width="2.85546875" style="2" customWidth="1"/>
    <col min="6415" max="6415" width="3.28515625" style="2" customWidth="1"/>
    <col min="6416" max="6416" width="1.42578125" style="2" customWidth="1"/>
    <col min="6417" max="6417" width="0" style="2" hidden="1" customWidth="1"/>
    <col min="6418" max="6418" width="6.85546875" style="2" customWidth="1"/>
    <col min="6419" max="6419" width="0" style="2" hidden="1" customWidth="1"/>
    <col min="6420" max="6421" width="6.28515625" style="2" customWidth="1"/>
    <col min="6422" max="6422" width="13.85546875" style="2" customWidth="1"/>
    <col min="6423" max="6423" width="10.85546875" style="2" customWidth="1"/>
    <col min="6424" max="6424" width="14.7109375" style="2" customWidth="1"/>
    <col min="6425" max="6425" width="0" style="2" hidden="1" customWidth="1"/>
    <col min="6426" max="6426" width="13" style="2" customWidth="1"/>
    <col min="6427" max="6427" width="12.7109375" style="2" customWidth="1"/>
    <col min="6428" max="6428" width="13.140625" style="2" customWidth="1"/>
    <col min="6429" max="6429" width="14" style="2" customWidth="1"/>
    <col min="6430" max="6430" width="8.140625" style="2" customWidth="1"/>
    <col min="6431" max="6431" width="11.42578125" style="2" customWidth="1"/>
    <col min="6432" max="6432" width="24.7109375" style="2" customWidth="1"/>
    <col min="6433" max="6433" width="12" style="2" customWidth="1"/>
    <col min="6434" max="6435" width="0.28515625" style="2" customWidth="1"/>
    <col min="6436" max="6436" width="1.42578125" style="2" customWidth="1"/>
    <col min="6437" max="6437" width="0" style="2" hidden="1" customWidth="1"/>
    <col min="6438" max="6656" width="11.42578125" style="2"/>
    <col min="6657" max="6657" width="8" style="2" customWidth="1"/>
    <col min="6658" max="6658" width="13.42578125" style="2" customWidth="1"/>
    <col min="6659" max="6659" width="4.28515625" style="2" customWidth="1"/>
    <col min="6660" max="6660" width="4" style="2" customWidth="1"/>
    <col min="6661" max="6661" width="17" style="2" customWidth="1"/>
    <col min="6662" max="6662" width="4.140625" style="2" customWidth="1"/>
    <col min="6663" max="6663" width="11.28515625" style="2" customWidth="1"/>
    <col min="6664" max="6664" width="11" style="2" customWidth="1"/>
    <col min="6665" max="6666" width="2.140625" style="2" customWidth="1"/>
    <col min="6667" max="6667" width="3.28515625" style="2" customWidth="1"/>
    <col min="6668" max="6669" width="0" style="2" hidden="1" customWidth="1"/>
    <col min="6670" max="6670" width="2.85546875" style="2" customWidth="1"/>
    <col min="6671" max="6671" width="3.28515625" style="2" customWidth="1"/>
    <col min="6672" max="6672" width="1.42578125" style="2" customWidth="1"/>
    <col min="6673" max="6673" width="0" style="2" hidden="1" customWidth="1"/>
    <col min="6674" max="6674" width="6.85546875" style="2" customWidth="1"/>
    <col min="6675" max="6675" width="0" style="2" hidden="1" customWidth="1"/>
    <col min="6676" max="6677" width="6.28515625" style="2" customWidth="1"/>
    <col min="6678" max="6678" width="13.85546875" style="2" customWidth="1"/>
    <col min="6679" max="6679" width="10.85546875" style="2" customWidth="1"/>
    <col min="6680" max="6680" width="14.7109375" style="2" customWidth="1"/>
    <col min="6681" max="6681" width="0" style="2" hidden="1" customWidth="1"/>
    <col min="6682" max="6682" width="13" style="2" customWidth="1"/>
    <col min="6683" max="6683" width="12.7109375" style="2" customWidth="1"/>
    <col min="6684" max="6684" width="13.140625" style="2" customWidth="1"/>
    <col min="6685" max="6685" width="14" style="2" customWidth="1"/>
    <col min="6686" max="6686" width="8.140625" style="2" customWidth="1"/>
    <col min="6687" max="6687" width="11.42578125" style="2" customWidth="1"/>
    <col min="6688" max="6688" width="24.7109375" style="2" customWidth="1"/>
    <col min="6689" max="6689" width="12" style="2" customWidth="1"/>
    <col min="6690" max="6691" width="0.28515625" style="2" customWidth="1"/>
    <col min="6692" max="6692" width="1.42578125" style="2" customWidth="1"/>
    <col min="6693" max="6693" width="0" style="2" hidden="1" customWidth="1"/>
    <col min="6694" max="6912" width="11.42578125" style="2"/>
    <col min="6913" max="6913" width="8" style="2" customWidth="1"/>
    <col min="6914" max="6914" width="13.42578125" style="2" customWidth="1"/>
    <col min="6915" max="6915" width="4.28515625" style="2" customWidth="1"/>
    <col min="6916" max="6916" width="4" style="2" customWidth="1"/>
    <col min="6917" max="6917" width="17" style="2" customWidth="1"/>
    <col min="6918" max="6918" width="4.140625" style="2" customWidth="1"/>
    <col min="6919" max="6919" width="11.28515625" style="2" customWidth="1"/>
    <col min="6920" max="6920" width="11" style="2" customWidth="1"/>
    <col min="6921" max="6922" width="2.140625" style="2" customWidth="1"/>
    <col min="6923" max="6923" width="3.28515625" style="2" customWidth="1"/>
    <col min="6924" max="6925" width="0" style="2" hidden="1" customWidth="1"/>
    <col min="6926" max="6926" width="2.85546875" style="2" customWidth="1"/>
    <col min="6927" max="6927" width="3.28515625" style="2" customWidth="1"/>
    <col min="6928" max="6928" width="1.42578125" style="2" customWidth="1"/>
    <col min="6929" max="6929" width="0" style="2" hidden="1" customWidth="1"/>
    <col min="6930" max="6930" width="6.85546875" style="2" customWidth="1"/>
    <col min="6931" max="6931" width="0" style="2" hidden="1" customWidth="1"/>
    <col min="6932" max="6933" width="6.28515625" style="2" customWidth="1"/>
    <col min="6934" max="6934" width="13.85546875" style="2" customWidth="1"/>
    <col min="6935" max="6935" width="10.85546875" style="2" customWidth="1"/>
    <col min="6936" max="6936" width="14.7109375" style="2" customWidth="1"/>
    <col min="6937" max="6937" width="0" style="2" hidden="1" customWidth="1"/>
    <col min="6938" max="6938" width="13" style="2" customWidth="1"/>
    <col min="6939" max="6939" width="12.7109375" style="2" customWidth="1"/>
    <col min="6940" max="6940" width="13.140625" style="2" customWidth="1"/>
    <col min="6941" max="6941" width="14" style="2" customWidth="1"/>
    <col min="6942" max="6942" width="8.140625" style="2" customWidth="1"/>
    <col min="6943" max="6943" width="11.42578125" style="2" customWidth="1"/>
    <col min="6944" max="6944" width="24.7109375" style="2" customWidth="1"/>
    <col min="6945" max="6945" width="12" style="2" customWidth="1"/>
    <col min="6946" max="6947" width="0.28515625" style="2" customWidth="1"/>
    <col min="6948" max="6948" width="1.42578125" style="2" customWidth="1"/>
    <col min="6949" max="6949" width="0" style="2" hidden="1" customWidth="1"/>
    <col min="6950" max="7168" width="11.42578125" style="2"/>
    <col min="7169" max="7169" width="8" style="2" customWidth="1"/>
    <col min="7170" max="7170" width="13.42578125" style="2" customWidth="1"/>
    <col min="7171" max="7171" width="4.28515625" style="2" customWidth="1"/>
    <col min="7172" max="7172" width="4" style="2" customWidth="1"/>
    <col min="7173" max="7173" width="17" style="2" customWidth="1"/>
    <col min="7174" max="7174" width="4.140625" style="2" customWidth="1"/>
    <col min="7175" max="7175" width="11.28515625" style="2" customWidth="1"/>
    <col min="7176" max="7176" width="11" style="2" customWidth="1"/>
    <col min="7177" max="7178" width="2.140625" style="2" customWidth="1"/>
    <col min="7179" max="7179" width="3.28515625" style="2" customWidth="1"/>
    <col min="7180" max="7181" width="0" style="2" hidden="1" customWidth="1"/>
    <col min="7182" max="7182" width="2.85546875" style="2" customWidth="1"/>
    <col min="7183" max="7183" width="3.28515625" style="2" customWidth="1"/>
    <col min="7184" max="7184" width="1.42578125" style="2" customWidth="1"/>
    <col min="7185" max="7185" width="0" style="2" hidden="1" customWidth="1"/>
    <col min="7186" max="7186" width="6.85546875" style="2" customWidth="1"/>
    <col min="7187" max="7187" width="0" style="2" hidden="1" customWidth="1"/>
    <col min="7188" max="7189" width="6.28515625" style="2" customWidth="1"/>
    <col min="7190" max="7190" width="13.85546875" style="2" customWidth="1"/>
    <col min="7191" max="7191" width="10.85546875" style="2" customWidth="1"/>
    <col min="7192" max="7192" width="14.7109375" style="2" customWidth="1"/>
    <col min="7193" max="7193" width="0" style="2" hidden="1" customWidth="1"/>
    <col min="7194" max="7194" width="13" style="2" customWidth="1"/>
    <col min="7195" max="7195" width="12.7109375" style="2" customWidth="1"/>
    <col min="7196" max="7196" width="13.140625" style="2" customWidth="1"/>
    <col min="7197" max="7197" width="14" style="2" customWidth="1"/>
    <col min="7198" max="7198" width="8.140625" style="2" customWidth="1"/>
    <col min="7199" max="7199" width="11.42578125" style="2" customWidth="1"/>
    <col min="7200" max="7200" width="24.7109375" style="2" customWidth="1"/>
    <col min="7201" max="7201" width="12" style="2" customWidth="1"/>
    <col min="7202" max="7203" width="0.28515625" style="2" customWidth="1"/>
    <col min="7204" max="7204" width="1.42578125" style="2" customWidth="1"/>
    <col min="7205" max="7205" width="0" style="2" hidden="1" customWidth="1"/>
    <col min="7206" max="7424" width="11.42578125" style="2"/>
    <col min="7425" max="7425" width="8" style="2" customWidth="1"/>
    <col min="7426" max="7426" width="13.42578125" style="2" customWidth="1"/>
    <col min="7427" max="7427" width="4.28515625" style="2" customWidth="1"/>
    <col min="7428" max="7428" width="4" style="2" customWidth="1"/>
    <col min="7429" max="7429" width="17" style="2" customWidth="1"/>
    <col min="7430" max="7430" width="4.140625" style="2" customWidth="1"/>
    <col min="7431" max="7431" width="11.28515625" style="2" customWidth="1"/>
    <col min="7432" max="7432" width="11" style="2" customWidth="1"/>
    <col min="7433" max="7434" width="2.140625" style="2" customWidth="1"/>
    <col min="7435" max="7435" width="3.28515625" style="2" customWidth="1"/>
    <col min="7436" max="7437" width="0" style="2" hidden="1" customWidth="1"/>
    <col min="7438" max="7438" width="2.85546875" style="2" customWidth="1"/>
    <col min="7439" max="7439" width="3.28515625" style="2" customWidth="1"/>
    <col min="7440" max="7440" width="1.42578125" style="2" customWidth="1"/>
    <col min="7441" max="7441" width="0" style="2" hidden="1" customWidth="1"/>
    <col min="7442" max="7442" width="6.85546875" style="2" customWidth="1"/>
    <col min="7443" max="7443" width="0" style="2" hidden="1" customWidth="1"/>
    <col min="7444" max="7445" width="6.28515625" style="2" customWidth="1"/>
    <col min="7446" max="7446" width="13.85546875" style="2" customWidth="1"/>
    <col min="7447" max="7447" width="10.85546875" style="2" customWidth="1"/>
    <col min="7448" max="7448" width="14.7109375" style="2" customWidth="1"/>
    <col min="7449" max="7449" width="0" style="2" hidden="1" customWidth="1"/>
    <col min="7450" max="7450" width="13" style="2" customWidth="1"/>
    <col min="7451" max="7451" width="12.7109375" style="2" customWidth="1"/>
    <col min="7452" max="7452" width="13.140625" style="2" customWidth="1"/>
    <col min="7453" max="7453" width="14" style="2" customWidth="1"/>
    <col min="7454" max="7454" width="8.140625" style="2" customWidth="1"/>
    <col min="7455" max="7455" width="11.42578125" style="2" customWidth="1"/>
    <col min="7456" max="7456" width="24.7109375" style="2" customWidth="1"/>
    <col min="7457" max="7457" width="12" style="2" customWidth="1"/>
    <col min="7458" max="7459" width="0.28515625" style="2" customWidth="1"/>
    <col min="7460" max="7460" width="1.42578125" style="2" customWidth="1"/>
    <col min="7461" max="7461" width="0" style="2" hidden="1" customWidth="1"/>
    <col min="7462" max="7680" width="11.42578125" style="2"/>
    <col min="7681" max="7681" width="8" style="2" customWidth="1"/>
    <col min="7682" max="7682" width="13.42578125" style="2" customWidth="1"/>
    <col min="7683" max="7683" width="4.28515625" style="2" customWidth="1"/>
    <col min="7684" max="7684" width="4" style="2" customWidth="1"/>
    <col min="7685" max="7685" width="17" style="2" customWidth="1"/>
    <col min="7686" max="7686" width="4.140625" style="2" customWidth="1"/>
    <col min="7687" max="7687" width="11.28515625" style="2" customWidth="1"/>
    <col min="7688" max="7688" width="11" style="2" customWidth="1"/>
    <col min="7689" max="7690" width="2.140625" style="2" customWidth="1"/>
    <col min="7691" max="7691" width="3.28515625" style="2" customWidth="1"/>
    <col min="7692" max="7693" width="0" style="2" hidden="1" customWidth="1"/>
    <col min="7694" max="7694" width="2.85546875" style="2" customWidth="1"/>
    <col min="7695" max="7695" width="3.28515625" style="2" customWidth="1"/>
    <col min="7696" max="7696" width="1.42578125" style="2" customWidth="1"/>
    <col min="7697" max="7697" width="0" style="2" hidden="1" customWidth="1"/>
    <col min="7698" max="7698" width="6.85546875" style="2" customWidth="1"/>
    <col min="7699" max="7699" width="0" style="2" hidden="1" customWidth="1"/>
    <col min="7700" max="7701" width="6.28515625" style="2" customWidth="1"/>
    <col min="7702" max="7702" width="13.85546875" style="2" customWidth="1"/>
    <col min="7703" max="7703" width="10.85546875" style="2" customWidth="1"/>
    <col min="7704" max="7704" width="14.7109375" style="2" customWidth="1"/>
    <col min="7705" max="7705" width="0" style="2" hidden="1" customWidth="1"/>
    <col min="7706" max="7706" width="13" style="2" customWidth="1"/>
    <col min="7707" max="7707" width="12.7109375" style="2" customWidth="1"/>
    <col min="7708" max="7708" width="13.140625" style="2" customWidth="1"/>
    <col min="7709" max="7709" width="14" style="2" customWidth="1"/>
    <col min="7710" max="7710" width="8.140625" style="2" customWidth="1"/>
    <col min="7711" max="7711" width="11.42578125" style="2" customWidth="1"/>
    <col min="7712" max="7712" width="24.7109375" style="2" customWidth="1"/>
    <col min="7713" max="7713" width="12" style="2" customWidth="1"/>
    <col min="7714" max="7715" width="0.28515625" style="2" customWidth="1"/>
    <col min="7716" max="7716" width="1.42578125" style="2" customWidth="1"/>
    <col min="7717" max="7717" width="0" style="2" hidden="1" customWidth="1"/>
    <col min="7718" max="7936" width="11.42578125" style="2"/>
    <col min="7937" max="7937" width="8" style="2" customWidth="1"/>
    <col min="7938" max="7938" width="13.42578125" style="2" customWidth="1"/>
    <col min="7939" max="7939" width="4.28515625" style="2" customWidth="1"/>
    <col min="7940" max="7940" width="4" style="2" customWidth="1"/>
    <col min="7941" max="7941" width="17" style="2" customWidth="1"/>
    <col min="7942" max="7942" width="4.140625" style="2" customWidth="1"/>
    <col min="7943" max="7943" width="11.28515625" style="2" customWidth="1"/>
    <col min="7944" max="7944" width="11" style="2" customWidth="1"/>
    <col min="7945" max="7946" width="2.140625" style="2" customWidth="1"/>
    <col min="7947" max="7947" width="3.28515625" style="2" customWidth="1"/>
    <col min="7948" max="7949" width="0" style="2" hidden="1" customWidth="1"/>
    <col min="7950" max="7950" width="2.85546875" style="2" customWidth="1"/>
    <col min="7951" max="7951" width="3.28515625" style="2" customWidth="1"/>
    <col min="7952" max="7952" width="1.42578125" style="2" customWidth="1"/>
    <col min="7953" max="7953" width="0" style="2" hidden="1" customWidth="1"/>
    <col min="7954" max="7954" width="6.85546875" style="2" customWidth="1"/>
    <col min="7955" max="7955" width="0" style="2" hidden="1" customWidth="1"/>
    <col min="7956" max="7957" width="6.28515625" style="2" customWidth="1"/>
    <col min="7958" max="7958" width="13.85546875" style="2" customWidth="1"/>
    <col min="7959" max="7959" width="10.85546875" style="2" customWidth="1"/>
    <col min="7960" max="7960" width="14.7109375" style="2" customWidth="1"/>
    <col min="7961" max="7961" width="0" style="2" hidden="1" customWidth="1"/>
    <col min="7962" max="7962" width="13" style="2" customWidth="1"/>
    <col min="7963" max="7963" width="12.7109375" style="2" customWidth="1"/>
    <col min="7964" max="7964" width="13.140625" style="2" customWidth="1"/>
    <col min="7965" max="7965" width="14" style="2" customWidth="1"/>
    <col min="7966" max="7966" width="8.140625" style="2" customWidth="1"/>
    <col min="7967" max="7967" width="11.42578125" style="2" customWidth="1"/>
    <col min="7968" max="7968" width="24.7109375" style="2" customWidth="1"/>
    <col min="7969" max="7969" width="12" style="2" customWidth="1"/>
    <col min="7970" max="7971" width="0.28515625" style="2" customWidth="1"/>
    <col min="7972" max="7972" width="1.42578125" style="2" customWidth="1"/>
    <col min="7973" max="7973" width="0" style="2" hidden="1" customWidth="1"/>
    <col min="7974" max="8192" width="11.42578125" style="2"/>
    <col min="8193" max="8193" width="8" style="2" customWidth="1"/>
    <col min="8194" max="8194" width="13.42578125" style="2" customWidth="1"/>
    <col min="8195" max="8195" width="4.28515625" style="2" customWidth="1"/>
    <col min="8196" max="8196" width="4" style="2" customWidth="1"/>
    <col min="8197" max="8197" width="17" style="2" customWidth="1"/>
    <col min="8198" max="8198" width="4.140625" style="2" customWidth="1"/>
    <col min="8199" max="8199" width="11.28515625" style="2" customWidth="1"/>
    <col min="8200" max="8200" width="11" style="2" customWidth="1"/>
    <col min="8201" max="8202" width="2.140625" style="2" customWidth="1"/>
    <col min="8203" max="8203" width="3.28515625" style="2" customWidth="1"/>
    <col min="8204" max="8205" width="0" style="2" hidden="1" customWidth="1"/>
    <col min="8206" max="8206" width="2.85546875" style="2" customWidth="1"/>
    <col min="8207" max="8207" width="3.28515625" style="2" customWidth="1"/>
    <col min="8208" max="8208" width="1.42578125" style="2" customWidth="1"/>
    <col min="8209" max="8209" width="0" style="2" hidden="1" customWidth="1"/>
    <col min="8210" max="8210" width="6.85546875" style="2" customWidth="1"/>
    <col min="8211" max="8211" width="0" style="2" hidden="1" customWidth="1"/>
    <col min="8212" max="8213" width="6.28515625" style="2" customWidth="1"/>
    <col min="8214" max="8214" width="13.85546875" style="2" customWidth="1"/>
    <col min="8215" max="8215" width="10.85546875" style="2" customWidth="1"/>
    <col min="8216" max="8216" width="14.7109375" style="2" customWidth="1"/>
    <col min="8217" max="8217" width="0" style="2" hidden="1" customWidth="1"/>
    <col min="8218" max="8218" width="13" style="2" customWidth="1"/>
    <col min="8219" max="8219" width="12.7109375" style="2" customWidth="1"/>
    <col min="8220" max="8220" width="13.140625" style="2" customWidth="1"/>
    <col min="8221" max="8221" width="14" style="2" customWidth="1"/>
    <col min="8222" max="8222" width="8.140625" style="2" customWidth="1"/>
    <col min="8223" max="8223" width="11.42578125" style="2" customWidth="1"/>
    <col min="8224" max="8224" width="24.7109375" style="2" customWidth="1"/>
    <col min="8225" max="8225" width="12" style="2" customWidth="1"/>
    <col min="8226" max="8227" width="0.28515625" style="2" customWidth="1"/>
    <col min="8228" max="8228" width="1.42578125" style="2" customWidth="1"/>
    <col min="8229" max="8229" width="0" style="2" hidden="1" customWidth="1"/>
    <col min="8230" max="8448" width="11.42578125" style="2"/>
    <col min="8449" max="8449" width="8" style="2" customWidth="1"/>
    <col min="8450" max="8450" width="13.42578125" style="2" customWidth="1"/>
    <col min="8451" max="8451" width="4.28515625" style="2" customWidth="1"/>
    <col min="8452" max="8452" width="4" style="2" customWidth="1"/>
    <col min="8453" max="8453" width="17" style="2" customWidth="1"/>
    <col min="8454" max="8454" width="4.140625" style="2" customWidth="1"/>
    <col min="8455" max="8455" width="11.28515625" style="2" customWidth="1"/>
    <col min="8456" max="8456" width="11" style="2" customWidth="1"/>
    <col min="8457" max="8458" width="2.140625" style="2" customWidth="1"/>
    <col min="8459" max="8459" width="3.28515625" style="2" customWidth="1"/>
    <col min="8460" max="8461" width="0" style="2" hidden="1" customWidth="1"/>
    <col min="8462" max="8462" width="2.85546875" style="2" customWidth="1"/>
    <col min="8463" max="8463" width="3.28515625" style="2" customWidth="1"/>
    <col min="8464" max="8464" width="1.42578125" style="2" customWidth="1"/>
    <col min="8465" max="8465" width="0" style="2" hidden="1" customWidth="1"/>
    <col min="8466" max="8466" width="6.85546875" style="2" customWidth="1"/>
    <col min="8467" max="8467" width="0" style="2" hidden="1" customWidth="1"/>
    <col min="8468" max="8469" width="6.28515625" style="2" customWidth="1"/>
    <col min="8470" max="8470" width="13.85546875" style="2" customWidth="1"/>
    <col min="8471" max="8471" width="10.85546875" style="2" customWidth="1"/>
    <col min="8472" max="8472" width="14.7109375" style="2" customWidth="1"/>
    <col min="8473" max="8473" width="0" style="2" hidden="1" customWidth="1"/>
    <col min="8474" max="8474" width="13" style="2" customWidth="1"/>
    <col min="8475" max="8475" width="12.7109375" style="2" customWidth="1"/>
    <col min="8476" max="8476" width="13.140625" style="2" customWidth="1"/>
    <col min="8477" max="8477" width="14" style="2" customWidth="1"/>
    <col min="8478" max="8478" width="8.140625" style="2" customWidth="1"/>
    <col min="8479" max="8479" width="11.42578125" style="2" customWidth="1"/>
    <col min="8480" max="8480" width="24.7109375" style="2" customWidth="1"/>
    <col min="8481" max="8481" width="12" style="2" customWidth="1"/>
    <col min="8482" max="8483" width="0.28515625" style="2" customWidth="1"/>
    <col min="8484" max="8484" width="1.42578125" style="2" customWidth="1"/>
    <col min="8485" max="8485" width="0" style="2" hidden="1" customWidth="1"/>
    <col min="8486" max="8704" width="11.42578125" style="2"/>
    <col min="8705" max="8705" width="8" style="2" customWidth="1"/>
    <col min="8706" max="8706" width="13.42578125" style="2" customWidth="1"/>
    <col min="8707" max="8707" width="4.28515625" style="2" customWidth="1"/>
    <col min="8708" max="8708" width="4" style="2" customWidth="1"/>
    <col min="8709" max="8709" width="17" style="2" customWidth="1"/>
    <col min="8710" max="8710" width="4.140625" style="2" customWidth="1"/>
    <col min="8711" max="8711" width="11.28515625" style="2" customWidth="1"/>
    <col min="8712" max="8712" width="11" style="2" customWidth="1"/>
    <col min="8713" max="8714" width="2.140625" style="2" customWidth="1"/>
    <col min="8715" max="8715" width="3.28515625" style="2" customWidth="1"/>
    <col min="8716" max="8717" width="0" style="2" hidden="1" customWidth="1"/>
    <col min="8718" max="8718" width="2.85546875" style="2" customWidth="1"/>
    <col min="8719" max="8719" width="3.28515625" style="2" customWidth="1"/>
    <col min="8720" max="8720" width="1.42578125" style="2" customWidth="1"/>
    <col min="8721" max="8721" width="0" style="2" hidden="1" customWidth="1"/>
    <col min="8722" max="8722" width="6.85546875" style="2" customWidth="1"/>
    <col min="8723" max="8723" width="0" style="2" hidden="1" customWidth="1"/>
    <col min="8724" max="8725" width="6.28515625" style="2" customWidth="1"/>
    <col min="8726" max="8726" width="13.85546875" style="2" customWidth="1"/>
    <col min="8727" max="8727" width="10.85546875" style="2" customWidth="1"/>
    <col min="8728" max="8728" width="14.7109375" style="2" customWidth="1"/>
    <col min="8729" max="8729" width="0" style="2" hidden="1" customWidth="1"/>
    <col min="8730" max="8730" width="13" style="2" customWidth="1"/>
    <col min="8731" max="8731" width="12.7109375" style="2" customWidth="1"/>
    <col min="8732" max="8732" width="13.140625" style="2" customWidth="1"/>
    <col min="8733" max="8733" width="14" style="2" customWidth="1"/>
    <col min="8734" max="8734" width="8.140625" style="2" customWidth="1"/>
    <col min="8735" max="8735" width="11.42578125" style="2" customWidth="1"/>
    <col min="8736" max="8736" width="24.7109375" style="2" customWidth="1"/>
    <col min="8737" max="8737" width="12" style="2" customWidth="1"/>
    <col min="8738" max="8739" width="0.28515625" style="2" customWidth="1"/>
    <col min="8740" max="8740" width="1.42578125" style="2" customWidth="1"/>
    <col min="8741" max="8741" width="0" style="2" hidden="1" customWidth="1"/>
    <col min="8742" max="8960" width="11.42578125" style="2"/>
    <col min="8961" max="8961" width="8" style="2" customWidth="1"/>
    <col min="8962" max="8962" width="13.42578125" style="2" customWidth="1"/>
    <col min="8963" max="8963" width="4.28515625" style="2" customWidth="1"/>
    <col min="8964" max="8964" width="4" style="2" customWidth="1"/>
    <col min="8965" max="8965" width="17" style="2" customWidth="1"/>
    <col min="8966" max="8966" width="4.140625" style="2" customWidth="1"/>
    <col min="8967" max="8967" width="11.28515625" style="2" customWidth="1"/>
    <col min="8968" max="8968" width="11" style="2" customWidth="1"/>
    <col min="8969" max="8970" width="2.140625" style="2" customWidth="1"/>
    <col min="8971" max="8971" width="3.28515625" style="2" customWidth="1"/>
    <col min="8972" max="8973" width="0" style="2" hidden="1" customWidth="1"/>
    <col min="8974" max="8974" width="2.85546875" style="2" customWidth="1"/>
    <col min="8975" max="8975" width="3.28515625" style="2" customWidth="1"/>
    <col min="8976" max="8976" width="1.42578125" style="2" customWidth="1"/>
    <col min="8977" max="8977" width="0" style="2" hidden="1" customWidth="1"/>
    <col min="8978" max="8978" width="6.85546875" style="2" customWidth="1"/>
    <col min="8979" max="8979" width="0" style="2" hidden="1" customWidth="1"/>
    <col min="8980" max="8981" width="6.28515625" style="2" customWidth="1"/>
    <col min="8982" max="8982" width="13.85546875" style="2" customWidth="1"/>
    <col min="8983" max="8983" width="10.85546875" style="2" customWidth="1"/>
    <col min="8984" max="8984" width="14.7109375" style="2" customWidth="1"/>
    <col min="8985" max="8985" width="0" style="2" hidden="1" customWidth="1"/>
    <col min="8986" max="8986" width="13" style="2" customWidth="1"/>
    <col min="8987" max="8987" width="12.7109375" style="2" customWidth="1"/>
    <col min="8988" max="8988" width="13.140625" style="2" customWidth="1"/>
    <col min="8989" max="8989" width="14" style="2" customWidth="1"/>
    <col min="8990" max="8990" width="8.140625" style="2" customWidth="1"/>
    <col min="8991" max="8991" width="11.42578125" style="2" customWidth="1"/>
    <col min="8992" max="8992" width="24.7109375" style="2" customWidth="1"/>
    <col min="8993" max="8993" width="12" style="2" customWidth="1"/>
    <col min="8994" max="8995" width="0.28515625" style="2" customWidth="1"/>
    <col min="8996" max="8996" width="1.42578125" style="2" customWidth="1"/>
    <col min="8997" max="8997" width="0" style="2" hidden="1" customWidth="1"/>
    <col min="8998" max="9216" width="11.42578125" style="2"/>
    <col min="9217" max="9217" width="8" style="2" customWidth="1"/>
    <col min="9218" max="9218" width="13.42578125" style="2" customWidth="1"/>
    <col min="9219" max="9219" width="4.28515625" style="2" customWidth="1"/>
    <col min="9220" max="9220" width="4" style="2" customWidth="1"/>
    <col min="9221" max="9221" width="17" style="2" customWidth="1"/>
    <col min="9222" max="9222" width="4.140625" style="2" customWidth="1"/>
    <col min="9223" max="9223" width="11.28515625" style="2" customWidth="1"/>
    <col min="9224" max="9224" width="11" style="2" customWidth="1"/>
    <col min="9225" max="9226" width="2.140625" style="2" customWidth="1"/>
    <col min="9227" max="9227" width="3.28515625" style="2" customWidth="1"/>
    <col min="9228" max="9229" width="0" style="2" hidden="1" customWidth="1"/>
    <col min="9230" max="9230" width="2.85546875" style="2" customWidth="1"/>
    <col min="9231" max="9231" width="3.28515625" style="2" customWidth="1"/>
    <col min="9232" max="9232" width="1.42578125" style="2" customWidth="1"/>
    <col min="9233" max="9233" width="0" style="2" hidden="1" customWidth="1"/>
    <col min="9234" max="9234" width="6.85546875" style="2" customWidth="1"/>
    <col min="9235" max="9235" width="0" style="2" hidden="1" customWidth="1"/>
    <col min="9236" max="9237" width="6.28515625" style="2" customWidth="1"/>
    <col min="9238" max="9238" width="13.85546875" style="2" customWidth="1"/>
    <col min="9239" max="9239" width="10.85546875" style="2" customWidth="1"/>
    <col min="9240" max="9240" width="14.7109375" style="2" customWidth="1"/>
    <col min="9241" max="9241" width="0" style="2" hidden="1" customWidth="1"/>
    <col min="9242" max="9242" width="13" style="2" customWidth="1"/>
    <col min="9243" max="9243" width="12.7109375" style="2" customWidth="1"/>
    <col min="9244" max="9244" width="13.140625" style="2" customWidth="1"/>
    <col min="9245" max="9245" width="14" style="2" customWidth="1"/>
    <col min="9246" max="9246" width="8.140625" style="2" customWidth="1"/>
    <col min="9247" max="9247" width="11.42578125" style="2" customWidth="1"/>
    <col min="9248" max="9248" width="24.7109375" style="2" customWidth="1"/>
    <col min="9249" max="9249" width="12" style="2" customWidth="1"/>
    <col min="9250" max="9251" width="0.28515625" style="2" customWidth="1"/>
    <col min="9252" max="9252" width="1.42578125" style="2" customWidth="1"/>
    <col min="9253" max="9253" width="0" style="2" hidden="1" customWidth="1"/>
    <col min="9254" max="9472" width="11.42578125" style="2"/>
    <col min="9473" max="9473" width="8" style="2" customWidth="1"/>
    <col min="9474" max="9474" width="13.42578125" style="2" customWidth="1"/>
    <col min="9475" max="9475" width="4.28515625" style="2" customWidth="1"/>
    <col min="9476" max="9476" width="4" style="2" customWidth="1"/>
    <col min="9477" max="9477" width="17" style="2" customWidth="1"/>
    <col min="9478" max="9478" width="4.140625" style="2" customWidth="1"/>
    <col min="9479" max="9479" width="11.28515625" style="2" customWidth="1"/>
    <col min="9480" max="9480" width="11" style="2" customWidth="1"/>
    <col min="9481" max="9482" width="2.140625" style="2" customWidth="1"/>
    <col min="9483" max="9483" width="3.28515625" style="2" customWidth="1"/>
    <col min="9484" max="9485" width="0" style="2" hidden="1" customWidth="1"/>
    <col min="9486" max="9486" width="2.85546875" style="2" customWidth="1"/>
    <col min="9487" max="9487" width="3.28515625" style="2" customWidth="1"/>
    <col min="9488" max="9488" width="1.42578125" style="2" customWidth="1"/>
    <col min="9489" max="9489" width="0" style="2" hidden="1" customWidth="1"/>
    <col min="9490" max="9490" width="6.85546875" style="2" customWidth="1"/>
    <col min="9491" max="9491" width="0" style="2" hidden="1" customWidth="1"/>
    <col min="9492" max="9493" width="6.28515625" style="2" customWidth="1"/>
    <col min="9494" max="9494" width="13.85546875" style="2" customWidth="1"/>
    <col min="9495" max="9495" width="10.85546875" style="2" customWidth="1"/>
    <col min="9496" max="9496" width="14.7109375" style="2" customWidth="1"/>
    <col min="9497" max="9497" width="0" style="2" hidden="1" customWidth="1"/>
    <col min="9498" max="9498" width="13" style="2" customWidth="1"/>
    <col min="9499" max="9499" width="12.7109375" style="2" customWidth="1"/>
    <col min="9500" max="9500" width="13.140625" style="2" customWidth="1"/>
    <col min="9501" max="9501" width="14" style="2" customWidth="1"/>
    <col min="9502" max="9502" width="8.140625" style="2" customWidth="1"/>
    <col min="9503" max="9503" width="11.42578125" style="2" customWidth="1"/>
    <col min="9504" max="9504" width="24.7109375" style="2" customWidth="1"/>
    <col min="9505" max="9505" width="12" style="2" customWidth="1"/>
    <col min="9506" max="9507" width="0.28515625" style="2" customWidth="1"/>
    <col min="9508" max="9508" width="1.42578125" style="2" customWidth="1"/>
    <col min="9509" max="9509" width="0" style="2" hidden="1" customWidth="1"/>
    <col min="9510" max="9728" width="11.42578125" style="2"/>
    <col min="9729" max="9729" width="8" style="2" customWidth="1"/>
    <col min="9730" max="9730" width="13.42578125" style="2" customWidth="1"/>
    <col min="9731" max="9731" width="4.28515625" style="2" customWidth="1"/>
    <col min="9732" max="9732" width="4" style="2" customWidth="1"/>
    <col min="9733" max="9733" width="17" style="2" customWidth="1"/>
    <col min="9734" max="9734" width="4.140625" style="2" customWidth="1"/>
    <col min="9735" max="9735" width="11.28515625" style="2" customWidth="1"/>
    <col min="9736" max="9736" width="11" style="2" customWidth="1"/>
    <col min="9737" max="9738" width="2.140625" style="2" customWidth="1"/>
    <col min="9739" max="9739" width="3.28515625" style="2" customWidth="1"/>
    <col min="9740" max="9741" width="0" style="2" hidden="1" customWidth="1"/>
    <col min="9742" max="9742" width="2.85546875" style="2" customWidth="1"/>
    <col min="9743" max="9743" width="3.28515625" style="2" customWidth="1"/>
    <col min="9744" max="9744" width="1.42578125" style="2" customWidth="1"/>
    <col min="9745" max="9745" width="0" style="2" hidden="1" customWidth="1"/>
    <col min="9746" max="9746" width="6.85546875" style="2" customWidth="1"/>
    <col min="9747" max="9747" width="0" style="2" hidden="1" customWidth="1"/>
    <col min="9748" max="9749" width="6.28515625" style="2" customWidth="1"/>
    <col min="9750" max="9750" width="13.85546875" style="2" customWidth="1"/>
    <col min="9751" max="9751" width="10.85546875" style="2" customWidth="1"/>
    <col min="9752" max="9752" width="14.7109375" style="2" customWidth="1"/>
    <col min="9753" max="9753" width="0" style="2" hidden="1" customWidth="1"/>
    <col min="9754" max="9754" width="13" style="2" customWidth="1"/>
    <col min="9755" max="9755" width="12.7109375" style="2" customWidth="1"/>
    <col min="9756" max="9756" width="13.140625" style="2" customWidth="1"/>
    <col min="9757" max="9757" width="14" style="2" customWidth="1"/>
    <col min="9758" max="9758" width="8.140625" style="2" customWidth="1"/>
    <col min="9759" max="9759" width="11.42578125" style="2" customWidth="1"/>
    <col min="9760" max="9760" width="24.7109375" style="2" customWidth="1"/>
    <col min="9761" max="9761" width="12" style="2" customWidth="1"/>
    <col min="9762" max="9763" width="0.28515625" style="2" customWidth="1"/>
    <col min="9764" max="9764" width="1.42578125" style="2" customWidth="1"/>
    <col min="9765" max="9765" width="0" style="2" hidden="1" customWidth="1"/>
    <col min="9766" max="9984" width="11.42578125" style="2"/>
    <col min="9985" max="9985" width="8" style="2" customWidth="1"/>
    <col min="9986" max="9986" width="13.42578125" style="2" customWidth="1"/>
    <col min="9987" max="9987" width="4.28515625" style="2" customWidth="1"/>
    <col min="9988" max="9988" width="4" style="2" customWidth="1"/>
    <col min="9989" max="9989" width="17" style="2" customWidth="1"/>
    <col min="9990" max="9990" width="4.140625" style="2" customWidth="1"/>
    <col min="9991" max="9991" width="11.28515625" style="2" customWidth="1"/>
    <col min="9992" max="9992" width="11" style="2" customWidth="1"/>
    <col min="9993" max="9994" width="2.140625" style="2" customWidth="1"/>
    <col min="9995" max="9995" width="3.28515625" style="2" customWidth="1"/>
    <col min="9996" max="9997" width="0" style="2" hidden="1" customWidth="1"/>
    <col min="9998" max="9998" width="2.85546875" style="2" customWidth="1"/>
    <col min="9999" max="9999" width="3.28515625" style="2" customWidth="1"/>
    <col min="10000" max="10000" width="1.42578125" style="2" customWidth="1"/>
    <col min="10001" max="10001" width="0" style="2" hidden="1" customWidth="1"/>
    <col min="10002" max="10002" width="6.85546875" style="2" customWidth="1"/>
    <col min="10003" max="10003" width="0" style="2" hidden="1" customWidth="1"/>
    <col min="10004" max="10005" width="6.28515625" style="2" customWidth="1"/>
    <col min="10006" max="10006" width="13.85546875" style="2" customWidth="1"/>
    <col min="10007" max="10007" width="10.85546875" style="2" customWidth="1"/>
    <col min="10008" max="10008" width="14.7109375" style="2" customWidth="1"/>
    <col min="10009" max="10009" width="0" style="2" hidden="1" customWidth="1"/>
    <col min="10010" max="10010" width="13" style="2" customWidth="1"/>
    <col min="10011" max="10011" width="12.7109375" style="2" customWidth="1"/>
    <col min="10012" max="10012" width="13.140625" style="2" customWidth="1"/>
    <col min="10013" max="10013" width="14" style="2" customWidth="1"/>
    <col min="10014" max="10014" width="8.140625" style="2" customWidth="1"/>
    <col min="10015" max="10015" width="11.42578125" style="2" customWidth="1"/>
    <col min="10016" max="10016" width="24.7109375" style="2" customWidth="1"/>
    <col min="10017" max="10017" width="12" style="2" customWidth="1"/>
    <col min="10018" max="10019" width="0.28515625" style="2" customWidth="1"/>
    <col min="10020" max="10020" width="1.42578125" style="2" customWidth="1"/>
    <col min="10021" max="10021" width="0" style="2" hidden="1" customWidth="1"/>
    <col min="10022" max="10240" width="11.42578125" style="2"/>
    <col min="10241" max="10241" width="8" style="2" customWidth="1"/>
    <col min="10242" max="10242" width="13.42578125" style="2" customWidth="1"/>
    <col min="10243" max="10243" width="4.28515625" style="2" customWidth="1"/>
    <col min="10244" max="10244" width="4" style="2" customWidth="1"/>
    <col min="10245" max="10245" width="17" style="2" customWidth="1"/>
    <col min="10246" max="10246" width="4.140625" style="2" customWidth="1"/>
    <col min="10247" max="10247" width="11.28515625" style="2" customWidth="1"/>
    <col min="10248" max="10248" width="11" style="2" customWidth="1"/>
    <col min="10249" max="10250" width="2.140625" style="2" customWidth="1"/>
    <col min="10251" max="10251" width="3.28515625" style="2" customWidth="1"/>
    <col min="10252" max="10253" width="0" style="2" hidden="1" customWidth="1"/>
    <col min="10254" max="10254" width="2.85546875" style="2" customWidth="1"/>
    <col min="10255" max="10255" width="3.28515625" style="2" customWidth="1"/>
    <col min="10256" max="10256" width="1.42578125" style="2" customWidth="1"/>
    <col min="10257" max="10257" width="0" style="2" hidden="1" customWidth="1"/>
    <col min="10258" max="10258" width="6.85546875" style="2" customWidth="1"/>
    <col min="10259" max="10259" width="0" style="2" hidden="1" customWidth="1"/>
    <col min="10260" max="10261" width="6.28515625" style="2" customWidth="1"/>
    <col min="10262" max="10262" width="13.85546875" style="2" customWidth="1"/>
    <col min="10263" max="10263" width="10.85546875" style="2" customWidth="1"/>
    <col min="10264" max="10264" width="14.7109375" style="2" customWidth="1"/>
    <col min="10265" max="10265" width="0" style="2" hidden="1" customWidth="1"/>
    <col min="10266" max="10266" width="13" style="2" customWidth="1"/>
    <col min="10267" max="10267" width="12.7109375" style="2" customWidth="1"/>
    <col min="10268" max="10268" width="13.140625" style="2" customWidth="1"/>
    <col min="10269" max="10269" width="14" style="2" customWidth="1"/>
    <col min="10270" max="10270" width="8.140625" style="2" customWidth="1"/>
    <col min="10271" max="10271" width="11.42578125" style="2" customWidth="1"/>
    <col min="10272" max="10272" width="24.7109375" style="2" customWidth="1"/>
    <col min="10273" max="10273" width="12" style="2" customWidth="1"/>
    <col min="10274" max="10275" width="0.28515625" style="2" customWidth="1"/>
    <col min="10276" max="10276" width="1.42578125" style="2" customWidth="1"/>
    <col min="10277" max="10277" width="0" style="2" hidden="1" customWidth="1"/>
    <col min="10278" max="10496" width="11.42578125" style="2"/>
    <col min="10497" max="10497" width="8" style="2" customWidth="1"/>
    <col min="10498" max="10498" width="13.42578125" style="2" customWidth="1"/>
    <col min="10499" max="10499" width="4.28515625" style="2" customWidth="1"/>
    <col min="10500" max="10500" width="4" style="2" customWidth="1"/>
    <col min="10501" max="10501" width="17" style="2" customWidth="1"/>
    <col min="10502" max="10502" width="4.140625" style="2" customWidth="1"/>
    <col min="10503" max="10503" width="11.28515625" style="2" customWidth="1"/>
    <col min="10504" max="10504" width="11" style="2" customWidth="1"/>
    <col min="10505" max="10506" width="2.140625" style="2" customWidth="1"/>
    <col min="10507" max="10507" width="3.28515625" style="2" customWidth="1"/>
    <col min="10508" max="10509" width="0" style="2" hidden="1" customWidth="1"/>
    <col min="10510" max="10510" width="2.85546875" style="2" customWidth="1"/>
    <col min="10511" max="10511" width="3.28515625" style="2" customWidth="1"/>
    <col min="10512" max="10512" width="1.42578125" style="2" customWidth="1"/>
    <col min="10513" max="10513" width="0" style="2" hidden="1" customWidth="1"/>
    <col min="10514" max="10514" width="6.85546875" style="2" customWidth="1"/>
    <col min="10515" max="10515" width="0" style="2" hidden="1" customWidth="1"/>
    <col min="10516" max="10517" width="6.28515625" style="2" customWidth="1"/>
    <col min="10518" max="10518" width="13.85546875" style="2" customWidth="1"/>
    <col min="10519" max="10519" width="10.85546875" style="2" customWidth="1"/>
    <col min="10520" max="10520" width="14.7109375" style="2" customWidth="1"/>
    <col min="10521" max="10521" width="0" style="2" hidden="1" customWidth="1"/>
    <col min="10522" max="10522" width="13" style="2" customWidth="1"/>
    <col min="10523" max="10523" width="12.7109375" style="2" customWidth="1"/>
    <col min="10524" max="10524" width="13.140625" style="2" customWidth="1"/>
    <col min="10525" max="10525" width="14" style="2" customWidth="1"/>
    <col min="10526" max="10526" width="8.140625" style="2" customWidth="1"/>
    <col min="10527" max="10527" width="11.42578125" style="2" customWidth="1"/>
    <col min="10528" max="10528" width="24.7109375" style="2" customWidth="1"/>
    <col min="10529" max="10529" width="12" style="2" customWidth="1"/>
    <col min="10530" max="10531" width="0.28515625" style="2" customWidth="1"/>
    <col min="10532" max="10532" width="1.42578125" style="2" customWidth="1"/>
    <col min="10533" max="10533" width="0" style="2" hidden="1" customWidth="1"/>
    <col min="10534" max="10752" width="11.42578125" style="2"/>
    <col min="10753" max="10753" width="8" style="2" customWidth="1"/>
    <col min="10754" max="10754" width="13.42578125" style="2" customWidth="1"/>
    <col min="10755" max="10755" width="4.28515625" style="2" customWidth="1"/>
    <col min="10756" max="10756" width="4" style="2" customWidth="1"/>
    <col min="10757" max="10757" width="17" style="2" customWidth="1"/>
    <col min="10758" max="10758" width="4.140625" style="2" customWidth="1"/>
    <col min="10759" max="10759" width="11.28515625" style="2" customWidth="1"/>
    <col min="10760" max="10760" width="11" style="2" customWidth="1"/>
    <col min="10761" max="10762" width="2.140625" style="2" customWidth="1"/>
    <col min="10763" max="10763" width="3.28515625" style="2" customWidth="1"/>
    <col min="10764" max="10765" width="0" style="2" hidden="1" customWidth="1"/>
    <col min="10766" max="10766" width="2.85546875" style="2" customWidth="1"/>
    <col min="10767" max="10767" width="3.28515625" style="2" customWidth="1"/>
    <col min="10768" max="10768" width="1.42578125" style="2" customWidth="1"/>
    <col min="10769" max="10769" width="0" style="2" hidden="1" customWidth="1"/>
    <col min="10770" max="10770" width="6.85546875" style="2" customWidth="1"/>
    <col min="10771" max="10771" width="0" style="2" hidden="1" customWidth="1"/>
    <col min="10772" max="10773" width="6.28515625" style="2" customWidth="1"/>
    <col min="10774" max="10774" width="13.85546875" style="2" customWidth="1"/>
    <col min="10775" max="10775" width="10.85546875" style="2" customWidth="1"/>
    <col min="10776" max="10776" width="14.7109375" style="2" customWidth="1"/>
    <col min="10777" max="10777" width="0" style="2" hidden="1" customWidth="1"/>
    <col min="10778" max="10778" width="13" style="2" customWidth="1"/>
    <col min="10779" max="10779" width="12.7109375" style="2" customWidth="1"/>
    <col min="10780" max="10780" width="13.140625" style="2" customWidth="1"/>
    <col min="10781" max="10781" width="14" style="2" customWidth="1"/>
    <col min="10782" max="10782" width="8.140625" style="2" customWidth="1"/>
    <col min="10783" max="10783" width="11.42578125" style="2" customWidth="1"/>
    <col min="10784" max="10784" width="24.7109375" style="2" customWidth="1"/>
    <col min="10785" max="10785" width="12" style="2" customWidth="1"/>
    <col min="10786" max="10787" width="0.28515625" style="2" customWidth="1"/>
    <col min="10788" max="10788" width="1.42578125" style="2" customWidth="1"/>
    <col min="10789" max="10789" width="0" style="2" hidden="1" customWidth="1"/>
    <col min="10790" max="11008" width="11.42578125" style="2"/>
    <col min="11009" max="11009" width="8" style="2" customWidth="1"/>
    <col min="11010" max="11010" width="13.42578125" style="2" customWidth="1"/>
    <col min="11011" max="11011" width="4.28515625" style="2" customWidth="1"/>
    <col min="11012" max="11012" width="4" style="2" customWidth="1"/>
    <col min="11013" max="11013" width="17" style="2" customWidth="1"/>
    <col min="11014" max="11014" width="4.140625" style="2" customWidth="1"/>
    <col min="11015" max="11015" width="11.28515625" style="2" customWidth="1"/>
    <col min="11016" max="11016" width="11" style="2" customWidth="1"/>
    <col min="11017" max="11018" width="2.140625" style="2" customWidth="1"/>
    <col min="11019" max="11019" width="3.28515625" style="2" customWidth="1"/>
    <col min="11020" max="11021" width="0" style="2" hidden="1" customWidth="1"/>
    <col min="11022" max="11022" width="2.85546875" style="2" customWidth="1"/>
    <col min="11023" max="11023" width="3.28515625" style="2" customWidth="1"/>
    <col min="11024" max="11024" width="1.42578125" style="2" customWidth="1"/>
    <col min="11025" max="11025" width="0" style="2" hidden="1" customWidth="1"/>
    <col min="11026" max="11026" width="6.85546875" style="2" customWidth="1"/>
    <col min="11027" max="11027" width="0" style="2" hidden="1" customWidth="1"/>
    <col min="11028" max="11029" width="6.28515625" style="2" customWidth="1"/>
    <col min="11030" max="11030" width="13.85546875" style="2" customWidth="1"/>
    <col min="11031" max="11031" width="10.85546875" style="2" customWidth="1"/>
    <col min="11032" max="11032" width="14.7109375" style="2" customWidth="1"/>
    <col min="11033" max="11033" width="0" style="2" hidden="1" customWidth="1"/>
    <col min="11034" max="11034" width="13" style="2" customWidth="1"/>
    <col min="11035" max="11035" width="12.7109375" style="2" customWidth="1"/>
    <col min="11036" max="11036" width="13.140625" style="2" customWidth="1"/>
    <col min="11037" max="11037" width="14" style="2" customWidth="1"/>
    <col min="11038" max="11038" width="8.140625" style="2" customWidth="1"/>
    <col min="11039" max="11039" width="11.42578125" style="2" customWidth="1"/>
    <col min="11040" max="11040" width="24.7109375" style="2" customWidth="1"/>
    <col min="11041" max="11041" width="12" style="2" customWidth="1"/>
    <col min="11042" max="11043" width="0.28515625" style="2" customWidth="1"/>
    <col min="11044" max="11044" width="1.42578125" style="2" customWidth="1"/>
    <col min="11045" max="11045" width="0" style="2" hidden="1" customWidth="1"/>
    <col min="11046" max="11264" width="11.42578125" style="2"/>
    <col min="11265" max="11265" width="8" style="2" customWidth="1"/>
    <col min="11266" max="11266" width="13.42578125" style="2" customWidth="1"/>
    <col min="11267" max="11267" width="4.28515625" style="2" customWidth="1"/>
    <col min="11268" max="11268" width="4" style="2" customWidth="1"/>
    <col min="11269" max="11269" width="17" style="2" customWidth="1"/>
    <col min="11270" max="11270" width="4.140625" style="2" customWidth="1"/>
    <col min="11271" max="11271" width="11.28515625" style="2" customWidth="1"/>
    <col min="11272" max="11272" width="11" style="2" customWidth="1"/>
    <col min="11273" max="11274" width="2.140625" style="2" customWidth="1"/>
    <col min="11275" max="11275" width="3.28515625" style="2" customWidth="1"/>
    <col min="11276" max="11277" width="0" style="2" hidden="1" customWidth="1"/>
    <col min="11278" max="11278" width="2.85546875" style="2" customWidth="1"/>
    <col min="11279" max="11279" width="3.28515625" style="2" customWidth="1"/>
    <col min="11280" max="11280" width="1.42578125" style="2" customWidth="1"/>
    <col min="11281" max="11281" width="0" style="2" hidden="1" customWidth="1"/>
    <col min="11282" max="11282" width="6.85546875" style="2" customWidth="1"/>
    <col min="11283" max="11283" width="0" style="2" hidden="1" customWidth="1"/>
    <col min="11284" max="11285" width="6.28515625" style="2" customWidth="1"/>
    <col min="11286" max="11286" width="13.85546875" style="2" customWidth="1"/>
    <col min="11287" max="11287" width="10.85546875" style="2" customWidth="1"/>
    <col min="11288" max="11288" width="14.7109375" style="2" customWidth="1"/>
    <col min="11289" max="11289" width="0" style="2" hidden="1" customWidth="1"/>
    <col min="11290" max="11290" width="13" style="2" customWidth="1"/>
    <col min="11291" max="11291" width="12.7109375" style="2" customWidth="1"/>
    <col min="11292" max="11292" width="13.140625" style="2" customWidth="1"/>
    <col min="11293" max="11293" width="14" style="2" customWidth="1"/>
    <col min="11294" max="11294" width="8.140625" style="2" customWidth="1"/>
    <col min="11295" max="11295" width="11.42578125" style="2" customWidth="1"/>
    <col min="11296" max="11296" width="24.7109375" style="2" customWidth="1"/>
    <col min="11297" max="11297" width="12" style="2" customWidth="1"/>
    <col min="11298" max="11299" width="0.28515625" style="2" customWidth="1"/>
    <col min="11300" max="11300" width="1.42578125" style="2" customWidth="1"/>
    <col min="11301" max="11301" width="0" style="2" hidden="1" customWidth="1"/>
    <col min="11302" max="11520" width="11.42578125" style="2"/>
    <col min="11521" max="11521" width="8" style="2" customWidth="1"/>
    <col min="11522" max="11522" width="13.42578125" style="2" customWidth="1"/>
    <col min="11523" max="11523" width="4.28515625" style="2" customWidth="1"/>
    <col min="11524" max="11524" width="4" style="2" customWidth="1"/>
    <col min="11525" max="11525" width="17" style="2" customWidth="1"/>
    <col min="11526" max="11526" width="4.140625" style="2" customWidth="1"/>
    <col min="11527" max="11527" width="11.28515625" style="2" customWidth="1"/>
    <col min="11528" max="11528" width="11" style="2" customWidth="1"/>
    <col min="11529" max="11530" width="2.140625" style="2" customWidth="1"/>
    <col min="11531" max="11531" width="3.28515625" style="2" customWidth="1"/>
    <col min="11532" max="11533" width="0" style="2" hidden="1" customWidth="1"/>
    <col min="11534" max="11534" width="2.85546875" style="2" customWidth="1"/>
    <col min="11535" max="11535" width="3.28515625" style="2" customWidth="1"/>
    <col min="11536" max="11536" width="1.42578125" style="2" customWidth="1"/>
    <col min="11537" max="11537" width="0" style="2" hidden="1" customWidth="1"/>
    <col min="11538" max="11538" width="6.85546875" style="2" customWidth="1"/>
    <col min="11539" max="11539" width="0" style="2" hidden="1" customWidth="1"/>
    <col min="11540" max="11541" width="6.28515625" style="2" customWidth="1"/>
    <col min="11542" max="11542" width="13.85546875" style="2" customWidth="1"/>
    <col min="11543" max="11543" width="10.85546875" style="2" customWidth="1"/>
    <col min="11544" max="11544" width="14.7109375" style="2" customWidth="1"/>
    <col min="11545" max="11545" width="0" style="2" hidden="1" customWidth="1"/>
    <col min="11546" max="11546" width="13" style="2" customWidth="1"/>
    <col min="11547" max="11547" width="12.7109375" style="2" customWidth="1"/>
    <col min="11548" max="11548" width="13.140625" style="2" customWidth="1"/>
    <col min="11549" max="11549" width="14" style="2" customWidth="1"/>
    <col min="11550" max="11550" width="8.140625" style="2" customWidth="1"/>
    <col min="11551" max="11551" width="11.42578125" style="2" customWidth="1"/>
    <col min="11552" max="11552" width="24.7109375" style="2" customWidth="1"/>
    <col min="11553" max="11553" width="12" style="2" customWidth="1"/>
    <col min="11554" max="11555" width="0.28515625" style="2" customWidth="1"/>
    <col min="11556" max="11556" width="1.42578125" style="2" customWidth="1"/>
    <col min="11557" max="11557" width="0" style="2" hidden="1" customWidth="1"/>
    <col min="11558" max="11776" width="11.42578125" style="2"/>
    <col min="11777" max="11777" width="8" style="2" customWidth="1"/>
    <col min="11778" max="11778" width="13.42578125" style="2" customWidth="1"/>
    <col min="11779" max="11779" width="4.28515625" style="2" customWidth="1"/>
    <col min="11780" max="11780" width="4" style="2" customWidth="1"/>
    <col min="11781" max="11781" width="17" style="2" customWidth="1"/>
    <col min="11782" max="11782" width="4.140625" style="2" customWidth="1"/>
    <col min="11783" max="11783" width="11.28515625" style="2" customWidth="1"/>
    <col min="11784" max="11784" width="11" style="2" customWidth="1"/>
    <col min="11785" max="11786" width="2.140625" style="2" customWidth="1"/>
    <col min="11787" max="11787" width="3.28515625" style="2" customWidth="1"/>
    <col min="11788" max="11789" width="0" style="2" hidden="1" customWidth="1"/>
    <col min="11790" max="11790" width="2.85546875" style="2" customWidth="1"/>
    <col min="11791" max="11791" width="3.28515625" style="2" customWidth="1"/>
    <col min="11792" max="11792" width="1.42578125" style="2" customWidth="1"/>
    <col min="11793" max="11793" width="0" style="2" hidden="1" customWidth="1"/>
    <col min="11794" max="11794" width="6.85546875" style="2" customWidth="1"/>
    <col min="11795" max="11795" width="0" style="2" hidden="1" customWidth="1"/>
    <col min="11796" max="11797" width="6.28515625" style="2" customWidth="1"/>
    <col min="11798" max="11798" width="13.85546875" style="2" customWidth="1"/>
    <col min="11799" max="11799" width="10.85546875" style="2" customWidth="1"/>
    <col min="11800" max="11800" width="14.7109375" style="2" customWidth="1"/>
    <col min="11801" max="11801" width="0" style="2" hidden="1" customWidth="1"/>
    <col min="11802" max="11802" width="13" style="2" customWidth="1"/>
    <col min="11803" max="11803" width="12.7109375" style="2" customWidth="1"/>
    <col min="11804" max="11804" width="13.140625" style="2" customWidth="1"/>
    <col min="11805" max="11805" width="14" style="2" customWidth="1"/>
    <col min="11806" max="11806" width="8.140625" style="2" customWidth="1"/>
    <col min="11807" max="11807" width="11.42578125" style="2" customWidth="1"/>
    <col min="11808" max="11808" width="24.7109375" style="2" customWidth="1"/>
    <col min="11809" max="11809" width="12" style="2" customWidth="1"/>
    <col min="11810" max="11811" width="0.28515625" style="2" customWidth="1"/>
    <col min="11812" max="11812" width="1.42578125" style="2" customWidth="1"/>
    <col min="11813" max="11813" width="0" style="2" hidden="1" customWidth="1"/>
    <col min="11814" max="12032" width="11.42578125" style="2"/>
    <col min="12033" max="12033" width="8" style="2" customWidth="1"/>
    <col min="12034" max="12034" width="13.42578125" style="2" customWidth="1"/>
    <col min="12035" max="12035" width="4.28515625" style="2" customWidth="1"/>
    <col min="12036" max="12036" width="4" style="2" customWidth="1"/>
    <col min="12037" max="12037" width="17" style="2" customWidth="1"/>
    <col min="12038" max="12038" width="4.140625" style="2" customWidth="1"/>
    <col min="12039" max="12039" width="11.28515625" style="2" customWidth="1"/>
    <col min="12040" max="12040" width="11" style="2" customWidth="1"/>
    <col min="12041" max="12042" width="2.140625" style="2" customWidth="1"/>
    <col min="12043" max="12043" width="3.28515625" style="2" customWidth="1"/>
    <col min="12044" max="12045" width="0" style="2" hidden="1" customWidth="1"/>
    <col min="12046" max="12046" width="2.85546875" style="2" customWidth="1"/>
    <col min="12047" max="12047" width="3.28515625" style="2" customWidth="1"/>
    <col min="12048" max="12048" width="1.42578125" style="2" customWidth="1"/>
    <col min="12049" max="12049" width="0" style="2" hidden="1" customWidth="1"/>
    <col min="12050" max="12050" width="6.85546875" style="2" customWidth="1"/>
    <col min="12051" max="12051" width="0" style="2" hidden="1" customWidth="1"/>
    <col min="12052" max="12053" width="6.28515625" style="2" customWidth="1"/>
    <col min="12054" max="12054" width="13.85546875" style="2" customWidth="1"/>
    <col min="12055" max="12055" width="10.85546875" style="2" customWidth="1"/>
    <col min="12056" max="12056" width="14.7109375" style="2" customWidth="1"/>
    <col min="12057" max="12057" width="0" style="2" hidden="1" customWidth="1"/>
    <col min="12058" max="12058" width="13" style="2" customWidth="1"/>
    <col min="12059" max="12059" width="12.7109375" style="2" customWidth="1"/>
    <col min="12060" max="12060" width="13.140625" style="2" customWidth="1"/>
    <col min="12061" max="12061" width="14" style="2" customWidth="1"/>
    <col min="12062" max="12062" width="8.140625" style="2" customWidth="1"/>
    <col min="12063" max="12063" width="11.42578125" style="2" customWidth="1"/>
    <col min="12064" max="12064" width="24.7109375" style="2" customWidth="1"/>
    <col min="12065" max="12065" width="12" style="2" customWidth="1"/>
    <col min="12066" max="12067" width="0.28515625" style="2" customWidth="1"/>
    <col min="12068" max="12068" width="1.42578125" style="2" customWidth="1"/>
    <col min="12069" max="12069" width="0" style="2" hidden="1" customWidth="1"/>
    <col min="12070" max="12288" width="11.42578125" style="2"/>
    <col min="12289" max="12289" width="8" style="2" customWidth="1"/>
    <col min="12290" max="12290" width="13.42578125" style="2" customWidth="1"/>
    <col min="12291" max="12291" width="4.28515625" style="2" customWidth="1"/>
    <col min="12292" max="12292" width="4" style="2" customWidth="1"/>
    <col min="12293" max="12293" width="17" style="2" customWidth="1"/>
    <col min="12294" max="12294" width="4.140625" style="2" customWidth="1"/>
    <col min="12295" max="12295" width="11.28515625" style="2" customWidth="1"/>
    <col min="12296" max="12296" width="11" style="2" customWidth="1"/>
    <col min="12297" max="12298" width="2.140625" style="2" customWidth="1"/>
    <col min="12299" max="12299" width="3.28515625" style="2" customWidth="1"/>
    <col min="12300" max="12301" width="0" style="2" hidden="1" customWidth="1"/>
    <col min="12302" max="12302" width="2.85546875" style="2" customWidth="1"/>
    <col min="12303" max="12303" width="3.28515625" style="2" customWidth="1"/>
    <col min="12304" max="12304" width="1.42578125" style="2" customWidth="1"/>
    <col min="12305" max="12305" width="0" style="2" hidden="1" customWidth="1"/>
    <col min="12306" max="12306" width="6.85546875" style="2" customWidth="1"/>
    <col min="12307" max="12307" width="0" style="2" hidden="1" customWidth="1"/>
    <col min="12308" max="12309" width="6.28515625" style="2" customWidth="1"/>
    <col min="12310" max="12310" width="13.85546875" style="2" customWidth="1"/>
    <col min="12311" max="12311" width="10.85546875" style="2" customWidth="1"/>
    <col min="12312" max="12312" width="14.7109375" style="2" customWidth="1"/>
    <col min="12313" max="12313" width="0" style="2" hidden="1" customWidth="1"/>
    <col min="12314" max="12314" width="13" style="2" customWidth="1"/>
    <col min="12315" max="12315" width="12.7109375" style="2" customWidth="1"/>
    <col min="12316" max="12316" width="13.140625" style="2" customWidth="1"/>
    <col min="12317" max="12317" width="14" style="2" customWidth="1"/>
    <col min="12318" max="12318" width="8.140625" style="2" customWidth="1"/>
    <col min="12319" max="12319" width="11.42578125" style="2" customWidth="1"/>
    <col min="12320" max="12320" width="24.7109375" style="2" customWidth="1"/>
    <col min="12321" max="12321" width="12" style="2" customWidth="1"/>
    <col min="12322" max="12323" width="0.28515625" style="2" customWidth="1"/>
    <col min="12324" max="12324" width="1.42578125" style="2" customWidth="1"/>
    <col min="12325" max="12325" width="0" style="2" hidden="1" customWidth="1"/>
    <col min="12326" max="12544" width="11.42578125" style="2"/>
    <col min="12545" max="12545" width="8" style="2" customWidth="1"/>
    <col min="12546" max="12546" width="13.42578125" style="2" customWidth="1"/>
    <col min="12547" max="12547" width="4.28515625" style="2" customWidth="1"/>
    <col min="12548" max="12548" width="4" style="2" customWidth="1"/>
    <col min="12549" max="12549" width="17" style="2" customWidth="1"/>
    <col min="12550" max="12550" width="4.140625" style="2" customWidth="1"/>
    <col min="12551" max="12551" width="11.28515625" style="2" customWidth="1"/>
    <col min="12552" max="12552" width="11" style="2" customWidth="1"/>
    <col min="12553" max="12554" width="2.140625" style="2" customWidth="1"/>
    <col min="12555" max="12555" width="3.28515625" style="2" customWidth="1"/>
    <col min="12556" max="12557" width="0" style="2" hidden="1" customWidth="1"/>
    <col min="12558" max="12558" width="2.85546875" style="2" customWidth="1"/>
    <col min="12559" max="12559" width="3.28515625" style="2" customWidth="1"/>
    <col min="12560" max="12560" width="1.42578125" style="2" customWidth="1"/>
    <col min="12561" max="12561" width="0" style="2" hidden="1" customWidth="1"/>
    <col min="12562" max="12562" width="6.85546875" style="2" customWidth="1"/>
    <col min="12563" max="12563" width="0" style="2" hidden="1" customWidth="1"/>
    <col min="12564" max="12565" width="6.28515625" style="2" customWidth="1"/>
    <col min="12566" max="12566" width="13.85546875" style="2" customWidth="1"/>
    <col min="12567" max="12567" width="10.85546875" style="2" customWidth="1"/>
    <col min="12568" max="12568" width="14.7109375" style="2" customWidth="1"/>
    <col min="12569" max="12569" width="0" style="2" hidden="1" customWidth="1"/>
    <col min="12570" max="12570" width="13" style="2" customWidth="1"/>
    <col min="12571" max="12571" width="12.7109375" style="2" customWidth="1"/>
    <col min="12572" max="12572" width="13.140625" style="2" customWidth="1"/>
    <col min="12573" max="12573" width="14" style="2" customWidth="1"/>
    <col min="12574" max="12574" width="8.140625" style="2" customWidth="1"/>
    <col min="12575" max="12575" width="11.42578125" style="2" customWidth="1"/>
    <col min="12576" max="12576" width="24.7109375" style="2" customWidth="1"/>
    <col min="12577" max="12577" width="12" style="2" customWidth="1"/>
    <col min="12578" max="12579" width="0.28515625" style="2" customWidth="1"/>
    <col min="12580" max="12580" width="1.42578125" style="2" customWidth="1"/>
    <col min="12581" max="12581" width="0" style="2" hidden="1" customWidth="1"/>
    <col min="12582" max="12800" width="11.42578125" style="2"/>
    <col min="12801" max="12801" width="8" style="2" customWidth="1"/>
    <col min="12802" max="12802" width="13.42578125" style="2" customWidth="1"/>
    <col min="12803" max="12803" width="4.28515625" style="2" customWidth="1"/>
    <col min="12804" max="12804" width="4" style="2" customWidth="1"/>
    <col min="12805" max="12805" width="17" style="2" customWidth="1"/>
    <col min="12806" max="12806" width="4.140625" style="2" customWidth="1"/>
    <col min="12807" max="12807" width="11.28515625" style="2" customWidth="1"/>
    <col min="12808" max="12808" width="11" style="2" customWidth="1"/>
    <col min="12809" max="12810" width="2.140625" style="2" customWidth="1"/>
    <col min="12811" max="12811" width="3.28515625" style="2" customWidth="1"/>
    <col min="12812" max="12813" width="0" style="2" hidden="1" customWidth="1"/>
    <col min="12814" max="12814" width="2.85546875" style="2" customWidth="1"/>
    <col min="12815" max="12815" width="3.28515625" style="2" customWidth="1"/>
    <col min="12816" max="12816" width="1.42578125" style="2" customWidth="1"/>
    <col min="12817" max="12817" width="0" style="2" hidden="1" customWidth="1"/>
    <col min="12818" max="12818" width="6.85546875" style="2" customWidth="1"/>
    <col min="12819" max="12819" width="0" style="2" hidden="1" customWidth="1"/>
    <col min="12820" max="12821" width="6.28515625" style="2" customWidth="1"/>
    <col min="12822" max="12822" width="13.85546875" style="2" customWidth="1"/>
    <col min="12823" max="12823" width="10.85546875" style="2" customWidth="1"/>
    <col min="12824" max="12824" width="14.7109375" style="2" customWidth="1"/>
    <col min="12825" max="12825" width="0" style="2" hidden="1" customWidth="1"/>
    <col min="12826" max="12826" width="13" style="2" customWidth="1"/>
    <col min="12827" max="12827" width="12.7109375" style="2" customWidth="1"/>
    <col min="12828" max="12828" width="13.140625" style="2" customWidth="1"/>
    <col min="12829" max="12829" width="14" style="2" customWidth="1"/>
    <col min="12830" max="12830" width="8.140625" style="2" customWidth="1"/>
    <col min="12831" max="12831" width="11.42578125" style="2" customWidth="1"/>
    <col min="12832" max="12832" width="24.7109375" style="2" customWidth="1"/>
    <col min="12833" max="12833" width="12" style="2" customWidth="1"/>
    <col min="12834" max="12835" width="0.28515625" style="2" customWidth="1"/>
    <col min="12836" max="12836" width="1.42578125" style="2" customWidth="1"/>
    <col min="12837" max="12837" width="0" style="2" hidden="1" customWidth="1"/>
    <col min="12838" max="13056" width="11.42578125" style="2"/>
    <col min="13057" max="13057" width="8" style="2" customWidth="1"/>
    <col min="13058" max="13058" width="13.42578125" style="2" customWidth="1"/>
    <col min="13059" max="13059" width="4.28515625" style="2" customWidth="1"/>
    <col min="13060" max="13060" width="4" style="2" customWidth="1"/>
    <col min="13061" max="13061" width="17" style="2" customWidth="1"/>
    <col min="13062" max="13062" width="4.140625" style="2" customWidth="1"/>
    <col min="13063" max="13063" width="11.28515625" style="2" customWidth="1"/>
    <col min="13064" max="13064" width="11" style="2" customWidth="1"/>
    <col min="13065" max="13066" width="2.140625" style="2" customWidth="1"/>
    <col min="13067" max="13067" width="3.28515625" style="2" customWidth="1"/>
    <col min="13068" max="13069" width="0" style="2" hidden="1" customWidth="1"/>
    <col min="13070" max="13070" width="2.85546875" style="2" customWidth="1"/>
    <col min="13071" max="13071" width="3.28515625" style="2" customWidth="1"/>
    <col min="13072" max="13072" width="1.42578125" style="2" customWidth="1"/>
    <col min="13073" max="13073" width="0" style="2" hidden="1" customWidth="1"/>
    <col min="13074" max="13074" width="6.85546875" style="2" customWidth="1"/>
    <col min="13075" max="13075" width="0" style="2" hidden="1" customWidth="1"/>
    <col min="13076" max="13077" width="6.28515625" style="2" customWidth="1"/>
    <col min="13078" max="13078" width="13.85546875" style="2" customWidth="1"/>
    <col min="13079" max="13079" width="10.85546875" style="2" customWidth="1"/>
    <col min="13080" max="13080" width="14.7109375" style="2" customWidth="1"/>
    <col min="13081" max="13081" width="0" style="2" hidden="1" customWidth="1"/>
    <col min="13082" max="13082" width="13" style="2" customWidth="1"/>
    <col min="13083" max="13083" width="12.7109375" style="2" customWidth="1"/>
    <col min="13084" max="13084" width="13.140625" style="2" customWidth="1"/>
    <col min="13085" max="13085" width="14" style="2" customWidth="1"/>
    <col min="13086" max="13086" width="8.140625" style="2" customWidth="1"/>
    <col min="13087" max="13087" width="11.42578125" style="2" customWidth="1"/>
    <col min="13088" max="13088" width="24.7109375" style="2" customWidth="1"/>
    <col min="13089" max="13089" width="12" style="2" customWidth="1"/>
    <col min="13090" max="13091" width="0.28515625" style="2" customWidth="1"/>
    <col min="13092" max="13092" width="1.42578125" style="2" customWidth="1"/>
    <col min="13093" max="13093" width="0" style="2" hidden="1" customWidth="1"/>
    <col min="13094" max="13312" width="11.42578125" style="2"/>
    <col min="13313" max="13313" width="8" style="2" customWidth="1"/>
    <col min="13314" max="13314" width="13.42578125" style="2" customWidth="1"/>
    <col min="13315" max="13315" width="4.28515625" style="2" customWidth="1"/>
    <col min="13316" max="13316" width="4" style="2" customWidth="1"/>
    <col min="13317" max="13317" width="17" style="2" customWidth="1"/>
    <col min="13318" max="13318" width="4.140625" style="2" customWidth="1"/>
    <col min="13319" max="13319" width="11.28515625" style="2" customWidth="1"/>
    <col min="13320" max="13320" width="11" style="2" customWidth="1"/>
    <col min="13321" max="13322" width="2.140625" style="2" customWidth="1"/>
    <col min="13323" max="13323" width="3.28515625" style="2" customWidth="1"/>
    <col min="13324" max="13325" width="0" style="2" hidden="1" customWidth="1"/>
    <col min="13326" max="13326" width="2.85546875" style="2" customWidth="1"/>
    <col min="13327" max="13327" width="3.28515625" style="2" customWidth="1"/>
    <col min="13328" max="13328" width="1.42578125" style="2" customWidth="1"/>
    <col min="13329" max="13329" width="0" style="2" hidden="1" customWidth="1"/>
    <col min="13330" max="13330" width="6.85546875" style="2" customWidth="1"/>
    <col min="13331" max="13331" width="0" style="2" hidden="1" customWidth="1"/>
    <col min="13332" max="13333" width="6.28515625" style="2" customWidth="1"/>
    <col min="13334" max="13334" width="13.85546875" style="2" customWidth="1"/>
    <col min="13335" max="13335" width="10.85546875" style="2" customWidth="1"/>
    <col min="13336" max="13336" width="14.7109375" style="2" customWidth="1"/>
    <col min="13337" max="13337" width="0" style="2" hidden="1" customWidth="1"/>
    <col min="13338" max="13338" width="13" style="2" customWidth="1"/>
    <col min="13339" max="13339" width="12.7109375" style="2" customWidth="1"/>
    <col min="13340" max="13340" width="13.140625" style="2" customWidth="1"/>
    <col min="13341" max="13341" width="14" style="2" customWidth="1"/>
    <col min="13342" max="13342" width="8.140625" style="2" customWidth="1"/>
    <col min="13343" max="13343" width="11.42578125" style="2" customWidth="1"/>
    <col min="13344" max="13344" width="24.7109375" style="2" customWidth="1"/>
    <col min="13345" max="13345" width="12" style="2" customWidth="1"/>
    <col min="13346" max="13347" width="0.28515625" style="2" customWidth="1"/>
    <col min="13348" max="13348" width="1.42578125" style="2" customWidth="1"/>
    <col min="13349" max="13349" width="0" style="2" hidden="1" customWidth="1"/>
    <col min="13350" max="13568" width="11.42578125" style="2"/>
    <col min="13569" max="13569" width="8" style="2" customWidth="1"/>
    <col min="13570" max="13570" width="13.42578125" style="2" customWidth="1"/>
    <col min="13571" max="13571" width="4.28515625" style="2" customWidth="1"/>
    <col min="13572" max="13572" width="4" style="2" customWidth="1"/>
    <col min="13573" max="13573" width="17" style="2" customWidth="1"/>
    <col min="13574" max="13574" width="4.140625" style="2" customWidth="1"/>
    <col min="13575" max="13575" width="11.28515625" style="2" customWidth="1"/>
    <col min="13576" max="13576" width="11" style="2" customWidth="1"/>
    <col min="13577" max="13578" width="2.140625" style="2" customWidth="1"/>
    <col min="13579" max="13579" width="3.28515625" style="2" customWidth="1"/>
    <col min="13580" max="13581" width="0" style="2" hidden="1" customWidth="1"/>
    <col min="13582" max="13582" width="2.85546875" style="2" customWidth="1"/>
    <col min="13583" max="13583" width="3.28515625" style="2" customWidth="1"/>
    <col min="13584" max="13584" width="1.42578125" style="2" customWidth="1"/>
    <col min="13585" max="13585" width="0" style="2" hidden="1" customWidth="1"/>
    <col min="13586" max="13586" width="6.85546875" style="2" customWidth="1"/>
    <col min="13587" max="13587" width="0" style="2" hidden="1" customWidth="1"/>
    <col min="13588" max="13589" width="6.28515625" style="2" customWidth="1"/>
    <col min="13590" max="13590" width="13.85546875" style="2" customWidth="1"/>
    <col min="13591" max="13591" width="10.85546875" style="2" customWidth="1"/>
    <col min="13592" max="13592" width="14.7109375" style="2" customWidth="1"/>
    <col min="13593" max="13593" width="0" style="2" hidden="1" customWidth="1"/>
    <col min="13594" max="13594" width="13" style="2" customWidth="1"/>
    <col min="13595" max="13595" width="12.7109375" style="2" customWidth="1"/>
    <col min="13596" max="13596" width="13.140625" style="2" customWidth="1"/>
    <col min="13597" max="13597" width="14" style="2" customWidth="1"/>
    <col min="13598" max="13598" width="8.140625" style="2" customWidth="1"/>
    <col min="13599" max="13599" width="11.42578125" style="2" customWidth="1"/>
    <col min="13600" max="13600" width="24.7109375" style="2" customWidth="1"/>
    <col min="13601" max="13601" width="12" style="2" customWidth="1"/>
    <col min="13602" max="13603" width="0.28515625" style="2" customWidth="1"/>
    <col min="13604" max="13604" width="1.42578125" style="2" customWidth="1"/>
    <col min="13605" max="13605" width="0" style="2" hidden="1" customWidth="1"/>
    <col min="13606" max="13824" width="11.42578125" style="2"/>
    <col min="13825" max="13825" width="8" style="2" customWidth="1"/>
    <col min="13826" max="13826" width="13.42578125" style="2" customWidth="1"/>
    <col min="13827" max="13827" width="4.28515625" style="2" customWidth="1"/>
    <col min="13828" max="13828" width="4" style="2" customWidth="1"/>
    <col min="13829" max="13829" width="17" style="2" customWidth="1"/>
    <col min="13830" max="13830" width="4.140625" style="2" customWidth="1"/>
    <col min="13831" max="13831" width="11.28515625" style="2" customWidth="1"/>
    <col min="13832" max="13832" width="11" style="2" customWidth="1"/>
    <col min="13833" max="13834" width="2.140625" style="2" customWidth="1"/>
    <col min="13835" max="13835" width="3.28515625" style="2" customWidth="1"/>
    <col min="13836" max="13837" width="0" style="2" hidden="1" customWidth="1"/>
    <col min="13838" max="13838" width="2.85546875" style="2" customWidth="1"/>
    <col min="13839" max="13839" width="3.28515625" style="2" customWidth="1"/>
    <col min="13840" max="13840" width="1.42578125" style="2" customWidth="1"/>
    <col min="13841" max="13841" width="0" style="2" hidden="1" customWidth="1"/>
    <col min="13842" max="13842" width="6.85546875" style="2" customWidth="1"/>
    <col min="13843" max="13843" width="0" style="2" hidden="1" customWidth="1"/>
    <col min="13844" max="13845" width="6.28515625" style="2" customWidth="1"/>
    <col min="13846" max="13846" width="13.85546875" style="2" customWidth="1"/>
    <col min="13847" max="13847" width="10.85546875" style="2" customWidth="1"/>
    <col min="13848" max="13848" width="14.7109375" style="2" customWidth="1"/>
    <col min="13849" max="13849" width="0" style="2" hidden="1" customWidth="1"/>
    <col min="13850" max="13850" width="13" style="2" customWidth="1"/>
    <col min="13851" max="13851" width="12.7109375" style="2" customWidth="1"/>
    <col min="13852" max="13852" width="13.140625" style="2" customWidth="1"/>
    <col min="13853" max="13853" width="14" style="2" customWidth="1"/>
    <col min="13854" max="13854" width="8.140625" style="2" customWidth="1"/>
    <col min="13855" max="13855" width="11.42578125" style="2" customWidth="1"/>
    <col min="13856" max="13856" width="24.7109375" style="2" customWidth="1"/>
    <col min="13857" max="13857" width="12" style="2" customWidth="1"/>
    <col min="13858" max="13859" width="0.28515625" style="2" customWidth="1"/>
    <col min="13860" max="13860" width="1.42578125" style="2" customWidth="1"/>
    <col min="13861" max="13861" width="0" style="2" hidden="1" customWidth="1"/>
    <col min="13862" max="14080" width="11.42578125" style="2"/>
    <col min="14081" max="14081" width="8" style="2" customWidth="1"/>
    <col min="14082" max="14082" width="13.42578125" style="2" customWidth="1"/>
    <col min="14083" max="14083" width="4.28515625" style="2" customWidth="1"/>
    <col min="14084" max="14084" width="4" style="2" customWidth="1"/>
    <col min="14085" max="14085" width="17" style="2" customWidth="1"/>
    <col min="14086" max="14086" width="4.140625" style="2" customWidth="1"/>
    <col min="14087" max="14087" width="11.28515625" style="2" customWidth="1"/>
    <col min="14088" max="14088" width="11" style="2" customWidth="1"/>
    <col min="14089" max="14090" width="2.140625" style="2" customWidth="1"/>
    <col min="14091" max="14091" width="3.28515625" style="2" customWidth="1"/>
    <col min="14092" max="14093" width="0" style="2" hidden="1" customWidth="1"/>
    <col min="14094" max="14094" width="2.85546875" style="2" customWidth="1"/>
    <col min="14095" max="14095" width="3.28515625" style="2" customWidth="1"/>
    <col min="14096" max="14096" width="1.42578125" style="2" customWidth="1"/>
    <col min="14097" max="14097" width="0" style="2" hidden="1" customWidth="1"/>
    <col min="14098" max="14098" width="6.85546875" style="2" customWidth="1"/>
    <col min="14099" max="14099" width="0" style="2" hidden="1" customWidth="1"/>
    <col min="14100" max="14101" width="6.28515625" style="2" customWidth="1"/>
    <col min="14102" max="14102" width="13.85546875" style="2" customWidth="1"/>
    <col min="14103" max="14103" width="10.85546875" style="2" customWidth="1"/>
    <col min="14104" max="14104" width="14.7109375" style="2" customWidth="1"/>
    <col min="14105" max="14105" width="0" style="2" hidden="1" customWidth="1"/>
    <col min="14106" max="14106" width="13" style="2" customWidth="1"/>
    <col min="14107" max="14107" width="12.7109375" style="2" customWidth="1"/>
    <col min="14108" max="14108" width="13.140625" style="2" customWidth="1"/>
    <col min="14109" max="14109" width="14" style="2" customWidth="1"/>
    <col min="14110" max="14110" width="8.140625" style="2" customWidth="1"/>
    <col min="14111" max="14111" width="11.42578125" style="2" customWidth="1"/>
    <col min="14112" max="14112" width="24.7109375" style="2" customWidth="1"/>
    <col min="14113" max="14113" width="12" style="2" customWidth="1"/>
    <col min="14114" max="14115" width="0.28515625" style="2" customWidth="1"/>
    <col min="14116" max="14116" width="1.42578125" style="2" customWidth="1"/>
    <col min="14117" max="14117" width="0" style="2" hidden="1" customWidth="1"/>
    <col min="14118" max="14336" width="11.42578125" style="2"/>
    <col min="14337" max="14337" width="8" style="2" customWidth="1"/>
    <col min="14338" max="14338" width="13.42578125" style="2" customWidth="1"/>
    <col min="14339" max="14339" width="4.28515625" style="2" customWidth="1"/>
    <col min="14340" max="14340" width="4" style="2" customWidth="1"/>
    <col min="14341" max="14341" width="17" style="2" customWidth="1"/>
    <col min="14342" max="14342" width="4.140625" style="2" customWidth="1"/>
    <col min="14343" max="14343" width="11.28515625" style="2" customWidth="1"/>
    <col min="14344" max="14344" width="11" style="2" customWidth="1"/>
    <col min="14345" max="14346" width="2.140625" style="2" customWidth="1"/>
    <col min="14347" max="14347" width="3.28515625" style="2" customWidth="1"/>
    <col min="14348" max="14349" width="0" style="2" hidden="1" customWidth="1"/>
    <col min="14350" max="14350" width="2.85546875" style="2" customWidth="1"/>
    <col min="14351" max="14351" width="3.28515625" style="2" customWidth="1"/>
    <col min="14352" max="14352" width="1.42578125" style="2" customWidth="1"/>
    <col min="14353" max="14353" width="0" style="2" hidden="1" customWidth="1"/>
    <col min="14354" max="14354" width="6.85546875" style="2" customWidth="1"/>
    <col min="14355" max="14355" width="0" style="2" hidden="1" customWidth="1"/>
    <col min="14356" max="14357" width="6.28515625" style="2" customWidth="1"/>
    <col min="14358" max="14358" width="13.85546875" style="2" customWidth="1"/>
    <col min="14359" max="14359" width="10.85546875" style="2" customWidth="1"/>
    <col min="14360" max="14360" width="14.7109375" style="2" customWidth="1"/>
    <col min="14361" max="14361" width="0" style="2" hidden="1" customWidth="1"/>
    <col min="14362" max="14362" width="13" style="2" customWidth="1"/>
    <col min="14363" max="14363" width="12.7109375" style="2" customWidth="1"/>
    <col min="14364" max="14364" width="13.140625" style="2" customWidth="1"/>
    <col min="14365" max="14365" width="14" style="2" customWidth="1"/>
    <col min="14366" max="14366" width="8.140625" style="2" customWidth="1"/>
    <col min="14367" max="14367" width="11.42578125" style="2" customWidth="1"/>
    <col min="14368" max="14368" width="24.7109375" style="2" customWidth="1"/>
    <col min="14369" max="14369" width="12" style="2" customWidth="1"/>
    <col min="14370" max="14371" width="0.28515625" style="2" customWidth="1"/>
    <col min="14372" max="14372" width="1.42578125" style="2" customWidth="1"/>
    <col min="14373" max="14373" width="0" style="2" hidden="1" customWidth="1"/>
    <col min="14374" max="14592" width="11.42578125" style="2"/>
    <col min="14593" max="14593" width="8" style="2" customWidth="1"/>
    <col min="14594" max="14594" width="13.42578125" style="2" customWidth="1"/>
    <col min="14595" max="14595" width="4.28515625" style="2" customWidth="1"/>
    <col min="14596" max="14596" width="4" style="2" customWidth="1"/>
    <col min="14597" max="14597" width="17" style="2" customWidth="1"/>
    <col min="14598" max="14598" width="4.140625" style="2" customWidth="1"/>
    <col min="14599" max="14599" width="11.28515625" style="2" customWidth="1"/>
    <col min="14600" max="14600" width="11" style="2" customWidth="1"/>
    <col min="14601" max="14602" width="2.140625" style="2" customWidth="1"/>
    <col min="14603" max="14603" width="3.28515625" style="2" customWidth="1"/>
    <col min="14604" max="14605" width="0" style="2" hidden="1" customWidth="1"/>
    <col min="14606" max="14606" width="2.85546875" style="2" customWidth="1"/>
    <col min="14607" max="14607" width="3.28515625" style="2" customWidth="1"/>
    <col min="14608" max="14608" width="1.42578125" style="2" customWidth="1"/>
    <col min="14609" max="14609" width="0" style="2" hidden="1" customWidth="1"/>
    <col min="14610" max="14610" width="6.85546875" style="2" customWidth="1"/>
    <col min="14611" max="14611" width="0" style="2" hidden="1" customWidth="1"/>
    <col min="14612" max="14613" width="6.28515625" style="2" customWidth="1"/>
    <col min="14614" max="14614" width="13.85546875" style="2" customWidth="1"/>
    <col min="14615" max="14615" width="10.85546875" style="2" customWidth="1"/>
    <col min="14616" max="14616" width="14.7109375" style="2" customWidth="1"/>
    <col min="14617" max="14617" width="0" style="2" hidden="1" customWidth="1"/>
    <col min="14618" max="14618" width="13" style="2" customWidth="1"/>
    <col min="14619" max="14619" width="12.7109375" style="2" customWidth="1"/>
    <col min="14620" max="14620" width="13.140625" style="2" customWidth="1"/>
    <col min="14621" max="14621" width="14" style="2" customWidth="1"/>
    <col min="14622" max="14622" width="8.140625" style="2" customWidth="1"/>
    <col min="14623" max="14623" width="11.42578125" style="2" customWidth="1"/>
    <col min="14624" max="14624" width="24.7109375" style="2" customWidth="1"/>
    <col min="14625" max="14625" width="12" style="2" customWidth="1"/>
    <col min="14626" max="14627" width="0.28515625" style="2" customWidth="1"/>
    <col min="14628" max="14628" width="1.42578125" style="2" customWidth="1"/>
    <col min="14629" max="14629" width="0" style="2" hidden="1" customWidth="1"/>
    <col min="14630" max="14848" width="11.42578125" style="2"/>
    <col min="14849" max="14849" width="8" style="2" customWidth="1"/>
    <col min="14850" max="14850" width="13.42578125" style="2" customWidth="1"/>
    <col min="14851" max="14851" width="4.28515625" style="2" customWidth="1"/>
    <col min="14852" max="14852" width="4" style="2" customWidth="1"/>
    <col min="14853" max="14853" width="17" style="2" customWidth="1"/>
    <col min="14854" max="14854" width="4.140625" style="2" customWidth="1"/>
    <col min="14855" max="14855" width="11.28515625" style="2" customWidth="1"/>
    <col min="14856" max="14856" width="11" style="2" customWidth="1"/>
    <col min="14857" max="14858" width="2.140625" style="2" customWidth="1"/>
    <col min="14859" max="14859" width="3.28515625" style="2" customWidth="1"/>
    <col min="14860" max="14861" width="0" style="2" hidden="1" customWidth="1"/>
    <col min="14862" max="14862" width="2.85546875" style="2" customWidth="1"/>
    <col min="14863" max="14863" width="3.28515625" style="2" customWidth="1"/>
    <col min="14864" max="14864" width="1.42578125" style="2" customWidth="1"/>
    <col min="14865" max="14865" width="0" style="2" hidden="1" customWidth="1"/>
    <col min="14866" max="14866" width="6.85546875" style="2" customWidth="1"/>
    <col min="14867" max="14867" width="0" style="2" hidden="1" customWidth="1"/>
    <col min="14868" max="14869" width="6.28515625" style="2" customWidth="1"/>
    <col min="14870" max="14870" width="13.85546875" style="2" customWidth="1"/>
    <col min="14871" max="14871" width="10.85546875" style="2" customWidth="1"/>
    <col min="14872" max="14872" width="14.7109375" style="2" customWidth="1"/>
    <col min="14873" max="14873" width="0" style="2" hidden="1" customWidth="1"/>
    <col min="14874" max="14874" width="13" style="2" customWidth="1"/>
    <col min="14875" max="14875" width="12.7109375" style="2" customWidth="1"/>
    <col min="14876" max="14876" width="13.140625" style="2" customWidth="1"/>
    <col min="14877" max="14877" width="14" style="2" customWidth="1"/>
    <col min="14878" max="14878" width="8.140625" style="2" customWidth="1"/>
    <col min="14879" max="14879" width="11.42578125" style="2" customWidth="1"/>
    <col min="14880" max="14880" width="24.7109375" style="2" customWidth="1"/>
    <col min="14881" max="14881" width="12" style="2" customWidth="1"/>
    <col min="14882" max="14883" width="0.28515625" style="2" customWidth="1"/>
    <col min="14884" max="14884" width="1.42578125" style="2" customWidth="1"/>
    <col min="14885" max="14885" width="0" style="2" hidden="1" customWidth="1"/>
    <col min="14886" max="15104" width="11.42578125" style="2"/>
    <col min="15105" max="15105" width="8" style="2" customWidth="1"/>
    <col min="15106" max="15106" width="13.42578125" style="2" customWidth="1"/>
    <col min="15107" max="15107" width="4.28515625" style="2" customWidth="1"/>
    <col min="15108" max="15108" width="4" style="2" customWidth="1"/>
    <col min="15109" max="15109" width="17" style="2" customWidth="1"/>
    <col min="15110" max="15110" width="4.140625" style="2" customWidth="1"/>
    <col min="15111" max="15111" width="11.28515625" style="2" customWidth="1"/>
    <col min="15112" max="15112" width="11" style="2" customWidth="1"/>
    <col min="15113" max="15114" width="2.140625" style="2" customWidth="1"/>
    <col min="15115" max="15115" width="3.28515625" style="2" customWidth="1"/>
    <col min="15116" max="15117" width="0" style="2" hidden="1" customWidth="1"/>
    <col min="15118" max="15118" width="2.85546875" style="2" customWidth="1"/>
    <col min="15119" max="15119" width="3.28515625" style="2" customWidth="1"/>
    <col min="15120" max="15120" width="1.42578125" style="2" customWidth="1"/>
    <col min="15121" max="15121" width="0" style="2" hidden="1" customWidth="1"/>
    <col min="15122" max="15122" width="6.85546875" style="2" customWidth="1"/>
    <col min="15123" max="15123" width="0" style="2" hidden="1" customWidth="1"/>
    <col min="15124" max="15125" width="6.28515625" style="2" customWidth="1"/>
    <col min="15126" max="15126" width="13.85546875" style="2" customWidth="1"/>
    <col min="15127" max="15127" width="10.85546875" style="2" customWidth="1"/>
    <col min="15128" max="15128" width="14.7109375" style="2" customWidth="1"/>
    <col min="15129" max="15129" width="0" style="2" hidden="1" customWidth="1"/>
    <col min="15130" max="15130" width="13" style="2" customWidth="1"/>
    <col min="15131" max="15131" width="12.7109375" style="2" customWidth="1"/>
    <col min="15132" max="15132" width="13.140625" style="2" customWidth="1"/>
    <col min="15133" max="15133" width="14" style="2" customWidth="1"/>
    <col min="15134" max="15134" width="8.140625" style="2" customWidth="1"/>
    <col min="15135" max="15135" width="11.42578125" style="2" customWidth="1"/>
    <col min="15136" max="15136" width="24.7109375" style="2" customWidth="1"/>
    <col min="15137" max="15137" width="12" style="2" customWidth="1"/>
    <col min="15138" max="15139" width="0.28515625" style="2" customWidth="1"/>
    <col min="15140" max="15140" width="1.42578125" style="2" customWidth="1"/>
    <col min="15141" max="15141" width="0" style="2" hidden="1" customWidth="1"/>
    <col min="15142" max="15360" width="11.42578125" style="2"/>
    <col min="15361" max="15361" width="8" style="2" customWidth="1"/>
    <col min="15362" max="15362" width="13.42578125" style="2" customWidth="1"/>
    <col min="15363" max="15363" width="4.28515625" style="2" customWidth="1"/>
    <col min="15364" max="15364" width="4" style="2" customWidth="1"/>
    <col min="15365" max="15365" width="17" style="2" customWidth="1"/>
    <col min="15366" max="15366" width="4.140625" style="2" customWidth="1"/>
    <col min="15367" max="15367" width="11.28515625" style="2" customWidth="1"/>
    <col min="15368" max="15368" width="11" style="2" customWidth="1"/>
    <col min="15369" max="15370" width="2.140625" style="2" customWidth="1"/>
    <col min="15371" max="15371" width="3.28515625" style="2" customWidth="1"/>
    <col min="15372" max="15373" width="0" style="2" hidden="1" customWidth="1"/>
    <col min="15374" max="15374" width="2.85546875" style="2" customWidth="1"/>
    <col min="15375" max="15375" width="3.28515625" style="2" customWidth="1"/>
    <col min="15376" max="15376" width="1.42578125" style="2" customWidth="1"/>
    <col min="15377" max="15377" width="0" style="2" hidden="1" customWidth="1"/>
    <col min="15378" max="15378" width="6.85546875" style="2" customWidth="1"/>
    <col min="15379" max="15379" width="0" style="2" hidden="1" customWidth="1"/>
    <col min="15380" max="15381" width="6.28515625" style="2" customWidth="1"/>
    <col min="15382" max="15382" width="13.85546875" style="2" customWidth="1"/>
    <col min="15383" max="15383" width="10.85546875" style="2" customWidth="1"/>
    <col min="15384" max="15384" width="14.7109375" style="2" customWidth="1"/>
    <col min="15385" max="15385" width="0" style="2" hidden="1" customWidth="1"/>
    <col min="15386" max="15386" width="13" style="2" customWidth="1"/>
    <col min="15387" max="15387" width="12.7109375" style="2" customWidth="1"/>
    <col min="15388" max="15388" width="13.140625" style="2" customWidth="1"/>
    <col min="15389" max="15389" width="14" style="2" customWidth="1"/>
    <col min="15390" max="15390" width="8.140625" style="2" customWidth="1"/>
    <col min="15391" max="15391" width="11.42578125" style="2" customWidth="1"/>
    <col min="15392" max="15392" width="24.7109375" style="2" customWidth="1"/>
    <col min="15393" max="15393" width="12" style="2" customWidth="1"/>
    <col min="15394" max="15395" width="0.28515625" style="2" customWidth="1"/>
    <col min="15396" max="15396" width="1.42578125" style="2" customWidth="1"/>
    <col min="15397" max="15397" width="0" style="2" hidden="1" customWidth="1"/>
    <col min="15398" max="15616" width="11.42578125" style="2"/>
    <col min="15617" max="15617" width="8" style="2" customWidth="1"/>
    <col min="15618" max="15618" width="13.42578125" style="2" customWidth="1"/>
    <col min="15619" max="15619" width="4.28515625" style="2" customWidth="1"/>
    <col min="15620" max="15620" width="4" style="2" customWidth="1"/>
    <col min="15621" max="15621" width="17" style="2" customWidth="1"/>
    <col min="15622" max="15622" width="4.140625" style="2" customWidth="1"/>
    <col min="15623" max="15623" width="11.28515625" style="2" customWidth="1"/>
    <col min="15624" max="15624" width="11" style="2" customWidth="1"/>
    <col min="15625" max="15626" width="2.140625" style="2" customWidth="1"/>
    <col min="15627" max="15627" width="3.28515625" style="2" customWidth="1"/>
    <col min="15628" max="15629" width="0" style="2" hidden="1" customWidth="1"/>
    <col min="15630" max="15630" width="2.85546875" style="2" customWidth="1"/>
    <col min="15631" max="15631" width="3.28515625" style="2" customWidth="1"/>
    <col min="15632" max="15632" width="1.42578125" style="2" customWidth="1"/>
    <col min="15633" max="15633" width="0" style="2" hidden="1" customWidth="1"/>
    <col min="15634" max="15634" width="6.85546875" style="2" customWidth="1"/>
    <col min="15635" max="15635" width="0" style="2" hidden="1" customWidth="1"/>
    <col min="15636" max="15637" width="6.28515625" style="2" customWidth="1"/>
    <col min="15638" max="15638" width="13.85546875" style="2" customWidth="1"/>
    <col min="15639" max="15639" width="10.85546875" style="2" customWidth="1"/>
    <col min="15640" max="15640" width="14.7109375" style="2" customWidth="1"/>
    <col min="15641" max="15641" width="0" style="2" hidden="1" customWidth="1"/>
    <col min="15642" max="15642" width="13" style="2" customWidth="1"/>
    <col min="15643" max="15643" width="12.7109375" style="2" customWidth="1"/>
    <col min="15644" max="15644" width="13.140625" style="2" customWidth="1"/>
    <col min="15645" max="15645" width="14" style="2" customWidth="1"/>
    <col min="15646" max="15646" width="8.140625" style="2" customWidth="1"/>
    <col min="15647" max="15647" width="11.42578125" style="2" customWidth="1"/>
    <col min="15648" max="15648" width="24.7109375" style="2" customWidth="1"/>
    <col min="15649" max="15649" width="12" style="2" customWidth="1"/>
    <col min="15650" max="15651" width="0.28515625" style="2" customWidth="1"/>
    <col min="15652" max="15652" width="1.42578125" style="2" customWidth="1"/>
    <col min="15653" max="15653" width="0" style="2" hidden="1" customWidth="1"/>
    <col min="15654" max="15872" width="11.42578125" style="2"/>
    <col min="15873" max="15873" width="8" style="2" customWidth="1"/>
    <col min="15874" max="15874" width="13.42578125" style="2" customWidth="1"/>
    <col min="15875" max="15875" width="4.28515625" style="2" customWidth="1"/>
    <col min="15876" max="15876" width="4" style="2" customWidth="1"/>
    <col min="15877" max="15877" width="17" style="2" customWidth="1"/>
    <col min="15878" max="15878" width="4.140625" style="2" customWidth="1"/>
    <col min="15879" max="15879" width="11.28515625" style="2" customWidth="1"/>
    <col min="15880" max="15880" width="11" style="2" customWidth="1"/>
    <col min="15881" max="15882" width="2.140625" style="2" customWidth="1"/>
    <col min="15883" max="15883" width="3.28515625" style="2" customWidth="1"/>
    <col min="15884" max="15885" width="0" style="2" hidden="1" customWidth="1"/>
    <col min="15886" max="15886" width="2.85546875" style="2" customWidth="1"/>
    <col min="15887" max="15887" width="3.28515625" style="2" customWidth="1"/>
    <col min="15888" max="15888" width="1.42578125" style="2" customWidth="1"/>
    <col min="15889" max="15889" width="0" style="2" hidden="1" customWidth="1"/>
    <col min="15890" max="15890" width="6.85546875" style="2" customWidth="1"/>
    <col min="15891" max="15891" width="0" style="2" hidden="1" customWidth="1"/>
    <col min="15892" max="15893" width="6.28515625" style="2" customWidth="1"/>
    <col min="15894" max="15894" width="13.85546875" style="2" customWidth="1"/>
    <col min="15895" max="15895" width="10.85546875" style="2" customWidth="1"/>
    <col min="15896" max="15896" width="14.7109375" style="2" customWidth="1"/>
    <col min="15897" max="15897" width="0" style="2" hidden="1" customWidth="1"/>
    <col min="15898" max="15898" width="13" style="2" customWidth="1"/>
    <col min="15899" max="15899" width="12.7109375" style="2" customWidth="1"/>
    <col min="15900" max="15900" width="13.140625" style="2" customWidth="1"/>
    <col min="15901" max="15901" width="14" style="2" customWidth="1"/>
    <col min="15902" max="15902" width="8.140625" style="2" customWidth="1"/>
    <col min="15903" max="15903" width="11.42578125" style="2" customWidth="1"/>
    <col min="15904" max="15904" width="24.7109375" style="2" customWidth="1"/>
    <col min="15905" max="15905" width="12" style="2" customWidth="1"/>
    <col min="15906" max="15907" width="0.28515625" style="2" customWidth="1"/>
    <col min="15908" max="15908" width="1.42578125" style="2" customWidth="1"/>
    <col min="15909" max="15909" width="0" style="2" hidden="1" customWidth="1"/>
    <col min="15910" max="16128" width="11.42578125" style="2"/>
    <col min="16129" max="16129" width="8" style="2" customWidth="1"/>
    <col min="16130" max="16130" width="13.42578125" style="2" customWidth="1"/>
    <col min="16131" max="16131" width="4.28515625" style="2" customWidth="1"/>
    <col min="16132" max="16132" width="4" style="2" customWidth="1"/>
    <col min="16133" max="16133" width="17" style="2" customWidth="1"/>
    <col min="16134" max="16134" width="4.140625" style="2" customWidth="1"/>
    <col min="16135" max="16135" width="11.28515625" style="2" customWidth="1"/>
    <col min="16136" max="16136" width="11" style="2" customWidth="1"/>
    <col min="16137" max="16138" width="2.140625" style="2" customWidth="1"/>
    <col min="16139" max="16139" width="3.28515625" style="2" customWidth="1"/>
    <col min="16140" max="16141" width="0" style="2" hidden="1" customWidth="1"/>
    <col min="16142" max="16142" width="2.85546875" style="2" customWidth="1"/>
    <col min="16143" max="16143" width="3.28515625" style="2" customWidth="1"/>
    <col min="16144" max="16144" width="1.42578125" style="2" customWidth="1"/>
    <col min="16145" max="16145" width="0" style="2" hidden="1" customWidth="1"/>
    <col min="16146" max="16146" width="6.85546875" style="2" customWidth="1"/>
    <col min="16147" max="16147" width="0" style="2" hidden="1" customWidth="1"/>
    <col min="16148" max="16149" width="6.28515625" style="2" customWidth="1"/>
    <col min="16150" max="16150" width="13.85546875" style="2" customWidth="1"/>
    <col min="16151" max="16151" width="10.85546875" style="2" customWidth="1"/>
    <col min="16152" max="16152" width="14.7109375" style="2" customWidth="1"/>
    <col min="16153" max="16153" width="0" style="2" hidden="1" customWidth="1"/>
    <col min="16154" max="16154" width="13" style="2" customWidth="1"/>
    <col min="16155" max="16155" width="12.7109375" style="2" customWidth="1"/>
    <col min="16156" max="16156" width="13.140625" style="2" customWidth="1"/>
    <col min="16157" max="16157" width="14" style="2" customWidth="1"/>
    <col min="16158" max="16158" width="8.140625" style="2" customWidth="1"/>
    <col min="16159" max="16159" width="11.42578125" style="2" customWidth="1"/>
    <col min="16160" max="16160" width="24.7109375" style="2" customWidth="1"/>
    <col min="16161" max="16161" width="12" style="2" customWidth="1"/>
    <col min="16162" max="16163" width="0.28515625" style="2" customWidth="1"/>
    <col min="16164" max="16164" width="1.42578125" style="2" customWidth="1"/>
    <col min="16165" max="16165" width="0" style="2" hidden="1" customWidth="1"/>
    <col min="16166" max="16384" width="11.42578125" style="2"/>
  </cols>
  <sheetData>
    <row r="1" spans="1:84" ht="45" customHeight="1">
      <c r="A1" s="600"/>
      <c r="B1" s="600"/>
      <c r="C1" s="601" t="s">
        <v>0</v>
      </c>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908" t="s">
        <v>95</v>
      </c>
      <c r="AH1" s="93" t="s">
        <v>17</v>
      </c>
      <c r="AI1" s="94" t="s">
        <v>23</v>
      </c>
    </row>
    <row r="2" spans="1:84" ht="45" customHeight="1">
      <c r="A2" s="600"/>
      <c r="B2" s="600"/>
      <c r="C2" s="603" t="s">
        <v>37</v>
      </c>
      <c r="D2" s="603"/>
      <c r="E2" s="603"/>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908"/>
      <c r="AH2" s="92" t="s">
        <v>18</v>
      </c>
      <c r="AI2" s="95" t="s">
        <v>24</v>
      </c>
    </row>
    <row r="3" spans="1:84"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H3" s="93" t="s">
        <v>16</v>
      </c>
      <c r="AI3" s="94" t="s">
        <v>25</v>
      </c>
    </row>
    <row r="4" spans="1:84" ht="30.75" customHeight="1">
      <c r="A4" s="597" t="s">
        <v>5</v>
      </c>
      <c r="B4" s="597"/>
      <c r="C4" s="597"/>
      <c r="D4" s="597"/>
      <c r="E4" s="598" t="s">
        <v>96</v>
      </c>
      <c r="F4" s="598"/>
      <c r="G4" s="598"/>
      <c r="H4" s="598"/>
      <c r="I4" s="598"/>
      <c r="J4" s="598"/>
      <c r="K4" s="598"/>
      <c r="L4" s="598"/>
      <c r="M4" s="598"/>
      <c r="N4" s="598"/>
      <c r="O4" s="598"/>
      <c r="P4" s="598"/>
      <c r="Q4" s="598"/>
      <c r="R4" s="598"/>
      <c r="S4" s="598"/>
      <c r="T4" s="598"/>
      <c r="U4" s="598"/>
      <c r="V4" s="599" t="s">
        <v>20</v>
      </c>
      <c r="W4" s="599"/>
      <c r="X4" s="598" t="s">
        <v>97</v>
      </c>
      <c r="Y4" s="598"/>
      <c r="Z4" s="598"/>
      <c r="AA4" s="598"/>
      <c r="AB4" s="598"/>
      <c r="AC4" s="598"/>
      <c r="AD4" s="599" t="s">
        <v>98</v>
      </c>
      <c r="AE4" s="599"/>
      <c r="AF4" s="96" t="s">
        <v>99</v>
      </c>
      <c r="AH4" s="94" t="s">
        <v>19</v>
      </c>
    </row>
    <row r="5" spans="1:84" ht="4.5" customHeight="1" thickBo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row>
    <row r="6" spans="1:84" ht="57" customHeight="1">
      <c r="A6" s="605" t="s">
        <v>39</v>
      </c>
      <c r="B6" s="606"/>
      <c r="C6" s="599" t="s">
        <v>1</v>
      </c>
      <c r="D6" s="599" t="s">
        <v>100</v>
      </c>
      <c r="E6" s="599"/>
      <c r="F6" s="608" t="s">
        <v>6</v>
      </c>
      <c r="G6" s="599" t="s">
        <v>9</v>
      </c>
      <c r="H6" s="599" t="s">
        <v>2</v>
      </c>
      <c r="I6" s="599" t="s">
        <v>21</v>
      </c>
      <c r="J6" s="599"/>
      <c r="K6" s="599"/>
      <c r="L6" s="599"/>
      <c r="M6" s="599"/>
      <c r="N6" s="599"/>
      <c r="O6" s="599"/>
      <c r="P6" s="599"/>
      <c r="Q6" s="599"/>
      <c r="R6" s="599"/>
      <c r="S6" s="599"/>
      <c r="T6" s="599"/>
      <c r="U6" s="599"/>
      <c r="V6" s="599" t="s">
        <v>101</v>
      </c>
      <c r="W6" s="599" t="s">
        <v>3</v>
      </c>
      <c r="X6" s="599"/>
      <c r="Y6" s="599"/>
      <c r="Z6" s="610" t="s">
        <v>102</v>
      </c>
      <c r="AA6" s="610" t="s">
        <v>103</v>
      </c>
      <c r="AB6" s="610" t="s">
        <v>4</v>
      </c>
      <c r="AC6" s="610"/>
      <c r="AD6" s="599" t="s">
        <v>104</v>
      </c>
      <c r="AE6" s="599" t="s">
        <v>105</v>
      </c>
      <c r="AF6" s="682" t="s">
        <v>106</v>
      </c>
    </row>
    <row r="7" spans="1:84" ht="37.5" customHeight="1" thickBot="1">
      <c r="A7" s="97" t="s">
        <v>40</v>
      </c>
      <c r="B7" s="98" t="s">
        <v>41</v>
      </c>
      <c r="C7" s="607"/>
      <c r="D7" s="607"/>
      <c r="E7" s="607"/>
      <c r="F7" s="609"/>
      <c r="G7" s="607"/>
      <c r="H7" s="607"/>
      <c r="I7" s="607" t="s">
        <v>11</v>
      </c>
      <c r="J7" s="607"/>
      <c r="K7" s="607"/>
      <c r="L7" s="607"/>
      <c r="M7" s="607"/>
      <c r="N7" s="607"/>
      <c r="O7" s="615" t="s">
        <v>12</v>
      </c>
      <c r="P7" s="615"/>
      <c r="Q7" s="615"/>
      <c r="R7" s="615"/>
      <c r="S7" s="615"/>
      <c r="T7" s="615" t="s">
        <v>13</v>
      </c>
      <c r="U7" s="615"/>
      <c r="V7" s="607"/>
      <c r="W7" s="607"/>
      <c r="X7" s="607"/>
      <c r="Y7" s="607"/>
      <c r="Z7" s="611"/>
      <c r="AA7" s="611"/>
      <c r="AB7" s="57" t="s">
        <v>14</v>
      </c>
      <c r="AC7" s="55" t="s">
        <v>15</v>
      </c>
      <c r="AD7" s="607"/>
      <c r="AE7" s="607"/>
      <c r="AF7" s="907"/>
    </row>
    <row r="8" spans="1:84" ht="141" customHeight="1">
      <c r="A8" s="719"/>
      <c r="B8" s="632"/>
      <c r="C8" s="632">
        <v>1</v>
      </c>
      <c r="D8" s="722" t="s">
        <v>107</v>
      </c>
      <c r="E8" s="723"/>
      <c r="F8" s="728" t="s">
        <v>108</v>
      </c>
      <c r="G8" s="731" t="s">
        <v>44</v>
      </c>
      <c r="H8" s="632" t="s">
        <v>23</v>
      </c>
      <c r="I8" s="736"/>
      <c r="J8" s="737"/>
      <c r="K8" s="737"/>
      <c r="L8" s="737"/>
      <c r="M8" s="737"/>
      <c r="N8" s="738"/>
      <c r="O8" s="736"/>
      <c r="P8" s="737"/>
      <c r="Q8" s="737"/>
      <c r="R8" s="738"/>
      <c r="S8" s="99"/>
      <c r="T8" s="736"/>
      <c r="U8" s="738"/>
      <c r="V8" s="712" t="s">
        <v>109</v>
      </c>
      <c r="W8" s="801" t="s">
        <v>110</v>
      </c>
      <c r="X8" s="801"/>
      <c r="Y8" s="801"/>
      <c r="Z8" s="100" t="s">
        <v>111</v>
      </c>
      <c r="AA8" s="100" t="s">
        <v>112</v>
      </c>
      <c r="AB8" s="101">
        <v>43686</v>
      </c>
      <c r="AC8" s="101">
        <v>43815</v>
      </c>
      <c r="AD8" s="102">
        <v>1</v>
      </c>
      <c r="AE8" s="103" t="s">
        <v>17</v>
      </c>
      <c r="AF8" s="104" t="s">
        <v>113</v>
      </c>
      <c r="AG8" s="105"/>
      <c r="AH8" s="105"/>
    </row>
    <row r="9" spans="1:84" ht="72" customHeight="1">
      <c r="A9" s="720"/>
      <c r="B9" s="633"/>
      <c r="C9" s="633"/>
      <c r="D9" s="724"/>
      <c r="E9" s="725"/>
      <c r="F9" s="729"/>
      <c r="G9" s="732"/>
      <c r="H9" s="633"/>
      <c r="I9" s="739"/>
      <c r="J9" s="740"/>
      <c r="K9" s="740"/>
      <c r="L9" s="740"/>
      <c r="M9" s="740"/>
      <c r="N9" s="741"/>
      <c r="O9" s="739"/>
      <c r="P9" s="740"/>
      <c r="Q9" s="740"/>
      <c r="R9" s="741"/>
      <c r="S9" s="106"/>
      <c r="T9" s="739"/>
      <c r="U9" s="741"/>
      <c r="V9" s="713"/>
      <c r="W9" s="802" t="s">
        <v>114</v>
      </c>
      <c r="X9" s="802"/>
      <c r="Y9" s="802"/>
      <c r="Z9" s="107" t="s">
        <v>115</v>
      </c>
      <c r="AA9" s="107" t="s">
        <v>116</v>
      </c>
      <c r="AB9" s="108">
        <v>43815</v>
      </c>
      <c r="AC9" s="108">
        <v>43830</v>
      </c>
      <c r="AD9" s="5">
        <v>1</v>
      </c>
      <c r="AE9" s="53" t="s">
        <v>17</v>
      </c>
      <c r="AF9" s="109" t="s">
        <v>117</v>
      </c>
      <c r="AG9" s="105"/>
      <c r="AH9" s="105"/>
    </row>
    <row r="10" spans="1:84" s="117" customFormat="1" ht="60.75" customHeight="1" thickBot="1">
      <c r="A10" s="721"/>
      <c r="B10" s="634"/>
      <c r="C10" s="634"/>
      <c r="D10" s="726"/>
      <c r="E10" s="727"/>
      <c r="F10" s="730"/>
      <c r="G10" s="733"/>
      <c r="H10" s="634"/>
      <c r="I10" s="742"/>
      <c r="J10" s="743"/>
      <c r="K10" s="743"/>
      <c r="L10" s="743"/>
      <c r="M10" s="743"/>
      <c r="N10" s="744"/>
      <c r="O10" s="742"/>
      <c r="P10" s="743"/>
      <c r="Q10" s="743"/>
      <c r="R10" s="744"/>
      <c r="S10" s="110"/>
      <c r="T10" s="742"/>
      <c r="U10" s="744"/>
      <c r="V10" s="714"/>
      <c r="W10" s="803" t="s">
        <v>118</v>
      </c>
      <c r="X10" s="803"/>
      <c r="Y10" s="803"/>
      <c r="Z10" s="111">
        <v>1</v>
      </c>
      <c r="AA10" s="112" t="s">
        <v>119</v>
      </c>
      <c r="AB10" s="113">
        <v>43861</v>
      </c>
      <c r="AC10" s="113">
        <v>44196</v>
      </c>
      <c r="AD10" s="114"/>
      <c r="AE10" s="115" t="s">
        <v>16</v>
      </c>
      <c r="AF10" s="116" t="s">
        <v>120</v>
      </c>
      <c r="AG10" s="105"/>
      <c r="AH10" s="105"/>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row>
    <row r="11" spans="1:84" s="119" customFormat="1" ht="117.95" customHeight="1">
      <c r="A11" s="719"/>
      <c r="B11" s="632"/>
      <c r="C11" s="632">
        <v>2</v>
      </c>
      <c r="D11" s="722" t="s">
        <v>121</v>
      </c>
      <c r="E11" s="723"/>
      <c r="F11" s="728"/>
      <c r="G11" s="731" t="s">
        <v>44</v>
      </c>
      <c r="H11" s="632" t="s">
        <v>23</v>
      </c>
      <c r="I11" s="736"/>
      <c r="J11" s="737"/>
      <c r="K11" s="737"/>
      <c r="L11" s="737"/>
      <c r="M11" s="737"/>
      <c r="N11" s="738"/>
      <c r="O11" s="736"/>
      <c r="P11" s="737"/>
      <c r="Q11" s="737"/>
      <c r="R11" s="738"/>
      <c r="S11" s="99"/>
      <c r="T11" s="736"/>
      <c r="U11" s="738"/>
      <c r="V11" s="712" t="s">
        <v>122</v>
      </c>
      <c r="W11" s="801" t="s">
        <v>123</v>
      </c>
      <c r="X11" s="801"/>
      <c r="Y11" s="801"/>
      <c r="Z11" s="118" t="s">
        <v>124</v>
      </c>
      <c r="AA11" s="100" t="s">
        <v>125</v>
      </c>
      <c r="AB11" s="101">
        <v>43861</v>
      </c>
      <c r="AC11" s="101">
        <v>44196</v>
      </c>
      <c r="AD11" s="102">
        <v>0.25</v>
      </c>
      <c r="AE11" s="103" t="s">
        <v>16</v>
      </c>
      <c r="AF11" s="104" t="s">
        <v>126</v>
      </c>
      <c r="AG11" s="105"/>
      <c r="AH11" s="105"/>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row>
    <row r="12" spans="1:84" s="119" customFormat="1" ht="70.5" customHeight="1" thickBot="1">
      <c r="A12" s="721"/>
      <c r="B12" s="634"/>
      <c r="C12" s="634"/>
      <c r="D12" s="726"/>
      <c r="E12" s="727"/>
      <c r="F12" s="730"/>
      <c r="G12" s="733"/>
      <c r="H12" s="634"/>
      <c r="I12" s="742"/>
      <c r="J12" s="743"/>
      <c r="K12" s="743"/>
      <c r="L12" s="743"/>
      <c r="M12" s="743"/>
      <c r="N12" s="744"/>
      <c r="O12" s="742"/>
      <c r="P12" s="743"/>
      <c r="Q12" s="743"/>
      <c r="R12" s="744"/>
      <c r="S12" s="120"/>
      <c r="T12" s="742"/>
      <c r="U12" s="744"/>
      <c r="V12" s="714"/>
      <c r="W12" s="803" t="s">
        <v>127</v>
      </c>
      <c r="X12" s="803"/>
      <c r="Y12" s="803"/>
      <c r="Z12" s="121">
        <v>2</v>
      </c>
      <c r="AA12" s="112" t="s">
        <v>128</v>
      </c>
      <c r="AB12" s="113">
        <v>43861</v>
      </c>
      <c r="AC12" s="113">
        <v>44196</v>
      </c>
      <c r="AD12" s="114"/>
      <c r="AE12" s="115" t="s">
        <v>16</v>
      </c>
      <c r="AF12" s="116" t="s">
        <v>129</v>
      </c>
      <c r="AG12" s="105"/>
      <c r="AH12" s="105"/>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row>
    <row r="13" spans="1:84" s="92" customFormat="1" ht="60.75" customHeight="1">
      <c r="A13" s="719"/>
      <c r="B13" s="632"/>
      <c r="C13" s="632">
        <v>3</v>
      </c>
      <c r="D13" s="722" t="s">
        <v>130</v>
      </c>
      <c r="E13" s="723"/>
      <c r="F13" s="728"/>
      <c r="G13" s="731" t="s">
        <v>44</v>
      </c>
      <c r="H13" s="632" t="s">
        <v>23</v>
      </c>
      <c r="I13" s="736"/>
      <c r="J13" s="737"/>
      <c r="K13" s="737"/>
      <c r="L13" s="737"/>
      <c r="M13" s="737"/>
      <c r="N13" s="738"/>
      <c r="O13" s="736"/>
      <c r="P13" s="737"/>
      <c r="Q13" s="737"/>
      <c r="R13" s="738"/>
      <c r="S13" s="122"/>
      <c r="T13" s="736"/>
      <c r="U13" s="738"/>
      <c r="V13" s="712" t="s">
        <v>131</v>
      </c>
      <c r="W13" s="801" t="s">
        <v>132</v>
      </c>
      <c r="X13" s="801"/>
      <c r="Y13" s="801"/>
      <c r="Z13" s="118">
        <v>1</v>
      </c>
      <c r="AA13" s="100" t="s">
        <v>133</v>
      </c>
      <c r="AB13" s="101">
        <v>43861</v>
      </c>
      <c r="AC13" s="101">
        <v>44196</v>
      </c>
      <c r="AD13" s="102">
        <v>0.5</v>
      </c>
      <c r="AE13" s="103" t="s">
        <v>16</v>
      </c>
      <c r="AF13" s="104" t="s">
        <v>134</v>
      </c>
      <c r="AG13" s="105"/>
      <c r="AH13" s="105"/>
    </row>
    <row r="14" spans="1:84" s="92" customFormat="1" ht="60.75" customHeight="1" thickBot="1">
      <c r="A14" s="721"/>
      <c r="B14" s="634"/>
      <c r="C14" s="634"/>
      <c r="D14" s="726"/>
      <c r="E14" s="727"/>
      <c r="F14" s="730"/>
      <c r="G14" s="733"/>
      <c r="H14" s="634"/>
      <c r="I14" s="742"/>
      <c r="J14" s="743"/>
      <c r="K14" s="743"/>
      <c r="L14" s="743"/>
      <c r="M14" s="743"/>
      <c r="N14" s="744"/>
      <c r="O14" s="742"/>
      <c r="P14" s="743"/>
      <c r="Q14" s="743"/>
      <c r="R14" s="744"/>
      <c r="S14" s="110"/>
      <c r="T14" s="742"/>
      <c r="U14" s="744"/>
      <c r="V14" s="714"/>
      <c r="W14" s="803" t="s">
        <v>135</v>
      </c>
      <c r="X14" s="803"/>
      <c r="Y14" s="803"/>
      <c r="Z14" s="111">
        <v>1</v>
      </c>
      <c r="AA14" s="112" t="s">
        <v>136</v>
      </c>
      <c r="AB14" s="113">
        <v>43861</v>
      </c>
      <c r="AC14" s="123">
        <v>44196</v>
      </c>
      <c r="AD14" s="124">
        <v>0.5</v>
      </c>
      <c r="AE14" s="125" t="s">
        <v>16</v>
      </c>
      <c r="AF14" s="126" t="s">
        <v>137</v>
      </c>
      <c r="AG14" s="105"/>
      <c r="AH14" s="105"/>
    </row>
    <row r="15" spans="1:84" ht="6" customHeight="1">
      <c r="A15" s="643"/>
      <c r="B15" s="643"/>
      <c r="C15" s="643"/>
      <c r="D15" s="643"/>
      <c r="E15" s="643"/>
      <c r="F15" s="643"/>
      <c r="G15" s="643"/>
      <c r="H15" s="643"/>
      <c r="I15" s="643"/>
      <c r="J15" s="643"/>
      <c r="K15" s="643"/>
      <c r="L15" s="643"/>
      <c r="M15" s="643"/>
      <c r="N15" s="643"/>
      <c r="O15" s="643"/>
      <c r="P15" s="643"/>
      <c r="Q15" s="643"/>
      <c r="R15" s="643"/>
      <c r="S15" s="643"/>
      <c r="T15" s="643"/>
      <c r="U15" s="643"/>
      <c r="V15" s="643"/>
      <c r="W15" s="643"/>
      <c r="X15" s="643"/>
      <c r="Y15" s="643"/>
      <c r="Z15" s="643"/>
      <c r="AA15" s="643"/>
      <c r="AB15" s="643"/>
      <c r="AC15" s="643"/>
      <c r="AD15" s="643"/>
      <c r="AE15" s="643"/>
      <c r="AF15" s="643"/>
    </row>
    <row r="16" spans="1:84" ht="12.75" customHeight="1">
      <c r="A16" s="644" t="s">
        <v>22</v>
      </c>
      <c r="B16" s="644"/>
      <c r="C16" s="644"/>
      <c r="D16" s="644"/>
      <c r="E16" s="644"/>
      <c r="F16" s="644"/>
      <c r="G16" s="644"/>
      <c r="H16" s="644"/>
      <c r="I16" s="644"/>
      <c r="J16" s="644"/>
      <c r="K16" s="644"/>
      <c r="L16" s="4"/>
      <c r="M16" s="4"/>
      <c r="N16" s="645" t="s">
        <v>34</v>
      </c>
      <c r="O16" s="645"/>
      <c r="P16" s="645"/>
      <c r="Q16" s="645"/>
      <c r="R16" s="645"/>
      <c r="S16" s="645"/>
      <c r="T16" s="645"/>
      <c r="U16" s="645"/>
      <c r="V16" s="645"/>
      <c r="W16" s="645"/>
      <c r="X16" s="645"/>
      <c r="Y16" s="645"/>
      <c r="Z16" s="645"/>
      <c r="AA16" s="645"/>
      <c r="AB16" s="645"/>
      <c r="AC16" s="646" t="s">
        <v>35</v>
      </c>
      <c r="AD16" s="646"/>
      <c r="AE16" s="646"/>
      <c r="AF16" s="646"/>
    </row>
    <row r="17" spans="1:35">
      <c r="A17" s="644"/>
      <c r="B17" s="644"/>
      <c r="C17" s="644"/>
      <c r="D17" s="644"/>
      <c r="E17" s="644"/>
      <c r="F17" s="644"/>
      <c r="G17" s="644"/>
      <c r="H17" s="644"/>
      <c r="I17" s="644"/>
      <c r="J17" s="644"/>
      <c r="K17" s="644"/>
      <c r="L17" s="4"/>
      <c r="M17" s="4"/>
      <c r="N17" s="645"/>
      <c r="O17" s="645"/>
      <c r="P17" s="645"/>
      <c r="Q17" s="645"/>
      <c r="R17" s="645"/>
      <c r="S17" s="645"/>
      <c r="T17" s="645"/>
      <c r="U17" s="645"/>
      <c r="V17" s="645"/>
      <c r="W17" s="645"/>
      <c r="X17" s="645"/>
      <c r="Y17" s="645"/>
      <c r="Z17" s="645"/>
      <c r="AA17" s="645"/>
      <c r="AB17" s="645"/>
      <c r="AC17" s="646"/>
      <c r="AD17" s="646"/>
      <c r="AE17" s="646"/>
      <c r="AF17" s="646"/>
    </row>
    <row r="18" spans="1:35" ht="38.25" customHeight="1">
      <c r="A18" s="679" t="s">
        <v>154</v>
      </c>
      <c r="B18" s="905"/>
      <c r="C18" s="905"/>
      <c r="D18" s="905"/>
      <c r="E18" s="905"/>
      <c r="F18" s="905"/>
      <c r="G18" s="905"/>
      <c r="H18" s="905"/>
      <c r="I18" s="905"/>
      <c r="J18" s="905"/>
      <c r="K18" s="906"/>
      <c r="L18" s="4"/>
      <c r="M18" s="4"/>
      <c r="N18" s="650" t="s">
        <v>155</v>
      </c>
      <c r="O18" s="650"/>
      <c r="P18" s="650"/>
      <c r="Q18" s="650"/>
      <c r="R18" s="650"/>
      <c r="S18" s="650"/>
      <c r="T18" s="650"/>
      <c r="U18" s="650"/>
      <c r="V18" s="650"/>
      <c r="W18" s="650"/>
      <c r="X18" s="650"/>
      <c r="Y18" s="650"/>
      <c r="Z18" s="650"/>
      <c r="AA18" s="650"/>
      <c r="AB18" s="650"/>
      <c r="AC18" s="651" t="s">
        <v>156</v>
      </c>
      <c r="AD18" s="651"/>
      <c r="AE18" s="651"/>
      <c r="AF18" s="651"/>
    </row>
    <row r="19" spans="1:35" ht="15" customHeight="1">
      <c r="A19" s="641" t="s">
        <v>36</v>
      </c>
      <c r="B19" s="641"/>
      <c r="C19" s="641"/>
      <c r="D19" s="641"/>
      <c r="E19" s="641"/>
      <c r="F19" s="641"/>
      <c r="G19" s="641"/>
      <c r="H19" s="641"/>
      <c r="I19" s="641"/>
      <c r="J19" s="641"/>
      <c r="K19" s="641"/>
      <c r="L19" s="641"/>
      <c r="M19" s="641"/>
      <c r="N19" s="641"/>
      <c r="O19" s="641"/>
      <c r="P19" s="641"/>
      <c r="Q19" s="641"/>
      <c r="R19" s="641"/>
      <c r="S19" s="641"/>
      <c r="T19" s="641"/>
      <c r="U19" s="641"/>
      <c r="V19" s="641"/>
      <c r="W19" s="641"/>
      <c r="X19" s="641"/>
      <c r="Y19" s="641"/>
      <c r="Z19" s="641"/>
      <c r="AA19" s="641"/>
      <c r="AB19" s="641"/>
      <c r="AC19" s="641"/>
      <c r="AD19" s="641"/>
      <c r="AE19" s="641"/>
      <c r="AF19" s="641"/>
    </row>
    <row r="20" spans="1:35" ht="15.75" customHeight="1">
      <c r="A20" s="642"/>
      <c r="B20" s="642"/>
      <c r="C20" s="642"/>
      <c r="D20" s="642"/>
      <c r="E20" s="642"/>
      <c r="F20" s="642"/>
      <c r="G20" s="642"/>
      <c r="H20" s="642"/>
      <c r="I20" s="642"/>
      <c r="J20" s="642"/>
      <c r="K20" s="642"/>
      <c r="L20" s="642"/>
      <c r="M20" s="642"/>
      <c r="N20" s="642"/>
      <c r="O20" s="642"/>
      <c r="P20" s="642"/>
      <c r="Q20" s="642"/>
      <c r="R20" s="642"/>
      <c r="S20" s="642"/>
      <c r="T20" s="642"/>
      <c r="U20" s="642"/>
      <c r="V20" s="642"/>
      <c r="W20" s="642"/>
      <c r="X20" s="642"/>
      <c r="Y20" s="642"/>
      <c r="Z20" s="642"/>
      <c r="AA20" s="642"/>
      <c r="AB20" s="642"/>
      <c r="AC20" s="642"/>
      <c r="AD20" s="642"/>
      <c r="AE20" s="642"/>
      <c r="AF20" s="642"/>
      <c r="AG20" s="642"/>
    </row>
    <row r="21" spans="1:35" ht="22.5" customHeight="1">
      <c r="A21" s="642"/>
      <c r="B21" s="642"/>
      <c r="C21" s="642"/>
      <c r="D21" s="642"/>
      <c r="E21" s="642"/>
      <c r="F21" s="642"/>
      <c r="G21" s="642"/>
      <c r="H21" s="642"/>
      <c r="I21" s="642"/>
      <c r="J21" s="642"/>
      <c r="K21" s="642"/>
      <c r="L21" s="642"/>
      <c r="M21" s="642"/>
      <c r="N21" s="642"/>
      <c r="O21" s="642"/>
      <c r="P21" s="642"/>
      <c r="Q21" s="642"/>
      <c r="R21" s="642"/>
      <c r="S21" s="642"/>
      <c r="T21" s="642"/>
      <c r="U21" s="642"/>
      <c r="V21" s="642"/>
      <c r="W21" s="642"/>
      <c r="X21" s="642"/>
      <c r="Y21" s="642"/>
      <c r="Z21" s="642"/>
      <c r="AA21" s="642"/>
      <c r="AB21" s="642"/>
      <c r="AC21" s="642"/>
      <c r="AD21" s="642"/>
      <c r="AE21" s="642"/>
      <c r="AF21" s="642"/>
      <c r="AG21" s="127"/>
      <c r="AH21" s="127"/>
    </row>
    <row r="24" spans="1:35" ht="24.75" customHeight="1">
      <c r="AI24" s="94" t="s">
        <v>38</v>
      </c>
    </row>
    <row r="25" spans="1:35" ht="24.75" customHeight="1">
      <c r="AI25" s="94" t="s">
        <v>10</v>
      </c>
    </row>
    <row r="26" spans="1:35" ht="24.75" customHeight="1">
      <c r="AI26" s="94" t="s">
        <v>42</v>
      </c>
    </row>
    <row r="27" spans="1:35" ht="24.75" customHeight="1">
      <c r="AI27" s="94" t="s">
        <v>43</v>
      </c>
    </row>
    <row r="28" spans="1:35" ht="24.75" customHeight="1">
      <c r="AI28" s="94" t="s">
        <v>44</v>
      </c>
    </row>
    <row r="29" spans="1:35" ht="24.75" customHeight="1">
      <c r="AI29" s="94" t="s">
        <v>26</v>
      </c>
    </row>
    <row r="30" spans="1:35" ht="24.75" customHeight="1">
      <c r="AI30" s="94" t="s">
        <v>27</v>
      </c>
    </row>
    <row r="31" spans="1:35" ht="24.75" customHeight="1">
      <c r="AI31" s="94" t="s">
        <v>28</v>
      </c>
    </row>
    <row r="32" spans="1:35" ht="24.75" customHeight="1">
      <c r="AI32" s="94" t="s">
        <v>30</v>
      </c>
    </row>
    <row r="33" spans="35:35" ht="24.75" customHeight="1">
      <c r="AI33" s="94" t="s">
        <v>29</v>
      </c>
    </row>
    <row r="34" spans="35:35" ht="24.75" customHeight="1">
      <c r="AI34" s="94" t="s">
        <v>31</v>
      </c>
    </row>
    <row r="35" spans="35:35" ht="24.75" customHeight="1">
      <c r="AI35" s="94" t="s">
        <v>32</v>
      </c>
    </row>
    <row r="36" spans="35:35" ht="51">
      <c r="AI36" s="94" t="s">
        <v>33</v>
      </c>
    </row>
  </sheetData>
  <mergeCells count="79">
    <mergeCell ref="A4:D4"/>
    <mergeCell ref="E4:U4"/>
    <mergeCell ref="V4:W4"/>
    <mergeCell ref="X4:AC4"/>
    <mergeCell ref="AD4:AE4"/>
    <mergeCell ref="A1:B2"/>
    <mergeCell ref="C1:AE1"/>
    <mergeCell ref="AF1:AF2"/>
    <mergeCell ref="C2:AE2"/>
    <mergeCell ref="A3:AF3"/>
    <mergeCell ref="AF6:AF7"/>
    <mergeCell ref="A5:AF5"/>
    <mergeCell ref="A6:B6"/>
    <mergeCell ref="C6:C7"/>
    <mergeCell ref="D6:E7"/>
    <mergeCell ref="F6:F7"/>
    <mergeCell ref="G6:G7"/>
    <mergeCell ref="H6:H7"/>
    <mergeCell ref="I6:U6"/>
    <mergeCell ref="V6:V7"/>
    <mergeCell ref="W6:Y7"/>
    <mergeCell ref="Z6:Z7"/>
    <mergeCell ref="AA6:AA7"/>
    <mergeCell ref="AB6:AC6"/>
    <mergeCell ref="AD6:AD7"/>
    <mergeCell ref="AE6:AE7"/>
    <mergeCell ref="I7:N7"/>
    <mergeCell ref="O7:S7"/>
    <mergeCell ref="T7:U7"/>
    <mergeCell ref="A8:A10"/>
    <mergeCell ref="B8:B10"/>
    <mergeCell ref="C8:C10"/>
    <mergeCell ref="D8:E10"/>
    <mergeCell ref="F8:F10"/>
    <mergeCell ref="G8:G10"/>
    <mergeCell ref="H8:H10"/>
    <mergeCell ref="I8:N10"/>
    <mergeCell ref="O8:R10"/>
    <mergeCell ref="T8:U10"/>
    <mergeCell ref="V8:V10"/>
    <mergeCell ref="W8:Y8"/>
    <mergeCell ref="W9:Y9"/>
    <mergeCell ref="W10:Y10"/>
    <mergeCell ref="W11:Y11"/>
    <mergeCell ref="W12:Y12"/>
    <mergeCell ref="A11:A12"/>
    <mergeCell ref="B11:B12"/>
    <mergeCell ref="C11:C12"/>
    <mergeCell ref="D11:E12"/>
    <mergeCell ref="F11:F12"/>
    <mergeCell ref="G11:G12"/>
    <mergeCell ref="H11:H12"/>
    <mergeCell ref="I11:N12"/>
    <mergeCell ref="O11:R12"/>
    <mergeCell ref="T11:U12"/>
    <mergeCell ref="V11:V12"/>
    <mergeCell ref="W13:Y13"/>
    <mergeCell ref="W14:Y14"/>
    <mergeCell ref="A13:A14"/>
    <mergeCell ref="B13:B14"/>
    <mergeCell ref="C13:C14"/>
    <mergeCell ref="D13:E14"/>
    <mergeCell ref="F13:F14"/>
    <mergeCell ref="G13:G14"/>
    <mergeCell ref="H13:H14"/>
    <mergeCell ref="I13:N14"/>
    <mergeCell ref="O13:R14"/>
    <mergeCell ref="T13:U14"/>
    <mergeCell ref="V13:V14"/>
    <mergeCell ref="A19:AF19"/>
    <mergeCell ref="A20:AG20"/>
    <mergeCell ref="A21:AF21"/>
    <mergeCell ref="A15:AF15"/>
    <mergeCell ref="A16:K17"/>
    <mergeCell ref="N16:AB17"/>
    <mergeCell ref="AC16:AF17"/>
    <mergeCell ref="A18:K18"/>
    <mergeCell ref="N18:AB18"/>
    <mergeCell ref="AC18:AF18"/>
  </mergeCells>
  <conditionalFormatting sqref="AD8:AD14">
    <cfRule type="cellIs" dxfId="301" priority="3" operator="between">
      <formula>0.001</formula>
      <formula>0.99</formula>
    </cfRule>
    <cfRule type="cellIs" dxfId="300" priority="4" operator="equal">
      <formula>1</formula>
    </cfRule>
    <cfRule type="cellIs" dxfId="299" priority="5" operator="equal">
      <formula>0</formula>
    </cfRule>
  </conditionalFormatting>
  <conditionalFormatting sqref="AD8:AD14">
    <cfRule type="cellIs" dxfId="298" priority="6" operator="between">
      <formula>0.01</formula>
      <formula>0.99</formula>
    </cfRule>
    <cfRule type="cellIs" dxfId="297" priority="7" operator="equal">
      <formula>1</formula>
    </cfRule>
    <cfRule type="cellIs" dxfId="296" priority="8" operator="equal">
      <formula>0</formula>
    </cfRule>
  </conditionalFormatting>
  <conditionalFormatting sqref="AA8:AA14">
    <cfRule type="cellIs" dxfId="295" priority="1" stopIfTrue="1" operator="greaterThan">
      <formula>#REF!</formula>
    </cfRule>
    <cfRule type="cellIs" dxfId="294" priority="2" stopIfTrue="1" operator="lessThan">
      <formula>#REF!</formula>
    </cfRule>
  </conditionalFormatting>
  <dataValidations count="4">
    <dataValidation type="date" showInputMessage="1" showErrorMessage="1" error="Debe Digitar una Fecha Valida o Verificar la Fecha Inicial" sqref="AC65544 JY65544 TU65544 ADQ65544 ANM65544 AXI65544 BHE65544 BRA65544 CAW65544 CKS65544 CUO65544 DEK65544 DOG65544 DYC65544 EHY65544 ERU65544 FBQ65544 FLM65544 FVI65544 GFE65544 GPA65544 GYW65544 HIS65544 HSO65544 ICK65544 IMG65544 IWC65544 JFY65544 JPU65544 JZQ65544 KJM65544 KTI65544 LDE65544 LNA65544 LWW65544 MGS65544 MQO65544 NAK65544 NKG65544 NUC65544 ODY65544 ONU65544 OXQ65544 PHM65544 PRI65544 QBE65544 QLA65544 QUW65544 RES65544 ROO65544 RYK65544 SIG65544 SSC65544 TBY65544 TLU65544 TVQ65544 UFM65544 UPI65544 UZE65544 VJA65544 VSW65544 WCS65544 WMO65544 WWK65544 AC131080 JY131080 TU131080 ADQ131080 ANM131080 AXI131080 BHE131080 BRA131080 CAW131080 CKS131080 CUO131080 DEK131080 DOG131080 DYC131080 EHY131080 ERU131080 FBQ131080 FLM131080 FVI131080 GFE131080 GPA131080 GYW131080 HIS131080 HSO131080 ICK131080 IMG131080 IWC131080 JFY131080 JPU131080 JZQ131080 KJM131080 KTI131080 LDE131080 LNA131080 LWW131080 MGS131080 MQO131080 NAK131080 NKG131080 NUC131080 ODY131080 ONU131080 OXQ131080 PHM131080 PRI131080 QBE131080 QLA131080 QUW131080 RES131080 ROO131080 RYK131080 SIG131080 SSC131080 TBY131080 TLU131080 TVQ131080 UFM131080 UPI131080 UZE131080 VJA131080 VSW131080 WCS131080 WMO131080 WWK131080 AC196616 JY196616 TU196616 ADQ196616 ANM196616 AXI196616 BHE196616 BRA196616 CAW196616 CKS196616 CUO196616 DEK196616 DOG196616 DYC196616 EHY196616 ERU196616 FBQ196616 FLM196616 FVI196616 GFE196616 GPA196616 GYW196616 HIS196616 HSO196616 ICK196616 IMG196616 IWC196616 JFY196616 JPU196616 JZQ196616 KJM196616 KTI196616 LDE196616 LNA196616 LWW196616 MGS196616 MQO196616 NAK196616 NKG196616 NUC196616 ODY196616 ONU196616 OXQ196616 PHM196616 PRI196616 QBE196616 QLA196616 QUW196616 RES196616 ROO196616 RYK196616 SIG196616 SSC196616 TBY196616 TLU196616 TVQ196616 UFM196616 UPI196616 UZE196616 VJA196616 VSW196616 WCS196616 WMO196616 WWK196616 AC262152 JY262152 TU262152 ADQ262152 ANM262152 AXI262152 BHE262152 BRA262152 CAW262152 CKS262152 CUO262152 DEK262152 DOG262152 DYC262152 EHY262152 ERU262152 FBQ262152 FLM262152 FVI262152 GFE262152 GPA262152 GYW262152 HIS262152 HSO262152 ICK262152 IMG262152 IWC262152 JFY262152 JPU262152 JZQ262152 KJM262152 KTI262152 LDE262152 LNA262152 LWW262152 MGS262152 MQO262152 NAK262152 NKG262152 NUC262152 ODY262152 ONU262152 OXQ262152 PHM262152 PRI262152 QBE262152 QLA262152 QUW262152 RES262152 ROO262152 RYK262152 SIG262152 SSC262152 TBY262152 TLU262152 TVQ262152 UFM262152 UPI262152 UZE262152 VJA262152 VSW262152 WCS262152 WMO262152 WWK262152 AC327688 JY327688 TU327688 ADQ327688 ANM327688 AXI327688 BHE327688 BRA327688 CAW327688 CKS327688 CUO327688 DEK327688 DOG327688 DYC327688 EHY327688 ERU327688 FBQ327688 FLM327688 FVI327688 GFE327688 GPA327688 GYW327688 HIS327688 HSO327688 ICK327688 IMG327688 IWC327688 JFY327688 JPU327688 JZQ327688 KJM327688 KTI327688 LDE327688 LNA327688 LWW327688 MGS327688 MQO327688 NAK327688 NKG327688 NUC327688 ODY327688 ONU327688 OXQ327688 PHM327688 PRI327688 QBE327688 QLA327688 QUW327688 RES327688 ROO327688 RYK327688 SIG327688 SSC327688 TBY327688 TLU327688 TVQ327688 UFM327688 UPI327688 UZE327688 VJA327688 VSW327688 WCS327688 WMO327688 WWK327688 AC393224 JY393224 TU393224 ADQ393224 ANM393224 AXI393224 BHE393224 BRA393224 CAW393224 CKS393224 CUO393224 DEK393224 DOG393224 DYC393224 EHY393224 ERU393224 FBQ393224 FLM393224 FVI393224 GFE393224 GPA393224 GYW393224 HIS393224 HSO393224 ICK393224 IMG393224 IWC393224 JFY393224 JPU393224 JZQ393224 KJM393224 KTI393224 LDE393224 LNA393224 LWW393224 MGS393224 MQO393224 NAK393224 NKG393224 NUC393224 ODY393224 ONU393224 OXQ393224 PHM393224 PRI393224 QBE393224 QLA393224 QUW393224 RES393224 ROO393224 RYK393224 SIG393224 SSC393224 TBY393224 TLU393224 TVQ393224 UFM393224 UPI393224 UZE393224 VJA393224 VSW393224 WCS393224 WMO393224 WWK393224 AC458760 JY458760 TU458760 ADQ458760 ANM458760 AXI458760 BHE458760 BRA458760 CAW458760 CKS458760 CUO458760 DEK458760 DOG458760 DYC458760 EHY458760 ERU458760 FBQ458760 FLM458760 FVI458760 GFE458760 GPA458760 GYW458760 HIS458760 HSO458760 ICK458760 IMG458760 IWC458760 JFY458760 JPU458760 JZQ458760 KJM458760 KTI458760 LDE458760 LNA458760 LWW458760 MGS458760 MQO458760 NAK458760 NKG458760 NUC458760 ODY458760 ONU458760 OXQ458760 PHM458760 PRI458760 QBE458760 QLA458760 QUW458760 RES458760 ROO458760 RYK458760 SIG458760 SSC458760 TBY458760 TLU458760 TVQ458760 UFM458760 UPI458760 UZE458760 VJA458760 VSW458760 WCS458760 WMO458760 WWK458760 AC524296 JY524296 TU524296 ADQ524296 ANM524296 AXI524296 BHE524296 BRA524296 CAW524296 CKS524296 CUO524296 DEK524296 DOG524296 DYC524296 EHY524296 ERU524296 FBQ524296 FLM524296 FVI524296 GFE524296 GPA524296 GYW524296 HIS524296 HSO524296 ICK524296 IMG524296 IWC524296 JFY524296 JPU524296 JZQ524296 KJM524296 KTI524296 LDE524296 LNA524296 LWW524296 MGS524296 MQO524296 NAK524296 NKG524296 NUC524296 ODY524296 ONU524296 OXQ524296 PHM524296 PRI524296 QBE524296 QLA524296 QUW524296 RES524296 ROO524296 RYK524296 SIG524296 SSC524296 TBY524296 TLU524296 TVQ524296 UFM524296 UPI524296 UZE524296 VJA524296 VSW524296 WCS524296 WMO524296 WWK524296 AC589832 JY589832 TU589832 ADQ589832 ANM589832 AXI589832 BHE589832 BRA589832 CAW589832 CKS589832 CUO589832 DEK589832 DOG589832 DYC589832 EHY589832 ERU589832 FBQ589832 FLM589832 FVI589832 GFE589832 GPA589832 GYW589832 HIS589832 HSO589832 ICK589832 IMG589832 IWC589832 JFY589832 JPU589832 JZQ589832 KJM589832 KTI589832 LDE589832 LNA589832 LWW589832 MGS589832 MQO589832 NAK589832 NKG589832 NUC589832 ODY589832 ONU589832 OXQ589832 PHM589832 PRI589832 QBE589832 QLA589832 QUW589832 RES589832 ROO589832 RYK589832 SIG589832 SSC589832 TBY589832 TLU589832 TVQ589832 UFM589832 UPI589832 UZE589832 VJA589832 VSW589832 WCS589832 WMO589832 WWK589832 AC655368 JY655368 TU655368 ADQ655368 ANM655368 AXI655368 BHE655368 BRA655368 CAW655368 CKS655368 CUO655368 DEK655368 DOG655368 DYC655368 EHY655368 ERU655368 FBQ655368 FLM655368 FVI655368 GFE655368 GPA655368 GYW655368 HIS655368 HSO655368 ICK655368 IMG655368 IWC655368 JFY655368 JPU655368 JZQ655368 KJM655368 KTI655368 LDE655368 LNA655368 LWW655368 MGS655368 MQO655368 NAK655368 NKG655368 NUC655368 ODY655368 ONU655368 OXQ655368 PHM655368 PRI655368 QBE655368 QLA655368 QUW655368 RES655368 ROO655368 RYK655368 SIG655368 SSC655368 TBY655368 TLU655368 TVQ655368 UFM655368 UPI655368 UZE655368 VJA655368 VSW655368 WCS655368 WMO655368 WWK655368 AC720904 JY720904 TU720904 ADQ720904 ANM720904 AXI720904 BHE720904 BRA720904 CAW720904 CKS720904 CUO720904 DEK720904 DOG720904 DYC720904 EHY720904 ERU720904 FBQ720904 FLM720904 FVI720904 GFE720904 GPA720904 GYW720904 HIS720904 HSO720904 ICK720904 IMG720904 IWC720904 JFY720904 JPU720904 JZQ720904 KJM720904 KTI720904 LDE720904 LNA720904 LWW720904 MGS720904 MQO720904 NAK720904 NKG720904 NUC720904 ODY720904 ONU720904 OXQ720904 PHM720904 PRI720904 QBE720904 QLA720904 QUW720904 RES720904 ROO720904 RYK720904 SIG720904 SSC720904 TBY720904 TLU720904 TVQ720904 UFM720904 UPI720904 UZE720904 VJA720904 VSW720904 WCS720904 WMO720904 WWK720904 AC786440 JY786440 TU786440 ADQ786440 ANM786440 AXI786440 BHE786440 BRA786440 CAW786440 CKS786440 CUO786440 DEK786440 DOG786440 DYC786440 EHY786440 ERU786440 FBQ786440 FLM786440 FVI786440 GFE786440 GPA786440 GYW786440 HIS786440 HSO786440 ICK786440 IMG786440 IWC786440 JFY786440 JPU786440 JZQ786440 KJM786440 KTI786440 LDE786440 LNA786440 LWW786440 MGS786440 MQO786440 NAK786440 NKG786440 NUC786440 ODY786440 ONU786440 OXQ786440 PHM786440 PRI786440 QBE786440 QLA786440 QUW786440 RES786440 ROO786440 RYK786440 SIG786440 SSC786440 TBY786440 TLU786440 TVQ786440 UFM786440 UPI786440 UZE786440 VJA786440 VSW786440 WCS786440 WMO786440 WWK786440 AC851976 JY851976 TU851976 ADQ851976 ANM851976 AXI851976 BHE851976 BRA851976 CAW851976 CKS851976 CUO851976 DEK851976 DOG851976 DYC851976 EHY851976 ERU851976 FBQ851976 FLM851976 FVI851976 GFE851976 GPA851976 GYW851976 HIS851976 HSO851976 ICK851976 IMG851976 IWC851976 JFY851976 JPU851976 JZQ851976 KJM851976 KTI851976 LDE851976 LNA851976 LWW851976 MGS851976 MQO851976 NAK851976 NKG851976 NUC851976 ODY851976 ONU851976 OXQ851976 PHM851976 PRI851976 QBE851976 QLA851976 QUW851976 RES851976 ROO851976 RYK851976 SIG851976 SSC851976 TBY851976 TLU851976 TVQ851976 UFM851976 UPI851976 UZE851976 VJA851976 VSW851976 WCS851976 WMO851976 WWK851976 AC917512 JY917512 TU917512 ADQ917512 ANM917512 AXI917512 BHE917512 BRA917512 CAW917512 CKS917512 CUO917512 DEK917512 DOG917512 DYC917512 EHY917512 ERU917512 FBQ917512 FLM917512 FVI917512 GFE917512 GPA917512 GYW917512 HIS917512 HSO917512 ICK917512 IMG917512 IWC917512 JFY917512 JPU917512 JZQ917512 KJM917512 KTI917512 LDE917512 LNA917512 LWW917512 MGS917512 MQO917512 NAK917512 NKG917512 NUC917512 ODY917512 ONU917512 OXQ917512 PHM917512 PRI917512 QBE917512 QLA917512 QUW917512 RES917512 ROO917512 RYK917512 SIG917512 SSC917512 TBY917512 TLU917512 TVQ917512 UFM917512 UPI917512 UZE917512 VJA917512 VSW917512 WCS917512 WMO917512 WWK917512 AC983048 JY983048 TU983048 ADQ983048 ANM983048 AXI983048 BHE983048 BRA983048 CAW983048 CKS983048 CUO983048 DEK983048 DOG983048 DYC983048 EHY983048 ERU983048 FBQ983048 FLM983048 FVI983048 GFE983048 GPA983048 GYW983048 HIS983048 HSO983048 ICK983048 IMG983048 IWC983048 JFY983048 JPU983048 JZQ983048 KJM983048 KTI983048 LDE983048 LNA983048 LWW983048 MGS983048 MQO983048 NAK983048 NKG983048 NUC983048 ODY983048 ONU983048 OXQ983048 PHM983048 PRI983048 QBE983048 QLA983048 QUW983048 RES983048 ROO983048 RYK983048 SIG983048 SSC983048 TBY983048 TLU983048 TVQ983048 UFM983048 UPI983048 UZE983048 VJA983048 VSW983048 WCS983048 WMO983048 WWK983048 AC65546:AC65550 JY65546:JY65550 TU65546:TU65550 ADQ65546:ADQ65550 ANM65546:ANM65550 AXI65546:AXI65550 BHE65546:BHE65550 BRA65546:BRA65550 CAW65546:CAW65550 CKS65546:CKS65550 CUO65546:CUO65550 DEK65546:DEK65550 DOG65546:DOG65550 DYC65546:DYC65550 EHY65546:EHY65550 ERU65546:ERU65550 FBQ65546:FBQ65550 FLM65546:FLM65550 FVI65546:FVI65550 GFE65546:GFE65550 GPA65546:GPA65550 GYW65546:GYW65550 HIS65546:HIS65550 HSO65546:HSO65550 ICK65546:ICK65550 IMG65546:IMG65550 IWC65546:IWC65550 JFY65546:JFY65550 JPU65546:JPU65550 JZQ65546:JZQ65550 KJM65546:KJM65550 KTI65546:KTI65550 LDE65546:LDE65550 LNA65546:LNA65550 LWW65546:LWW65550 MGS65546:MGS65550 MQO65546:MQO65550 NAK65546:NAK65550 NKG65546:NKG65550 NUC65546:NUC65550 ODY65546:ODY65550 ONU65546:ONU65550 OXQ65546:OXQ65550 PHM65546:PHM65550 PRI65546:PRI65550 QBE65546:QBE65550 QLA65546:QLA65550 QUW65546:QUW65550 RES65546:RES65550 ROO65546:ROO65550 RYK65546:RYK65550 SIG65546:SIG65550 SSC65546:SSC65550 TBY65546:TBY65550 TLU65546:TLU65550 TVQ65546:TVQ65550 UFM65546:UFM65550 UPI65546:UPI65550 UZE65546:UZE65550 VJA65546:VJA65550 VSW65546:VSW65550 WCS65546:WCS65550 WMO65546:WMO65550 WWK65546:WWK65550 AC131082:AC131086 JY131082:JY131086 TU131082:TU131086 ADQ131082:ADQ131086 ANM131082:ANM131086 AXI131082:AXI131086 BHE131082:BHE131086 BRA131082:BRA131086 CAW131082:CAW131086 CKS131082:CKS131086 CUO131082:CUO131086 DEK131082:DEK131086 DOG131082:DOG131086 DYC131082:DYC131086 EHY131082:EHY131086 ERU131082:ERU131086 FBQ131082:FBQ131086 FLM131082:FLM131086 FVI131082:FVI131086 GFE131082:GFE131086 GPA131082:GPA131086 GYW131082:GYW131086 HIS131082:HIS131086 HSO131082:HSO131086 ICK131082:ICK131086 IMG131082:IMG131086 IWC131082:IWC131086 JFY131082:JFY131086 JPU131082:JPU131086 JZQ131082:JZQ131086 KJM131082:KJM131086 KTI131082:KTI131086 LDE131082:LDE131086 LNA131082:LNA131086 LWW131082:LWW131086 MGS131082:MGS131086 MQO131082:MQO131086 NAK131082:NAK131086 NKG131082:NKG131086 NUC131082:NUC131086 ODY131082:ODY131086 ONU131082:ONU131086 OXQ131082:OXQ131086 PHM131082:PHM131086 PRI131082:PRI131086 QBE131082:QBE131086 QLA131082:QLA131086 QUW131082:QUW131086 RES131082:RES131086 ROO131082:ROO131086 RYK131082:RYK131086 SIG131082:SIG131086 SSC131082:SSC131086 TBY131082:TBY131086 TLU131082:TLU131086 TVQ131082:TVQ131086 UFM131082:UFM131086 UPI131082:UPI131086 UZE131082:UZE131086 VJA131082:VJA131086 VSW131082:VSW131086 WCS131082:WCS131086 WMO131082:WMO131086 WWK131082:WWK131086 AC196618:AC196622 JY196618:JY196622 TU196618:TU196622 ADQ196618:ADQ196622 ANM196618:ANM196622 AXI196618:AXI196622 BHE196618:BHE196622 BRA196618:BRA196622 CAW196618:CAW196622 CKS196618:CKS196622 CUO196618:CUO196622 DEK196618:DEK196622 DOG196618:DOG196622 DYC196618:DYC196622 EHY196618:EHY196622 ERU196618:ERU196622 FBQ196618:FBQ196622 FLM196618:FLM196622 FVI196618:FVI196622 GFE196618:GFE196622 GPA196618:GPA196622 GYW196618:GYW196622 HIS196618:HIS196622 HSO196618:HSO196622 ICK196618:ICK196622 IMG196618:IMG196622 IWC196618:IWC196622 JFY196618:JFY196622 JPU196618:JPU196622 JZQ196618:JZQ196622 KJM196618:KJM196622 KTI196618:KTI196622 LDE196618:LDE196622 LNA196618:LNA196622 LWW196618:LWW196622 MGS196618:MGS196622 MQO196618:MQO196622 NAK196618:NAK196622 NKG196618:NKG196622 NUC196618:NUC196622 ODY196618:ODY196622 ONU196618:ONU196622 OXQ196618:OXQ196622 PHM196618:PHM196622 PRI196618:PRI196622 QBE196618:QBE196622 QLA196618:QLA196622 QUW196618:QUW196622 RES196618:RES196622 ROO196618:ROO196622 RYK196618:RYK196622 SIG196618:SIG196622 SSC196618:SSC196622 TBY196618:TBY196622 TLU196618:TLU196622 TVQ196618:TVQ196622 UFM196618:UFM196622 UPI196618:UPI196622 UZE196618:UZE196622 VJA196618:VJA196622 VSW196618:VSW196622 WCS196618:WCS196622 WMO196618:WMO196622 WWK196618:WWK196622 AC262154:AC262158 JY262154:JY262158 TU262154:TU262158 ADQ262154:ADQ262158 ANM262154:ANM262158 AXI262154:AXI262158 BHE262154:BHE262158 BRA262154:BRA262158 CAW262154:CAW262158 CKS262154:CKS262158 CUO262154:CUO262158 DEK262154:DEK262158 DOG262154:DOG262158 DYC262154:DYC262158 EHY262154:EHY262158 ERU262154:ERU262158 FBQ262154:FBQ262158 FLM262154:FLM262158 FVI262154:FVI262158 GFE262154:GFE262158 GPA262154:GPA262158 GYW262154:GYW262158 HIS262154:HIS262158 HSO262154:HSO262158 ICK262154:ICK262158 IMG262154:IMG262158 IWC262154:IWC262158 JFY262154:JFY262158 JPU262154:JPU262158 JZQ262154:JZQ262158 KJM262154:KJM262158 KTI262154:KTI262158 LDE262154:LDE262158 LNA262154:LNA262158 LWW262154:LWW262158 MGS262154:MGS262158 MQO262154:MQO262158 NAK262154:NAK262158 NKG262154:NKG262158 NUC262154:NUC262158 ODY262154:ODY262158 ONU262154:ONU262158 OXQ262154:OXQ262158 PHM262154:PHM262158 PRI262154:PRI262158 QBE262154:QBE262158 QLA262154:QLA262158 QUW262154:QUW262158 RES262154:RES262158 ROO262154:ROO262158 RYK262154:RYK262158 SIG262154:SIG262158 SSC262154:SSC262158 TBY262154:TBY262158 TLU262154:TLU262158 TVQ262154:TVQ262158 UFM262154:UFM262158 UPI262154:UPI262158 UZE262154:UZE262158 VJA262154:VJA262158 VSW262154:VSW262158 WCS262154:WCS262158 WMO262154:WMO262158 WWK262154:WWK262158 AC327690:AC327694 JY327690:JY327694 TU327690:TU327694 ADQ327690:ADQ327694 ANM327690:ANM327694 AXI327690:AXI327694 BHE327690:BHE327694 BRA327690:BRA327694 CAW327690:CAW327694 CKS327690:CKS327694 CUO327690:CUO327694 DEK327690:DEK327694 DOG327690:DOG327694 DYC327690:DYC327694 EHY327690:EHY327694 ERU327690:ERU327694 FBQ327690:FBQ327694 FLM327690:FLM327694 FVI327690:FVI327694 GFE327690:GFE327694 GPA327690:GPA327694 GYW327690:GYW327694 HIS327690:HIS327694 HSO327690:HSO327694 ICK327690:ICK327694 IMG327690:IMG327694 IWC327690:IWC327694 JFY327690:JFY327694 JPU327690:JPU327694 JZQ327690:JZQ327694 KJM327690:KJM327694 KTI327690:KTI327694 LDE327690:LDE327694 LNA327690:LNA327694 LWW327690:LWW327694 MGS327690:MGS327694 MQO327690:MQO327694 NAK327690:NAK327694 NKG327690:NKG327694 NUC327690:NUC327694 ODY327690:ODY327694 ONU327690:ONU327694 OXQ327690:OXQ327694 PHM327690:PHM327694 PRI327690:PRI327694 QBE327690:QBE327694 QLA327690:QLA327694 QUW327690:QUW327694 RES327690:RES327694 ROO327690:ROO327694 RYK327690:RYK327694 SIG327690:SIG327694 SSC327690:SSC327694 TBY327690:TBY327694 TLU327690:TLU327694 TVQ327690:TVQ327694 UFM327690:UFM327694 UPI327690:UPI327694 UZE327690:UZE327694 VJA327690:VJA327694 VSW327690:VSW327694 WCS327690:WCS327694 WMO327690:WMO327694 WWK327690:WWK327694 AC393226:AC393230 JY393226:JY393230 TU393226:TU393230 ADQ393226:ADQ393230 ANM393226:ANM393230 AXI393226:AXI393230 BHE393226:BHE393230 BRA393226:BRA393230 CAW393226:CAW393230 CKS393226:CKS393230 CUO393226:CUO393230 DEK393226:DEK393230 DOG393226:DOG393230 DYC393226:DYC393230 EHY393226:EHY393230 ERU393226:ERU393230 FBQ393226:FBQ393230 FLM393226:FLM393230 FVI393226:FVI393230 GFE393226:GFE393230 GPA393226:GPA393230 GYW393226:GYW393230 HIS393226:HIS393230 HSO393226:HSO393230 ICK393226:ICK393230 IMG393226:IMG393230 IWC393226:IWC393230 JFY393226:JFY393230 JPU393226:JPU393230 JZQ393226:JZQ393230 KJM393226:KJM393230 KTI393226:KTI393230 LDE393226:LDE393230 LNA393226:LNA393230 LWW393226:LWW393230 MGS393226:MGS393230 MQO393226:MQO393230 NAK393226:NAK393230 NKG393226:NKG393230 NUC393226:NUC393230 ODY393226:ODY393230 ONU393226:ONU393230 OXQ393226:OXQ393230 PHM393226:PHM393230 PRI393226:PRI393230 QBE393226:QBE393230 QLA393226:QLA393230 QUW393226:QUW393230 RES393226:RES393230 ROO393226:ROO393230 RYK393226:RYK393230 SIG393226:SIG393230 SSC393226:SSC393230 TBY393226:TBY393230 TLU393226:TLU393230 TVQ393226:TVQ393230 UFM393226:UFM393230 UPI393226:UPI393230 UZE393226:UZE393230 VJA393226:VJA393230 VSW393226:VSW393230 WCS393226:WCS393230 WMO393226:WMO393230 WWK393226:WWK393230 AC458762:AC458766 JY458762:JY458766 TU458762:TU458766 ADQ458762:ADQ458766 ANM458762:ANM458766 AXI458762:AXI458766 BHE458762:BHE458766 BRA458762:BRA458766 CAW458762:CAW458766 CKS458762:CKS458766 CUO458762:CUO458766 DEK458762:DEK458766 DOG458762:DOG458766 DYC458762:DYC458766 EHY458762:EHY458766 ERU458762:ERU458766 FBQ458762:FBQ458766 FLM458762:FLM458766 FVI458762:FVI458766 GFE458762:GFE458766 GPA458762:GPA458766 GYW458762:GYW458766 HIS458762:HIS458766 HSO458762:HSO458766 ICK458762:ICK458766 IMG458762:IMG458766 IWC458762:IWC458766 JFY458762:JFY458766 JPU458762:JPU458766 JZQ458762:JZQ458766 KJM458762:KJM458766 KTI458762:KTI458766 LDE458762:LDE458766 LNA458762:LNA458766 LWW458762:LWW458766 MGS458762:MGS458766 MQO458762:MQO458766 NAK458762:NAK458766 NKG458762:NKG458766 NUC458762:NUC458766 ODY458762:ODY458766 ONU458762:ONU458766 OXQ458762:OXQ458766 PHM458762:PHM458766 PRI458762:PRI458766 QBE458762:QBE458766 QLA458762:QLA458766 QUW458762:QUW458766 RES458762:RES458766 ROO458762:ROO458766 RYK458762:RYK458766 SIG458762:SIG458766 SSC458762:SSC458766 TBY458762:TBY458766 TLU458762:TLU458766 TVQ458762:TVQ458766 UFM458762:UFM458766 UPI458762:UPI458766 UZE458762:UZE458766 VJA458762:VJA458766 VSW458762:VSW458766 WCS458762:WCS458766 WMO458762:WMO458766 WWK458762:WWK458766 AC524298:AC524302 JY524298:JY524302 TU524298:TU524302 ADQ524298:ADQ524302 ANM524298:ANM524302 AXI524298:AXI524302 BHE524298:BHE524302 BRA524298:BRA524302 CAW524298:CAW524302 CKS524298:CKS524302 CUO524298:CUO524302 DEK524298:DEK524302 DOG524298:DOG524302 DYC524298:DYC524302 EHY524298:EHY524302 ERU524298:ERU524302 FBQ524298:FBQ524302 FLM524298:FLM524302 FVI524298:FVI524302 GFE524298:GFE524302 GPA524298:GPA524302 GYW524298:GYW524302 HIS524298:HIS524302 HSO524298:HSO524302 ICK524298:ICK524302 IMG524298:IMG524302 IWC524298:IWC524302 JFY524298:JFY524302 JPU524298:JPU524302 JZQ524298:JZQ524302 KJM524298:KJM524302 KTI524298:KTI524302 LDE524298:LDE524302 LNA524298:LNA524302 LWW524298:LWW524302 MGS524298:MGS524302 MQO524298:MQO524302 NAK524298:NAK524302 NKG524298:NKG524302 NUC524298:NUC524302 ODY524298:ODY524302 ONU524298:ONU524302 OXQ524298:OXQ524302 PHM524298:PHM524302 PRI524298:PRI524302 QBE524298:QBE524302 QLA524298:QLA524302 QUW524298:QUW524302 RES524298:RES524302 ROO524298:ROO524302 RYK524298:RYK524302 SIG524298:SIG524302 SSC524298:SSC524302 TBY524298:TBY524302 TLU524298:TLU524302 TVQ524298:TVQ524302 UFM524298:UFM524302 UPI524298:UPI524302 UZE524298:UZE524302 VJA524298:VJA524302 VSW524298:VSW524302 WCS524298:WCS524302 WMO524298:WMO524302 WWK524298:WWK524302 AC589834:AC589838 JY589834:JY589838 TU589834:TU589838 ADQ589834:ADQ589838 ANM589834:ANM589838 AXI589834:AXI589838 BHE589834:BHE589838 BRA589834:BRA589838 CAW589834:CAW589838 CKS589834:CKS589838 CUO589834:CUO589838 DEK589834:DEK589838 DOG589834:DOG589838 DYC589834:DYC589838 EHY589834:EHY589838 ERU589834:ERU589838 FBQ589834:FBQ589838 FLM589834:FLM589838 FVI589834:FVI589838 GFE589834:GFE589838 GPA589834:GPA589838 GYW589834:GYW589838 HIS589834:HIS589838 HSO589834:HSO589838 ICK589834:ICK589838 IMG589834:IMG589838 IWC589834:IWC589838 JFY589834:JFY589838 JPU589834:JPU589838 JZQ589834:JZQ589838 KJM589834:KJM589838 KTI589834:KTI589838 LDE589834:LDE589838 LNA589834:LNA589838 LWW589834:LWW589838 MGS589834:MGS589838 MQO589834:MQO589838 NAK589834:NAK589838 NKG589834:NKG589838 NUC589834:NUC589838 ODY589834:ODY589838 ONU589834:ONU589838 OXQ589834:OXQ589838 PHM589834:PHM589838 PRI589834:PRI589838 QBE589834:QBE589838 QLA589834:QLA589838 QUW589834:QUW589838 RES589834:RES589838 ROO589834:ROO589838 RYK589834:RYK589838 SIG589834:SIG589838 SSC589834:SSC589838 TBY589834:TBY589838 TLU589834:TLU589838 TVQ589834:TVQ589838 UFM589834:UFM589838 UPI589834:UPI589838 UZE589834:UZE589838 VJA589834:VJA589838 VSW589834:VSW589838 WCS589834:WCS589838 WMO589834:WMO589838 WWK589834:WWK589838 AC655370:AC655374 JY655370:JY655374 TU655370:TU655374 ADQ655370:ADQ655374 ANM655370:ANM655374 AXI655370:AXI655374 BHE655370:BHE655374 BRA655370:BRA655374 CAW655370:CAW655374 CKS655370:CKS655374 CUO655370:CUO655374 DEK655370:DEK655374 DOG655370:DOG655374 DYC655370:DYC655374 EHY655370:EHY655374 ERU655370:ERU655374 FBQ655370:FBQ655374 FLM655370:FLM655374 FVI655370:FVI655374 GFE655370:GFE655374 GPA655370:GPA655374 GYW655370:GYW655374 HIS655370:HIS655374 HSO655370:HSO655374 ICK655370:ICK655374 IMG655370:IMG655374 IWC655370:IWC655374 JFY655370:JFY655374 JPU655370:JPU655374 JZQ655370:JZQ655374 KJM655370:KJM655374 KTI655370:KTI655374 LDE655370:LDE655374 LNA655370:LNA655374 LWW655370:LWW655374 MGS655370:MGS655374 MQO655370:MQO655374 NAK655370:NAK655374 NKG655370:NKG655374 NUC655370:NUC655374 ODY655370:ODY655374 ONU655370:ONU655374 OXQ655370:OXQ655374 PHM655370:PHM655374 PRI655370:PRI655374 QBE655370:QBE655374 QLA655370:QLA655374 QUW655370:QUW655374 RES655370:RES655374 ROO655370:ROO655374 RYK655370:RYK655374 SIG655370:SIG655374 SSC655370:SSC655374 TBY655370:TBY655374 TLU655370:TLU655374 TVQ655370:TVQ655374 UFM655370:UFM655374 UPI655370:UPI655374 UZE655370:UZE655374 VJA655370:VJA655374 VSW655370:VSW655374 WCS655370:WCS655374 WMO655370:WMO655374 WWK655370:WWK655374 AC720906:AC720910 JY720906:JY720910 TU720906:TU720910 ADQ720906:ADQ720910 ANM720906:ANM720910 AXI720906:AXI720910 BHE720906:BHE720910 BRA720906:BRA720910 CAW720906:CAW720910 CKS720906:CKS720910 CUO720906:CUO720910 DEK720906:DEK720910 DOG720906:DOG720910 DYC720906:DYC720910 EHY720906:EHY720910 ERU720906:ERU720910 FBQ720906:FBQ720910 FLM720906:FLM720910 FVI720906:FVI720910 GFE720906:GFE720910 GPA720906:GPA720910 GYW720906:GYW720910 HIS720906:HIS720910 HSO720906:HSO720910 ICK720906:ICK720910 IMG720906:IMG720910 IWC720906:IWC720910 JFY720906:JFY720910 JPU720906:JPU720910 JZQ720906:JZQ720910 KJM720906:KJM720910 KTI720906:KTI720910 LDE720906:LDE720910 LNA720906:LNA720910 LWW720906:LWW720910 MGS720906:MGS720910 MQO720906:MQO720910 NAK720906:NAK720910 NKG720906:NKG720910 NUC720906:NUC720910 ODY720906:ODY720910 ONU720906:ONU720910 OXQ720906:OXQ720910 PHM720906:PHM720910 PRI720906:PRI720910 QBE720906:QBE720910 QLA720906:QLA720910 QUW720906:QUW720910 RES720906:RES720910 ROO720906:ROO720910 RYK720906:RYK720910 SIG720906:SIG720910 SSC720906:SSC720910 TBY720906:TBY720910 TLU720906:TLU720910 TVQ720906:TVQ720910 UFM720906:UFM720910 UPI720906:UPI720910 UZE720906:UZE720910 VJA720906:VJA720910 VSW720906:VSW720910 WCS720906:WCS720910 WMO720906:WMO720910 WWK720906:WWK720910 AC786442:AC786446 JY786442:JY786446 TU786442:TU786446 ADQ786442:ADQ786446 ANM786442:ANM786446 AXI786442:AXI786446 BHE786442:BHE786446 BRA786442:BRA786446 CAW786442:CAW786446 CKS786442:CKS786446 CUO786442:CUO786446 DEK786442:DEK786446 DOG786442:DOG786446 DYC786442:DYC786446 EHY786442:EHY786446 ERU786442:ERU786446 FBQ786442:FBQ786446 FLM786442:FLM786446 FVI786442:FVI786446 GFE786442:GFE786446 GPA786442:GPA786446 GYW786442:GYW786446 HIS786442:HIS786446 HSO786442:HSO786446 ICK786442:ICK786446 IMG786442:IMG786446 IWC786442:IWC786446 JFY786442:JFY786446 JPU786442:JPU786446 JZQ786442:JZQ786446 KJM786442:KJM786446 KTI786442:KTI786446 LDE786442:LDE786446 LNA786442:LNA786446 LWW786442:LWW786446 MGS786442:MGS786446 MQO786442:MQO786446 NAK786442:NAK786446 NKG786442:NKG786446 NUC786442:NUC786446 ODY786442:ODY786446 ONU786442:ONU786446 OXQ786442:OXQ786446 PHM786442:PHM786446 PRI786442:PRI786446 QBE786442:QBE786446 QLA786442:QLA786446 QUW786442:QUW786446 RES786442:RES786446 ROO786442:ROO786446 RYK786442:RYK786446 SIG786442:SIG786446 SSC786442:SSC786446 TBY786442:TBY786446 TLU786442:TLU786446 TVQ786442:TVQ786446 UFM786442:UFM786446 UPI786442:UPI786446 UZE786442:UZE786446 VJA786442:VJA786446 VSW786442:VSW786446 WCS786442:WCS786446 WMO786442:WMO786446 WWK786442:WWK786446 AC851978:AC851982 JY851978:JY851982 TU851978:TU851982 ADQ851978:ADQ851982 ANM851978:ANM851982 AXI851978:AXI851982 BHE851978:BHE851982 BRA851978:BRA851982 CAW851978:CAW851982 CKS851978:CKS851982 CUO851978:CUO851982 DEK851978:DEK851982 DOG851978:DOG851982 DYC851978:DYC851982 EHY851978:EHY851982 ERU851978:ERU851982 FBQ851978:FBQ851982 FLM851978:FLM851982 FVI851978:FVI851982 GFE851978:GFE851982 GPA851978:GPA851982 GYW851978:GYW851982 HIS851978:HIS851982 HSO851978:HSO851982 ICK851978:ICK851982 IMG851978:IMG851982 IWC851978:IWC851982 JFY851978:JFY851982 JPU851978:JPU851982 JZQ851978:JZQ851982 KJM851978:KJM851982 KTI851978:KTI851982 LDE851978:LDE851982 LNA851978:LNA851982 LWW851978:LWW851982 MGS851978:MGS851982 MQO851978:MQO851982 NAK851978:NAK851982 NKG851978:NKG851982 NUC851978:NUC851982 ODY851978:ODY851982 ONU851978:ONU851982 OXQ851978:OXQ851982 PHM851978:PHM851982 PRI851978:PRI851982 QBE851978:QBE851982 QLA851978:QLA851982 QUW851978:QUW851982 RES851978:RES851982 ROO851978:ROO851982 RYK851978:RYK851982 SIG851978:SIG851982 SSC851978:SSC851982 TBY851978:TBY851982 TLU851978:TLU851982 TVQ851978:TVQ851982 UFM851978:UFM851982 UPI851978:UPI851982 UZE851978:UZE851982 VJA851978:VJA851982 VSW851978:VSW851982 WCS851978:WCS851982 WMO851978:WMO851982 WWK851978:WWK851982 AC917514:AC917518 JY917514:JY917518 TU917514:TU917518 ADQ917514:ADQ917518 ANM917514:ANM917518 AXI917514:AXI917518 BHE917514:BHE917518 BRA917514:BRA917518 CAW917514:CAW917518 CKS917514:CKS917518 CUO917514:CUO917518 DEK917514:DEK917518 DOG917514:DOG917518 DYC917514:DYC917518 EHY917514:EHY917518 ERU917514:ERU917518 FBQ917514:FBQ917518 FLM917514:FLM917518 FVI917514:FVI917518 GFE917514:GFE917518 GPA917514:GPA917518 GYW917514:GYW917518 HIS917514:HIS917518 HSO917514:HSO917518 ICK917514:ICK917518 IMG917514:IMG917518 IWC917514:IWC917518 JFY917514:JFY917518 JPU917514:JPU917518 JZQ917514:JZQ917518 KJM917514:KJM917518 KTI917514:KTI917518 LDE917514:LDE917518 LNA917514:LNA917518 LWW917514:LWW917518 MGS917514:MGS917518 MQO917514:MQO917518 NAK917514:NAK917518 NKG917514:NKG917518 NUC917514:NUC917518 ODY917514:ODY917518 ONU917514:ONU917518 OXQ917514:OXQ917518 PHM917514:PHM917518 PRI917514:PRI917518 QBE917514:QBE917518 QLA917514:QLA917518 QUW917514:QUW917518 RES917514:RES917518 ROO917514:ROO917518 RYK917514:RYK917518 SIG917514:SIG917518 SSC917514:SSC917518 TBY917514:TBY917518 TLU917514:TLU917518 TVQ917514:TVQ917518 UFM917514:UFM917518 UPI917514:UPI917518 UZE917514:UZE917518 VJA917514:VJA917518 VSW917514:VSW917518 WCS917514:WCS917518 WMO917514:WMO917518 WWK917514:WWK917518 AC983050:AC983054 JY983050:JY983054 TU983050:TU983054 ADQ983050:ADQ983054 ANM983050:ANM983054 AXI983050:AXI983054 BHE983050:BHE983054 BRA983050:BRA983054 CAW983050:CAW983054 CKS983050:CKS983054 CUO983050:CUO983054 DEK983050:DEK983054 DOG983050:DOG983054 DYC983050:DYC983054 EHY983050:EHY983054 ERU983050:ERU983054 FBQ983050:FBQ983054 FLM983050:FLM983054 FVI983050:FVI983054 GFE983050:GFE983054 GPA983050:GPA983054 GYW983050:GYW983054 HIS983050:HIS983054 HSO983050:HSO983054 ICK983050:ICK983054 IMG983050:IMG983054 IWC983050:IWC983054 JFY983050:JFY983054 JPU983050:JPU983054 JZQ983050:JZQ983054 KJM983050:KJM983054 KTI983050:KTI983054 LDE983050:LDE983054 LNA983050:LNA983054 LWW983050:LWW983054 MGS983050:MGS983054 MQO983050:MQO983054 NAK983050:NAK983054 NKG983050:NKG983054 NUC983050:NUC983054 ODY983050:ODY983054 ONU983050:ONU983054 OXQ983050:OXQ983054 PHM983050:PHM983054 PRI983050:PRI983054 QBE983050:QBE983054 QLA983050:QLA983054 QUW983050:QUW983054 RES983050:RES983054 ROO983050:ROO983054 RYK983050:RYK983054 SIG983050:SIG983054 SSC983050:SSC983054 TBY983050:TBY983054 TLU983050:TLU983054 TVQ983050:TVQ983054 UFM983050:UFM983054 UPI983050:UPI983054 UZE983050:UZE983054 VJA983050:VJA983054 VSW983050:VSW983054 WCS983050:WCS983054 WMO983050:WMO983054 WWK983050:WWK983054 AB9:AB10 AB11:AC14 AC8:AC10 TU8:TU14 ADQ8:ADQ14 ANM8:ANM14 AXI8:AXI14 BHE8:BHE14 BRA8:BRA14 CAW8:CAW14 CKS8:CKS14 CUO8:CUO14 DEK8:DEK14 DOG8:DOG14 DYC8:DYC14 EHY8:EHY14 ERU8:ERU14 FBQ8:FBQ14 FLM8:FLM14 FVI8:FVI14 GFE8:GFE14 GPA8:GPA14 GYW8:GYW14 HIS8:HIS14 HSO8:HSO14 ICK8:ICK14 IMG8:IMG14 IWC8:IWC14 JFY8:JFY14 JPU8:JPU14 JZQ8:JZQ14 KJM8:KJM14 KTI8:KTI14 LDE8:LDE14 LNA8:LNA14 LWW8:LWW14 MGS8:MGS14 MQO8:MQO14 NAK8:NAK14 NKG8:NKG14 NUC8:NUC14 ODY8:ODY14 ONU8:ONU14 OXQ8:OXQ14 PHM8:PHM14 PRI8:PRI14 QBE8:QBE14 QLA8:QLA14 QUW8:QUW14 RES8:RES14 ROO8:ROO14 RYK8:RYK14 SIG8:SIG14 SSC8:SSC14 TBY8:TBY14 TLU8:TLU14 TVQ8:TVQ14 UFM8:UFM14 UPI8:UPI14 UZE8:UZE14 VJA8:VJA14 VSW8:VSW14 WCS8:WCS14 WMO8:WMO14 WWK8:WWK14 JY8:JY14">
      <formula1>AA8</formula1>
      <formula2>IF(AA8&lt;&gt;0,IF(AB8-AA8&gt;=0,AB8,),)</formula2>
    </dataValidation>
    <dataValidation type="list" allowBlank="1" showInputMessage="1" showErrorMessage="1" sqref="AE65544:AE65550 KA65544:KA65550 TW65544:TW65550 ADS65544:ADS65550 ANO65544:ANO65550 AXK65544:AXK65550 BHG65544:BHG65550 BRC65544:BRC65550 CAY65544:CAY65550 CKU65544:CKU65550 CUQ65544:CUQ65550 DEM65544:DEM65550 DOI65544:DOI65550 DYE65544:DYE65550 EIA65544:EIA65550 ERW65544:ERW65550 FBS65544:FBS65550 FLO65544:FLO65550 FVK65544:FVK65550 GFG65544:GFG65550 GPC65544:GPC65550 GYY65544:GYY65550 HIU65544:HIU65550 HSQ65544:HSQ65550 ICM65544:ICM65550 IMI65544:IMI65550 IWE65544:IWE65550 JGA65544:JGA65550 JPW65544:JPW65550 JZS65544:JZS65550 KJO65544:KJO65550 KTK65544:KTK65550 LDG65544:LDG65550 LNC65544:LNC65550 LWY65544:LWY65550 MGU65544:MGU65550 MQQ65544:MQQ65550 NAM65544:NAM65550 NKI65544:NKI65550 NUE65544:NUE65550 OEA65544:OEA65550 ONW65544:ONW65550 OXS65544:OXS65550 PHO65544:PHO65550 PRK65544:PRK65550 QBG65544:QBG65550 QLC65544:QLC65550 QUY65544:QUY65550 REU65544:REU65550 ROQ65544:ROQ65550 RYM65544:RYM65550 SII65544:SII65550 SSE65544:SSE65550 TCA65544:TCA65550 TLW65544:TLW65550 TVS65544:TVS65550 UFO65544:UFO65550 UPK65544:UPK65550 UZG65544:UZG65550 VJC65544:VJC65550 VSY65544:VSY65550 WCU65544:WCU65550 WMQ65544:WMQ65550 WWM65544:WWM65550 AE131080:AE131086 KA131080:KA131086 TW131080:TW131086 ADS131080:ADS131086 ANO131080:ANO131086 AXK131080:AXK131086 BHG131080:BHG131086 BRC131080:BRC131086 CAY131080:CAY131086 CKU131080:CKU131086 CUQ131080:CUQ131086 DEM131080:DEM131086 DOI131080:DOI131086 DYE131080:DYE131086 EIA131080:EIA131086 ERW131080:ERW131086 FBS131080:FBS131086 FLO131080:FLO131086 FVK131080:FVK131086 GFG131080:GFG131086 GPC131080:GPC131086 GYY131080:GYY131086 HIU131080:HIU131086 HSQ131080:HSQ131086 ICM131080:ICM131086 IMI131080:IMI131086 IWE131080:IWE131086 JGA131080:JGA131086 JPW131080:JPW131086 JZS131080:JZS131086 KJO131080:KJO131086 KTK131080:KTK131086 LDG131080:LDG131086 LNC131080:LNC131086 LWY131080:LWY131086 MGU131080:MGU131086 MQQ131080:MQQ131086 NAM131080:NAM131086 NKI131080:NKI131086 NUE131080:NUE131086 OEA131080:OEA131086 ONW131080:ONW131086 OXS131080:OXS131086 PHO131080:PHO131086 PRK131080:PRK131086 QBG131080:QBG131086 QLC131080:QLC131086 QUY131080:QUY131086 REU131080:REU131086 ROQ131080:ROQ131086 RYM131080:RYM131086 SII131080:SII131086 SSE131080:SSE131086 TCA131080:TCA131086 TLW131080:TLW131086 TVS131080:TVS131086 UFO131080:UFO131086 UPK131080:UPK131086 UZG131080:UZG131086 VJC131080:VJC131086 VSY131080:VSY131086 WCU131080:WCU131086 WMQ131080:WMQ131086 WWM131080:WWM131086 AE196616:AE196622 KA196616:KA196622 TW196616:TW196622 ADS196616:ADS196622 ANO196616:ANO196622 AXK196616:AXK196622 BHG196616:BHG196622 BRC196616:BRC196622 CAY196616:CAY196622 CKU196616:CKU196622 CUQ196616:CUQ196622 DEM196616:DEM196622 DOI196616:DOI196622 DYE196616:DYE196622 EIA196616:EIA196622 ERW196616:ERW196622 FBS196616:FBS196622 FLO196616:FLO196622 FVK196616:FVK196622 GFG196616:GFG196622 GPC196616:GPC196622 GYY196616:GYY196622 HIU196616:HIU196622 HSQ196616:HSQ196622 ICM196616:ICM196622 IMI196616:IMI196622 IWE196616:IWE196622 JGA196616:JGA196622 JPW196616:JPW196622 JZS196616:JZS196622 KJO196616:KJO196622 KTK196616:KTK196622 LDG196616:LDG196622 LNC196616:LNC196622 LWY196616:LWY196622 MGU196616:MGU196622 MQQ196616:MQQ196622 NAM196616:NAM196622 NKI196616:NKI196622 NUE196616:NUE196622 OEA196616:OEA196622 ONW196616:ONW196622 OXS196616:OXS196622 PHO196616:PHO196622 PRK196616:PRK196622 QBG196616:QBG196622 QLC196616:QLC196622 QUY196616:QUY196622 REU196616:REU196622 ROQ196616:ROQ196622 RYM196616:RYM196622 SII196616:SII196622 SSE196616:SSE196622 TCA196616:TCA196622 TLW196616:TLW196622 TVS196616:TVS196622 UFO196616:UFO196622 UPK196616:UPK196622 UZG196616:UZG196622 VJC196616:VJC196622 VSY196616:VSY196622 WCU196616:WCU196622 WMQ196616:WMQ196622 WWM196616:WWM196622 AE262152:AE262158 KA262152:KA262158 TW262152:TW262158 ADS262152:ADS262158 ANO262152:ANO262158 AXK262152:AXK262158 BHG262152:BHG262158 BRC262152:BRC262158 CAY262152:CAY262158 CKU262152:CKU262158 CUQ262152:CUQ262158 DEM262152:DEM262158 DOI262152:DOI262158 DYE262152:DYE262158 EIA262152:EIA262158 ERW262152:ERW262158 FBS262152:FBS262158 FLO262152:FLO262158 FVK262152:FVK262158 GFG262152:GFG262158 GPC262152:GPC262158 GYY262152:GYY262158 HIU262152:HIU262158 HSQ262152:HSQ262158 ICM262152:ICM262158 IMI262152:IMI262158 IWE262152:IWE262158 JGA262152:JGA262158 JPW262152:JPW262158 JZS262152:JZS262158 KJO262152:KJO262158 KTK262152:KTK262158 LDG262152:LDG262158 LNC262152:LNC262158 LWY262152:LWY262158 MGU262152:MGU262158 MQQ262152:MQQ262158 NAM262152:NAM262158 NKI262152:NKI262158 NUE262152:NUE262158 OEA262152:OEA262158 ONW262152:ONW262158 OXS262152:OXS262158 PHO262152:PHO262158 PRK262152:PRK262158 QBG262152:QBG262158 QLC262152:QLC262158 QUY262152:QUY262158 REU262152:REU262158 ROQ262152:ROQ262158 RYM262152:RYM262158 SII262152:SII262158 SSE262152:SSE262158 TCA262152:TCA262158 TLW262152:TLW262158 TVS262152:TVS262158 UFO262152:UFO262158 UPK262152:UPK262158 UZG262152:UZG262158 VJC262152:VJC262158 VSY262152:VSY262158 WCU262152:WCU262158 WMQ262152:WMQ262158 WWM262152:WWM262158 AE327688:AE327694 KA327688:KA327694 TW327688:TW327694 ADS327688:ADS327694 ANO327688:ANO327694 AXK327688:AXK327694 BHG327688:BHG327694 BRC327688:BRC327694 CAY327688:CAY327694 CKU327688:CKU327694 CUQ327688:CUQ327694 DEM327688:DEM327694 DOI327688:DOI327694 DYE327688:DYE327694 EIA327688:EIA327694 ERW327688:ERW327694 FBS327688:FBS327694 FLO327688:FLO327694 FVK327688:FVK327694 GFG327688:GFG327694 GPC327688:GPC327694 GYY327688:GYY327694 HIU327688:HIU327694 HSQ327688:HSQ327694 ICM327688:ICM327694 IMI327688:IMI327694 IWE327688:IWE327694 JGA327688:JGA327694 JPW327688:JPW327694 JZS327688:JZS327694 KJO327688:KJO327694 KTK327688:KTK327694 LDG327688:LDG327694 LNC327688:LNC327694 LWY327688:LWY327694 MGU327688:MGU327694 MQQ327688:MQQ327694 NAM327688:NAM327694 NKI327688:NKI327694 NUE327688:NUE327694 OEA327688:OEA327694 ONW327688:ONW327694 OXS327688:OXS327694 PHO327688:PHO327694 PRK327688:PRK327694 QBG327688:QBG327694 QLC327688:QLC327694 QUY327688:QUY327694 REU327688:REU327694 ROQ327688:ROQ327694 RYM327688:RYM327694 SII327688:SII327694 SSE327688:SSE327694 TCA327688:TCA327694 TLW327688:TLW327694 TVS327688:TVS327694 UFO327688:UFO327694 UPK327688:UPK327694 UZG327688:UZG327694 VJC327688:VJC327694 VSY327688:VSY327694 WCU327688:WCU327694 WMQ327688:WMQ327694 WWM327688:WWM327694 AE393224:AE393230 KA393224:KA393230 TW393224:TW393230 ADS393224:ADS393230 ANO393224:ANO393230 AXK393224:AXK393230 BHG393224:BHG393230 BRC393224:BRC393230 CAY393224:CAY393230 CKU393224:CKU393230 CUQ393224:CUQ393230 DEM393224:DEM393230 DOI393224:DOI393230 DYE393224:DYE393230 EIA393224:EIA393230 ERW393224:ERW393230 FBS393224:FBS393230 FLO393224:FLO393230 FVK393224:FVK393230 GFG393224:GFG393230 GPC393224:GPC393230 GYY393224:GYY393230 HIU393224:HIU393230 HSQ393224:HSQ393230 ICM393224:ICM393230 IMI393224:IMI393230 IWE393224:IWE393230 JGA393224:JGA393230 JPW393224:JPW393230 JZS393224:JZS393230 KJO393224:KJO393230 KTK393224:KTK393230 LDG393224:LDG393230 LNC393224:LNC393230 LWY393224:LWY393230 MGU393224:MGU393230 MQQ393224:MQQ393230 NAM393224:NAM393230 NKI393224:NKI393230 NUE393224:NUE393230 OEA393224:OEA393230 ONW393224:ONW393230 OXS393224:OXS393230 PHO393224:PHO393230 PRK393224:PRK393230 QBG393224:QBG393230 QLC393224:QLC393230 QUY393224:QUY393230 REU393224:REU393230 ROQ393224:ROQ393230 RYM393224:RYM393230 SII393224:SII393230 SSE393224:SSE393230 TCA393224:TCA393230 TLW393224:TLW393230 TVS393224:TVS393230 UFO393224:UFO393230 UPK393224:UPK393230 UZG393224:UZG393230 VJC393224:VJC393230 VSY393224:VSY393230 WCU393224:WCU393230 WMQ393224:WMQ393230 WWM393224:WWM393230 AE458760:AE458766 KA458760:KA458766 TW458760:TW458766 ADS458760:ADS458766 ANO458760:ANO458766 AXK458760:AXK458766 BHG458760:BHG458766 BRC458760:BRC458766 CAY458760:CAY458766 CKU458760:CKU458766 CUQ458760:CUQ458766 DEM458760:DEM458766 DOI458760:DOI458766 DYE458760:DYE458766 EIA458760:EIA458766 ERW458760:ERW458766 FBS458760:FBS458766 FLO458760:FLO458766 FVK458760:FVK458766 GFG458760:GFG458766 GPC458760:GPC458766 GYY458760:GYY458766 HIU458760:HIU458766 HSQ458760:HSQ458766 ICM458760:ICM458766 IMI458760:IMI458766 IWE458760:IWE458766 JGA458760:JGA458766 JPW458760:JPW458766 JZS458760:JZS458766 KJO458760:KJO458766 KTK458760:KTK458766 LDG458760:LDG458766 LNC458760:LNC458766 LWY458760:LWY458766 MGU458760:MGU458766 MQQ458760:MQQ458766 NAM458760:NAM458766 NKI458760:NKI458766 NUE458760:NUE458766 OEA458760:OEA458766 ONW458760:ONW458766 OXS458760:OXS458766 PHO458760:PHO458766 PRK458760:PRK458766 QBG458760:QBG458766 QLC458760:QLC458766 QUY458760:QUY458766 REU458760:REU458766 ROQ458760:ROQ458766 RYM458760:RYM458766 SII458760:SII458766 SSE458760:SSE458766 TCA458760:TCA458766 TLW458760:TLW458766 TVS458760:TVS458766 UFO458760:UFO458766 UPK458760:UPK458766 UZG458760:UZG458766 VJC458760:VJC458766 VSY458760:VSY458766 WCU458760:WCU458766 WMQ458760:WMQ458766 WWM458760:WWM458766 AE524296:AE524302 KA524296:KA524302 TW524296:TW524302 ADS524296:ADS524302 ANO524296:ANO524302 AXK524296:AXK524302 BHG524296:BHG524302 BRC524296:BRC524302 CAY524296:CAY524302 CKU524296:CKU524302 CUQ524296:CUQ524302 DEM524296:DEM524302 DOI524296:DOI524302 DYE524296:DYE524302 EIA524296:EIA524302 ERW524296:ERW524302 FBS524296:FBS524302 FLO524296:FLO524302 FVK524296:FVK524302 GFG524296:GFG524302 GPC524296:GPC524302 GYY524296:GYY524302 HIU524296:HIU524302 HSQ524296:HSQ524302 ICM524296:ICM524302 IMI524296:IMI524302 IWE524296:IWE524302 JGA524296:JGA524302 JPW524296:JPW524302 JZS524296:JZS524302 KJO524296:KJO524302 KTK524296:KTK524302 LDG524296:LDG524302 LNC524296:LNC524302 LWY524296:LWY524302 MGU524296:MGU524302 MQQ524296:MQQ524302 NAM524296:NAM524302 NKI524296:NKI524302 NUE524296:NUE524302 OEA524296:OEA524302 ONW524296:ONW524302 OXS524296:OXS524302 PHO524296:PHO524302 PRK524296:PRK524302 QBG524296:QBG524302 QLC524296:QLC524302 QUY524296:QUY524302 REU524296:REU524302 ROQ524296:ROQ524302 RYM524296:RYM524302 SII524296:SII524302 SSE524296:SSE524302 TCA524296:TCA524302 TLW524296:TLW524302 TVS524296:TVS524302 UFO524296:UFO524302 UPK524296:UPK524302 UZG524296:UZG524302 VJC524296:VJC524302 VSY524296:VSY524302 WCU524296:WCU524302 WMQ524296:WMQ524302 WWM524296:WWM524302 AE589832:AE589838 KA589832:KA589838 TW589832:TW589838 ADS589832:ADS589838 ANO589832:ANO589838 AXK589832:AXK589838 BHG589832:BHG589838 BRC589832:BRC589838 CAY589832:CAY589838 CKU589832:CKU589838 CUQ589832:CUQ589838 DEM589832:DEM589838 DOI589832:DOI589838 DYE589832:DYE589838 EIA589832:EIA589838 ERW589832:ERW589838 FBS589832:FBS589838 FLO589832:FLO589838 FVK589832:FVK589838 GFG589832:GFG589838 GPC589832:GPC589838 GYY589832:GYY589838 HIU589832:HIU589838 HSQ589832:HSQ589838 ICM589832:ICM589838 IMI589832:IMI589838 IWE589832:IWE589838 JGA589832:JGA589838 JPW589832:JPW589838 JZS589832:JZS589838 KJO589832:KJO589838 KTK589832:KTK589838 LDG589832:LDG589838 LNC589832:LNC589838 LWY589832:LWY589838 MGU589832:MGU589838 MQQ589832:MQQ589838 NAM589832:NAM589838 NKI589832:NKI589838 NUE589832:NUE589838 OEA589832:OEA589838 ONW589832:ONW589838 OXS589832:OXS589838 PHO589832:PHO589838 PRK589832:PRK589838 QBG589832:QBG589838 QLC589832:QLC589838 QUY589832:QUY589838 REU589832:REU589838 ROQ589832:ROQ589838 RYM589832:RYM589838 SII589832:SII589838 SSE589832:SSE589838 TCA589832:TCA589838 TLW589832:TLW589838 TVS589832:TVS589838 UFO589832:UFO589838 UPK589832:UPK589838 UZG589832:UZG589838 VJC589832:VJC589838 VSY589832:VSY589838 WCU589832:WCU589838 WMQ589832:WMQ589838 WWM589832:WWM589838 AE655368:AE655374 KA655368:KA655374 TW655368:TW655374 ADS655368:ADS655374 ANO655368:ANO655374 AXK655368:AXK655374 BHG655368:BHG655374 BRC655368:BRC655374 CAY655368:CAY655374 CKU655368:CKU655374 CUQ655368:CUQ655374 DEM655368:DEM655374 DOI655368:DOI655374 DYE655368:DYE655374 EIA655368:EIA655374 ERW655368:ERW655374 FBS655368:FBS655374 FLO655368:FLO655374 FVK655368:FVK655374 GFG655368:GFG655374 GPC655368:GPC655374 GYY655368:GYY655374 HIU655368:HIU655374 HSQ655368:HSQ655374 ICM655368:ICM655374 IMI655368:IMI655374 IWE655368:IWE655374 JGA655368:JGA655374 JPW655368:JPW655374 JZS655368:JZS655374 KJO655368:KJO655374 KTK655368:KTK655374 LDG655368:LDG655374 LNC655368:LNC655374 LWY655368:LWY655374 MGU655368:MGU655374 MQQ655368:MQQ655374 NAM655368:NAM655374 NKI655368:NKI655374 NUE655368:NUE655374 OEA655368:OEA655374 ONW655368:ONW655374 OXS655368:OXS655374 PHO655368:PHO655374 PRK655368:PRK655374 QBG655368:QBG655374 QLC655368:QLC655374 QUY655368:QUY655374 REU655368:REU655374 ROQ655368:ROQ655374 RYM655368:RYM655374 SII655368:SII655374 SSE655368:SSE655374 TCA655368:TCA655374 TLW655368:TLW655374 TVS655368:TVS655374 UFO655368:UFO655374 UPK655368:UPK655374 UZG655368:UZG655374 VJC655368:VJC655374 VSY655368:VSY655374 WCU655368:WCU655374 WMQ655368:WMQ655374 WWM655368:WWM655374 AE720904:AE720910 KA720904:KA720910 TW720904:TW720910 ADS720904:ADS720910 ANO720904:ANO720910 AXK720904:AXK720910 BHG720904:BHG720910 BRC720904:BRC720910 CAY720904:CAY720910 CKU720904:CKU720910 CUQ720904:CUQ720910 DEM720904:DEM720910 DOI720904:DOI720910 DYE720904:DYE720910 EIA720904:EIA720910 ERW720904:ERW720910 FBS720904:FBS720910 FLO720904:FLO720910 FVK720904:FVK720910 GFG720904:GFG720910 GPC720904:GPC720910 GYY720904:GYY720910 HIU720904:HIU720910 HSQ720904:HSQ720910 ICM720904:ICM720910 IMI720904:IMI720910 IWE720904:IWE720910 JGA720904:JGA720910 JPW720904:JPW720910 JZS720904:JZS720910 KJO720904:KJO720910 KTK720904:KTK720910 LDG720904:LDG720910 LNC720904:LNC720910 LWY720904:LWY720910 MGU720904:MGU720910 MQQ720904:MQQ720910 NAM720904:NAM720910 NKI720904:NKI720910 NUE720904:NUE720910 OEA720904:OEA720910 ONW720904:ONW720910 OXS720904:OXS720910 PHO720904:PHO720910 PRK720904:PRK720910 QBG720904:QBG720910 QLC720904:QLC720910 QUY720904:QUY720910 REU720904:REU720910 ROQ720904:ROQ720910 RYM720904:RYM720910 SII720904:SII720910 SSE720904:SSE720910 TCA720904:TCA720910 TLW720904:TLW720910 TVS720904:TVS720910 UFO720904:UFO720910 UPK720904:UPK720910 UZG720904:UZG720910 VJC720904:VJC720910 VSY720904:VSY720910 WCU720904:WCU720910 WMQ720904:WMQ720910 WWM720904:WWM720910 AE786440:AE786446 KA786440:KA786446 TW786440:TW786446 ADS786440:ADS786446 ANO786440:ANO786446 AXK786440:AXK786446 BHG786440:BHG786446 BRC786440:BRC786446 CAY786440:CAY786446 CKU786440:CKU786446 CUQ786440:CUQ786446 DEM786440:DEM786446 DOI786440:DOI786446 DYE786440:DYE786446 EIA786440:EIA786446 ERW786440:ERW786446 FBS786440:FBS786446 FLO786440:FLO786446 FVK786440:FVK786446 GFG786440:GFG786446 GPC786440:GPC786446 GYY786440:GYY786446 HIU786440:HIU786446 HSQ786440:HSQ786446 ICM786440:ICM786446 IMI786440:IMI786446 IWE786440:IWE786446 JGA786440:JGA786446 JPW786440:JPW786446 JZS786440:JZS786446 KJO786440:KJO786446 KTK786440:KTK786446 LDG786440:LDG786446 LNC786440:LNC786446 LWY786440:LWY786446 MGU786440:MGU786446 MQQ786440:MQQ786446 NAM786440:NAM786446 NKI786440:NKI786446 NUE786440:NUE786446 OEA786440:OEA786446 ONW786440:ONW786446 OXS786440:OXS786446 PHO786440:PHO786446 PRK786440:PRK786446 QBG786440:QBG786446 QLC786440:QLC786446 QUY786440:QUY786446 REU786440:REU786446 ROQ786440:ROQ786446 RYM786440:RYM786446 SII786440:SII786446 SSE786440:SSE786446 TCA786440:TCA786446 TLW786440:TLW786446 TVS786440:TVS786446 UFO786440:UFO786446 UPK786440:UPK786446 UZG786440:UZG786446 VJC786440:VJC786446 VSY786440:VSY786446 WCU786440:WCU786446 WMQ786440:WMQ786446 WWM786440:WWM786446 AE851976:AE851982 KA851976:KA851982 TW851976:TW851982 ADS851976:ADS851982 ANO851976:ANO851982 AXK851976:AXK851982 BHG851976:BHG851982 BRC851976:BRC851982 CAY851976:CAY851982 CKU851976:CKU851982 CUQ851976:CUQ851982 DEM851976:DEM851982 DOI851976:DOI851982 DYE851976:DYE851982 EIA851976:EIA851982 ERW851976:ERW851982 FBS851976:FBS851982 FLO851976:FLO851982 FVK851976:FVK851982 GFG851976:GFG851982 GPC851976:GPC851982 GYY851976:GYY851982 HIU851976:HIU851982 HSQ851976:HSQ851982 ICM851976:ICM851982 IMI851976:IMI851982 IWE851976:IWE851982 JGA851976:JGA851982 JPW851976:JPW851982 JZS851976:JZS851982 KJO851976:KJO851982 KTK851976:KTK851982 LDG851976:LDG851982 LNC851976:LNC851982 LWY851976:LWY851982 MGU851976:MGU851982 MQQ851976:MQQ851982 NAM851976:NAM851982 NKI851976:NKI851982 NUE851976:NUE851982 OEA851976:OEA851982 ONW851976:ONW851982 OXS851976:OXS851982 PHO851976:PHO851982 PRK851976:PRK851982 QBG851976:QBG851982 QLC851976:QLC851982 QUY851976:QUY851982 REU851976:REU851982 ROQ851976:ROQ851982 RYM851976:RYM851982 SII851976:SII851982 SSE851976:SSE851982 TCA851976:TCA851982 TLW851976:TLW851982 TVS851976:TVS851982 UFO851976:UFO851982 UPK851976:UPK851982 UZG851976:UZG851982 VJC851976:VJC851982 VSY851976:VSY851982 WCU851976:WCU851982 WMQ851976:WMQ851982 WWM851976:WWM851982 AE917512:AE917518 KA917512:KA917518 TW917512:TW917518 ADS917512:ADS917518 ANO917512:ANO917518 AXK917512:AXK917518 BHG917512:BHG917518 BRC917512:BRC917518 CAY917512:CAY917518 CKU917512:CKU917518 CUQ917512:CUQ917518 DEM917512:DEM917518 DOI917512:DOI917518 DYE917512:DYE917518 EIA917512:EIA917518 ERW917512:ERW917518 FBS917512:FBS917518 FLO917512:FLO917518 FVK917512:FVK917518 GFG917512:GFG917518 GPC917512:GPC917518 GYY917512:GYY917518 HIU917512:HIU917518 HSQ917512:HSQ917518 ICM917512:ICM917518 IMI917512:IMI917518 IWE917512:IWE917518 JGA917512:JGA917518 JPW917512:JPW917518 JZS917512:JZS917518 KJO917512:KJO917518 KTK917512:KTK917518 LDG917512:LDG917518 LNC917512:LNC917518 LWY917512:LWY917518 MGU917512:MGU917518 MQQ917512:MQQ917518 NAM917512:NAM917518 NKI917512:NKI917518 NUE917512:NUE917518 OEA917512:OEA917518 ONW917512:ONW917518 OXS917512:OXS917518 PHO917512:PHO917518 PRK917512:PRK917518 QBG917512:QBG917518 QLC917512:QLC917518 QUY917512:QUY917518 REU917512:REU917518 ROQ917512:ROQ917518 RYM917512:RYM917518 SII917512:SII917518 SSE917512:SSE917518 TCA917512:TCA917518 TLW917512:TLW917518 TVS917512:TVS917518 UFO917512:UFO917518 UPK917512:UPK917518 UZG917512:UZG917518 VJC917512:VJC917518 VSY917512:VSY917518 WCU917512:WCU917518 WMQ917512:WMQ917518 WWM917512:WWM917518 AE983048:AE983054 KA983048:KA983054 TW983048:TW983054 ADS983048:ADS983054 ANO983048:ANO983054 AXK983048:AXK983054 BHG983048:BHG983054 BRC983048:BRC983054 CAY983048:CAY983054 CKU983048:CKU983054 CUQ983048:CUQ983054 DEM983048:DEM983054 DOI983048:DOI983054 DYE983048:DYE983054 EIA983048:EIA983054 ERW983048:ERW983054 FBS983048:FBS983054 FLO983048:FLO983054 FVK983048:FVK983054 GFG983048:GFG983054 GPC983048:GPC983054 GYY983048:GYY983054 HIU983048:HIU983054 HSQ983048:HSQ983054 ICM983048:ICM983054 IMI983048:IMI983054 IWE983048:IWE983054 JGA983048:JGA983054 JPW983048:JPW983054 JZS983048:JZS983054 KJO983048:KJO983054 KTK983048:KTK983054 LDG983048:LDG983054 LNC983048:LNC983054 LWY983048:LWY983054 MGU983048:MGU983054 MQQ983048:MQQ983054 NAM983048:NAM983054 NKI983048:NKI983054 NUE983048:NUE983054 OEA983048:OEA983054 ONW983048:ONW983054 OXS983048:OXS983054 PHO983048:PHO983054 PRK983048:PRK983054 QBG983048:QBG983054 QLC983048:QLC983054 QUY983048:QUY983054 REU983048:REU983054 ROQ983048:ROQ983054 RYM983048:RYM983054 SII983048:SII983054 SSE983048:SSE983054 TCA983048:TCA983054 TLW983048:TLW983054 TVS983048:TVS983054 UFO983048:UFO983054 UPK983048:UPK983054 UZG983048:UZG983054 VJC983048:VJC983054 VSY983048:VSY983054 WCU983048:WCU983054 WMQ983048:WMQ983054 WWM983048:WWM983054 AE8:AE14 WWM8:WWM14 WMQ8:WMQ14 WCU8:WCU14 VSY8:VSY14 VJC8:VJC14 UZG8:UZG14 UPK8:UPK14 UFO8:UFO14 TVS8:TVS14 TLW8:TLW14 TCA8:TCA14 SSE8:SSE14 SII8:SII14 RYM8:RYM14 ROQ8:ROQ14 REU8:REU14 QUY8:QUY14 QLC8:QLC14 QBG8:QBG14 PRK8:PRK14 PHO8:PHO14 OXS8:OXS14 ONW8:ONW14 OEA8:OEA14 NUE8:NUE14 NKI8:NKI14 NAM8:NAM14 MQQ8:MQQ14 MGU8:MGU14 LWY8:LWY14 LNC8:LNC14 LDG8:LDG14 KTK8:KTK14 KJO8:KJO14 JZS8:JZS14 JPW8:JPW14 JGA8:JGA14 IWE8:IWE14 IMI8:IMI14 ICM8:ICM14 HSQ8:HSQ14 HIU8:HIU14 GYY8:GYY14 GPC8:GPC14 GFG8:GFG14 FVK8:FVK14 FLO8:FLO14 FBS8:FBS14 ERW8:ERW14 EIA8:EIA14 DYE8:DYE14 DOI8:DOI14 DEM8:DEM14 CUQ8:CUQ14 CKU8:CKU14 CAY8:CAY14 BRC8:BRC14 BHG8:BHG14 AXK8:AXK14 ANO8:ANO14 ADS8:ADS14 TW8:TW14 KA8:KA14">
      <formula1>$AH$1:$AH$4</formula1>
    </dataValidation>
    <dataValidation type="list" allowBlank="1" showInputMessage="1" showErrorMessage="1" sqref="H65544:H65550 JD65544:JD65550 SZ65544:SZ65550 ACV65544:ACV65550 AMR65544:AMR65550 AWN65544:AWN65550 BGJ65544:BGJ65550 BQF65544:BQF65550 CAB65544:CAB65550 CJX65544:CJX65550 CTT65544:CTT65550 DDP65544:DDP65550 DNL65544:DNL65550 DXH65544:DXH65550 EHD65544:EHD65550 EQZ65544:EQZ65550 FAV65544:FAV65550 FKR65544:FKR65550 FUN65544:FUN65550 GEJ65544:GEJ65550 GOF65544:GOF65550 GYB65544:GYB65550 HHX65544:HHX65550 HRT65544:HRT65550 IBP65544:IBP65550 ILL65544:ILL65550 IVH65544:IVH65550 JFD65544:JFD65550 JOZ65544:JOZ65550 JYV65544:JYV65550 KIR65544:KIR65550 KSN65544:KSN65550 LCJ65544:LCJ65550 LMF65544:LMF65550 LWB65544:LWB65550 MFX65544:MFX65550 MPT65544:MPT65550 MZP65544:MZP65550 NJL65544:NJL65550 NTH65544:NTH65550 ODD65544:ODD65550 OMZ65544:OMZ65550 OWV65544:OWV65550 PGR65544:PGR65550 PQN65544:PQN65550 QAJ65544:QAJ65550 QKF65544:QKF65550 QUB65544:QUB65550 RDX65544:RDX65550 RNT65544:RNT65550 RXP65544:RXP65550 SHL65544:SHL65550 SRH65544:SRH65550 TBD65544:TBD65550 TKZ65544:TKZ65550 TUV65544:TUV65550 UER65544:UER65550 UON65544:UON65550 UYJ65544:UYJ65550 VIF65544:VIF65550 VSB65544:VSB65550 WBX65544:WBX65550 WLT65544:WLT65550 WVP65544:WVP65550 H131080:H131086 JD131080:JD131086 SZ131080:SZ131086 ACV131080:ACV131086 AMR131080:AMR131086 AWN131080:AWN131086 BGJ131080:BGJ131086 BQF131080:BQF131086 CAB131080:CAB131086 CJX131080:CJX131086 CTT131080:CTT131086 DDP131080:DDP131086 DNL131080:DNL131086 DXH131080:DXH131086 EHD131080:EHD131086 EQZ131080:EQZ131086 FAV131080:FAV131086 FKR131080:FKR131086 FUN131080:FUN131086 GEJ131080:GEJ131086 GOF131080:GOF131086 GYB131080:GYB131086 HHX131080:HHX131086 HRT131080:HRT131086 IBP131080:IBP131086 ILL131080:ILL131086 IVH131080:IVH131086 JFD131080:JFD131086 JOZ131080:JOZ131086 JYV131080:JYV131086 KIR131080:KIR131086 KSN131080:KSN131086 LCJ131080:LCJ131086 LMF131080:LMF131086 LWB131080:LWB131086 MFX131080:MFX131086 MPT131080:MPT131086 MZP131080:MZP131086 NJL131080:NJL131086 NTH131080:NTH131086 ODD131080:ODD131086 OMZ131080:OMZ131086 OWV131080:OWV131086 PGR131080:PGR131086 PQN131080:PQN131086 QAJ131080:QAJ131086 QKF131080:QKF131086 QUB131080:QUB131086 RDX131080:RDX131086 RNT131080:RNT131086 RXP131080:RXP131086 SHL131080:SHL131086 SRH131080:SRH131086 TBD131080:TBD131086 TKZ131080:TKZ131086 TUV131080:TUV131086 UER131080:UER131086 UON131080:UON131086 UYJ131080:UYJ131086 VIF131080:VIF131086 VSB131080:VSB131086 WBX131080:WBX131086 WLT131080:WLT131086 WVP131080:WVP131086 H196616:H196622 JD196616:JD196622 SZ196616:SZ196622 ACV196616:ACV196622 AMR196616:AMR196622 AWN196616:AWN196622 BGJ196616:BGJ196622 BQF196616:BQF196622 CAB196616:CAB196622 CJX196616:CJX196622 CTT196616:CTT196622 DDP196616:DDP196622 DNL196616:DNL196622 DXH196616:DXH196622 EHD196616:EHD196622 EQZ196616:EQZ196622 FAV196616:FAV196622 FKR196616:FKR196622 FUN196616:FUN196622 GEJ196616:GEJ196622 GOF196616:GOF196622 GYB196616:GYB196622 HHX196616:HHX196622 HRT196616:HRT196622 IBP196616:IBP196622 ILL196616:ILL196622 IVH196616:IVH196622 JFD196616:JFD196622 JOZ196616:JOZ196622 JYV196616:JYV196622 KIR196616:KIR196622 KSN196616:KSN196622 LCJ196616:LCJ196622 LMF196616:LMF196622 LWB196616:LWB196622 MFX196616:MFX196622 MPT196616:MPT196622 MZP196616:MZP196622 NJL196616:NJL196622 NTH196616:NTH196622 ODD196616:ODD196622 OMZ196616:OMZ196622 OWV196616:OWV196622 PGR196616:PGR196622 PQN196616:PQN196622 QAJ196616:QAJ196622 QKF196616:QKF196622 QUB196616:QUB196622 RDX196616:RDX196622 RNT196616:RNT196622 RXP196616:RXP196622 SHL196616:SHL196622 SRH196616:SRH196622 TBD196616:TBD196622 TKZ196616:TKZ196622 TUV196616:TUV196622 UER196616:UER196622 UON196616:UON196622 UYJ196616:UYJ196622 VIF196616:VIF196622 VSB196616:VSB196622 WBX196616:WBX196622 WLT196616:WLT196622 WVP196616:WVP196622 H262152:H262158 JD262152:JD262158 SZ262152:SZ262158 ACV262152:ACV262158 AMR262152:AMR262158 AWN262152:AWN262158 BGJ262152:BGJ262158 BQF262152:BQF262158 CAB262152:CAB262158 CJX262152:CJX262158 CTT262152:CTT262158 DDP262152:DDP262158 DNL262152:DNL262158 DXH262152:DXH262158 EHD262152:EHD262158 EQZ262152:EQZ262158 FAV262152:FAV262158 FKR262152:FKR262158 FUN262152:FUN262158 GEJ262152:GEJ262158 GOF262152:GOF262158 GYB262152:GYB262158 HHX262152:HHX262158 HRT262152:HRT262158 IBP262152:IBP262158 ILL262152:ILL262158 IVH262152:IVH262158 JFD262152:JFD262158 JOZ262152:JOZ262158 JYV262152:JYV262158 KIR262152:KIR262158 KSN262152:KSN262158 LCJ262152:LCJ262158 LMF262152:LMF262158 LWB262152:LWB262158 MFX262152:MFX262158 MPT262152:MPT262158 MZP262152:MZP262158 NJL262152:NJL262158 NTH262152:NTH262158 ODD262152:ODD262158 OMZ262152:OMZ262158 OWV262152:OWV262158 PGR262152:PGR262158 PQN262152:PQN262158 QAJ262152:QAJ262158 QKF262152:QKF262158 QUB262152:QUB262158 RDX262152:RDX262158 RNT262152:RNT262158 RXP262152:RXP262158 SHL262152:SHL262158 SRH262152:SRH262158 TBD262152:TBD262158 TKZ262152:TKZ262158 TUV262152:TUV262158 UER262152:UER262158 UON262152:UON262158 UYJ262152:UYJ262158 VIF262152:VIF262158 VSB262152:VSB262158 WBX262152:WBX262158 WLT262152:WLT262158 WVP262152:WVP262158 H327688:H327694 JD327688:JD327694 SZ327688:SZ327694 ACV327688:ACV327694 AMR327688:AMR327694 AWN327688:AWN327694 BGJ327688:BGJ327694 BQF327688:BQF327694 CAB327688:CAB327694 CJX327688:CJX327694 CTT327688:CTT327694 DDP327688:DDP327694 DNL327688:DNL327694 DXH327688:DXH327694 EHD327688:EHD327694 EQZ327688:EQZ327694 FAV327688:FAV327694 FKR327688:FKR327694 FUN327688:FUN327694 GEJ327688:GEJ327694 GOF327688:GOF327694 GYB327688:GYB327694 HHX327688:HHX327694 HRT327688:HRT327694 IBP327688:IBP327694 ILL327688:ILL327694 IVH327688:IVH327694 JFD327688:JFD327694 JOZ327688:JOZ327694 JYV327688:JYV327694 KIR327688:KIR327694 KSN327688:KSN327694 LCJ327688:LCJ327694 LMF327688:LMF327694 LWB327688:LWB327694 MFX327688:MFX327694 MPT327688:MPT327694 MZP327688:MZP327694 NJL327688:NJL327694 NTH327688:NTH327694 ODD327688:ODD327694 OMZ327688:OMZ327694 OWV327688:OWV327694 PGR327688:PGR327694 PQN327688:PQN327694 QAJ327688:QAJ327694 QKF327688:QKF327694 QUB327688:QUB327694 RDX327688:RDX327694 RNT327688:RNT327694 RXP327688:RXP327694 SHL327688:SHL327694 SRH327688:SRH327694 TBD327688:TBD327694 TKZ327688:TKZ327694 TUV327688:TUV327694 UER327688:UER327694 UON327688:UON327694 UYJ327688:UYJ327694 VIF327688:VIF327694 VSB327688:VSB327694 WBX327688:WBX327694 WLT327688:WLT327694 WVP327688:WVP327694 H393224:H393230 JD393224:JD393230 SZ393224:SZ393230 ACV393224:ACV393230 AMR393224:AMR393230 AWN393224:AWN393230 BGJ393224:BGJ393230 BQF393224:BQF393230 CAB393224:CAB393230 CJX393224:CJX393230 CTT393224:CTT393230 DDP393224:DDP393230 DNL393224:DNL393230 DXH393224:DXH393230 EHD393224:EHD393230 EQZ393224:EQZ393230 FAV393224:FAV393230 FKR393224:FKR393230 FUN393224:FUN393230 GEJ393224:GEJ393230 GOF393224:GOF393230 GYB393224:GYB393230 HHX393224:HHX393230 HRT393224:HRT393230 IBP393224:IBP393230 ILL393224:ILL393230 IVH393224:IVH393230 JFD393224:JFD393230 JOZ393224:JOZ393230 JYV393224:JYV393230 KIR393224:KIR393230 KSN393224:KSN393230 LCJ393224:LCJ393230 LMF393224:LMF393230 LWB393224:LWB393230 MFX393224:MFX393230 MPT393224:MPT393230 MZP393224:MZP393230 NJL393224:NJL393230 NTH393224:NTH393230 ODD393224:ODD393230 OMZ393224:OMZ393230 OWV393224:OWV393230 PGR393224:PGR393230 PQN393224:PQN393230 QAJ393224:QAJ393230 QKF393224:QKF393230 QUB393224:QUB393230 RDX393224:RDX393230 RNT393224:RNT393230 RXP393224:RXP393230 SHL393224:SHL393230 SRH393224:SRH393230 TBD393224:TBD393230 TKZ393224:TKZ393230 TUV393224:TUV393230 UER393224:UER393230 UON393224:UON393230 UYJ393224:UYJ393230 VIF393224:VIF393230 VSB393224:VSB393230 WBX393224:WBX393230 WLT393224:WLT393230 WVP393224:WVP393230 H458760:H458766 JD458760:JD458766 SZ458760:SZ458766 ACV458760:ACV458766 AMR458760:AMR458766 AWN458760:AWN458766 BGJ458760:BGJ458766 BQF458760:BQF458766 CAB458760:CAB458766 CJX458760:CJX458766 CTT458760:CTT458766 DDP458760:DDP458766 DNL458760:DNL458766 DXH458760:DXH458766 EHD458760:EHD458766 EQZ458760:EQZ458766 FAV458760:FAV458766 FKR458760:FKR458766 FUN458760:FUN458766 GEJ458760:GEJ458766 GOF458760:GOF458766 GYB458760:GYB458766 HHX458760:HHX458766 HRT458760:HRT458766 IBP458760:IBP458766 ILL458760:ILL458766 IVH458760:IVH458766 JFD458760:JFD458766 JOZ458760:JOZ458766 JYV458760:JYV458766 KIR458760:KIR458766 KSN458760:KSN458766 LCJ458760:LCJ458766 LMF458760:LMF458766 LWB458760:LWB458766 MFX458760:MFX458766 MPT458760:MPT458766 MZP458760:MZP458766 NJL458760:NJL458766 NTH458760:NTH458766 ODD458760:ODD458766 OMZ458760:OMZ458766 OWV458760:OWV458766 PGR458760:PGR458766 PQN458760:PQN458766 QAJ458760:QAJ458766 QKF458760:QKF458766 QUB458760:QUB458766 RDX458760:RDX458766 RNT458760:RNT458766 RXP458760:RXP458766 SHL458760:SHL458766 SRH458760:SRH458766 TBD458760:TBD458766 TKZ458760:TKZ458766 TUV458760:TUV458766 UER458760:UER458766 UON458760:UON458766 UYJ458760:UYJ458766 VIF458760:VIF458766 VSB458760:VSB458766 WBX458760:WBX458766 WLT458760:WLT458766 WVP458760:WVP458766 H524296:H524302 JD524296:JD524302 SZ524296:SZ524302 ACV524296:ACV524302 AMR524296:AMR524302 AWN524296:AWN524302 BGJ524296:BGJ524302 BQF524296:BQF524302 CAB524296:CAB524302 CJX524296:CJX524302 CTT524296:CTT524302 DDP524296:DDP524302 DNL524296:DNL524302 DXH524296:DXH524302 EHD524296:EHD524302 EQZ524296:EQZ524302 FAV524296:FAV524302 FKR524296:FKR524302 FUN524296:FUN524302 GEJ524296:GEJ524302 GOF524296:GOF524302 GYB524296:GYB524302 HHX524296:HHX524302 HRT524296:HRT524302 IBP524296:IBP524302 ILL524296:ILL524302 IVH524296:IVH524302 JFD524296:JFD524302 JOZ524296:JOZ524302 JYV524296:JYV524302 KIR524296:KIR524302 KSN524296:KSN524302 LCJ524296:LCJ524302 LMF524296:LMF524302 LWB524296:LWB524302 MFX524296:MFX524302 MPT524296:MPT524302 MZP524296:MZP524302 NJL524296:NJL524302 NTH524296:NTH524302 ODD524296:ODD524302 OMZ524296:OMZ524302 OWV524296:OWV524302 PGR524296:PGR524302 PQN524296:PQN524302 QAJ524296:QAJ524302 QKF524296:QKF524302 QUB524296:QUB524302 RDX524296:RDX524302 RNT524296:RNT524302 RXP524296:RXP524302 SHL524296:SHL524302 SRH524296:SRH524302 TBD524296:TBD524302 TKZ524296:TKZ524302 TUV524296:TUV524302 UER524296:UER524302 UON524296:UON524302 UYJ524296:UYJ524302 VIF524296:VIF524302 VSB524296:VSB524302 WBX524296:WBX524302 WLT524296:WLT524302 WVP524296:WVP524302 H589832:H589838 JD589832:JD589838 SZ589832:SZ589838 ACV589832:ACV589838 AMR589832:AMR589838 AWN589832:AWN589838 BGJ589832:BGJ589838 BQF589832:BQF589838 CAB589832:CAB589838 CJX589832:CJX589838 CTT589832:CTT589838 DDP589832:DDP589838 DNL589832:DNL589838 DXH589832:DXH589838 EHD589832:EHD589838 EQZ589832:EQZ589838 FAV589832:FAV589838 FKR589832:FKR589838 FUN589832:FUN589838 GEJ589832:GEJ589838 GOF589832:GOF589838 GYB589832:GYB589838 HHX589832:HHX589838 HRT589832:HRT589838 IBP589832:IBP589838 ILL589832:ILL589838 IVH589832:IVH589838 JFD589832:JFD589838 JOZ589832:JOZ589838 JYV589832:JYV589838 KIR589832:KIR589838 KSN589832:KSN589838 LCJ589832:LCJ589838 LMF589832:LMF589838 LWB589832:LWB589838 MFX589832:MFX589838 MPT589832:MPT589838 MZP589832:MZP589838 NJL589832:NJL589838 NTH589832:NTH589838 ODD589832:ODD589838 OMZ589832:OMZ589838 OWV589832:OWV589838 PGR589832:PGR589838 PQN589832:PQN589838 QAJ589832:QAJ589838 QKF589832:QKF589838 QUB589832:QUB589838 RDX589832:RDX589838 RNT589832:RNT589838 RXP589832:RXP589838 SHL589832:SHL589838 SRH589832:SRH589838 TBD589832:TBD589838 TKZ589832:TKZ589838 TUV589832:TUV589838 UER589832:UER589838 UON589832:UON589838 UYJ589832:UYJ589838 VIF589832:VIF589838 VSB589832:VSB589838 WBX589832:WBX589838 WLT589832:WLT589838 WVP589832:WVP589838 H655368:H655374 JD655368:JD655374 SZ655368:SZ655374 ACV655368:ACV655374 AMR655368:AMR655374 AWN655368:AWN655374 BGJ655368:BGJ655374 BQF655368:BQF655374 CAB655368:CAB655374 CJX655368:CJX655374 CTT655368:CTT655374 DDP655368:DDP655374 DNL655368:DNL655374 DXH655368:DXH655374 EHD655368:EHD655374 EQZ655368:EQZ655374 FAV655368:FAV655374 FKR655368:FKR655374 FUN655368:FUN655374 GEJ655368:GEJ655374 GOF655368:GOF655374 GYB655368:GYB655374 HHX655368:HHX655374 HRT655368:HRT655374 IBP655368:IBP655374 ILL655368:ILL655374 IVH655368:IVH655374 JFD655368:JFD655374 JOZ655368:JOZ655374 JYV655368:JYV655374 KIR655368:KIR655374 KSN655368:KSN655374 LCJ655368:LCJ655374 LMF655368:LMF655374 LWB655368:LWB655374 MFX655368:MFX655374 MPT655368:MPT655374 MZP655368:MZP655374 NJL655368:NJL655374 NTH655368:NTH655374 ODD655368:ODD655374 OMZ655368:OMZ655374 OWV655368:OWV655374 PGR655368:PGR655374 PQN655368:PQN655374 QAJ655368:QAJ655374 QKF655368:QKF655374 QUB655368:QUB655374 RDX655368:RDX655374 RNT655368:RNT655374 RXP655368:RXP655374 SHL655368:SHL655374 SRH655368:SRH655374 TBD655368:TBD655374 TKZ655368:TKZ655374 TUV655368:TUV655374 UER655368:UER655374 UON655368:UON655374 UYJ655368:UYJ655374 VIF655368:VIF655374 VSB655368:VSB655374 WBX655368:WBX655374 WLT655368:WLT655374 WVP655368:WVP655374 H720904:H720910 JD720904:JD720910 SZ720904:SZ720910 ACV720904:ACV720910 AMR720904:AMR720910 AWN720904:AWN720910 BGJ720904:BGJ720910 BQF720904:BQF720910 CAB720904:CAB720910 CJX720904:CJX720910 CTT720904:CTT720910 DDP720904:DDP720910 DNL720904:DNL720910 DXH720904:DXH720910 EHD720904:EHD720910 EQZ720904:EQZ720910 FAV720904:FAV720910 FKR720904:FKR720910 FUN720904:FUN720910 GEJ720904:GEJ720910 GOF720904:GOF720910 GYB720904:GYB720910 HHX720904:HHX720910 HRT720904:HRT720910 IBP720904:IBP720910 ILL720904:ILL720910 IVH720904:IVH720910 JFD720904:JFD720910 JOZ720904:JOZ720910 JYV720904:JYV720910 KIR720904:KIR720910 KSN720904:KSN720910 LCJ720904:LCJ720910 LMF720904:LMF720910 LWB720904:LWB720910 MFX720904:MFX720910 MPT720904:MPT720910 MZP720904:MZP720910 NJL720904:NJL720910 NTH720904:NTH720910 ODD720904:ODD720910 OMZ720904:OMZ720910 OWV720904:OWV720910 PGR720904:PGR720910 PQN720904:PQN720910 QAJ720904:QAJ720910 QKF720904:QKF720910 QUB720904:QUB720910 RDX720904:RDX720910 RNT720904:RNT720910 RXP720904:RXP720910 SHL720904:SHL720910 SRH720904:SRH720910 TBD720904:TBD720910 TKZ720904:TKZ720910 TUV720904:TUV720910 UER720904:UER720910 UON720904:UON720910 UYJ720904:UYJ720910 VIF720904:VIF720910 VSB720904:VSB720910 WBX720904:WBX720910 WLT720904:WLT720910 WVP720904:WVP720910 H786440:H786446 JD786440:JD786446 SZ786440:SZ786446 ACV786440:ACV786446 AMR786440:AMR786446 AWN786440:AWN786446 BGJ786440:BGJ786446 BQF786440:BQF786446 CAB786440:CAB786446 CJX786440:CJX786446 CTT786440:CTT786446 DDP786440:DDP786446 DNL786440:DNL786446 DXH786440:DXH786446 EHD786440:EHD786446 EQZ786440:EQZ786446 FAV786440:FAV786446 FKR786440:FKR786446 FUN786440:FUN786446 GEJ786440:GEJ786446 GOF786440:GOF786446 GYB786440:GYB786446 HHX786440:HHX786446 HRT786440:HRT786446 IBP786440:IBP786446 ILL786440:ILL786446 IVH786440:IVH786446 JFD786440:JFD786446 JOZ786440:JOZ786446 JYV786440:JYV786446 KIR786440:KIR786446 KSN786440:KSN786446 LCJ786440:LCJ786446 LMF786440:LMF786446 LWB786440:LWB786446 MFX786440:MFX786446 MPT786440:MPT786446 MZP786440:MZP786446 NJL786440:NJL786446 NTH786440:NTH786446 ODD786440:ODD786446 OMZ786440:OMZ786446 OWV786440:OWV786446 PGR786440:PGR786446 PQN786440:PQN786446 QAJ786440:QAJ786446 QKF786440:QKF786446 QUB786440:QUB786446 RDX786440:RDX786446 RNT786440:RNT786446 RXP786440:RXP786446 SHL786440:SHL786446 SRH786440:SRH786446 TBD786440:TBD786446 TKZ786440:TKZ786446 TUV786440:TUV786446 UER786440:UER786446 UON786440:UON786446 UYJ786440:UYJ786446 VIF786440:VIF786446 VSB786440:VSB786446 WBX786440:WBX786446 WLT786440:WLT786446 WVP786440:WVP786446 H851976:H851982 JD851976:JD851982 SZ851976:SZ851982 ACV851976:ACV851982 AMR851976:AMR851982 AWN851976:AWN851982 BGJ851976:BGJ851982 BQF851976:BQF851982 CAB851976:CAB851982 CJX851976:CJX851982 CTT851976:CTT851982 DDP851976:DDP851982 DNL851976:DNL851982 DXH851976:DXH851982 EHD851976:EHD851982 EQZ851976:EQZ851982 FAV851976:FAV851982 FKR851976:FKR851982 FUN851976:FUN851982 GEJ851976:GEJ851982 GOF851976:GOF851982 GYB851976:GYB851982 HHX851976:HHX851982 HRT851976:HRT851982 IBP851976:IBP851982 ILL851976:ILL851982 IVH851976:IVH851982 JFD851976:JFD851982 JOZ851976:JOZ851982 JYV851976:JYV851982 KIR851976:KIR851982 KSN851976:KSN851982 LCJ851976:LCJ851982 LMF851976:LMF851982 LWB851976:LWB851982 MFX851976:MFX851982 MPT851976:MPT851982 MZP851976:MZP851982 NJL851976:NJL851982 NTH851976:NTH851982 ODD851976:ODD851982 OMZ851976:OMZ851982 OWV851976:OWV851982 PGR851976:PGR851982 PQN851976:PQN851982 QAJ851976:QAJ851982 QKF851976:QKF851982 QUB851976:QUB851982 RDX851976:RDX851982 RNT851976:RNT851982 RXP851976:RXP851982 SHL851976:SHL851982 SRH851976:SRH851982 TBD851976:TBD851982 TKZ851976:TKZ851982 TUV851976:TUV851982 UER851976:UER851982 UON851976:UON851982 UYJ851976:UYJ851982 VIF851976:VIF851982 VSB851976:VSB851982 WBX851976:WBX851982 WLT851976:WLT851982 WVP851976:WVP851982 H917512:H917518 JD917512:JD917518 SZ917512:SZ917518 ACV917512:ACV917518 AMR917512:AMR917518 AWN917512:AWN917518 BGJ917512:BGJ917518 BQF917512:BQF917518 CAB917512:CAB917518 CJX917512:CJX917518 CTT917512:CTT917518 DDP917512:DDP917518 DNL917512:DNL917518 DXH917512:DXH917518 EHD917512:EHD917518 EQZ917512:EQZ917518 FAV917512:FAV917518 FKR917512:FKR917518 FUN917512:FUN917518 GEJ917512:GEJ917518 GOF917512:GOF917518 GYB917512:GYB917518 HHX917512:HHX917518 HRT917512:HRT917518 IBP917512:IBP917518 ILL917512:ILL917518 IVH917512:IVH917518 JFD917512:JFD917518 JOZ917512:JOZ917518 JYV917512:JYV917518 KIR917512:KIR917518 KSN917512:KSN917518 LCJ917512:LCJ917518 LMF917512:LMF917518 LWB917512:LWB917518 MFX917512:MFX917518 MPT917512:MPT917518 MZP917512:MZP917518 NJL917512:NJL917518 NTH917512:NTH917518 ODD917512:ODD917518 OMZ917512:OMZ917518 OWV917512:OWV917518 PGR917512:PGR917518 PQN917512:PQN917518 QAJ917512:QAJ917518 QKF917512:QKF917518 QUB917512:QUB917518 RDX917512:RDX917518 RNT917512:RNT917518 RXP917512:RXP917518 SHL917512:SHL917518 SRH917512:SRH917518 TBD917512:TBD917518 TKZ917512:TKZ917518 TUV917512:TUV917518 UER917512:UER917518 UON917512:UON917518 UYJ917512:UYJ917518 VIF917512:VIF917518 VSB917512:VSB917518 WBX917512:WBX917518 WLT917512:WLT917518 WVP917512:WVP917518 H983048:H983054 JD983048:JD983054 SZ983048:SZ983054 ACV983048:ACV983054 AMR983048:AMR983054 AWN983048:AWN983054 BGJ983048:BGJ983054 BQF983048:BQF983054 CAB983048:CAB983054 CJX983048:CJX983054 CTT983048:CTT983054 DDP983048:DDP983054 DNL983048:DNL983054 DXH983048:DXH983054 EHD983048:EHD983054 EQZ983048:EQZ983054 FAV983048:FAV983054 FKR983048:FKR983054 FUN983048:FUN983054 GEJ983048:GEJ983054 GOF983048:GOF983054 GYB983048:GYB983054 HHX983048:HHX983054 HRT983048:HRT983054 IBP983048:IBP983054 ILL983048:ILL983054 IVH983048:IVH983054 JFD983048:JFD983054 JOZ983048:JOZ983054 JYV983048:JYV983054 KIR983048:KIR983054 KSN983048:KSN983054 LCJ983048:LCJ983054 LMF983048:LMF983054 LWB983048:LWB983054 MFX983048:MFX983054 MPT983048:MPT983054 MZP983048:MZP983054 NJL983048:NJL983054 NTH983048:NTH983054 ODD983048:ODD983054 OMZ983048:OMZ983054 OWV983048:OWV983054 PGR983048:PGR983054 PQN983048:PQN983054 QAJ983048:QAJ983054 QKF983048:QKF983054 QUB983048:QUB983054 RDX983048:RDX983054 RNT983048:RNT983054 RXP983048:RXP983054 SHL983048:SHL983054 SRH983048:SRH983054 TBD983048:TBD983054 TKZ983048:TKZ983054 TUV983048:TUV983054 UER983048:UER983054 UON983048:UON983054 UYJ983048:UYJ983054 VIF983048:VIF983054 VSB983048:VSB983054 WBX983048:WBX983054 WLT983048:WLT983054 WVP983048:WVP983054 H11 H13 H8 WVP8:WVP14 WLT8:WLT14 WBX8:WBX14 VSB8:VSB14 VIF8:VIF14 UYJ8:UYJ14 UON8:UON14 UER8:UER14 TUV8:TUV14 TKZ8:TKZ14 TBD8:TBD14 SRH8:SRH14 SHL8:SHL14 RXP8:RXP14 RNT8:RNT14 RDX8:RDX14 QUB8:QUB14 QKF8:QKF14 QAJ8:QAJ14 PQN8:PQN14 PGR8:PGR14 OWV8:OWV14 OMZ8:OMZ14 ODD8:ODD14 NTH8:NTH14 NJL8:NJL14 MZP8:MZP14 MPT8:MPT14 MFX8:MFX14 LWB8:LWB14 LMF8:LMF14 LCJ8:LCJ14 KSN8:KSN14 KIR8:KIR14 JYV8:JYV14 JOZ8:JOZ14 JFD8:JFD14 IVH8:IVH14 ILL8:ILL14 IBP8:IBP14 HRT8:HRT14 HHX8:HHX14 GYB8:GYB14 GOF8:GOF14 GEJ8:GEJ14 FUN8:FUN14 FKR8:FKR14 FAV8:FAV14 EQZ8:EQZ14 EHD8:EHD14 DXH8:DXH14 DNL8:DNL14 DDP8:DDP14 CTT8:CTT14 CJX8:CJX14 CAB8:CAB14 BQF8:BQF14 BGJ8:BGJ14 AWN8:AWN14 AMR8:AMR14 ACV8:ACV14 SZ8:SZ14 JD8:JD14">
      <formula1>$AI$1:$AI$3</formula1>
    </dataValidation>
    <dataValidation type="list" allowBlank="1" showInputMessage="1" showErrorMessage="1" sqref="G65544:G65550 G13 G11 G8 SY8:SY14 ACU8:ACU14 AMQ8:AMQ14 AWM8:AWM14 BGI8:BGI14 BQE8:BQE14 CAA8:CAA14 CJW8:CJW14 CTS8:CTS14 DDO8:DDO14 DNK8:DNK14 DXG8:DXG14 EHC8:EHC14 EQY8:EQY14 FAU8:FAU14 FKQ8:FKQ14 FUM8:FUM14 GEI8:GEI14 GOE8:GOE14 GYA8:GYA14 HHW8:HHW14 HRS8:HRS14 IBO8:IBO14 ILK8:ILK14 IVG8:IVG14 JFC8:JFC14 JOY8:JOY14 JYU8:JYU14 KIQ8:KIQ14 KSM8:KSM14 LCI8:LCI14 LME8:LME14 LWA8:LWA14 MFW8:MFW14 MPS8:MPS14 MZO8:MZO14 NJK8:NJK14 NTG8:NTG14 ODC8:ODC14 OMY8:OMY14 OWU8:OWU14 PGQ8:PGQ14 PQM8:PQM14 QAI8:QAI14 QKE8:QKE14 QUA8:QUA14 RDW8:RDW14 RNS8:RNS14 RXO8:RXO14 SHK8:SHK14 SRG8:SRG14 TBC8:TBC14 TKY8:TKY14 TUU8:TUU14 UEQ8:UEQ14 UOM8:UOM14 UYI8:UYI14 VIE8:VIE14 VSA8:VSA14 WBW8:WBW14 WLS8:WLS14 WVO8:WVO14 WVO983048:WVO983054 JC65544:JC65550 SY65544:SY65550 ACU65544:ACU65550 AMQ65544:AMQ65550 AWM65544:AWM65550 BGI65544:BGI65550 BQE65544:BQE65550 CAA65544:CAA65550 CJW65544:CJW65550 CTS65544:CTS65550 DDO65544:DDO65550 DNK65544:DNK65550 DXG65544:DXG65550 EHC65544:EHC65550 EQY65544:EQY65550 FAU65544:FAU65550 FKQ65544:FKQ65550 FUM65544:FUM65550 GEI65544:GEI65550 GOE65544:GOE65550 GYA65544:GYA65550 HHW65544:HHW65550 HRS65544:HRS65550 IBO65544:IBO65550 ILK65544:ILK65550 IVG65544:IVG65550 JFC65544:JFC65550 JOY65544:JOY65550 JYU65544:JYU65550 KIQ65544:KIQ65550 KSM65544:KSM65550 LCI65544:LCI65550 LME65544:LME65550 LWA65544:LWA65550 MFW65544:MFW65550 MPS65544:MPS65550 MZO65544:MZO65550 NJK65544:NJK65550 NTG65544:NTG65550 ODC65544:ODC65550 OMY65544:OMY65550 OWU65544:OWU65550 PGQ65544:PGQ65550 PQM65544:PQM65550 QAI65544:QAI65550 QKE65544:QKE65550 QUA65544:QUA65550 RDW65544:RDW65550 RNS65544:RNS65550 RXO65544:RXO65550 SHK65544:SHK65550 SRG65544:SRG65550 TBC65544:TBC65550 TKY65544:TKY65550 TUU65544:TUU65550 UEQ65544:UEQ65550 UOM65544:UOM65550 UYI65544:UYI65550 VIE65544:VIE65550 VSA65544:VSA65550 WBW65544:WBW65550 WLS65544:WLS65550 WVO65544:WVO65550 G131080:G131086 JC131080:JC131086 SY131080:SY131086 ACU131080:ACU131086 AMQ131080:AMQ131086 AWM131080:AWM131086 BGI131080:BGI131086 BQE131080:BQE131086 CAA131080:CAA131086 CJW131080:CJW131086 CTS131080:CTS131086 DDO131080:DDO131086 DNK131080:DNK131086 DXG131080:DXG131086 EHC131080:EHC131086 EQY131080:EQY131086 FAU131080:FAU131086 FKQ131080:FKQ131086 FUM131080:FUM131086 GEI131080:GEI131086 GOE131080:GOE131086 GYA131080:GYA131086 HHW131080:HHW131086 HRS131080:HRS131086 IBO131080:IBO131086 ILK131080:ILK131086 IVG131080:IVG131086 JFC131080:JFC131086 JOY131080:JOY131086 JYU131080:JYU131086 KIQ131080:KIQ131086 KSM131080:KSM131086 LCI131080:LCI131086 LME131080:LME131086 LWA131080:LWA131086 MFW131080:MFW131086 MPS131080:MPS131086 MZO131080:MZO131086 NJK131080:NJK131086 NTG131080:NTG131086 ODC131080:ODC131086 OMY131080:OMY131086 OWU131080:OWU131086 PGQ131080:PGQ131086 PQM131080:PQM131086 QAI131080:QAI131086 QKE131080:QKE131086 QUA131080:QUA131086 RDW131080:RDW131086 RNS131080:RNS131086 RXO131080:RXO131086 SHK131080:SHK131086 SRG131080:SRG131086 TBC131080:TBC131086 TKY131080:TKY131086 TUU131080:TUU131086 UEQ131080:UEQ131086 UOM131080:UOM131086 UYI131080:UYI131086 VIE131080:VIE131086 VSA131080:VSA131086 WBW131080:WBW131086 WLS131080:WLS131086 WVO131080:WVO131086 G196616:G196622 JC196616:JC196622 SY196616:SY196622 ACU196616:ACU196622 AMQ196616:AMQ196622 AWM196616:AWM196622 BGI196616:BGI196622 BQE196616:BQE196622 CAA196616:CAA196622 CJW196616:CJW196622 CTS196616:CTS196622 DDO196616:DDO196622 DNK196616:DNK196622 DXG196616:DXG196622 EHC196616:EHC196622 EQY196616:EQY196622 FAU196616:FAU196622 FKQ196616:FKQ196622 FUM196616:FUM196622 GEI196616:GEI196622 GOE196616:GOE196622 GYA196616:GYA196622 HHW196616:HHW196622 HRS196616:HRS196622 IBO196616:IBO196622 ILK196616:ILK196622 IVG196616:IVG196622 JFC196616:JFC196622 JOY196616:JOY196622 JYU196616:JYU196622 KIQ196616:KIQ196622 KSM196616:KSM196622 LCI196616:LCI196622 LME196616:LME196622 LWA196616:LWA196622 MFW196616:MFW196622 MPS196616:MPS196622 MZO196616:MZO196622 NJK196616:NJK196622 NTG196616:NTG196622 ODC196616:ODC196622 OMY196616:OMY196622 OWU196616:OWU196622 PGQ196616:PGQ196622 PQM196616:PQM196622 QAI196616:QAI196622 QKE196616:QKE196622 QUA196616:QUA196622 RDW196616:RDW196622 RNS196616:RNS196622 RXO196616:RXO196622 SHK196616:SHK196622 SRG196616:SRG196622 TBC196616:TBC196622 TKY196616:TKY196622 TUU196616:TUU196622 UEQ196616:UEQ196622 UOM196616:UOM196622 UYI196616:UYI196622 VIE196616:VIE196622 VSA196616:VSA196622 WBW196616:WBW196622 WLS196616:WLS196622 WVO196616:WVO196622 G262152:G262158 JC262152:JC262158 SY262152:SY262158 ACU262152:ACU262158 AMQ262152:AMQ262158 AWM262152:AWM262158 BGI262152:BGI262158 BQE262152:BQE262158 CAA262152:CAA262158 CJW262152:CJW262158 CTS262152:CTS262158 DDO262152:DDO262158 DNK262152:DNK262158 DXG262152:DXG262158 EHC262152:EHC262158 EQY262152:EQY262158 FAU262152:FAU262158 FKQ262152:FKQ262158 FUM262152:FUM262158 GEI262152:GEI262158 GOE262152:GOE262158 GYA262152:GYA262158 HHW262152:HHW262158 HRS262152:HRS262158 IBO262152:IBO262158 ILK262152:ILK262158 IVG262152:IVG262158 JFC262152:JFC262158 JOY262152:JOY262158 JYU262152:JYU262158 KIQ262152:KIQ262158 KSM262152:KSM262158 LCI262152:LCI262158 LME262152:LME262158 LWA262152:LWA262158 MFW262152:MFW262158 MPS262152:MPS262158 MZO262152:MZO262158 NJK262152:NJK262158 NTG262152:NTG262158 ODC262152:ODC262158 OMY262152:OMY262158 OWU262152:OWU262158 PGQ262152:PGQ262158 PQM262152:PQM262158 QAI262152:QAI262158 QKE262152:QKE262158 QUA262152:QUA262158 RDW262152:RDW262158 RNS262152:RNS262158 RXO262152:RXO262158 SHK262152:SHK262158 SRG262152:SRG262158 TBC262152:TBC262158 TKY262152:TKY262158 TUU262152:TUU262158 UEQ262152:UEQ262158 UOM262152:UOM262158 UYI262152:UYI262158 VIE262152:VIE262158 VSA262152:VSA262158 WBW262152:WBW262158 WLS262152:WLS262158 WVO262152:WVO262158 G327688:G327694 JC327688:JC327694 SY327688:SY327694 ACU327688:ACU327694 AMQ327688:AMQ327694 AWM327688:AWM327694 BGI327688:BGI327694 BQE327688:BQE327694 CAA327688:CAA327694 CJW327688:CJW327694 CTS327688:CTS327694 DDO327688:DDO327694 DNK327688:DNK327694 DXG327688:DXG327694 EHC327688:EHC327694 EQY327688:EQY327694 FAU327688:FAU327694 FKQ327688:FKQ327694 FUM327688:FUM327694 GEI327688:GEI327694 GOE327688:GOE327694 GYA327688:GYA327694 HHW327688:HHW327694 HRS327688:HRS327694 IBO327688:IBO327694 ILK327688:ILK327694 IVG327688:IVG327694 JFC327688:JFC327694 JOY327688:JOY327694 JYU327688:JYU327694 KIQ327688:KIQ327694 KSM327688:KSM327694 LCI327688:LCI327694 LME327688:LME327694 LWA327688:LWA327694 MFW327688:MFW327694 MPS327688:MPS327694 MZO327688:MZO327694 NJK327688:NJK327694 NTG327688:NTG327694 ODC327688:ODC327694 OMY327688:OMY327694 OWU327688:OWU327694 PGQ327688:PGQ327694 PQM327688:PQM327694 QAI327688:QAI327694 QKE327688:QKE327694 QUA327688:QUA327694 RDW327688:RDW327694 RNS327688:RNS327694 RXO327688:RXO327694 SHK327688:SHK327694 SRG327688:SRG327694 TBC327688:TBC327694 TKY327688:TKY327694 TUU327688:TUU327694 UEQ327688:UEQ327694 UOM327688:UOM327694 UYI327688:UYI327694 VIE327688:VIE327694 VSA327688:VSA327694 WBW327688:WBW327694 WLS327688:WLS327694 WVO327688:WVO327694 G393224:G393230 JC393224:JC393230 SY393224:SY393230 ACU393224:ACU393230 AMQ393224:AMQ393230 AWM393224:AWM393230 BGI393224:BGI393230 BQE393224:BQE393230 CAA393224:CAA393230 CJW393224:CJW393230 CTS393224:CTS393230 DDO393224:DDO393230 DNK393224:DNK393230 DXG393224:DXG393230 EHC393224:EHC393230 EQY393224:EQY393230 FAU393224:FAU393230 FKQ393224:FKQ393230 FUM393224:FUM393230 GEI393224:GEI393230 GOE393224:GOE393230 GYA393224:GYA393230 HHW393224:HHW393230 HRS393224:HRS393230 IBO393224:IBO393230 ILK393224:ILK393230 IVG393224:IVG393230 JFC393224:JFC393230 JOY393224:JOY393230 JYU393224:JYU393230 KIQ393224:KIQ393230 KSM393224:KSM393230 LCI393224:LCI393230 LME393224:LME393230 LWA393224:LWA393230 MFW393224:MFW393230 MPS393224:MPS393230 MZO393224:MZO393230 NJK393224:NJK393230 NTG393224:NTG393230 ODC393224:ODC393230 OMY393224:OMY393230 OWU393224:OWU393230 PGQ393224:PGQ393230 PQM393224:PQM393230 QAI393224:QAI393230 QKE393224:QKE393230 QUA393224:QUA393230 RDW393224:RDW393230 RNS393224:RNS393230 RXO393224:RXO393230 SHK393224:SHK393230 SRG393224:SRG393230 TBC393224:TBC393230 TKY393224:TKY393230 TUU393224:TUU393230 UEQ393224:UEQ393230 UOM393224:UOM393230 UYI393224:UYI393230 VIE393224:VIE393230 VSA393224:VSA393230 WBW393224:WBW393230 WLS393224:WLS393230 WVO393224:WVO393230 G458760:G458766 JC458760:JC458766 SY458760:SY458766 ACU458760:ACU458766 AMQ458760:AMQ458766 AWM458760:AWM458766 BGI458760:BGI458766 BQE458760:BQE458766 CAA458760:CAA458766 CJW458760:CJW458766 CTS458760:CTS458766 DDO458760:DDO458766 DNK458760:DNK458766 DXG458760:DXG458766 EHC458760:EHC458766 EQY458760:EQY458766 FAU458760:FAU458766 FKQ458760:FKQ458766 FUM458760:FUM458766 GEI458760:GEI458766 GOE458760:GOE458766 GYA458760:GYA458766 HHW458760:HHW458766 HRS458760:HRS458766 IBO458760:IBO458766 ILK458760:ILK458766 IVG458760:IVG458766 JFC458760:JFC458766 JOY458760:JOY458766 JYU458760:JYU458766 KIQ458760:KIQ458766 KSM458760:KSM458766 LCI458760:LCI458766 LME458760:LME458766 LWA458760:LWA458766 MFW458760:MFW458766 MPS458760:MPS458766 MZO458760:MZO458766 NJK458760:NJK458766 NTG458760:NTG458766 ODC458760:ODC458766 OMY458760:OMY458766 OWU458760:OWU458766 PGQ458760:PGQ458766 PQM458760:PQM458766 QAI458760:QAI458766 QKE458760:QKE458766 QUA458760:QUA458766 RDW458760:RDW458766 RNS458760:RNS458766 RXO458760:RXO458766 SHK458760:SHK458766 SRG458760:SRG458766 TBC458760:TBC458766 TKY458760:TKY458766 TUU458760:TUU458766 UEQ458760:UEQ458766 UOM458760:UOM458766 UYI458760:UYI458766 VIE458760:VIE458766 VSA458760:VSA458766 WBW458760:WBW458766 WLS458760:WLS458766 WVO458760:WVO458766 G524296:G524302 JC524296:JC524302 SY524296:SY524302 ACU524296:ACU524302 AMQ524296:AMQ524302 AWM524296:AWM524302 BGI524296:BGI524302 BQE524296:BQE524302 CAA524296:CAA524302 CJW524296:CJW524302 CTS524296:CTS524302 DDO524296:DDO524302 DNK524296:DNK524302 DXG524296:DXG524302 EHC524296:EHC524302 EQY524296:EQY524302 FAU524296:FAU524302 FKQ524296:FKQ524302 FUM524296:FUM524302 GEI524296:GEI524302 GOE524296:GOE524302 GYA524296:GYA524302 HHW524296:HHW524302 HRS524296:HRS524302 IBO524296:IBO524302 ILK524296:ILK524302 IVG524296:IVG524302 JFC524296:JFC524302 JOY524296:JOY524302 JYU524296:JYU524302 KIQ524296:KIQ524302 KSM524296:KSM524302 LCI524296:LCI524302 LME524296:LME524302 LWA524296:LWA524302 MFW524296:MFW524302 MPS524296:MPS524302 MZO524296:MZO524302 NJK524296:NJK524302 NTG524296:NTG524302 ODC524296:ODC524302 OMY524296:OMY524302 OWU524296:OWU524302 PGQ524296:PGQ524302 PQM524296:PQM524302 QAI524296:QAI524302 QKE524296:QKE524302 QUA524296:QUA524302 RDW524296:RDW524302 RNS524296:RNS524302 RXO524296:RXO524302 SHK524296:SHK524302 SRG524296:SRG524302 TBC524296:TBC524302 TKY524296:TKY524302 TUU524296:TUU524302 UEQ524296:UEQ524302 UOM524296:UOM524302 UYI524296:UYI524302 VIE524296:VIE524302 VSA524296:VSA524302 WBW524296:WBW524302 WLS524296:WLS524302 WVO524296:WVO524302 G589832:G589838 JC589832:JC589838 SY589832:SY589838 ACU589832:ACU589838 AMQ589832:AMQ589838 AWM589832:AWM589838 BGI589832:BGI589838 BQE589832:BQE589838 CAA589832:CAA589838 CJW589832:CJW589838 CTS589832:CTS589838 DDO589832:DDO589838 DNK589832:DNK589838 DXG589832:DXG589838 EHC589832:EHC589838 EQY589832:EQY589838 FAU589832:FAU589838 FKQ589832:FKQ589838 FUM589832:FUM589838 GEI589832:GEI589838 GOE589832:GOE589838 GYA589832:GYA589838 HHW589832:HHW589838 HRS589832:HRS589838 IBO589832:IBO589838 ILK589832:ILK589838 IVG589832:IVG589838 JFC589832:JFC589838 JOY589832:JOY589838 JYU589832:JYU589838 KIQ589832:KIQ589838 KSM589832:KSM589838 LCI589832:LCI589838 LME589832:LME589838 LWA589832:LWA589838 MFW589832:MFW589838 MPS589832:MPS589838 MZO589832:MZO589838 NJK589832:NJK589838 NTG589832:NTG589838 ODC589832:ODC589838 OMY589832:OMY589838 OWU589832:OWU589838 PGQ589832:PGQ589838 PQM589832:PQM589838 QAI589832:QAI589838 QKE589832:QKE589838 QUA589832:QUA589838 RDW589832:RDW589838 RNS589832:RNS589838 RXO589832:RXO589838 SHK589832:SHK589838 SRG589832:SRG589838 TBC589832:TBC589838 TKY589832:TKY589838 TUU589832:TUU589838 UEQ589832:UEQ589838 UOM589832:UOM589838 UYI589832:UYI589838 VIE589832:VIE589838 VSA589832:VSA589838 WBW589832:WBW589838 WLS589832:WLS589838 WVO589832:WVO589838 G655368:G655374 JC655368:JC655374 SY655368:SY655374 ACU655368:ACU655374 AMQ655368:AMQ655374 AWM655368:AWM655374 BGI655368:BGI655374 BQE655368:BQE655374 CAA655368:CAA655374 CJW655368:CJW655374 CTS655368:CTS655374 DDO655368:DDO655374 DNK655368:DNK655374 DXG655368:DXG655374 EHC655368:EHC655374 EQY655368:EQY655374 FAU655368:FAU655374 FKQ655368:FKQ655374 FUM655368:FUM655374 GEI655368:GEI655374 GOE655368:GOE655374 GYA655368:GYA655374 HHW655368:HHW655374 HRS655368:HRS655374 IBO655368:IBO655374 ILK655368:ILK655374 IVG655368:IVG655374 JFC655368:JFC655374 JOY655368:JOY655374 JYU655368:JYU655374 KIQ655368:KIQ655374 KSM655368:KSM655374 LCI655368:LCI655374 LME655368:LME655374 LWA655368:LWA655374 MFW655368:MFW655374 MPS655368:MPS655374 MZO655368:MZO655374 NJK655368:NJK655374 NTG655368:NTG655374 ODC655368:ODC655374 OMY655368:OMY655374 OWU655368:OWU655374 PGQ655368:PGQ655374 PQM655368:PQM655374 QAI655368:QAI655374 QKE655368:QKE655374 QUA655368:QUA655374 RDW655368:RDW655374 RNS655368:RNS655374 RXO655368:RXO655374 SHK655368:SHK655374 SRG655368:SRG655374 TBC655368:TBC655374 TKY655368:TKY655374 TUU655368:TUU655374 UEQ655368:UEQ655374 UOM655368:UOM655374 UYI655368:UYI655374 VIE655368:VIE655374 VSA655368:VSA655374 WBW655368:WBW655374 WLS655368:WLS655374 WVO655368:WVO655374 G720904:G720910 JC720904:JC720910 SY720904:SY720910 ACU720904:ACU720910 AMQ720904:AMQ720910 AWM720904:AWM720910 BGI720904:BGI720910 BQE720904:BQE720910 CAA720904:CAA720910 CJW720904:CJW720910 CTS720904:CTS720910 DDO720904:DDO720910 DNK720904:DNK720910 DXG720904:DXG720910 EHC720904:EHC720910 EQY720904:EQY720910 FAU720904:FAU720910 FKQ720904:FKQ720910 FUM720904:FUM720910 GEI720904:GEI720910 GOE720904:GOE720910 GYA720904:GYA720910 HHW720904:HHW720910 HRS720904:HRS720910 IBO720904:IBO720910 ILK720904:ILK720910 IVG720904:IVG720910 JFC720904:JFC720910 JOY720904:JOY720910 JYU720904:JYU720910 KIQ720904:KIQ720910 KSM720904:KSM720910 LCI720904:LCI720910 LME720904:LME720910 LWA720904:LWA720910 MFW720904:MFW720910 MPS720904:MPS720910 MZO720904:MZO720910 NJK720904:NJK720910 NTG720904:NTG720910 ODC720904:ODC720910 OMY720904:OMY720910 OWU720904:OWU720910 PGQ720904:PGQ720910 PQM720904:PQM720910 QAI720904:QAI720910 QKE720904:QKE720910 QUA720904:QUA720910 RDW720904:RDW720910 RNS720904:RNS720910 RXO720904:RXO720910 SHK720904:SHK720910 SRG720904:SRG720910 TBC720904:TBC720910 TKY720904:TKY720910 TUU720904:TUU720910 UEQ720904:UEQ720910 UOM720904:UOM720910 UYI720904:UYI720910 VIE720904:VIE720910 VSA720904:VSA720910 WBW720904:WBW720910 WLS720904:WLS720910 WVO720904:WVO720910 G786440:G786446 JC786440:JC786446 SY786440:SY786446 ACU786440:ACU786446 AMQ786440:AMQ786446 AWM786440:AWM786446 BGI786440:BGI786446 BQE786440:BQE786446 CAA786440:CAA786446 CJW786440:CJW786446 CTS786440:CTS786446 DDO786440:DDO786446 DNK786440:DNK786446 DXG786440:DXG786446 EHC786440:EHC786446 EQY786440:EQY786446 FAU786440:FAU786446 FKQ786440:FKQ786446 FUM786440:FUM786446 GEI786440:GEI786446 GOE786440:GOE786446 GYA786440:GYA786446 HHW786440:HHW786446 HRS786440:HRS786446 IBO786440:IBO786446 ILK786440:ILK786446 IVG786440:IVG786446 JFC786440:JFC786446 JOY786440:JOY786446 JYU786440:JYU786446 KIQ786440:KIQ786446 KSM786440:KSM786446 LCI786440:LCI786446 LME786440:LME786446 LWA786440:LWA786446 MFW786440:MFW786446 MPS786440:MPS786446 MZO786440:MZO786446 NJK786440:NJK786446 NTG786440:NTG786446 ODC786440:ODC786446 OMY786440:OMY786446 OWU786440:OWU786446 PGQ786440:PGQ786446 PQM786440:PQM786446 QAI786440:QAI786446 QKE786440:QKE786446 QUA786440:QUA786446 RDW786440:RDW786446 RNS786440:RNS786446 RXO786440:RXO786446 SHK786440:SHK786446 SRG786440:SRG786446 TBC786440:TBC786446 TKY786440:TKY786446 TUU786440:TUU786446 UEQ786440:UEQ786446 UOM786440:UOM786446 UYI786440:UYI786446 VIE786440:VIE786446 VSA786440:VSA786446 WBW786440:WBW786446 WLS786440:WLS786446 WVO786440:WVO786446 G851976:G851982 JC851976:JC851982 SY851976:SY851982 ACU851976:ACU851982 AMQ851976:AMQ851982 AWM851976:AWM851982 BGI851976:BGI851982 BQE851976:BQE851982 CAA851976:CAA851982 CJW851976:CJW851982 CTS851976:CTS851982 DDO851976:DDO851982 DNK851976:DNK851982 DXG851976:DXG851982 EHC851976:EHC851982 EQY851976:EQY851982 FAU851976:FAU851982 FKQ851976:FKQ851982 FUM851976:FUM851982 GEI851976:GEI851982 GOE851976:GOE851982 GYA851976:GYA851982 HHW851976:HHW851982 HRS851976:HRS851982 IBO851976:IBO851982 ILK851976:ILK851982 IVG851976:IVG851982 JFC851976:JFC851982 JOY851976:JOY851982 JYU851976:JYU851982 KIQ851976:KIQ851982 KSM851976:KSM851982 LCI851976:LCI851982 LME851976:LME851982 LWA851976:LWA851982 MFW851976:MFW851982 MPS851976:MPS851982 MZO851976:MZO851982 NJK851976:NJK851982 NTG851976:NTG851982 ODC851976:ODC851982 OMY851976:OMY851982 OWU851976:OWU851982 PGQ851976:PGQ851982 PQM851976:PQM851982 QAI851976:QAI851982 QKE851976:QKE851982 QUA851976:QUA851982 RDW851976:RDW851982 RNS851976:RNS851982 RXO851976:RXO851982 SHK851976:SHK851982 SRG851976:SRG851982 TBC851976:TBC851982 TKY851976:TKY851982 TUU851976:TUU851982 UEQ851976:UEQ851982 UOM851976:UOM851982 UYI851976:UYI851982 VIE851976:VIE851982 VSA851976:VSA851982 WBW851976:WBW851982 WLS851976:WLS851982 WVO851976:WVO851982 G917512:G917518 JC917512:JC917518 SY917512:SY917518 ACU917512:ACU917518 AMQ917512:AMQ917518 AWM917512:AWM917518 BGI917512:BGI917518 BQE917512:BQE917518 CAA917512:CAA917518 CJW917512:CJW917518 CTS917512:CTS917518 DDO917512:DDO917518 DNK917512:DNK917518 DXG917512:DXG917518 EHC917512:EHC917518 EQY917512:EQY917518 FAU917512:FAU917518 FKQ917512:FKQ917518 FUM917512:FUM917518 GEI917512:GEI917518 GOE917512:GOE917518 GYA917512:GYA917518 HHW917512:HHW917518 HRS917512:HRS917518 IBO917512:IBO917518 ILK917512:ILK917518 IVG917512:IVG917518 JFC917512:JFC917518 JOY917512:JOY917518 JYU917512:JYU917518 KIQ917512:KIQ917518 KSM917512:KSM917518 LCI917512:LCI917518 LME917512:LME917518 LWA917512:LWA917518 MFW917512:MFW917518 MPS917512:MPS917518 MZO917512:MZO917518 NJK917512:NJK917518 NTG917512:NTG917518 ODC917512:ODC917518 OMY917512:OMY917518 OWU917512:OWU917518 PGQ917512:PGQ917518 PQM917512:PQM917518 QAI917512:QAI917518 QKE917512:QKE917518 QUA917512:QUA917518 RDW917512:RDW917518 RNS917512:RNS917518 RXO917512:RXO917518 SHK917512:SHK917518 SRG917512:SRG917518 TBC917512:TBC917518 TKY917512:TKY917518 TUU917512:TUU917518 UEQ917512:UEQ917518 UOM917512:UOM917518 UYI917512:UYI917518 VIE917512:VIE917518 VSA917512:VSA917518 WBW917512:WBW917518 WLS917512:WLS917518 WVO917512:WVO917518 G983048:G983054 JC983048:JC983054 SY983048:SY983054 ACU983048:ACU983054 AMQ983048:AMQ983054 AWM983048:AWM983054 BGI983048:BGI983054 BQE983048:BQE983054 CAA983048:CAA983054 CJW983048:CJW983054 CTS983048:CTS983054 DDO983048:DDO983054 DNK983048:DNK983054 DXG983048:DXG983054 EHC983048:EHC983054 EQY983048:EQY983054 FAU983048:FAU983054 FKQ983048:FKQ983054 FUM983048:FUM983054 GEI983048:GEI983054 GOE983048:GOE983054 GYA983048:GYA983054 HHW983048:HHW983054 HRS983048:HRS983054 IBO983048:IBO983054 ILK983048:ILK983054 IVG983048:IVG983054 JFC983048:JFC983054 JOY983048:JOY983054 JYU983048:JYU983054 KIQ983048:KIQ983054 KSM983048:KSM983054 LCI983048:LCI983054 LME983048:LME983054 LWA983048:LWA983054 MFW983048:MFW983054 MPS983048:MPS983054 MZO983048:MZO983054 NJK983048:NJK983054 NTG983048:NTG983054 ODC983048:ODC983054 OMY983048:OMY983054 OWU983048:OWU983054 PGQ983048:PGQ983054 PQM983048:PQM983054 QAI983048:QAI983054 QKE983048:QKE983054 QUA983048:QUA983054 RDW983048:RDW983054 RNS983048:RNS983054 RXO983048:RXO983054 SHK983048:SHK983054 SRG983048:SRG983054 TBC983048:TBC983054 TKY983048:TKY983054 TUU983048:TUU983054 UEQ983048:UEQ983054 UOM983048:UOM983054 UYI983048:UYI983054 VIE983048:VIE983054 VSA983048:VSA983054 WBW983048:WBW983054 WLS983048:WLS983054 JC8:JC14">
      <formula1>$AI$24:$AI$36</formula1>
    </dataValidation>
  </dataValidations>
  <printOptions horizontalCentered="1"/>
  <pageMargins left="0.11811023622047245" right="0.19685039370078741" top="0.59055118110236227" bottom="0.59055118110236227" header="0.31496062992125984" footer="0.31496062992125984"/>
  <pageSetup paperSize="345" scale="44" orientation="landscape" horizontalDpi="4294967293" r:id="rId1"/>
  <headerFooter>
    <oddFooter>&amp;C&amp;"Tahoma,Cursiva"&amp;K365F91Si usted ha accedido a este formato a través de un medio diferente al sitio http://www.unicordoba.edu.co/index.php/documentossigec/documentos-calidad asegúrese que ésta es la versión vigente</oddFooter>
  </headerFooter>
  <rowBreaks count="1" manualBreakCount="1">
    <brk id="20" max="31"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AM39"/>
  <sheetViews>
    <sheetView topLeftCell="E10" zoomScale="80" zoomScaleNormal="80" zoomScaleSheetLayoutView="100" zoomScalePageLayoutView="60" workbookViewId="0">
      <selection activeCell="W12" sqref="W12:W13"/>
    </sheetView>
  </sheetViews>
  <sheetFormatPr baseColWidth="10" defaultRowHeight="12.75"/>
  <cols>
    <col min="1" max="1" width="10.28515625" style="2" customWidth="1"/>
    <col min="2" max="2" width="13.42578125" style="2" customWidth="1"/>
    <col min="3" max="3" width="4.28515625" style="2" customWidth="1"/>
    <col min="4" max="4" width="4" style="2" customWidth="1"/>
    <col min="5" max="5" width="16.5703125" style="2" customWidth="1"/>
    <col min="6" max="6" width="4.140625" style="2" customWidth="1"/>
    <col min="7" max="7" width="11.28515625" style="2" customWidth="1"/>
    <col min="8" max="8" width="16.140625" style="2" customWidth="1"/>
    <col min="9" max="9" width="13.7109375" style="2" customWidth="1"/>
    <col min="10" max="11" width="2.140625" style="2" customWidth="1"/>
    <col min="12" max="12" width="3.28515625" style="2" customWidth="1"/>
    <col min="13" max="13" width="0.28515625" style="2" hidden="1" customWidth="1"/>
    <col min="14" max="14" width="0.42578125" style="2" hidden="1" customWidth="1"/>
    <col min="15" max="15" width="2.85546875" style="2" customWidth="1"/>
    <col min="16" max="16" width="3.28515625" style="2" customWidth="1"/>
    <col min="17" max="17" width="1.42578125" style="2" customWidth="1"/>
    <col min="18" max="18" width="1.85546875" style="2" hidden="1" customWidth="1"/>
    <col min="19" max="19" width="6.85546875" style="2" customWidth="1"/>
    <col min="20" max="20" width="3" style="2" hidden="1" customWidth="1"/>
    <col min="21" max="22" width="6.28515625" style="2" customWidth="1"/>
    <col min="23" max="23" width="17.28515625" style="2" customWidth="1"/>
    <col min="24" max="24" width="24.42578125" style="2" customWidth="1"/>
    <col min="25" max="25" width="10.85546875" style="2" customWidth="1"/>
    <col min="26" max="26" width="14.140625" style="2" customWidth="1"/>
    <col min="27" max="27" width="0.42578125" style="2" hidden="1" customWidth="1"/>
    <col min="28" max="28" width="18" style="2" customWidth="1"/>
    <col min="29" max="29" width="13.140625" style="2" customWidth="1"/>
    <col min="30" max="31" width="14" style="2" customWidth="1"/>
    <col min="32" max="32" width="11.42578125" style="2" customWidth="1"/>
    <col min="33" max="33" width="15.85546875" style="2" customWidth="1"/>
    <col min="34" max="34" width="23.7109375" style="2" customWidth="1"/>
    <col min="35" max="35" width="12" style="2" customWidth="1"/>
    <col min="36" max="37" width="0.28515625" style="2" customWidth="1"/>
    <col min="38" max="38" width="1.42578125" style="2" customWidth="1"/>
    <col min="39" max="39" width="1.28515625" style="2" hidden="1" customWidth="1"/>
    <col min="40" max="256" width="11.42578125" style="2"/>
    <col min="257" max="257" width="10.28515625" style="2" customWidth="1"/>
    <col min="258" max="258" width="13.42578125" style="2" customWidth="1"/>
    <col min="259" max="259" width="4.28515625" style="2" customWidth="1"/>
    <col min="260" max="260" width="4" style="2" customWidth="1"/>
    <col min="261" max="261" width="15" style="2" customWidth="1"/>
    <col min="262" max="262" width="4.140625" style="2" customWidth="1"/>
    <col min="263" max="263" width="11.28515625" style="2" customWidth="1"/>
    <col min="264" max="264" width="16.140625" style="2" customWidth="1"/>
    <col min="265" max="265" width="11" style="2" customWidth="1"/>
    <col min="266" max="267" width="2.140625" style="2" customWidth="1"/>
    <col min="268" max="268" width="3.28515625" style="2" customWidth="1"/>
    <col min="269" max="270" width="0" style="2" hidden="1" customWidth="1"/>
    <col min="271" max="271" width="2.85546875" style="2" customWidth="1"/>
    <col min="272" max="272" width="3.28515625" style="2" customWidth="1"/>
    <col min="273" max="273" width="1.42578125" style="2" customWidth="1"/>
    <col min="274" max="274" width="0" style="2" hidden="1" customWidth="1"/>
    <col min="275" max="275" width="6.85546875" style="2" customWidth="1"/>
    <col min="276" max="276" width="0" style="2" hidden="1" customWidth="1"/>
    <col min="277" max="278" width="6.28515625" style="2" customWidth="1"/>
    <col min="279" max="279" width="17.28515625" style="2" customWidth="1"/>
    <col min="280" max="280" width="24.42578125" style="2" customWidth="1"/>
    <col min="281" max="281" width="10.85546875" style="2" customWidth="1"/>
    <col min="282" max="282" width="14.140625" style="2" customWidth="1"/>
    <col min="283" max="283" width="0" style="2" hidden="1" customWidth="1"/>
    <col min="284" max="284" width="18" style="2" customWidth="1"/>
    <col min="285" max="285" width="13.140625" style="2" customWidth="1"/>
    <col min="286" max="287" width="14" style="2" customWidth="1"/>
    <col min="288" max="288" width="11.42578125" style="2" customWidth="1"/>
    <col min="289" max="289" width="15.85546875" style="2" customWidth="1"/>
    <col min="290" max="290" width="23.7109375" style="2" customWidth="1"/>
    <col min="291" max="291" width="12" style="2" customWidth="1"/>
    <col min="292" max="293" width="0.28515625" style="2" customWidth="1"/>
    <col min="294" max="294" width="1.42578125" style="2" customWidth="1"/>
    <col min="295" max="295" width="0" style="2" hidden="1" customWidth="1"/>
    <col min="296" max="512" width="11.42578125" style="2"/>
    <col min="513" max="513" width="10.28515625" style="2" customWidth="1"/>
    <col min="514" max="514" width="13.42578125" style="2" customWidth="1"/>
    <col min="515" max="515" width="4.28515625" style="2" customWidth="1"/>
    <col min="516" max="516" width="4" style="2" customWidth="1"/>
    <col min="517" max="517" width="15" style="2" customWidth="1"/>
    <col min="518" max="518" width="4.140625" style="2" customWidth="1"/>
    <col min="519" max="519" width="11.28515625" style="2" customWidth="1"/>
    <col min="520" max="520" width="16.140625" style="2" customWidth="1"/>
    <col min="521" max="521" width="11" style="2" customWidth="1"/>
    <col min="522" max="523" width="2.140625" style="2" customWidth="1"/>
    <col min="524" max="524" width="3.28515625" style="2" customWidth="1"/>
    <col min="525" max="526" width="0" style="2" hidden="1" customWidth="1"/>
    <col min="527" max="527" width="2.85546875" style="2" customWidth="1"/>
    <col min="528" max="528" width="3.28515625" style="2" customWidth="1"/>
    <col min="529" max="529" width="1.42578125" style="2" customWidth="1"/>
    <col min="530" max="530" width="0" style="2" hidden="1" customWidth="1"/>
    <col min="531" max="531" width="6.85546875" style="2" customWidth="1"/>
    <col min="532" max="532" width="0" style="2" hidden="1" customWidth="1"/>
    <col min="533" max="534" width="6.28515625" style="2" customWidth="1"/>
    <col min="535" max="535" width="17.28515625" style="2" customWidth="1"/>
    <col min="536" max="536" width="24.42578125" style="2" customWidth="1"/>
    <col min="537" max="537" width="10.85546875" style="2" customWidth="1"/>
    <col min="538" max="538" width="14.140625" style="2" customWidth="1"/>
    <col min="539" max="539" width="0" style="2" hidden="1" customWidth="1"/>
    <col min="540" max="540" width="18" style="2" customWidth="1"/>
    <col min="541" max="541" width="13.140625" style="2" customWidth="1"/>
    <col min="542" max="543" width="14" style="2" customWidth="1"/>
    <col min="544" max="544" width="11.42578125" style="2" customWidth="1"/>
    <col min="545" max="545" width="15.85546875" style="2" customWidth="1"/>
    <col min="546" max="546" width="23.7109375" style="2" customWidth="1"/>
    <col min="547" max="547" width="12" style="2" customWidth="1"/>
    <col min="548" max="549" width="0.28515625" style="2" customWidth="1"/>
    <col min="550" max="550" width="1.42578125" style="2" customWidth="1"/>
    <col min="551" max="551" width="0" style="2" hidden="1" customWidth="1"/>
    <col min="552" max="768" width="11.42578125" style="2"/>
    <col min="769" max="769" width="10.28515625" style="2" customWidth="1"/>
    <col min="770" max="770" width="13.42578125" style="2" customWidth="1"/>
    <col min="771" max="771" width="4.28515625" style="2" customWidth="1"/>
    <col min="772" max="772" width="4" style="2" customWidth="1"/>
    <col min="773" max="773" width="15" style="2" customWidth="1"/>
    <col min="774" max="774" width="4.140625" style="2" customWidth="1"/>
    <col min="775" max="775" width="11.28515625" style="2" customWidth="1"/>
    <col min="776" max="776" width="16.140625" style="2" customWidth="1"/>
    <col min="777" max="777" width="11" style="2" customWidth="1"/>
    <col min="778" max="779" width="2.140625" style="2" customWidth="1"/>
    <col min="780" max="780" width="3.28515625" style="2" customWidth="1"/>
    <col min="781" max="782" width="0" style="2" hidden="1" customWidth="1"/>
    <col min="783" max="783" width="2.85546875" style="2" customWidth="1"/>
    <col min="784" max="784" width="3.28515625" style="2" customWidth="1"/>
    <col min="785" max="785" width="1.42578125" style="2" customWidth="1"/>
    <col min="786" max="786" width="0" style="2" hidden="1" customWidth="1"/>
    <col min="787" max="787" width="6.85546875" style="2" customWidth="1"/>
    <col min="788" max="788" width="0" style="2" hidden="1" customWidth="1"/>
    <col min="789" max="790" width="6.28515625" style="2" customWidth="1"/>
    <col min="791" max="791" width="17.28515625" style="2" customWidth="1"/>
    <col min="792" max="792" width="24.42578125" style="2" customWidth="1"/>
    <col min="793" max="793" width="10.85546875" style="2" customWidth="1"/>
    <col min="794" max="794" width="14.140625" style="2" customWidth="1"/>
    <col min="795" max="795" width="0" style="2" hidden="1" customWidth="1"/>
    <col min="796" max="796" width="18" style="2" customWidth="1"/>
    <col min="797" max="797" width="13.140625" style="2" customWidth="1"/>
    <col min="798" max="799" width="14" style="2" customWidth="1"/>
    <col min="800" max="800" width="11.42578125" style="2" customWidth="1"/>
    <col min="801" max="801" width="15.85546875" style="2" customWidth="1"/>
    <col min="802" max="802" width="23.7109375" style="2" customWidth="1"/>
    <col min="803" max="803" width="12" style="2" customWidth="1"/>
    <col min="804" max="805" width="0.28515625" style="2" customWidth="1"/>
    <col min="806" max="806" width="1.42578125" style="2" customWidth="1"/>
    <col min="807" max="807" width="0" style="2" hidden="1" customWidth="1"/>
    <col min="808" max="1024" width="11.42578125" style="2"/>
    <col min="1025" max="1025" width="10.28515625" style="2" customWidth="1"/>
    <col min="1026" max="1026" width="13.42578125" style="2" customWidth="1"/>
    <col min="1027" max="1027" width="4.28515625" style="2" customWidth="1"/>
    <col min="1028" max="1028" width="4" style="2" customWidth="1"/>
    <col min="1029" max="1029" width="15" style="2" customWidth="1"/>
    <col min="1030" max="1030" width="4.140625" style="2" customWidth="1"/>
    <col min="1031" max="1031" width="11.28515625" style="2" customWidth="1"/>
    <col min="1032" max="1032" width="16.140625" style="2" customWidth="1"/>
    <col min="1033" max="1033" width="11" style="2" customWidth="1"/>
    <col min="1034" max="1035" width="2.140625" style="2" customWidth="1"/>
    <col min="1036" max="1036" width="3.28515625" style="2" customWidth="1"/>
    <col min="1037" max="1038" width="0" style="2" hidden="1" customWidth="1"/>
    <col min="1039" max="1039" width="2.85546875" style="2" customWidth="1"/>
    <col min="1040" max="1040" width="3.28515625" style="2" customWidth="1"/>
    <col min="1041" max="1041" width="1.42578125" style="2" customWidth="1"/>
    <col min="1042" max="1042" width="0" style="2" hidden="1" customWidth="1"/>
    <col min="1043" max="1043" width="6.85546875" style="2" customWidth="1"/>
    <col min="1044" max="1044" width="0" style="2" hidden="1" customWidth="1"/>
    <col min="1045" max="1046" width="6.28515625" style="2" customWidth="1"/>
    <col min="1047" max="1047" width="17.28515625" style="2" customWidth="1"/>
    <col min="1048" max="1048" width="24.42578125" style="2" customWidth="1"/>
    <col min="1049" max="1049" width="10.85546875" style="2" customWidth="1"/>
    <col min="1050" max="1050" width="14.140625" style="2" customWidth="1"/>
    <col min="1051" max="1051" width="0" style="2" hidden="1" customWidth="1"/>
    <col min="1052" max="1052" width="18" style="2" customWidth="1"/>
    <col min="1053" max="1053" width="13.140625" style="2" customWidth="1"/>
    <col min="1054" max="1055" width="14" style="2" customWidth="1"/>
    <col min="1056" max="1056" width="11.42578125" style="2" customWidth="1"/>
    <col min="1057" max="1057" width="15.85546875" style="2" customWidth="1"/>
    <col min="1058" max="1058" width="23.7109375" style="2" customWidth="1"/>
    <col min="1059" max="1059" width="12" style="2" customWidth="1"/>
    <col min="1060" max="1061" width="0.28515625" style="2" customWidth="1"/>
    <col min="1062" max="1062" width="1.42578125" style="2" customWidth="1"/>
    <col min="1063" max="1063" width="0" style="2" hidden="1" customWidth="1"/>
    <col min="1064" max="1280" width="11.42578125" style="2"/>
    <col min="1281" max="1281" width="10.28515625" style="2" customWidth="1"/>
    <col min="1282" max="1282" width="13.42578125" style="2" customWidth="1"/>
    <col min="1283" max="1283" width="4.28515625" style="2" customWidth="1"/>
    <col min="1284" max="1284" width="4" style="2" customWidth="1"/>
    <col min="1285" max="1285" width="15" style="2" customWidth="1"/>
    <col min="1286" max="1286" width="4.140625" style="2" customWidth="1"/>
    <col min="1287" max="1287" width="11.28515625" style="2" customWidth="1"/>
    <col min="1288" max="1288" width="16.140625" style="2" customWidth="1"/>
    <col min="1289" max="1289" width="11" style="2" customWidth="1"/>
    <col min="1290" max="1291" width="2.140625" style="2" customWidth="1"/>
    <col min="1292" max="1292" width="3.28515625" style="2" customWidth="1"/>
    <col min="1293" max="1294" width="0" style="2" hidden="1" customWidth="1"/>
    <col min="1295" max="1295" width="2.85546875" style="2" customWidth="1"/>
    <col min="1296" max="1296" width="3.28515625" style="2" customWidth="1"/>
    <col min="1297" max="1297" width="1.42578125" style="2" customWidth="1"/>
    <col min="1298" max="1298" width="0" style="2" hidden="1" customWidth="1"/>
    <col min="1299" max="1299" width="6.85546875" style="2" customWidth="1"/>
    <col min="1300" max="1300" width="0" style="2" hidden="1" customWidth="1"/>
    <col min="1301" max="1302" width="6.28515625" style="2" customWidth="1"/>
    <col min="1303" max="1303" width="17.28515625" style="2" customWidth="1"/>
    <col min="1304" max="1304" width="24.42578125" style="2" customWidth="1"/>
    <col min="1305" max="1305" width="10.85546875" style="2" customWidth="1"/>
    <col min="1306" max="1306" width="14.140625" style="2" customWidth="1"/>
    <col min="1307" max="1307" width="0" style="2" hidden="1" customWidth="1"/>
    <col min="1308" max="1308" width="18" style="2" customWidth="1"/>
    <col min="1309" max="1309" width="13.140625" style="2" customWidth="1"/>
    <col min="1310" max="1311" width="14" style="2" customWidth="1"/>
    <col min="1312" max="1312" width="11.42578125" style="2" customWidth="1"/>
    <col min="1313" max="1313" width="15.85546875" style="2" customWidth="1"/>
    <col min="1314" max="1314" width="23.7109375" style="2" customWidth="1"/>
    <col min="1315" max="1315" width="12" style="2" customWidth="1"/>
    <col min="1316" max="1317" width="0.28515625" style="2" customWidth="1"/>
    <col min="1318" max="1318" width="1.42578125" style="2" customWidth="1"/>
    <col min="1319" max="1319" width="0" style="2" hidden="1" customWidth="1"/>
    <col min="1320" max="1536" width="11.42578125" style="2"/>
    <col min="1537" max="1537" width="10.28515625" style="2" customWidth="1"/>
    <col min="1538" max="1538" width="13.42578125" style="2" customWidth="1"/>
    <col min="1539" max="1539" width="4.28515625" style="2" customWidth="1"/>
    <col min="1540" max="1540" width="4" style="2" customWidth="1"/>
    <col min="1541" max="1541" width="15" style="2" customWidth="1"/>
    <col min="1542" max="1542" width="4.140625" style="2" customWidth="1"/>
    <col min="1543" max="1543" width="11.28515625" style="2" customWidth="1"/>
    <col min="1544" max="1544" width="16.140625" style="2" customWidth="1"/>
    <col min="1545" max="1545" width="11" style="2" customWidth="1"/>
    <col min="1546" max="1547" width="2.140625" style="2" customWidth="1"/>
    <col min="1548" max="1548" width="3.28515625" style="2" customWidth="1"/>
    <col min="1549" max="1550" width="0" style="2" hidden="1" customWidth="1"/>
    <col min="1551" max="1551" width="2.85546875" style="2" customWidth="1"/>
    <col min="1552" max="1552" width="3.28515625" style="2" customWidth="1"/>
    <col min="1553" max="1553" width="1.42578125" style="2" customWidth="1"/>
    <col min="1554" max="1554" width="0" style="2" hidden="1" customWidth="1"/>
    <col min="1555" max="1555" width="6.85546875" style="2" customWidth="1"/>
    <col min="1556" max="1556" width="0" style="2" hidden="1" customWidth="1"/>
    <col min="1557" max="1558" width="6.28515625" style="2" customWidth="1"/>
    <col min="1559" max="1559" width="17.28515625" style="2" customWidth="1"/>
    <col min="1560" max="1560" width="24.42578125" style="2" customWidth="1"/>
    <col min="1561" max="1561" width="10.85546875" style="2" customWidth="1"/>
    <col min="1562" max="1562" width="14.140625" style="2" customWidth="1"/>
    <col min="1563" max="1563" width="0" style="2" hidden="1" customWidth="1"/>
    <col min="1564" max="1564" width="18" style="2" customWidth="1"/>
    <col min="1565" max="1565" width="13.140625" style="2" customWidth="1"/>
    <col min="1566" max="1567" width="14" style="2" customWidth="1"/>
    <col min="1568" max="1568" width="11.42578125" style="2" customWidth="1"/>
    <col min="1569" max="1569" width="15.85546875" style="2" customWidth="1"/>
    <col min="1570" max="1570" width="23.7109375" style="2" customWidth="1"/>
    <col min="1571" max="1571" width="12" style="2" customWidth="1"/>
    <col min="1572" max="1573" width="0.28515625" style="2" customWidth="1"/>
    <col min="1574" max="1574" width="1.42578125" style="2" customWidth="1"/>
    <col min="1575" max="1575" width="0" style="2" hidden="1" customWidth="1"/>
    <col min="1576" max="1792" width="11.42578125" style="2"/>
    <col min="1793" max="1793" width="10.28515625" style="2" customWidth="1"/>
    <col min="1794" max="1794" width="13.42578125" style="2" customWidth="1"/>
    <col min="1795" max="1795" width="4.28515625" style="2" customWidth="1"/>
    <col min="1796" max="1796" width="4" style="2" customWidth="1"/>
    <col min="1797" max="1797" width="15" style="2" customWidth="1"/>
    <col min="1798" max="1798" width="4.140625" style="2" customWidth="1"/>
    <col min="1799" max="1799" width="11.28515625" style="2" customWidth="1"/>
    <col min="1800" max="1800" width="16.140625" style="2" customWidth="1"/>
    <col min="1801" max="1801" width="11" style="2" customWidth="1"/>
    <col min="1802" max="1803" width="2.140625" style="2" customWidth="1"/>
    <col min="1804" max="1804" width="3.28515625" style="2" customWidth="1"/>
    <col min="1805" max="1806" width="0" style="2" hidden="1" customWidth="1"/>
    <col min="1807" max="1807" width="2.85546875" style="2" customWidth="1"/>
    <col min="1808" max="1808" width="3.28515625" style="2" customWidth="1"/>
    <col min="1809" max="1809" width="1.42578125" style="2" customWidth="1"/>
    <col min="1810" max="1810" width="0" style="2" hidden="1" customWidth="1"/>
    <col min="1811" max="1811" width="6.85546875" style="2" customWidth="1"/>
    <col min="1812" max="1812" width="0" style="2" hidden="1" customWidth="1"/>
    <col min="1813" max="1814" width="6.28515625" style="2" customWidth="1"/>
    <col min="1815" max="1815" width="17.28515625" style="2" customWidth="1"/>
    <col min="1816" max="1816" width="24.42578125" style="2" customWidth="1"/>
    <col min="1817" max="1817" width="10.85546875" style="2" customWidth="1"/>
    <col min="1818" max="1818" width="14.140625" style="2" customWidth="1"/>
    <col min="1819" max="1819" width="0" style="2" hidden="1" customWidth="1"/>
    <col min="1820" max="1820" width="18" style="2" customWidth="1"/>
    <col min="1821" max="1821" width="13.140625" style="2" customWidth="1"/>
    <col min="1822" max="1823" width="14" style="2" customWidth="1"/>
    <col min="1824" max="1824" width="11.42578125" style="2" customWidth="1"/>
    <col min="1825" max="1825" width="15.85546875" style="2" customWidth="1"/>
    <col min="1826" max="1826" width="23.7109375" style="2" customWidth="1"/>
    <col min="1827" max="1827" width="12" style="2" customWidth="1"/>
    <col min="1828" max="1829" width="0.28515625" style="2" customWidth="1"/>
    <col min="1830" max="1830" width="1.42578125" style="2" customWidth="1"/>
    <col min="1831" max="1831" width="0" style="2" hidden="1" customWidth="1"/>
    <col min="1832" max="2048" width="11.42578125" style="2"/>
    <col min="2049" max="2049" width="10.28515625" style="2" customWidth="1"/>
    <col min="2050" max="2050" width="13.42578125" style="2" customWidth="1"/>
    <col min="2051" max="2051" width="4.28515625" style="2" customWidth="1"/>
    <col min="2052" max="2052" width="4" style="2" customWidth="1"/>
    <col min="2053" max="2053" width="15" style="2" customWidth="1"/>
    <col min="2054" max="2054" width="4.140625" style="2" customWidth="1"/>
    <col min="2055" max="2055" width="11.28515625" style="2" customWidth="1"/>
    <col min="2056" max="2056" width="16.140625" style="2" customWidth="1"/>
    <col min="2057" max="2057" width="11" style="2" customWidth="1"/>
    <col min="2058" max="2059" width="2.140625" style="2" customWidth="1"/>
    <col min="2060" max="2060" width="3.28515625" style="2" customWidth="1"/>
    <col min="2061" max="2062" width="0" style="2" hidden="1" customWidth="1"/>
    <col min="2063" max="2063" width="2.85546875" style="2" customWidth="1"/>
    <col min="2064" max="2064" width="3.28515625" style="2" customWidth="1"/>
    <col min="2065" max="2065" width="1.42578125" style="2" customWidth="1"/>
    <col min="2066" max="2066" width="0" style="2" hidden="1" customWidth="1"/>
    <col min="2067" max="2067" width="6.85546875" style="2" customWidth="1"/>
    <col min="2068" max="2068" width="0" style="2" hidden="1" customWidth="1"/>
    <col min="2069" max="2070" width="6.28515625" style="2" customWidth="1"/>
    <col min="2071" max="2071" width="17.28515625" style="2" customWidth="1"/>
    <col min="2072" max="2072" width="24.42578125" style="2" customWidth="1"/>
    <col min="2073" max="2073" width="10.85546875" style="2" customWidth="1"/>
    <col min="2074" max="2074" width="14.140625" style="2" customWidth="1"/>
    <col min="2075" max="2075" width="0" style="2" hidden="1" customWidth="1"/>
    <col min="2076" max="2076" width="18" style="2" customWidth="1"/>
    <col min="2077" max="2077" width="13.140625" style="2" customWidth="1"/>
    <col min="2078" max="2079" width="14" style="2" customWidth="1"/>
    <col min="2080" max="2080" width="11.42578125" style="2" customWidth="1"/>
    <col min="2081" max="2081" width="15.85546875" style="2" customWidth="1"/>
    <col min="2082" max="2082" width="23.7109375" style="2" customWidth="1"/>
    <col min="2083" max="2083" width="12" style="2" customWidth="1"/>
    <col min="2084" max="2085" width="0.28515625" style="2" customWidth="1"/>
    <col min="2086" max="2086" width="1.42578125" style="2" customWidth="1"/>
    <col min="2087" max="2087" width="0" style="2" hidden="1" customWidth="1"/>
    <col min="2088" max="2304" width="11.42578125" style="2"/>
    <col min="2305" max="2305" width="10.28515625" style="2" customWidth="1"/>
    <col min="2306" max="2306" width="13.42578125" style="2" customWidth="1"/>
    <col min="2307" max="2307" width="4.28515625" style="2" customWidth="1"/>
    <col min="2308" max="2308" width="4" style="2" customWidth="1"/>
    <col min="2309" max="2309" width="15" style="2" customWidth="1"/>
    <col min="2310" max="2310" width="4.140625" style="2" customWidth="1"/>
    <col min="2311" max="2311" width="11.28515625" style="2" customWidth="1"/>
    <col min="2312" max="2312" width="16.140625" style="2" customWidth="1"/>
    <col min="2313" max="2313" width="11" style="2" customWidth="1"/>
    <col min="2314" max="2315" width="2.140625" style="2" customWidth="1"/>
    <col min="2316" max="2316" width="3.28515625" style="2" customWidth="1"/>
    <col min="2317" max="2318" width="0" style="2" hidden="1" customWidth="1"/>
    <col min="2319" max="2319" width="2.85546875" style="2" customWidth="1"/>
    <col min="2320" max="2320" width="3.28515625" style="2" customWidth="1"/>
    <col min="2321" max="2321" width="1.42578125" style="2" customWidth="1"/>
    <col min="2322" max="2322" width="0" style="2" hidden="1" customWidth="1"/>
    <col min="2323" max="2323" width="6.85546875" style="2" customWidth="1"/>
    <col min="2324" max="2324" width="0" style="2" hidden="1" customWidth="1"/>
    <col min="2325" max="2326" width="6.28515625" style="2" customWidth="1"/>
    <col min="2327" max="2327" width="17.28515625" style="2" customWidth="1"/>
    <col min="2328" max="2328" width="24.42578125" style="2" customWidth="1"/>
    <col min="2329" max="2329" width="10.85546875" style="2" customWidth="1"/>
    <col min="2330" max="2330" width="14.140625" style="2" customWidth="1"/>
    <col min="2331" max="2331" width="0" style="2" hidden="1" customWidth="1"/>
    <col min="2332" max="2332" width="18" style="2" customWidth="1"/>
    <col min="2333" max="2333" width="13.140625" style="2" customWidth="1"/>
    <col min="2334" max="2335" width="14" style="2" customWidth="1"/>
    <col min="2336" max="2336" width="11.42578125" style="2" customWidth="1"/>
    <col min="2337" max="2337" width="15.85546875" style="2" customWidth="1"/>
    <col min="2338" max="2338" width="23.7109375" style="2" customWidth="1"/>
    <col min="2339" max="2339" width="12" style="2" customWidth="1"/>
    <col min="2340" max="2341" width="0.28515625" style="2" customWidth="1"/>
    <col min="2342" max="2342" width="1.42578125" style="2" customWidth="1"/>
    <col min="2343" max="2343" width="0" style="2" hidden="1" customWidth="1"/>
    <col min="2344" max="2560" width="11.42578125" style="2"/>
    <col min="2561" max="2561" width="10.28515625" style="2" customWidth="1"/>
    <col min="2562" max="2562" width="13.42578125" style="2" customWidth="1"/>
    <col min="2563" max="2563" width="4.28515625" style="2" customWidth="1"/>
    <col min="2564" max="2564" width="4" style="2" customWidth="1"/>
    <col min="2565" max="2565" width="15" style="2" customWidth="1"/>
    <col min="2566" max="2566" width="4.140625" style="2" customWidth="1"/>
    <col min="2567" max="2567" width="11.28515625" style="2" customWidth="1"/>
    <col min="2568" max="2568" width="16.140625" style="2" customWidth="1"/>
    <col min="2569" max="2569" width="11" style="2" customWidth="1"/>
    <col min="2570" max="2571" width="2.140625" style="2" customWidth="1"/>
    <col min="2572" max="2572" width="3.28515625" style="2" customWidth="1"/>
    <col min="2573" max="2574" width="0" style="2" hidden="1" customWidth="1"/>
    <col min="2575" max="2575" width="2.85546875" style="2" customWidth="1"/>
    <col min="2576" max="2576" width="3.28515625" style="2" customWidth="1"/>
    <col min="2577" max="2577" width="1.42578125" style="2" customWidth="1"/>
    <col min="2578" max="2578" width="0" style="2" hidden="1" customWidth="1"/>
    <col min="2579" max="2579" width="6.85546875" style="2" customWidth="1"/>
    <col min="2580" max="2580" width="0" style="2" hidden="1" customWidth="1"/>
    <col min="2581" max="2582" width="6.28515625" style="2" customWidth="1"/>
    <col min="2583" max="2583" width="17.28515625" style="2" customWidth="1"/>
    <col min="2584" max="2584" width="24.42578125" style="2" customWidth="1"/>
    <col min="2585" max="2585" width="10.85546875" style="2" customWidth="1"/>
    <col min="2586" max="2586" width="14.140625" style="2" customWidth="1"/>
    <col min="2587" max="2587" width="0" style="2" hidden="1" customWidth="1"/>
    <col min="2588" max="2588" width="18" style="2" customWidth="1"/>
    <col min="2589" max="2589" width="13.140625" style="2" customWidth="1"/>
    <col min="2590" max="2591" width="14" style="2" customWidth="1"/>
    <col min="2592" max="2592" width="11.42578125" style="2" customWidth="1"/>
    <col min="2593" max="2593" width="15.85546875" style="2" customWidth="1"/>
    <col min="2594" max="2594" width="23.7109375" style="2" customWidth="1"/>
    <col min="2595" max="2595" width="12" style="2" customWidth="1"/>
    <col min="2596" max="2597" width="0.28515625" style="2" customWidth="1"/>
    <col min="2598" max="2598" width="1.42578125" style="2" customWidth="1"/>
    <col min="2599" max="2599" width="0" style="2" hidden="1" customWidth="1"/>
    <col min="2600" max="2816" width="11.42578125" style="2"/>
    <col min="2817" max="2817" width="10.28515625" style="2" customWidth="1"/>
    <col min="2818" max="2818" width="13.42578125" style="2" customWidth="1"/>
    <col min="2819" max="2819" width="4.28515625" style="2" customWidth="1"/>
    <col min="2820" max="2820" width="4" style="2" customWidth="1"/>
    <col min="2821" max="2821" width="15" style="2" customWidth="1"/>
    <col min="2822" max="2822" width="4.140625" style="2" customWidth="1"/>
    <col min="2823" max="2823" width="11.28515625" style="2" customWidth="1"/>
    <col min="2824" max="2824" width="16.140625" style="2" customWidth="1"/>
    <col min="2825" max="2825" width="11" style="2" customWidth="1"/>
    <col min="2826" max="2827" width="2.140625" style="2" customWidth="1"/>
    <col min="2828" max="2828" width="3.28515625" style="2" customWidth="1"/>
    <col min="2829" max="2830" width="0" style="2" hidden="1" customWidth="1"/>
    <col min="2831" max="2831" width="2.85546875" style="2" customWidth="1"/>
    <col min="2832" max="2832" width="3.28515625" style="2" customWidth="1"/>
    <col min="2833" max="2833" width="1.42578125" style="2" customWidth="1"/>
    <col min="2834" max="2834" width="0" style="2" hidden="1" customWidth="1"/>
    <col min="2835" max="2835" width="6.85546875" style="2" customWidth="1"/>
    <col min="2836" max="2836" width="0" style="2" hidden="1" customWidth="1"/>
    <col min="2837" max="2838" width="6.28515625" style="2" customWidth="1"/>
    <col min="2839" max="2839" width="17.28515625" style="2" customWidth="1"/>
    <col min="2840" max="2840" width="24.42578125" style="2" customWidth="1"/>
    <col min="2841" max="2841" width="10.85546875" style="2" customWidth="1"/>
    <col min="2842" max="2842" width="14.140625" style="2" customWidth="1"/>
    <col min="2843" max="2843" width="0" style="2" hidden="1" customWidth="1"/>
    <col min="2844" max="2844" width="18" style="2" customWidth="1"/>
    <col min="2845" max="2845" width="13.140625" style="2" customWidth="1"/>
    <col min="2846" max="2847" width="14" style="2" customWidth="1"/>
    <col min="2848" max="2848" width="11.42578125" style="2" customWidth="1"/>
    <col min="2849" max="2849" width="15.85546875" style="2" customWidth="1"/>
    <col min="2850" max="2850" width="23.7109375" style="2" customWidth="1"/>
    <col min="2851" max="2851" width="12" style="2" customWidth="1"/>
    <col min="2852" max="2853" width="0.28515625" style="2" customWidth="1"/>
    <col min="2854" max="2854" width="1.42578125" style="2" customWidth="1"/>
    <col min="2855" max="2855" width="0" style="2" hidden="1" customWidth="1"/>
    <col min="2856" max="3072" width="11.42578125" style="2"/>
    <col min="3073" max="3073" width="10.28515625" style="2" customWidth="1"/>
    <col min="3074" max="3074" width="13.42578125" style="2" customWidth="1"/>
    <col min="3075" max="3075" width="4.28515625" style="2" customWidth="1"/>
    <col min="3076" max="3076" width="4" style="2" customWidth="1"/>
    <col min="3077" max="3077" width="15" style="2" customWidth="1"/>
    <col min="3078" max="3078" width="4.140625" style="2" customWidth="1"/>
    <col min="3079" max="3079" width="11.28515625" style="2" customWidth="1"/>
    <col min="3080" max="3080" width="16.140625" style="2" customWidth="1"/>
    <col min="3081" max="3081" width="11" style="2" customWidth="1"/>
    <col min="3082" max="3083" width="2.140625" style="2" customWidth="1"/>
    <col min="3084" max="3084" width="3.28515625" style="2" customWidth="1"/>
    <col min="3085" max="3086" width="0" style="2" hidden="1" customWidth="1"/>
    <col min="3087" max="3087" width="2.85546875" style="2" customWidth="1"/>
    <col min="3088" max="3088" width="3.28515625" style="2" customWidth="1"/>
    <col min="3089" max="3089" width="1.42578125" style="2" customWidth="1"/>
    <col min="3090" max="3090" width="0" style="2" hidden="1" customWidth="1"/>
    <col min="3091" max="3091" width="6.85546875" style="2" customWidth="1"/>
    <col min="3092" max="3092" width="0" style="2" hidden="1" customWidth="1"/>
    <col min="3093" max="3094" width="6.28515625" style="2" customWidth="1"/>
    <col min="3095" max="3095" width="17.28515625" style="2" customWidth="1"/>
    <col min="3096" max="3096" width="24.42578125" style="2" customWidth="1"/>
    <col min="3097" max="3097" width="10.85546875" style="2" customWidth="1"/>
    <col min="3098" max="3098" width="14.140625" style="2" customWidth="1"/>
    <col min="3099" max="3099" width="0" style="2" hidden="1" customWidth="1"/>
    <col min="3100" max="3100" width="18" style="2" customWidth="1"/>
    <col min="3101" max="3101" width="13.140625" style="2" customWidth="1"/>
    <col min="3102" max="3103" width="14" style="2" customWidth="1"/>
    <col min="3104" max="3104" width="11.42578125" style="2" customWidth="1"/>
    <col min="3105" max="3105" width="15.85546875" style="2" customWidth="1"/>
    <col min="3106" max="3106" width="23.7109375" style="2" customWidth="1"/>
    <col min="3107" max="3107" width="12" style="2" customWidth="1"/>
    <col min="3108" max="3109" width="0.28515625" style="2" customWidth="1"/>
    <col min="3110" max="3110" width="1.42578125" style="2" customWidth="1"/>
    <col min="3111" max="3111" width="0" style="2" hidden="1" customWidth="1"/>
    <col min="3112" max="3328" width="11.42578125" style="2"/>
    <col min="3329" max="3329" width="10.28515625" style="2" customWidth="1"/>
    <col min="3330" max="3330" width="13.42578125" style="2" customWidth="1"/>
    <col min="3331" max="3331" width="4.28515625" style="2" customWidth="1"/>
    <col min="3332" max="3332" width="4" style="2" customWidth="1"/>
    <col min="3333" max="3333" width="15" style="2" customWidth="1"/>
    <col min="3334" max="3334" width="4.140625" style="2" customWidth="1"/>
    <col min="3335" max="3335" width="11.28515625" style="2" customWidth="1"/>
    <col min="3336" max="3336" width="16.140625" style="2" customWidth="1"/>
    <col min="3337" max="3337" width="11" style="2" customWidth="1"/>
    <col min="3338" max="3339" width="2.140625" style="2" customWidth="1"/>
    <col min="3340" max="3340" width="3.28515625" style="2" customWidth="1"/>
    <col min="3341" max="3342" width="0" style="2" hidden="1" customWidth="1"/>
    <col min="3343" max="3343" width="2.85546875" style="2" customWidth="1"/>
    <col min="3344" max="3344" width="3.28515625" style="2" customWidth="1"/>
    <col min="3345" max="3345" width="1.42578125" style="2" customWidth="1"/>
    <col min="3346" max="3346" width="0" style="2" hidden="1" customWidth="1"/>
    <col min="3347" max="3347" width="6.85546875" style="2" customWidth="1"/>
    <col min="3348" max="3348" width="0" style="2" hidden="1" customWidth="1"/>
    <col min="3349" max="3350" width="6.28515625" style="2" customWidth="1"/>
    <col min="3351" max="3351" width="17.28515625" style="2" customWidth="1"/>
    <col min="3352" max="3352" width="24.42578125" style="2" customWidth="1"/>
    <col min="3353" max="3353" width="10.85546875" style="2" customWidth="1"/>
    <col min="3354" max="3354" width="14.140625" style="2" customWidth="1"/>
    <col min="3355" max="3355" width="0" style="2" hidden="1" customWidth="1"/>
    <col min="3356" max="3356" width="18" style="2" customWidth="1"/>
    <col min="3357" max="3357" width="13.140625" style="2" customWidth="1"/>
    <col min="3358" max="3359" width="14" style="2" customWidth="1"/>
    <col min="3360" max="3360" width="11.42578125" style="2" customWidth="1"/>
    <col min="3361" max="3361" width="15.85546875" style="2" customWidth="1"/>
    <col min="3362" max="3362" width="23.7109375" style="2" customWidth="1"/>
    <col min="3363" max="3363" width="12" style="2" customWidth="1"/>
    <col min="3364" max="3365" width="0.28515625" style="2" customWidth="1"/>
    <col min="3366" max="3366" width="1.42578125" style="2" customWidth="1"/>
    <col min="3367" max="3367" width="0" style="2" hidden="1" customWidth="1"/>
    <col min="3368" max="3584" width="11.42578125" style="2"/>
    <col min="3585" max="3585" width="10.28515625" style="2" customWidth="1"/>
    <col min="3586" max="3586" width="13.42578125" style="2" customWidth="1"/>
    <col min="3587" max="3587" width="4.28515625" style="2" customWidth="1"/>
    <col min="3588" max="3588" width="4" style="2" customWidth="1"/>
    <col min="3589" max="3589" width="15" style="2" customWidth="1"/>
    <col min="3590" max="3590" width="4.140625" style="2" customWidth="1"/>
    <col min="3591" max="3591" width="11.28515625" style="2" customWidth="1"/>
    <col min="3592" max="3592" width="16.140625" style="2" customWidth="1"/>
    <col min="3593" max="3593" width="11" style="2" customWidth="1"/>
    <col min="3594" max="3595" width="2.140625" style="2" customWidth="1"/>
    <col min="3596" max="3596" width="3.28515625" style="2" customWidth="1"/>
    <col min="3597" max="3598" width="0" style="2" hidden="1" customWidth="1"/>
    <col min="3599" max="3599" width="2.85546875" style="2" customWidth="1"/>
    <col min="3600" max="3600" width="3.28515625" style="2" customWidth="1"/>
    <col min="3601" max="3601" width="1.42578125" style="2" customWidth="1"/>
    <col min="3602" max="3602" width="0" style="2" hidden="1" customWidth="1"/>
    <col min="3603" max="3603" width="6.85546875" style="2" customWidth="1"/>
    <col min="3604" max="3604" width="0" style="2" hidden="1" customWidth="1"/>
    <col min="3605" max="3606" width="6.28515625" style="2" customWidth="1"/>
    <col min="3607" max="3607" width="17.28515625" style="2" customWidth="1"/>
    <col min="3608" max="3608" width="24.42578125" style="2" customWidth="1"/>
    <col min="3609" max="3609" width="10.85546875" style="2" customWidth="1"/>
    <col min="3610" max="3610" width="14.140625" style="2" customWidth="1"/>
    <col min="3611" max="3611" width="0" style="2" hidden="1" customWidth="1"/>
    <col min="3612" max="3612" width="18" style="2" customWidth="1"/>
    <col min="3613" max="3613" width="13.140625" style="2" customWidth="1"/>
    <col min="3614" max="3615" width="14" style="2" customWidth="1"/>
    <col min="3616" max="3616" width="11.42578125" style="2" customWidth="1"/>
    <col min="3617" max="3617" width="15.85546875" style="2" customWidth="1"/>
    <col min="3618" max="3618" width="23.7109375" style="2" customWidth="1"/>
    <col min="3619" max="3619" width="12" style="2" customWidth="1"/>
    <col min="3620" max="3621" width="0.28515625" style="2" customWidth="1"/>
    <col min="3622" max="3622" width="1.42578125" style="2" customWidth="1"/>
    <col min="3623" max="3623" width="0" style="2" hidden="1" customWidth="1"/>
    <col min="3624" max="3840" width="11.42578125" style="2"/>
    <col min="3841" max="3841" width="10.28515625" style="2" customWidth="1"/>
    <col min="3842" max="3842" width="13.42578125" style="2" customWidth="1"/>
    <col min="3843" max="3843" width="4.28515625" style="2" customWidth="1"/>
    <col min="3844" max="3844" width="4" style="2" customWidth="1"/>
    <col min="3845" max="3845" width="15" style="2" customWidth="1"/>
    <col min="3846" max="3846" width="4.140625" style="2" customWidth="1"/>
    <col min="3847" max="3847" width="11.28515625" style="2" customWidth="1"/>
    <col min="3848" max="3848" width="16.140625" style="2" customWidth="1"/>
    <col min="3849" max="3849" width="11" style="2" customWidth="1"/>
    <col min="3850" max="3851" width="2.140625" style="2" customWidth="1"/>
    <col min="3852" max="3852" width="3.28515625" style="2" customWidth="1"/>
    <col min="3853" max="3854" width="0" style="2" hidden="1" customWidth="1"/>
    <col min="3855" max="3855" width="2.85546875" style="2" customWidth="1"/>
    <col min="3856" max="3856" width="3.28515625" style="2" customWidth="1"/>
    <col min="3857" max="3857" width="1.42578125" style="2" customWidth="1"/>
    <col min="3858" max="3858" width="0" style="2" hidden="1" customWidth="1"/>
    <col min="3859" max="3859" width="6.85546875" style="2" customWidth="1"/>
    <col min="3860" max="3860" width="0" style="2" hidden="1" customWidth="1"/>
    <col min="3861" max="3862" width="6.28515625" style="2" customWidth="1"/>
    <col min="3863" max="3863" width="17.28515625" style="2" customWidth="1"/>
    <col min="3864" max="3864" width="24.42578125" style="2" customWidth="1"/>
    <col min="3865" max="3865" width="10.85546875" style="2" customWidth="1"/>
    <col min="3866" max="3866" width="14.140625" style="2" customWidth="1"/>
    <col min="3867" max="3867" width="0" style="2" hidden="1" customWidth="1"/>
    <col min="3868" max="3868" width="18" style="2" customWidth="1"/>
    <col min="3869" max="3869" width="13.140625" style="2" customWidth="1"/>
    <col min="3870" max="3871" width="14" style="2" customWidth="1"/>
    <col min="3872" max="3872" width="11.42578125" style="2" customWidth="1"/>
    <col min="3873" max="3873" width="15.85546875" style="2" customWidth="1"/>
    <col min="3874" max="3874" width="23.7109375" style="2" customWidth="1"/>
    <col min="3875" max="3875" width="12" style="2" customWidth="1"/>
    <col min="3876" max="3877" width="0.28515625" style="2" customWidth="1"/>
    <col min="3878" max="3878" width="1.42578125" style="2" customWidth="1"/>
    <col min="3879" max="3879" width="0" style="2" hidden="1" customWidth="1"/>
    <col min="3880" max="4096" width="11.42578125" style="2"/>
    <col min="4097" max="4097" width="10.28515625" style="2" customWidth="1"/>
    <col min="4098" max="4098" width="13.42578125" style="2" customWidth="1"/>
    <col min="4099" max="4099" width="4.28515625" style="2" customWidth="1"/>
    <col min="4100" max="4100" width="4" style="2" customWidth="1"/>
    <col min="4101" max="4101" width="15" style="2" customWidth="1"/>
    <col min="4102" max="4102" width="4.140625" style="2" customWidth="1"/>
    <col min="4103" max="4103" width="11.28515625" style="2" customWidth="1"/>
    <col min="4104" max="4104" width="16.140625" style="2" customWidth="1"/>
    <col min="4105" max="4105" width="11" style="2" customWidth="1"/>
    <col min="4106" max="4107" width="2.140625" style="2" customWidth="1"/>
    <col min="4108" max="4108" width="3.28515625" style="2" customWidth="1"/>
    <col min="4109" max="4110" width="0" style="2" hidden="1" customWidth="1"/>
    <col min="4111" max="4111" width="2.85546875" style="2" customWidth="1"/>
    <col min="4112" max="4112" width="3.28515625" style="2" customWidth="1"/>
    <col min="4113" max="4113" width="1.42578125" style="2" customWidth="1"/>
    <col min="4114" max="4114" width="0" style="2" hidden="1" customWidth="1"/>
    <col min="4115" max="4115" width="6.85546875" style="2" customWidth="1"/>
    <col min="4116" max="4116" width="0" style="2" hidden="1" customWidth="1"/>
    <col min="4117" max="4118" width="6.28515625" style="2" customWidth="1"/>
    <col min="4119" max="4119" width="17.28515625" style="2" customWidth="1"/>
    <col min="4120" max="4120" width="24.42578125" style="2" customWidth="1"/>
    <col min="4121" max="4121" width="10.85546875" style="2" customWidth="1"/>
    <col min="4122" max="4122" width="14.140625" style="2" customWidth="1"/>
    <col min="4123" max="4123" width="0" style="2" hidden="1" customWidth="1"/>
    <col min="4124" max="4124" width="18" style="2" customWidth="1"/>
    <col min="4125" max="4125" width="13.140625" style="2" customWidth="1"/>
    <col min="4126" max="4127" width="14" style="2" customWidth="1"/>
    <col min="4128" max="4128" width="11.42578125" style="2" customWidth="1"/>
    <col min="4129" max="4129" width="15.85546875" style="2" customWidth="1"/>
    <col min="4130" max="4130" width="23.7109375" style="2" customWidth="1"/>
    <col min="4131" max="4131" width="12" style="2" customWidth="1"/>
    <col min="4132" max="4133" width="0.28515625" style="2" customWidth="1"/>
    <col min="4134" max="4134" width="1.42578125" style="2" customWidth="1"/>
    <col min="4135" max="4135" width="0" style="2" hidden="1" customWidth="1"/>
    <col min="4136" max="4352" width="11.42578125" style="2"/>
    <col min="4353" max="4353" width="10.28515625" style="2" customWidth="1"/>
    <col min="4354" max="4354" width="13.42578125" style="2" customWidth="1"/>
    <col min="4355" max="4355" width="4.28515625" style="2" customWidth="1"/>
    <col min="4356" max="4356" width="4" style="2" customWidth="1"/>
    <col min="4357" max="4357" width="15" style="2" customWidth="1"/>
    <col min="4358" max="4358" width="4.140625" style="2" customWidth="1"/>
    <col min="4359" max="4359" width="11.28515625" style="2" customWidth="1"/>
    <col min="4360" max="4360" width="16.140625" style="2" customWidth="1"/>
    <col min="4361" max="4361" width="11" style="2" customWidth="1"/>
    <col min="4362" max="4363" width="2.140625" style="2" customWidth="1"/>
    <col min="4364" max="4364" width="3.28515625" style="2" customWidth="1"/>
    <col min="4365" max="4366" width="0" style="2" hidden="1" customWidth="1"/>
    <col min="4367" max="4367" width="2.85546875" style="2" customWidth="1"/>
    <col min="4368" max="4368" width="3.28515625" style="2" customWidth="1"/>
    <col min="4369" max="4369" width="1.42578125" style="2" customWidth="1"/>
    <col min="4370" max="4370" width="0" style="2" hidden="1" customWidth="1"/>
    <col min="4371" max="4371" width="6.85546875" style="2" customWidth="1"/>
    <col min="4372" max="4372" width="0" style="2" hidden="1" customWidth="1"/>
    <col min="4373" max="4374" width="6.28515625" style="2" customWidth="1"/>
    <col min="4375" max="4375" width="17.28515625" style="2" customWidth="1"/>
    <col min="4376" max="4376" width="24.42578125" style="2" customWidth="1"/>
    <col min="4377" max="4377" width="10.85546875" style="2" customWidth="1"/>
    <col min="4378" max="4378" width="14.140625" style="2" customWidth="1"/>
    <col min="4379" max="4379" width="0" style="2" hidden="1" customWidth="1"/>
    <col min="4380" max="4380" width="18" style="2" customWidth="1"/>
    <col min="4381" max="4381" width="13.140625" style="2" customWidth="1"/>
    <col min="4382" max="4383" width="14" style="2" customWidth="1"/>
    <col min="4384" max="4384" width="11.42578125" style="2" customWidth="1"/>
    <col min="4385" max="4385" width="15.85546875" style="2" customWidth="1"/>
    <col min="4386" max="4386" width="23.7109375" style="2" customWidth="1"/>
    <col min="4387" max="4387" width="12" style="2" customWidth="1"/>
    <col min="4388" max="4389" width="0.28515625" style="2" customWidth="1"/>
    <col min="4390" max="4390" width="1.42578125" style="2" customWidth="1"/>
    <col min="4391" max="4391" width="0" style="2" hidden="1" customWidth="1"/>
    <col min="4392" max="4608" width="11.42578125" style="2"/>
    <col min="4609" max="4609" width="10.28515625" style="2" customWidth="1"/>
    <col min="4610" max="4610" width="13.42578125" style="2" customWidth="1"/>
    <col min="4611" max="4611" width="4.28515625" style="2" customWidth="1"/>
    <col min="4612" max="4612" width="4" style="2" customWidth="1"/>
    <col min="4613" max="4613" width="15" style="2" customWidth="1"/>
    <col min="4614" max="4614" width="4.140625" style="2" customWidth="1"/>
    <col min="4615" max="4615" width="11.28515625" style="2" customWidth="1"/>
    <col min="4616" max="4616" width="16.140625" style="2" customWidth="1"/>
    <col min="4617" max="4617" width="11" style="2" customWidth="1"/>
    <col min="4618" max="4619" width="2.140625" style="2" customWidth="1"/>
    <col min="4620" max="4620" width="3.28515625" style="2" customWidth="1"/>
    <col min="4621" max="4622" width="0" style="2" hidden="1" customWidth="1"/>
    <col min="4623" max="4623" width="2.85546875" style="2" customWidth="1"/>
    <col min="4624" max="4624" width="3.28515625" style="2" customWidth="1"/>
    <col min="4625" max="4625" width="1.42578125" style="2" customWidth="1"/>
    <col min="4626" max="4626" width="0" style="2" hidden="1" customWidth="1"/>
    <col min="4627" max="4627" width="6.85546875" style="2" customWidth="1"/>
    <col min="4628" max="4628" width="0" style="2" hidden="1" customWidth="1"/>
    <col min="4629" max="4630" width="6.28515625" style="2" customWidth="1"/>
    <col min="4631" max="4631" width="17.28515625" style="2" customWidth="1"/>
    <col min="4632" max="4632" width="24.42578125" style="2" customWidth="1"/>
    <col min="4633" max="4633" width="10.85546875" style="2" customWidth="1"/>
    <col min="4634" max="4634" width="14.140625" style="2" customWidth="1"/>
    <col min="4635" max="4635" width="0" style="2" hidden="1" customWidth="1"/>
    <col min="4636" max="4636" width="18" style="2" customWidth="1"/>
    <col min="4637" max="4637" width="13.140625" style="2" customWidth="1"/>
    <col min="4638" max="4639" width="14" style="2" customWidth="1"/>
    <col min="4640" max="4640" width="11.42578125" style="2" customWidth="1"/>
    <col min="4641" max="4641" width="15.85546875" style="2" customWidth="1"/>
    <col min="4642" max="4642" width="23.7109375" style="2" customWidth="1"/>
    <col min="4643" max="4643" width="12" style="2" customWidth="1"/>
    <col min="4644" max="4645" width="0.28515625" style="2" customWidth="1"/>
    <col min="4646" max="4646" width="1.42578125" style="2" customWidth="1"/>
    <col min="4647" max="4647" width="0" style="2" hidden="1" customWidth="1"/>
    <col min="4648" max="4864" width="11.42578125" style="2"/>
    <col min="4865" max="4865" width="10.28515625" style="2" customWidth="1"/>
    <col min="4866" max="4866" width="13.42578125" style="2" customWidth="1"/>
    <col min="4867" max="4867" width="4.28515625" style="2" customWidth="1"/>
    <col min="4868" max="4868" width="4" style="2" customWidth="1"/>
    <col min="4869" max="4869" width="15" style="2" customWidth="1"/>
    <col min="4870" max="4870" width="4.140625" style="2" customWidth="1"/>
    <col min="4871" max="4871" width="11.28515625" style="2" customWidth="1"/>
    <col min="4872" max="4872" width="16.140625" style="2" customWidth="1"/>
    <col min="4873" max="4873" width="11" style="2" customWidth="1"/>
    <col min="4874" max="4875" width="2.140625" style="2" customWidth="1"/>
    <col min="4876" max="4876" width="3.28515625" style="2" customWidth="1"/>
    <col min="4877" max="4878" width="0" style="2" hidden="1" customWidth="1"/>
    <col min="4879" max="4879" width="2.85546875" style="2" customWidth="1"/>
    <col min="4880" max="4880" width="3.28515625" style="2" customWidth="1"/>
    <col min="4881" max="4881" width="1.42578125" style="2" customWidth="1"/>
    <col min="4882" max="4882" width="0" style="2" hidden="1" customWidth="1"/>
    <col min="4883" max="4883" width="6.85546875" style="2" customWidth="1"/>
    <col min="4884" max="4884" width="0" style="2" hidden="1" customWidth="1"/>
    <col min="4885" max="4886" width="6.28515625" style="2" customWidth="1"/>
    <col min="4887" max="4887" width="17.28515625" style="2" customWidth="1"/>
    <col min="4888" max="4888" width="24.42578125" style="2" customWidth="1"/>
    <col min="4889" max="4889" width="10.85546875" style="2" customWidth="1"/>
    <col min="4890" max="4890" width="14.140625" style="2" customWidth="1"/>
    <col min="4891" max="4891" width="0" style="2" hidden="1" customWidth="1"/>
    <col min="4892" max="4892" width="18" style="2" customWidth="1"/>
    <col min="4893" max="4893" width="13.140625" style="2" customWidth="1"/>
    <col min="4894" max="4895" width="14" style="2" customWidth="1"/>
    <col min="4896" max="4896" width="11.42578125" style="2" customWidth="1"/>
    <col min="4897" max="4897" width="15.85546875" style="2" customWidth="1"/>
    <col min="4898" max="4898" width="23.7109375" style="2" customWidth="1"/>
    <col min="4899" max="4899" width="12" style="2" customWidth="1"/>
    <col min="4900" max="4901" width="0.28515625" style="2" customWidth="1"/>
    <col min="4902" max="4902" width="1.42578125" style="2" customWidth="1"/>
    <col min="4903" max="4903" width="0" style="2" hidden="1" customWidth="1"/>
    <col min="4904" max="5120" width="11.42578125" style="2"/>
    <col min="5121" max="5121" width="10.28515625" style="2" customWidth="1"/>
    <col min="5122" max="5122" width="13.42578125" style="2" customWidth="1"/>
    <col min="5123" max="5123" width="4.28515625" style="2" customWidth="1"/>
    <col min="5124" max="5124" width="4" style="2" customWidth="1"/>
    <col min="5125" max="5125" width="15" style="2" customWidth="1"/>
    <col min="5126" max="5126" width="4.140625" style="2" customWidth="1"/>
    <col min="5127" max="5127" width="11.28515625" style="2" customWidth="1"/>
    <col min="5128" max="5128" width="16.140625" style="2" customWidth="1"/>
    <col min="5129" max="5129" width="11" style="2" customWidth="1"/>
    <col min="5130" max="5131" width="2.140625" style="2" customWidth="1"/>
    <col min="5132" max="5132" width="3.28515625" style="2" customWidth="1"/>
    <col min="5133" max="5134" width="0" style="2" hidden="1" customWidth="1"/>
    <col min="5135" max="5135" width="2.85546875" style="2" customWidth="1"/>
    <col min="5136" max="5136" width="3.28515625" style="2" customWidth="1"/>
    <col min="5137" max="5137" width="1.42578125" style="2" customWidth="1"/>
    <col min="5138" max="5138" width="0" style="2" hidden="1" customWidth="1"/>
    <col min="5139" max="5139" width="6.85546875" style="2" customWidth="1"/>
    <col min="5140" max="5140" width="0" style="2" hidden="1" customWidth="1"/>
    <col min="5141" max="5142" width="6.28515625" style="2" customWidth="1"/>
    <col min="5143" max="5143" width="17.28515625" style="2" customWidth="1"/>
    <col min="5144" max="5144" width="24.42578125" style="2" customWidth="1"/>
    <col min="5145" max="5145" width="10.85546875" style="2" customWidth="1"/>
    <col min="5146" max="5146" width="14.140625" style="2" customWidth="1"/>
    <col min="5147" max="5147" width="0" style="2" hidden="1" customWidth="1"/>
    <col min="5148" max="5148" width="18" style="2" customWidth="1"/>
    <col min="5149" max="5149" width="13.140625" style="2" customWidth="1"/>
    <col min="5150" max="5151" width="14" style="2" customWidth="1"/>
    <col min="5152" max="5152" width="11.42578125" style="2" customWidth="1"/>
    <col min="5153" max="5153" width="15.85546875" style="2" customWidth="1"/>
    <col min="5154" max="5154" width="23.7109375" style="2" customWidth="1"/>
    <col min="5155" max="5155" width="12" style="2" customWidth="1"/>
    <col min="5156" max="5157" width="0.28515625" style="2" customWidth="1"/>
    <col min="5158" max="5158" width="1.42578125" style="2" customWidth="1"/>
    <col min="5159" max="5159" width="0" style="2" hidden="1" customWidth="1"/>
    <col min="5160" max="5376" width="11.42578125" style="2"/>
    <col min="5377" max="5377" width="10.28515625" style="2" customWidth="1"/>
    <col min="5378" max="5378" width="13.42578125" style="2" customWidth="1"/>
    <col min="5379" max="5379" width="4.28515625" style="2" customWidth="1"/>
    <col min="5380" max="5380" width="4" style="2" customWidth="1"/>
    <col min="5381" max="5381" width="15" style="2" customWidth="1"/>
    <col min="5382" max="5382" width="4.140625" style="2" customWidth="1"/>
    <col min="5383" max="5383" width="11.28515625" style="2" customWidth="1"/>
    <col min="5384" max="5384" width="16.140625" style="2" customWidth="1"/>
    <col min="5385" max="5385" width="11" style="2" customWidth="1"/>
    <col min="5386" max="5387" width="2.140625" style="2" customWidth="1"/>
    <col min="5388" max="5388" width="3.28515625" style="2" customWidth="1"/>
    <col min="5389" max="5390" width="0" style="2" hidden="1" customWidth="1"/>
    <col min="5391" max="5391" width="2.85546875" style="2" customWidth="1"/>
    <col min="5392" max="5392" width="3.28515625" style="2" customWidth="1"/>
    <col min="5393" max="5393" width="1.42578125" style="2" customWidth="1"/>
    <col min="5394" max="5394" width="0" style="2" hidden="1" customWidth="1"/>
    <col min="5395" max="5395" width="6.85546875" style="2" customWidth="1"/>
    <col min="5396" max="5396" width="0" style="2" hidden="1" customWidth="1"/>
    <col min="5397" max="5398" width="6.28515625" style="2" customWidth="1"/>
    <col min="5399" max="5399" width="17.28515625" style="2" customWidth="1"/>
    <col min="5400" max="5400" width="24.42578125" style="2" customWidth="1"/>
    <col min="5401" max="5401" width="10.85546875" style="2" customWidth="1"/>
    <col min="5402" max="5402" width="14.140625" style="2" customWidth="1"/>
    <col min="5403" max="5403" width="0" style="2" hidden="1" customWidth="1"/>
    <col min="5404" max="5404" width="18" style="2" customWidth="1"/>
    <col min="5405" max="5405" width="13.140625" style="2" customWidth="1"/>
    <col min="5406" max="5407" width="14" style="2" customWidth="1"/>
    <col min="5408" max="5408" width="11.42578125" style="2" customWidth="1"/>
    <col min="5409" max="5409" width="15.85546875" style="2" customWidth="1"/>
    <col min="5410" max="5410" width="23.7109375" style="2" customWidth="1"/>
    <col min="5411" max="5411" width="12" style="2" customWidth="1"/>
    <col min="5412" max="5413" width="0.28515625" style="2" customWidth="1"/>
    <col min="5414" max="5414" width="1.42578125" style="2" customWidth="1"/>
    <col min="5415" max="5415" width="0" style="2" hidden="1" customWidth="1"/>
    <col min="5416" max="5632" width="11.42578125" style="2"/>
    <col min="5633" max="5633" width="10.28515625" style="2" customWidth="1"/>
    <col min="5634" max="5634" width="13.42578125" style="2" customWidth="1"/>
    <col min="5635" max="5635" width="4.28515625" style="2" customWidth="1"/>
    <col min="5636" max="5636" width="4" style="2" customWidth="1"/>
    <col min="5637" max="5637" width="15" style="2" customWidth="1"/>
    <col min="5638" max="5638" width="4.140625" style="2" customWidth="1"/>
    <col min="5639" max="5639" width="11.28515625" style="2" customWidth="1"/>
    <col min="5640" max="5640" width="16.140625" style="2" customWidth="1"/>
    <col min="5641" max="5641" width="11" style="2" customWidth="1"/>
    <col min="5642" max="5643" width="2.140625" style="2" customWidth="1"/>
    <col min="5644" max="5644" width="3.28515625" style="2" customWidth="1"/>
    <col min="5645" max="5646" width="0" style="2" hidden="1" customWidth="1"/>
    <col min="5647" max="5647" width="2.85546875" style="2" customWidth="1"/>
    <col min="5648" max="5648" width="3.28515625" style="2" customWidth="1"/>
    <col min="5649" max="5649" width="1.42578125" style="2" customWidth="1"/>
    <col min="5650" max="5650" width="0" style="2" hidden="1" customWidth="1"/>
    <col min="5651" max="5651" width="6.85546875" style="2" customWidth="1"/>
    <col min="5652" max="5652" width="0" style="2" hidden="1" customWidth="1"/>
    <col min="5653" max="5654" width="6.28515625" style="2" customWidth="1"/>
    <col min="5655" max="5655" width="17.28515625" style="2" customWidth="1"/>
    <col min="5656" max="5656" width="24.42578125" style="2" customWidth="1"/>
    <col min="5657" max="5657" width="10.85546875" style="2" customWidth="1"/>
    <col min="5658" max="5658" width="14.140625" style="2" customWidth="1"/>
    <col min="5659" max="5659" width="0" style="2" hidden="1" customWidth="1"/>
    <col min="5660" max="5660" width="18" style="2" customWidth="1"/>
    <col min="5661" max="5661" width="13.140625" style="2" customWidth="1"/>
    <col min="5662" max="5663" width="14" style="2" customWidth="1"/>
    <col min="5664" max="5664" width="11.42578125" style="2" customWidth="1"/>
    <col min="5665" max="5665" width="15.85546875" style="2" customWidth="1"/>
    <col min="5666" max="5666" width="23.7109375" style="2" customWidth="1"/>
    <col min="5667" max="5667" width="12" style="2" customWidth="1"/>
    <col min="5668" max="5669" width="0.28515625" style="2" customWidth="1"/>
    <col min="5670" max="5670" width="1.42578125" style="2" customWidth="1"/>
    <col min="5671" max="5671" width="0" style="2" hidden="1" customWidth="1"/>
    <col min="5672" max="5888" width="11.42578125" style="2"/>
    <col min="5889" max="5889" width="10.28515625" style="2" customWidth="1"/>
    <col min="5890" max="5890" width="13.42578125" style="2" customWidth="1"/>
    <col min="5891" max="5891" width="4.28515625" style="2" customWidth="1"/>
    <col min="5892" max="5892" width="4" style="2" customWidth="1"/>
    <col min="5893" max="5893" width="15" style="2" customWidth="1"/>
    <col min="5894" max="5894" width="4.140625" style="2" customWidth="1"/>
    <col min="5895" max="5895" width="11.28515625" style="2" customWidth="1"/>
    <col min="5896" max="5896" width="16.140625" style="2" customWidth="1"/>
    <col min="5897" max="5897" width="11" style="2" customWidth="1"/>
    <col min="5898" max="5899" width="2.140625" style="2" customWidth="1"/>
    <col min="5900" max="5900" width="3.28515625" style="2" customWidth="1"/>
    <col min="5901" max="5902" width="0" style="2" hidden="1" customWidth="1"/>
    <col min="5903" max="5903" width="2.85546875" style="2" customWidth="1"/>
    <col min="5904" max="5904" width="3.28515625" style="2" customWidth="1"/>
    <col min="5905" max="5905" width="1.42578125" style="2" customWidth="1"/>
    <col min="5906" max="5906" width="0" style="2" hidden="1" customWidth="1"/>
    <col min="5907" max="5907" width="6.85546875" style="2" customWidth="1"/>
    <col min="5908" max="5908" width="0" style="2" hidden="1" customWidth="1"/>
    <col min="5909" max="5910" width="6.28515625" style="2" customWidth="1"/>
    <col min="5911" max="5911" width="17.28515625" style="2" customWidth="1"/>
    <col min="5912" max="5912" width="24.42578125" style="2" customWidth="1"/>
    <col min="5913" max="5913" width="10.85546875" style="2" customWidth="1"/>
    <col min="5914" max="5914" width="14.140625" style="2" customWidth="1"/>
    <col min="5915" max="5915" width="0" style="2" hidden="1" customWidth="1"/>
    <col min="5916" max="5916" width="18" style="2" customWidth="1"/>
    <col min="5917" max="5917" width="13.140625" style="2" customWidth="1"/>
    <col min="5918" max="5919" width="14" style="2" customWidth="1"/>
    <col min="5920" max="5920" width="11.42578125" style="2" customWidth="1"/>
    <col min="5921" max="5921" width="15.85546875" style="2" customWidth="1"/>
    <col min="5922" max="5922" width="23.7109375" style="2" customWidth="1"/>
    <col min="5923" max="5923" width="12" style="2" customWidth="1"/>
    <col min="5924" max="5925" width="0.28515625" style="2" customWidth="1"/>
    <col min="5926" max="5926" width="1.42578125" style="2" customWidth="1"/>
    <col min="5927" max="5927" width="0" style="2" hidden="1" customWidth="1"/>
    <col min="5928" max="6144" width="11.42578125" style="2"/>
    <col min="6145" max="6145" width="10.28515625" style="2" customWidth="1"/>
    <col min="6146" max="6146" width="13.42578125" style="2" customWidth="1"/>
    <col min="6147" max="6147" width="4.28515625" style="2" customWidth="1"/>
    <col min="6148" max="6148" width="4" style="2" customWidth="1"/>
    <col min="6149" max="6149" width="15" style="2" customWidth="1"/>
    <col min="6150" max="6150" width="4.140625" style="2" customWidth="1"/>
    <col min="6151" max="6151" width="11.28515625" style="2" customWidth="1"/>
    <col min="6152" max="6152" width="16.140625" style="2" customWidth="1"/>
    <col min="6153" max="6153" width="11" style="2" customWidth="1"/>
    <col min="6154" max="6155" width="2.140625" style="2" customWidth="1"/>
    <col min="6156" max="6156" width="3.28515625" style="2" customWidth="1"/>
    <col min="6157" max="6158" width="0" style="2" hidden="1" customWidth="1"/>
    <col min="6159" max="6159" width="2.85546875" style="2" customWidth="1"/>
    <col min="6160" max="6160" width="3.28515625" style="2" customWidth="1"/>
    <col min="6161" max="6161" width="1.42578125" style="2" customWidth="1"/>
    <col min="6162" max="6162" width="0" style="2" hidden="1" customWidth="1"/>
    <col min="6163" max="6163" width="6.85546875" style="2" customWidth="1"/>
    <col min="6164" max="6164" width="0" style="2" hidden="1" customWidth="1"/>
    <col min="6165" max="6166" width="6.28515625" style="2" customWidth="1"/>
    <col min="6167" max="6167" width="17.28515625" style="2" customWidth="1"/>
    <col min="6168" max="6168" width="24.42578125" style="2" customWidth="1"/>
    <col min="6169" max="6169" width="10.85546875" style="2" customWidth="1"/>
    <col min="6170" max="6170" width="14.140625" style="2" customWidth="1"/>
    <col min="6171" max="6171" width="0" style="2" hidden="1" customWidth="1"/>
    <col min="6172" max="6172" width="18" style="2" customWidth="1"/>
    <col min="6173" max="6173" width="13.140625" style="2" customWidth="1"/>
    <col min="6174" max="6175" width="14" style="2" customWidth="1"/>
    <col min="6176" max="6176" width="11.42578125" style="2" customWidth="1"/>
    <col min="6177" max="6177" width="15.85546875" style="2" customWidth="1"/>
    <col min="6178" max="6178" width="23.7109375" style="2" customWidth="1"/>
    <col min="6179" max="6179" width="12" style="2" customWidth="1"/>
    <col min="6180" max="6181" width="0.28515625" style="2" customWidth="1"/>
    <col min="6182" max="6182" width="1.42578125" style="2" customWidth="1"/>
    <col min="6183" max="6183" width="0" style="2" hidden="1" customWidth="1"/>
    <col min="6184" max="6400" width="11.42578125" style="2"/>
    <col min="6401" max="6401" width="10.28515625" style="2" customWidth="1"/>
    <col min="6402" max="6402" width="13.42578125" style="2" customWidth="1"/>
    <col min="6403" max="6403" width="4.28515625" style="2" customWidth="1"/>
    <col min="6404" max="6404" width="4" style="2" customWidth="1"/>
    <col min="6405" max="6405" width="15" style="2" customWidth="1"/>
    <col min="6406" max="6406" width="4.140625" style="2" customWidth="1"/>
    <col min="6407" max="6407" width="11.28515625" style="2" customWidth="1"/>
    <col min="6408" max="6408" width="16.140625" style="2" customWidth="1"/>
    <col min="6409" max="6409" width="11" style="2" customWidth="1"/>
    <col min="6410" max="6411" width="2.140625" style="2" customWidth="1"/>
    <col min="6412" max="6412" width="3.28515625" style="2" customWidth="1"/>
    <col min="6413" max="6414" width="0" style="2" hidden="1" customWidth="1"/>
    <col min="6415" max="6415" width="2.85546875" style="2" customWidth="1"/>
    <col min="6416" max="6416" width="3.28515625" style="2" customWidth="1"/>
    <col min="6417" max="6417" width="1.42578125" style="2" customWidth="1"/>
    <col min="6418" max="6418" width="0" style="2" hidden="1" customWidth="1"/>
    <col min="6419" max="6419" width="6.85546875" style="2" customWidth="1"/>
    <col min="6420" max="6420" width="0" style="2" hidden="1" customWidth="1"/>
    <col min="6421" max="6422" width="6.28515625" style="2" customWidth="1"/>
    <col min="6423" max="6423" width="17.28515625" style="2" customWidth="1"/>
    <col min="6424" max="6424" width="24.42578125" style="2" customWidth="1"/>
    <col min="6425" max="6425" width="10.85546875" style="2" customWidth="1"/>
    <col min="6426" max="6426" width="14.140625" style="2" customWidth="1"/>
    <col min="6427" max="6427" width="0" style="2" hidden="1" customWidth="1"/>
    <col min="6428" max="6428" width="18" style="2" customWidth="1"/>
    <col min="6429" max="6429" width="13.140625" style="2" customWidth="1"/>
    <col min="6430" max="6431" width="14" style="2" customWidth="1"/>
    <col min="6432" max="6432" width="11.42578125" style="2" customWidth="1"/>
    <col min="6433" max="6433" width="15.85546875" style="2" customWidth="1"/>
    <col min="6434" max="6434" width="23.7109375" style="2" customWidth="1"/>
    <col min="6435" max="6435" width="12" style="2" customWidth="1"/>
    <col min="6436" max="6437" width="0.28515625" style="2" customWidth="1"/>
    <col min="6438" max="6438" width="1.42578125" style="2" customWidth="1"/>
    <col min="6439" max="6439" width="0" style="2" hidden="1" customWidth="1"/>
    <col min="6440" max="6656" width="11.42578125" style="2"/>
    <col min="6657" max="6657" width="10.28515625" style="2" customWidth="1"/>
    <col min="6658" max="6658" width="13.42578125" style="2" customWidth="1"/>
    <col min="6659" max="6659" width="4.28515625" style="2" customWidth="1"/>
    <col min="6660" max="6660" width="4" style="2" customWidth="1"/>
    <col min="6661" max="6661" width="15" style="2" customWidth="1"/>
    <col min="6662" max="6662" width="4.140625" style="2" customWidth="1"/>
    <col min="6663" max="6663" width="11.28515625" style="2" customWidth="1"/>
    <col min="6664" max="6664" width="16.140625" style="2" customWidth="1"/>
    <col min="6665" max="6665" width="11" style="2" customWidth="1"/>
    <col min="6666" max="6667" width="2.140625" style="2" customWidth="1"/>
    <col min="6668" max="6668" width="3.28515625" style="2" customWidth="1"/>
    <col min="6669" max="6670" width="0" style="2" hidden="1" customWidth="1"/>
    <col min="6671" max="6671" width="2.85546875" style="2" customWidth="1"/>
    <col min="6672" max="6672" width="3.28515625" style="2" customWidth="1"/>
    <col min="6673" max="6673" width="1.42578125" style="2" customWidth="1"/>
    <col min="6674" max="6674" width="0" style="2" hidden="1" customWidth="1"/>
    <col min="6675" max="6675" width="6.85546875" style="2" customWidth="1"/>
    <col min="6676" max="6676" width="0" style="2" hidden="1" customWidth="1"/>
    <col min="6677" max="6678" width="6.28515625" style="2" customWidth="1"/>
    <col min="6679" max="6679" width="17.28515625" style="2" customWidth="1"/>
    <col min="6680" max="6680" width="24.42578125" style="2" customWidth="1"/>
    <col min="6681" max="6681" width="10.85546875" style="2" customWidth="1"/>
    <col min="6682" max="6682" width="14.140625" style="2" customWidth="1"/>
    <col min="6683" max="6683" width="0" style="2" hidden="1" customWidth="1"/>
    <col min="6684" max="6684" width="18" style="2" customWidth="1"/>
    <col min="6685" max="6685" width="13.140625" style="2" customWidth="1"/>
    <col min="6686" max="6687" width="14" style="2" customWidth="1"/>
    <col min="6688" max="6688" width="11.42578125" style="2" customWidth="1"/>
    <col min="6689" max="6689" width="15.85546875" style="2" customWidth="1"/>
    <col min="6690" max="6690" width="23.7109375" style="2" customWidth="1"/>
    <col min="6691" max="6691" width="12" style="2" customWidth="1"/>
    <col min="6692" max="6693" width="0.28515625" style="2" customWidth="1"/>
    <col min="6694" max="6694" width="1.42578125" style="2" customWidth="1"/>
    <col min="6695" max="6695" width="0" style="2" hidden="1" customWidth="1"/>
    <col min="6696" max="6912" width="11.42578125" style="2"/>
    <col min="6913" max="6913" width="10.28515625" style="2" customWidth="1"/>
    <col min="6914" max="6914" width="13.42578125" style="2" customWidth="1"/>
    <col min="6915" max="6915" width="4.28515625" style="2" customWidth="1"/>
    <col min="6916" max="6916" width="4" style="2" customWidth="1"/>
    <col min="6917" max="6917" width="15" style="2" customWidth="1"/>
    <col min="6918" max="6918" width="4.140625" style="2" customWidth="1"/>
    <col min="6919" max="6919" width="11.28515625" style="2" customWidth="1"/>
    <col min="6920" max="6920" width="16.140625" style="2" customWidth="1"/>
    <col min="6921" max="6921" width="11" style="2" customWidth="1"/>
    <col min="6922" max="6923" width="2.140625" style="2" customWidth="1"/>
    <col min="6924" max="6924" width="3.28515625" style="2" customWidth="1"/>
    <col min="6925" max="6926" width="0" style="2" hidden="1" customWidth="1"/>
    <col min="6927" max="6927" width="2.85546875" style="2" customWidth="1"/>
    <col min="6928" max="6928" width="3.28515625" style="2" customWidth="1"/>
    <col min="6929" max="6929" width="1.42578125" style="2" customWidth="1"/>
    <col min="6930" max="6930" width="0" style="2" hidden="1" customWidth="1"/>
    <col min="6931" max="6931" width="6.85546875" style="2" customWidth="1"/>
    <col min="6932" max="6932" width="0" style="2" hidden="1" customWidth="1"/>
    <col min="6933" max="6934" width="6.28515625" style="2" customWidth="1"/>
    <col min="6935" max="6935" width="17.28515625" style="2" customWidth="1"/>
    <col min="6936" max="6936" width="24.42578125" style="2" customWidth="1"/>
    <col min="6937" max="6937" width="10.85546875" style="2" customWidth="1"/>
    <col min="6938" max="6938" width="14.140625" style="2" customWidth="1"/>
    <col min="6939" max="6939" width="0" style="2" hidden="1" customWidth="1"/>
    <col min="6940" max="6940" width="18" style="2" customWidth="1"/>
    <col min="6941" max="6941" width="13.140625" style="2" customWidth="1"/>
    <col min="6942" max="6943" width="14" style="2" customWidth="1"/>
    <col min="6944" max="6944" width="11.42578125" style="2" customWidth="1"/>
    <col min="6945" max="6945" width="15.85546875" style="2" customWidth="1"/>
    <col min="6946" max="6946" width="23.7109375" style="2" customWidth="1"/>
    <col min="6947" max="6947" width="12" style="2" customWidth="1"/>
    <col min="6948" max="6949" width="0.28515625" style="2" customWidth="1"/>
    <col min="6950" max="6950" width="1.42578125" style="2" customWidth="1"/>
    <col min="6951" max="6951" width="0" style="2" hidden="1" customWidth="1"/>
    <col min="6952" max="7168" width="11.42578125" style="2"/>
    <col min="7169" max="7169" width="10.28515625" style="2" customWidth="1"/>
    <col min="7170" max="7170" width="13.42578125" style="2" customWidth="1"/>
    <col min="7171" max="7171" width="4.28515625" style="2" customWidth="1"/>
    <col min="7172" max="7172" width="4" style="2" customWidth="1"/>
    <col min="7173" max="7173" width="15" style="2" customWidth="1"/>
    <col min="7174" max="7174" width="4.140625" style="2" customWidth="1"/>
    <col min="7175" max="7175" width="11.28515625" style="2" customWidth="1"/>
    <col min="7176" max="7176" width="16.140625" style="2" customWidth="1"/>
    <col min="7177" max="7177" width="11" style="2" customWidth="1"/>
    <col min="7178" max="7179" width="2.140625" style="2" customWidth="1"/>
    <col min="7180" max="7180" width="3.28515625" style="2" customWidth="1"/>
    <col min="7181" max="7182" width="0" style="2" hidden="1" customWidth="1"/>
    <col min="7183" max="7183" width="2.85546875" style="2" customWidth="1"/>
    <col min="7184" max="7184" width="3.28515625" style="2" customWidth="1"/>
    <col min="7185" max="7185" width="1.42578125" style="2" customWidth="1"/>
    <col min="7186" max="7186" width="0" style="2" hidden="1" customWidth="1"/>
    <col min="7187" max="7187" width="6.85546875" style="2" customWidth="1"/>
    <col min="7188" max="7188" width="0" style="2" hidden="1" customWidth="1"/>
    <col min="7189" max="7190" width="6.28515625" style="2" customWidth="1"/>
    <col min="7191" max="7191" width="17.28515625" style="2" customWidth="1"/>
    <col min="7192" max="7192" width="24.42578125" style="2" customWidth="1"/>
    <col min="7193" max="7193" width="10.85546875" style="2" customWidth="1"/>
    <col min="7194" max="7194" width="14.140625" style="2" customWidth="1"/>
    <col min="7195" max="7195" width="0" style="2" hidden="1" customWidth="1"/>
    <col min="7196" max="7196" width="18" style="2" customWidth="1"/>
    <col min="7197" max="7197" width="13.140625" style="2" customWidth="1"/>
    <col min="7198" max="7199" width="14" style="2" customWidth="1"/>
    <col min="7200" max="7200" width="11.42578125" style="2" customWidth="1"/>
    <col min="7201" max="7201" width="15.85546875" style="2" customWidth="1"/>
    <col min="7202" max="7202" width="23.7109375" style="2" customWidth="1"/>
    <col min="7203" max="7203" width="12" style="2" customWidth="1"/>
    <col min="7204" max="7205" width="0.28515625" style="2" customWidth="1"/>
    <col min="7206" max="7206" width="1.42578125" style="2" customWidth="1"/>
    <col min="7207" max="7207" width="0" style="2" hidden="1" customWidth="1"/>
    <col min="7208" max="7424" width="11.42578125" style="2"/>
    <col min="7425" max="7425" width="10.28515625" style="2" customWidth="1"/>
    <col min="7426" max="7426" width="13.42578125" style="2" customWidth="1"/>
    <col min="7427" max="7427" width="4.28515625" style="2" customWidth="1"/>
    <col min="7428" max="7428" width="4" style="2" customWidth="1"/>
    <col min="7429" max="7429" width="15" style="2" customWidth="1"/>
    <col min="7430" max="7430" width="4.140625" style="2" customWidth="1"/>
    <col min="7431" max="7431" width="11.28515625" style="2" customWidth="1"/>
    <col min="7432" max="7432" width="16.140625" style="2" customWidth="1"/>
    <col min="7433" max="7433" width="11" style="2" customWidth="1"/>
    <col min="7434" max="7435" width="2.140625" style="2" customWidth="1"/>
    <col min="7436" max="7436" width="3.28515625" style="2" customWidth="1"/>
    <col min="7437" max="7438" width="0" style="2" hidden="1" customWidth="1"/>
    <col min="7439" max="7439" width="2.85546875" style="2" customWidth="1"/>
    <col min="7440" max="7440" width="3.28515625" style="2" customWidth="1"/>
    <col min="7441" max="7441" width="1.42578125" style="2" customWidth="1"/>
    <col min="7442" max="7442" width="0" style="2" hidden="1" customWidth="1"/>
    <col min="7443" max="7443" width="6.85546875" style="2" customWidth="1"/>
    <col min="7444" max="7444" width="0" style="2" hidden="1" customWidth="1"/>
    <col min="7445" max="7446" width="6.28515625" style="2" customWidth="1"/>
    <col min="7447" max="7447" width="17.28515625" style="2" customWidth="1"/>
    <col min="7448" max="7448" width="24.42578125" style="2" customWidth="1"/>
    <col min="7449" max="7449" width="10.85546875" style="2" customWidth="1"/>
    <col min="7450" max="7450" width="14.140625" style="2" customWidth="1"/>
    <col min="7451" max="7451" width="0" style="2" hidden="1" customWidth="1"/>
    <col min="7452" max="7452" width="18" style="2" customWidth="1"/>
    <col min="7453" max="7453" width="13.140625" style="2" customWidth="1"/>
    <col min="7454" max="7455" width="14" style="2" customWidth="1"/>
    <col min="7456" max="7456" width="11.42578125" style="2" customWidth="1"/>
    <col min="7457" max="7457" width="15.85546875" style="2" customWidth="1"/>
    <col min="7458" max="7458" width="23.7109375" style="2" customWidth="1"/>
    <col min="7459" max="7459" width="12" style="2" customWidth="1"/>
    <col min="7460" max="7461" width="0.28515625" style="2" customWidth="1"/>
    <col min="7462" max="7462" width="1.42578125" style="2" customWidth="1"/>
    <col min="7463" max="7463" width="0" style="2" hidden="1" customWidth="1"/>
    <col min="7464" max="7680" width="11.42578125" style="2"/>
    <col min="7681" max="7681" width="10.28515625" style="2" customWidth="1"/>
    <col min="7682" max="7682" width="13.42578125" style="2" customWidth="1"/>
    <col min="7683" max="7683" width="4.28515625" style="2" customWidth="1"/>
    <col min="7684" max="7684" width="4" style="2" customWidth="1"/>
    <col min="7685" max="7685" width="15" style="2" customWidth="1"/>
    <col min="7686" max="7686" width="4.140625" style="2" customWidth="1"/>
    <col min="7687" max="7687" width="11.28515625" style="2" customWidth="1"/>
    <col min="7688" max="7688" width="16.140625" style="2" customWidth="1"/>
    <col min="7689" max="7689" width="11" style="2" customWidth="1"/>
    <col min="7690" max="7691" width="2.140625" style="2" customWidth="1"/>
    <col min="7692" max="7692" width="3.28515625" style="2" customWidth="1"/>
    <col min="7693" max="7694" width="0" style="2" hidden="1" customWidth="1"/>
    <col min="7695" max="7695" width="2.85546875" style="2" customWidth="1"/>
    <col min="7696" max="7696" width="3.28515625" style="2" customWidth="1"/>
    <col min="7697" max="7697" width="1.42578125" style="2" customWidth="1"/>
    <col min="7698" max="7698" width="0" style="2" hidden="1" customWidth="1"/>
    <col min="7699" max="7699" width="6.85546875" style="2" customWidth="1"/>
    <col min="7700" max="7700" width="0" style="2" hidden="1" customWidth="1"/>
    <col min="7701" max="7702" width="6.28515625" style="2" customWidth="1"/>
    <col min="7703" max="7703" width="17.28515625" style="2" customWidth="1"/>
    <col min="7704" max="7704" width="24.42578125" style="2" customWidth="1"/>
    <col min="7705" max="7705" width="10.85546875" style="2" customWidth="1"/>
    <col min="7706" max="7706" width="14.140625" style="2" customWidth="1"/>
    <col min="7707" max="7707" width="0" style="2" hidden="1" customWidth="1"/>
    <col min="7708" max="7708" width="18" style="2" customWidth="1"/>
    <col min="7709" max="7709" width="13.140625" style="2" customWidth="1"/>
    <col min="7710" max="7711" width="14" style="2" customWidth="1"/>
    <col min="7712" max="7712" width="11.42578125" style="2" customWidth="1"/>
    <col min="7713" max="7713" width="15.85546875" style="2" customWidth="1"/>
    <col min="7714" max="7714" width="23.7109375" style="2" customWidth="1"/>
    <col min="7715" max="7715" width="12" style="2" customWidth="1"/>
    <col min="7716" max="7717" width="0.28515625" style="2" customWidth="1"/>
    <col min="7718" max="7718" width="1.42578125" style="2" customWidth="1"/>
    <col min="7719" max="7719" width="0" style="2" hidden="1" customWidth="1"/>
    <col min="7720" max="7936" width="11.42578125" style="2"/>
    <col min="7937" max="7937" width="10.28515625" style="2" customWidth="1"/>
    <col min="7938" max="7938" width="13.42578125" style="2" customWidth="1"/>
    <col min="7939" max="7939" width="4.28515625" style="2" customWidth="1"/>
    <col min="7940" max="7940" width="4" style="2" customWidth="1"/>
    <col min="7941" max="7941" width="15" style="2" customWidth="1"/>
    <col min="7942" max="7942" width="4.140625" style="2" customWidth="1"/>
    <col min="7943" max="7943" width="11.28515625" style="2" customWidth="1"/>
    <col min="7944" max="7944" width="16.140625" style="2" customWidth="1"/>
    <col min="7945" max="7945" width="11" style="2" customWidth="1"/>
    <col min="7946" max="7947" width="2.140625" style="2" customWidth="1"/>
    <col min="7948" max="7948" width="3.28515625" style="2" customWidth="1"/>
    <col min="7949" max="7950" width="0" style="2" hidden="1" customWidth="1"/>
    <col min="7951" max="7951" width="2.85546875" style="2" customWidth="1"/>
    <col min="7952" max="7952" width="3.28515625" style="2" customWidth="1"/>
    <col min="7953" max="7953" width="1.42578125" style="2" customWidth="1"/>
    <col min="7954" max="7954" width="0" style="2" hidden="1" customWidth="1"/>
    <col min="7955" max="7955" width="6.85546875" style="2" customWidth="1"/>
    <col min="7956" max="7956" width="0" style="2" hidden="1" customWidth="1"/>
    <col min="7957" max="7958" width="6.28515625" style="2" customWidth="1"/>
    <col min="7959" max="7959" width="17.28515625" style="2" customWidth="1"/>
    <col min="7960" max="7960" width="24.42578125" style="2" customWidth="1"/>
    <col min="7961" max="7961" width="10.85546875" style="2" customWidth="1"/>
    <col min="7962" max="7962" width="14.140625" style="2" customWidth="1"/>
    <col min="7963" max="7963" width="0" style="2" hidden="1" customWidth="1"/>
    <col min="7964" max="7964" width="18" style="2" customWidth="1"/>
    <col min="7965" max="7965" width="13.140625" style="2" customWidth="1"/>
    <col min="7966" max="7967" width="14" style="2" customWidth="1"/>
    <col min="7968" max="7968" width="11.42578125" style="2" customWidth="1"/>
    <col min="7969" max="7969" width="15.85546875" style="2" customWidth="1"/>
    <col min="7970" max="7970" width="23.7109375" style="2" customWidth="1"/>
    <col min="7971" max="7971" width="12" style="2" customWidth="1"/>
    <col min="7972" max="7973" width="0.28515625" style="2" customWidth="1"/>
    <col min="7974" max="7974" width="1.42578125" style="2" customWidth="1"/>
    <col min="7975" max="7975" width="0" style="2" hidden="1" customWidth="1"/>
    <col min="7976" max="8192" width="11.42578125" style="2"/>
    <col min="8193" max="8193" width="10.28515625" style="2" customWidth="1"/>
    <col min="8194" max="8194" width="13.42578125" style="2" customWidth="1"/>
    <col min="8195" max="8195" width="4.28515625" style="2" customWidth="1"/>
    <col min="8196" max="8196" width="4" style="2" customWidth="1"/>
    <col min="8197" max="8197" width="15" style="2" customWidth="1"/>
    <col min="8198" max="8198" width="4.140625" style="2" customWidth="1"/>
    <col min="8199" max="8199" width="11.28515625" style="2" customWidth="1"/>
    <col min="8200" max="8200" width="16.140625" style="2" customWidth="1"/>
    <col min="8201" max="8201" width="11" style="2" customWidth="1"/>
    <col min="8202" max="8203" width="2.140625" style="2" customWidth="1"/>
    <col min="8204" max="8204" width="3.28515625" style="2" customWidth="1"/>
    <col min="8205" max="8206" width="0" style="2" hidden="1" customWidth="1"/>
    <col min="8207" max="8207" width="2.85546875" style="2" customWidth="1"/>
    <col min="8208" max="8208" width="3.28515625" style="2" customWidth="1"/>
    <col min="8209" max="8209" width="1.42578125" style="2" customWidth="1"/>
    <col min="8210" max="8210" width="0" style="2" hidden="1" customWidth="1"/>
    <col min="8211" max="8211" width="6.85546875" style="2" customWidth="1"/>
    <col min="8212" max="8212" width="0" style="2" hidden="1" customWidth="1"/>
    <col min="8213" max="8214" width="6.28515625" style="2" customWidth="1"/>
    <col min="8215" max="8215" width="17.28515625" style="2" customWidth="1"/>
    <col min="8216" max="8216" width="24.42578125" style="2" customWidth="1"/>
    <col min="8217" max="8217" width="10.85546875" style="2" customWidth="1"/>
    <col min="8218" max="8218" width="14.140625" style="2" customWidth="1"/>
    <col min="8219" max="8219" width="0" style="2" hidden="1" customWidth="1"/>
    <col min="8220" max="8220" width="18" style="2" customWidth="1"/>
    <col min="8221" max="8221" width="13.140625" style="2" customWidth="1"/>
    <col min="8222" max="8223" width="14" style="2" customWidth="1"/>
    <col min="8224" max="8224" width="11.42578125" style="2" customWidth="1"/>
    <col min="8225" max="8225" width="15.85546875" style="2" customWidth="1"/>
    <col min="8226" max="8226" width="23.7109375" style="2" customWidth="1"/>
    <col min="8227" max="8227" width="12" style="2" customWidth="1"/>
    <col min="8228" max="8229" width="0.28515625" style="2" customWidth="1"/>
    <col min="8230" max="8230" width="1.42578125" style="2" customWidth="1"/>
    <col min="8231" max="8231" width="0" style="2" hidden="1" customWidth="1"/>
    <col min="8232" max="8448" width="11.42578125" style="2"/>
    <col min="8449" max="8449" width="10.28515625" style="2" customWidth="1"/>
    <col min="8450" max="8450" width="13.42578125" style="2" customWidth="1"/>
    <col min="8451" max="8451" width="4.28515625" style="2" customWidth="1"/>
    <col min="8452" max="8452" width="4" style="2" customWidth="1"/>
    <col min="8453" max="8453" width="15" style="2" customWidth="1"/>
    <col min="8454" max="8454" width="4.140625" style="2" customWidth="1"/>
    <col min="8455" max="8455" width="11.28515625" style="2" customWidth="1"/>
    <col min="8456" max="8456" width="16.140625" style="2" customWidth="1"/>
    <col min="8457" max="8457" width="11" style="2" customWidth="1"/>
    <col min="8458" max="8459" width="2.140625" style="2" customWidth="1"/>
    <col min="8460" max="8460" width="3.28515625" style="2" customWidth="1"/>
    <col min="8461" max="8462" width="0" style="2" hidden="1" customWidth="1"/>
    <col min="8463" max="8463" width="2.85546875" style="2" customWidth="1"/>
    <col min="8464" max="8464" width="3.28515625" style="2" customWidth="1"/>
    <col min="8465" max="8465" width="1.42578125" style="2" customWidth="1"/>
    <col min="8466" max="8466" width="0" style="2" hidden="1" customWidth="1"/>
    <col min="8467" max="8467" width="6.85546875" style="2" customWidth="1"/>
    <col min="8468" max="8468" width="0" style="2" hidden="1" customWidth="1"/>
    <col min="8469" max="8470" width="6.28515625" style="2" customWidth="1"/>
    <col min="8471" max="8471" width="17.28515625" style="2" customWidth="1"/>
    <col min="8472" max="8472" width="24.42578125" style="2" customWidth="1"/>
    <col min="8473" max="8473" width="10.85546875" style="2" customWidth="1"/>
    <col min="8474" max="8474" width="14.140625" style="2" customWidth="1"/>
    <col min="8475" max="8475" width="0" style="2" hidden="1" customWidth="1"/>
    <col min="8476" max="8476" width="18" style="2" customWidth="1"/>
    <col min="8477" max="8477" width="13.140625" style="2" customWidth="1"/>
    <col min="8478" max="8479" width="14" style="2" customWidth="1"/>
    <col min="8480" max="8480" width="11.42578125" style="2" customWidth="1"/>
    <col min="8481" max="8481" width="15.85546875" style="2" customWidth="1"/>
    <col min="8482" max="8482" width="23.7109375" style="2" customWidth="1"/>
    <col min="8483" max="8483" width="12" style="2" customWidth="1"/>
    <col min="8484" max="8485" width="0.28515625" style="2" customWidth="1"/>
    <col min="8486" max="8486" width="1.42578125" style="2" customWidth="1"/>
    <col min="8487" max="8487" width="0" style="2" hidden="1" customWidth="1"/>
    <col min="8488" max="8704" width="11.42578125" style="2"/>
    <col min="8705" max="8705" width="10.28515625" style="2" customWidth="1"/>
    <col min="8706" max="8706" width="13.42578125" style="2" customWidth="1"/>
    <col min="8707" max="8707" width="4.28515625" style="2" customWidth="1"/>
    <col min="8708" max="8708" width="4" style="2" customWidth="1"/>
    <col min="8709" max="8709" width="15" style="2" customWidth="1"/>
    <col min="8710" max="8710" width="4.140625" style="2" customWidth="1"/>
    <col min="8711" max="8711" width="11.28515625" style="2" customWidth="1"/>
    <col min="8712" max="8712" width="16.140625" style="2" customWidth="1"/>
    <col min="8713" max="8713" width="11" style="2" customWidth="1"/>
    <col min="8714" max="8715" width="2.140625" style="2" customWidth="1"/>
    <col min="8716" max="8716" width="3.28515625" style="2" customWidth="1"/>
    <col min="8717" max="8718" width="0" style="2" hidden="1" customWidth="1"/>
    <col min="8719" max="8719" width="2.85546875" style="2" customWidth="1"/>
    <col min="8720" max="8720" width="3.28515625" style="2" customWidth="1"/>
    <col min="8721" max="8721" width="1.42578125" style="2" customWidth="1"/>
    <col min="8722" max="8722" width="0" style="2" hidden="1" customWidth="1"/>
    <col min="8723" max="8723" width="6.85546875" style="2" customWidth="1"/>
    <col min="8724" max="8724" width="0" style="2" hidden="1" customWidth="1"/>
    <col min="8725" max="8726" width="6.28515625" style="2" customWidth="1"/>
    <col min="8727" max="8727" width="17.28515625" style="2" customWidth="1"/>
    <col min="8728" max="8728" width="24.42578125" style="2" customWidth="1"/>
    <col min="8729" max="8729" width="10.85546875" style="2" customWidth="1"/>
    <col min="8730" max="8730" width="14.140625" style="2" customWidth="1"/>
    <col min="8731" max="8731" width="0" style="2" hidden="1" customWidth="1"/>
    <col min="8732" max="8732" width="18" style="2" customWidth="1"/>
    <col min="8733" max="8733" width="13.140625" style="2" customWidth="1"/>
    <col min="8734" max="8735" width="14" style="2" customWidth="1"/>
    <col min="8736" max="8736" width="11.42578125" style="2" customWidth="1"/>
    <col min="8737" max="8737" width="15.85546875" style="2" customWidth="1"/>
    <col min="8738" max="8738" width="23.7109375" style="2" customWidth="1"/>
    <col min="8739" max="8739" width="12" style="2" customWidth="1"/>
    <col min="8740" max="8741" width="0.28515625" style="2" customWidth="1"/>
    <col min="8742" max="8742" width="1.42578125" style="2" customWidth="1"/>
    <col min="8743" max="8743" width="0" style="2" hidden="1" customWidth="1"/>
    <col min="8744" max="8960" width="11.42578125" style="2"/>
    <col min="8961" max="8961" width="10.28515625" style="2" customWidth="1"/>
    <col min="8962" max="8962" width="13.42578125" style="2" customWidth="1"/>
    <col min="8963" max="8963" width="4.28515625" style="2" customWidth="1"/>
    <col min="8964" max="8964" width="4" style="2" customWidth="1"/>
    <col min="8965" max="8965" width="15" style="2" customWidth="1"/>
    <col min="8966" max="8966" width="4.140625" style="2" customWidth="1"/>
    <col min="8967" max="8967" width="11.28515625" style="2" customWidth="1"/>
    <col min="8968" max="8968" width="16.140625" style="2" customWidth="1"/>
    <col min="8969" max="8969" width="11" style="2" customWidth="1"/>
    <col min="8970" max="8971" width="2.140625" style="2" customWidth="1"/>
    <col min="8972" max="8972" width="3.28515625" style="2" customWidth="1"/>
    <col min="8973" max="8974" width="0" style="2" hidden="1" customWidth="1"/>
    <col min="8975" max="8975" width="2.85546875" style="2" customWidth="1"/>
    <col min="8976" max="8976" width="3.28515625" style="2" customWidth="1"/>
    <col min="8977" max="8977" width="1.42578125" style="2" customWidth="1"/>
    <col min="8978" max="8978" width="0" style="2" hidden="1" customWidth="1"/>
    <col min="8979" max="8979" width="6.85546875" style="2" customWidth="1"/>
    <col min="8980" max="8980" width="0" style="2" hidden="1" customWidth="1"/>
    <col min="8981" max="8982" width="6.28515625" style="2" customWidth="1"/>
    <col min="8983" max="8983" width="17.28515625" style="2" customWidth="1"/>
    <col min="8984" max="8984" width="24.42578125" style="2" customWidth="1"/>
    <col min="8985" max="8985" width="10.85546875" style="2" customWidth="1"/>
    <col min="8986" max="8986" width="14.140625" style="2" customWidth="1"/>
    <col min="8987" max="8987" width="0" style="2" hidden="1" customWidth="1"/>
    <col min="8988" max="8988" width="18" style="2" customWidth="1"/>
    <col min="8989" max="8989" width="13.140625" style="2" customWidth="1"/>
    <col min="8990" max="8991" width="14" style="2" customWidth="1"/>
    <col min="8992" max="8992" width="11.42578125" style="2" customWidth="1"/>
    <col min="8993" max="8993" width="15.85546875" style="2" customWidth="1"/>
    <col min="8994" max="8994" width="23.7109375" style="2" customWidth="1"/>
    <col min="8995" max="8995" width="12" style="2" customWidth="1"/>
    <col min="8996" max="8997" width="0.28515625" style="2" customWidth="1"/>
    <col min="8998" max="8998" width="1.42578125" style="2" customWidth="1"/>
    <col min="8999" max="8999" width="0" style="2" hidden="1" customWidth="1"/>
    <col min="9000" max="9216" width="11.42578125" style="2"/>
    <col min="9217" max="9217" width="10.28515625" style="2" customWidth="1"/>
    <col min="9218" max="9218" width="13.42578125" style="2" customWidth="1"/>
    <col min="9219" max="9219" width="4.28515625" style="2" customWidth="1"/>
    <col min="9220" max="9220" width="4" style="2" customWidth="1"/>
    <col min="9221" max="9221" width="15" style="2" customWidth="1"/>
    <col min="9222" max="9222" width="4.140625" style="2" customWidth="1"/>
    <col min="9223" max="9223" width="11.28515625" style="2" customWidth="1"/>
    <col min="9224" max="9224" width="16.140625" style="2" customWidth="1"/>
    <col min="9225" max="9225" width="11" style="2" customWidth="1"/>
    <col min="9226" max="9227" width="2.140625" style="2" customWidth="1"/>
    <col min="9228" max="9228" width="3.28515625" style="2" customWidth="1"/>
    <col min="9229" max="9230" width="0" style="2" hidden="1" customWidth="1"/>
    <col min="9231" max="9231" width="2.85546875" style="2" customWidth="1"/>
    <col min="9232" max="9232" width="3.28515625" style="2" customWidth="1"/>
    <col min="9233" max="9233" width="1.42578125" style="2" customWidth="1"/>
    <col min="9234" max="9234" width="0" style="2" hidden="1" customWidth="1"/>
    <col min="9235" max="9235" width="6.85546875" style="2" customWidth="1"/>
    <col min="9236" max="9236" width="0" style="2" hidden="1" customWidth="1"/>
    <col min="9237" max="9238" width="6.28515625" style="2" customWidth="1"/>
    <col min="9239" max="9239" width="17.28515625" style="2" customWidth="1"/>
    <col min="9240" max="9240" width="24.42578125" style="2" customWidth="1"/>
    <col min="9241" max="9241" width="10.85546875" style="2" customWidth="1"/>
    <col min="9242" max="9242" width="14.140625" style="2" customWidth="1"/>
    <col min="9243" max="9243" width="0" style="2" hidden="1" customWidth="1"/>
    <col min="9244" max="9244" width="18" style="2" customWidth="1"/>
    <col min="9245" max="9245" width="13.140625" style="2" customWidth="1"/>
    <col min="9246" max="9247" width="14" style="2" customWidth="1"/>
    <col min="9248" max="9248" width="11.42578125" style="2" customWidth="1"/>
    <col min="9249" max="9249" width="15.85546875" style="2" customWidth="1"/>
    <col min="9250" max="9250" width="23.7109375" style="2" customWidth="1"/>
    <col min="9251" max="9251" width="12" style="2" customWidth="1"/>
    <col min="9252" max="9253" width="0.28515625" style="2" customWidth="1"/>
    <col min="9254" max="9254" width="1.42578125" style="2" customWidth="1"/>
    <col min="9255" max="9255" width="0" style="2" hidden="1" customWidth="1"/>
    <col min="9256" max="9472" width="11.42578125" style="2"/>
    <col min="9473" max="9473" width="10.28515625" style="2" customWidth="1"/>
    <col min="9474" max="9474" width="13.42578125" style="2" customWidth="1"/>
    <col min="9475" max="9475" width="4.28515625" style="2" customWidth="1"/>
    <col min="9476" max="9476" width="4" style="2" customWidth="1"/>
    <col min="9477" max="9477" width="15" style="2" customWidth="1"/>
    <col min="9478" max="9478" width="4.140625" style="2" customWidth="1"/>
    <col min="9479" max="9479" width="11.28515625" style="2" customWidth="1"/>
    <col min="9480" max="9480" width="16.140625" style="2" customWidth="1"/>
    <col min="9481" max="9481" width="11" style="2" customWidth="1"/>
    <col min="9482" max="9483" width="2.140625" style="2" customWidth="1"/>
    <col min="9484" max="9484" width="3.28515625" style="2" customWidth="1"/>
    <col min="9485" max="9486" width="0" style="2" hidden="1" customWidth="1"/>
    <col min="9487" max="9487" width="2.85546875" style="2" customWidth="1"/>
    <col min="9488" max="9488" width="3.28515625" style="2" customWidth="1"/>
    <col min="9489" max="9489" width="1.42578125" style="2" customWidth="1"/>
    <col min="9490" max="9490" width="0" style="2" hidden="1" customWidth="1"/>
    <col min="9491" max="9491" width="6.85546875" style="2" customWidth="1"/>
    <col min="9492" max="9492" width="0" style="2" hidden="1" customWidth="1"/>
    <col min="9493" max="9494" width="6.28515625" style="2" customWidth="1"/>
    <col min="9495" max="9495" width="17.28515625" style="2" customWidth="1"/>
    <col min="9496" max="9496" width="24.42578125" style="2" customWidth="1"/>
    <col min="9497" max="9497" width="10.85546875" style="2" customWidth="1"/>
    <col min="9498" max="9498" width="14.140625" style="2" customWidth="1"/>
    <col min="9499" max="9499" width="0" style="2" hidden="1" customWidth="1"/>
    <col min="9500" max="9500" width="18" style="2" customWidth="1"/>
    <col min="9501" max="9501" width="13.140625" style="2" customWidth="1"/>
    <col min="9502" max="9503" width="14" style="2" customWidth="1"/>
    <col min="9504" max="9504" width="11.42578125" style="2" customWidth="1"/>
    <col min="9505" max="9505" width="15.85546875" style="2" customWidth="1"/>
    <col min="9506" max="9506" width="23.7109375" style="2" customWidth="1"/>
    <col min="9507" max="9507" width="12" style="2" customWidth="1"/>
    <col min="9508" max="9509" width="0.28515625" style="2" customWidth="1"/>
    <col min="9510" max="9510" width="1.42578125" style="2" customWidth="1"/>
    <col min="9511" max="9511" width="0" style="2" hidden="1" customWidth="1"/>
    <col min="9512" max="9728" width="11.42578125" style="2"/>
    <col min="9729" max="9729" width="10.28515625" style="2" customWidth="1"/>
    <col min="9730" max="9730" width="13.42578125" style="2" customWidth="1"/>
    <col min="9731" max="9731" width="4.28515625" style="2" customWidth="1"/>
    <col min="9732" max="9732" width="4" style="2" customWidth="1"/>
    <col min="9733" max="9733" width="15" style="2" customWidth="1"/>
    <col min="9734" max="9734" width="4.140625" style="2" customWidth="1"/>
    <col min="9735" max="9735" width="11.28515625" style="2" customWidth="1"/>
    <col min="9736" max="9736" width="16.140625" style="2" customWidth="1"/>
    <col min="9737" max="9737" width="11" style="2" customWidth="1"/>
    <col min="9738" max="9739" width="2.140625" style="2" customWidth="1"/>
    <col min="9740" max="9740" width="3.28515625" style="2" customWidth="1"/>
    <col min="9741" max="9742" width="0" style="2" hidden="1" customWidth="1"/>
    <col min="9743" max="9743" width="2.85546875" style="2" customWidth="1"/>
    <col min="9744" max="9744" width="3.28515625" style="2" customWidth="1"/>
    <col min="9745" max="9745" width="1.42578125" style="2" customWidth="1"/>
    <col min="9746" max="9746" width="0" style="2" hidden="1" customWidth="1"/>
    <col min="9747" max="9747" width="6.85546875" style="2" customWidth="1"/>
    <col min="9748" max="9748" width="0" style="2" hidden="1" customWidth="1"/>
    <col min="9749" max="9750" width="6.28515625" style="2" customWidth="1"/>
    <col min="9751" max="9751" width="17.28515625" style="2" customWidth="1"/>
    <col min="9752" max="9752" width="24.42578125" style="2" customWidth="1"/>
    <col min="9753" max="9753" width="10.85546875" style="2" customWidth="1"/>
    <col min="9754" max="9754" width="14.140625" style="2" customWidth="1"/>
    <col min="9755" max="9755" width="0" style="2" hidden="1" customWidth="1"/>
    <col min="9756" max="9756" width="18" style="2" customWidth="1"/>
    <col min="9757" max="9757" width="13.140625" style="2" customWidth="1"/>
    <col min="9758" max="9759" width="14" style="2" customWidth="1"/>
    <col min="9760" max="9760" width="11.42578125" style="2" customWidth="1"/>
    <col min="9761" max="9761" width="15.85546875" style="2" customWidth="1"/>
    <col min="9762" max="9762" width="23.7109375" style="2" customWidth="1"/>
    <col min="9763" max="9763" width="12" style="2" customWidth="1"/>
    <col min="9764" max="9765" width="0.28515625" style="2" customWidth="1"/>
    <col min="9766" max="9766" width="1.42578125" style="2" customWidth="1"/>
    <col min="9767" max="9767" width="0" style="2" hidden="1" customWidth="1"/>
    <col min="9768" max="9984" width="11.42578125" style="2"/>
    <col min="9985" max="9985" width="10.28515625" style="2" customWidth="1"/>
    <col min="9986" max="9986" width="13.42578125" style="2" customWidth="1"/>
    <col min="9987" max="9987" width="4.28515625" style="2" customWidth="1"/>
    <col min="9988" max="9988" width="4" style="2" customWidth="1"/>
    <col min="9989" max="9989" width="15" style="2" customWidth="1"/>
    <col min="9990" max="9990" width="4.140625" style="2" customWidth="1"/>
    <col min="9991" max="9991" width="11.28515625" style="2" customWidth="1"/>
    <col min="9992" max="9992" width="16.140625" style="2" customWidth="1"/>
    <col min="9993" max="9993" width="11" style="2" customWidth="1"/>
    <col min="9994" max="9995" width="2.140625" style="2" customWidth="1"/>
    <col min="9996" max="9996" width="3.28515625" style="2" customWidth="1"/>
    <col min="9997" max="9998" width="0" style="2" hidden="1" customWidth="1"/>
    <col min="9999" max="9999" width="2.85546875" style="2" customWidth="1"/>
    <col min="10000" max="10000" width="3.28515625" style="2" customWidth="1"/>
    <col min="10001" max="10001" width="1.42578125" style="2" customWidth="1"/>
    <col min="10002" max="10002" width="0" style="2" hidden="1" customWidth="1"/>
    <col min="10003" max="10003" width="6.85546875" style="2" customWidth="1"/>
    <col min="10004" max="10004" width="0" style="2" hidden="1" customWidth="1"/>
    <col min="10005" max="10006" width="6.28515625" style="2" customWidth="1"/>
    <col min="10007" max="10007" width="17.28515625" style="2" customWidth="1"/>
    <col min="10008" max="10008" width="24.42578125" style="2" customWidth="1"/>
    <col min="10009" max="10009" width="10.85546875" style="2" customWidth="1"/>
    <col min="10010" max="10010" width="14.140625" style="2" customWidth="1"/>
    <col min="10011" max="10011" width="0" style="2" hidden="1" customWidth="1"/>
    <col min="10012" max="10012" width="18" style="2" customWidth="1"/>
    <col min="10013" max="10013" width="13.140625" style="2" customWidth="1"/>
    <col min="10014" max="10015" width="14" style="2" customWidth="1"/>
    <col min="10016" max="10016" width="11.42578125" style="2" customWidth="1"/>
    <col min="10017" max="10017" width="15.85546875" style="2" customWidth="1"/>
    <col min="10018" max="10018" width="23.7109375" style="2" customWidth="1"/>
    <col min="10019" max="10019" width="12" style="2" customWidth="1"/>
    <col min="10020" max="10021" width="0.28515625" style="2" customWidth="1"/>
    <col min="10022" max="10022" width="1.42578125" style="2" customWidth="1"/>
    <col min="10023" max="10023" width="0" style="2" hidden="1" customWidth="1"/>
    <col min="10024" max="10240" width="11.42578125" style="2"/>
    <col min="10241" max="10241" width="10.28515625" style="2" customWidth="1"/>
    <col min="10242" max="10242" width="13.42578125" style="2" customWidth="1"/>
    <col min="10243" max="10243" width="4.28515625" style="2" customWidth="1"/>
    <col min="10244" max="10244" width="4" style="2" customWidth="1"/>
    <col min="10245" max="10245" width="15" style="2" customWidth="1"/>
    <col min="10246" max="10246" width="4.140625" style="2" customWidth="1"/>
    <col min="10247" max="10247" width="11.28515625" style="2" customWidth="1"/>
    <col min="10248" max="10248" width="16.140625" style="2" customWidth="1"/>
    <col min="10249" max="10249" width="11" style="2" customWidth="1"/>
    <col min="10250" max="10251" width="2.140625" style="2" customWidth="1"/>
    <col min="10252" max="10252" width="3.28515625" style="2" customWidth="1"/>
    <col min="10253" max="10254" width="0" style="2" hidden="1" customWidth="1"/>
    <col min="10255" max="10255" width="2.85546875" style="2" customWidth="1"/>
    <col min="10256" max="10256" width="3.28515625" style="2" customWidth="1"/>
    <col min="10257" max="10257" width="1.42578125" style="2" customWidth="1"/>
    <col min="10258" max="10258" width="0" style="2" hidden="1" customWidth="1"/>
    <col min="10259" max="10259" width="6.85546875" style="2" customWidth="1"/>
    <col min="10260" max="10260" width="0" style="2" hidden="1" customWidth="1"/>
    <col min="10261" max="10262" width="6.28515625" style="2" customWidth="1"/>
    <col min="10263" max="10263" width="17.28515625" style="2" customWidth="1"/>
    <col min="10264" max="10264" width="24.42578125" style="2" customWidth="1"/>
    <col min="10265" max="10265" width="10.85546875" style="2" customWidth="1"/>
    <col min="10266" max="10266" width="14.140625" style="2" customWidth="1"/>
    <col min="10267" max="10267" width="0" style="2" hidden="1" customWidth="1"/>
    <col min="10268" max="10268" width="18" style="2" customWidth="1"/>
    <col min="10269" max="10269" width="13.140625" style="2" customWidth="1"/>
    <col min="10270" max="10271" width="14" style="2" customWidth="1"/>
    <col min="10272" max="10272" width="11.42578125" style="2" customWidth="1"/>
    <col min="10273" max="10273" width="15.85546875" style="2" customWidth="1"/>
    <col min="10274" max="10274" width="23.7109375" style="2" customWidth="1"/>
    <col min="10275" max="10275" width="12" style="2" customWidth="1"/>
    <col min="10276" max="10277" width="0.28515625" style="2" customWidth="1"/>
    <col min="10278" max="10278" width="1.42578125" style="2" customWidth="1"/>
    <col min="10279" max="10279" width="0" style="2" hidden="1" customWidth="1"/>
    <col min="10280" max="10496" width="11.42578125" style="2"/>
    <col min="10497" max="10497" width="10.28515625" style="2" customWidth="1"/>
    <col min="10498" max="10498" width="13.42578125" style="2" customWidth="1"/>
    <col min="10499" max="10499" width="4.28515625" style="2" customWidth="1"/>
    <col min="10500" max="10500" width="4" style="2" customWidth="1"/>
    <col min="10501" max="10501" width="15" style="2" customWidth="1"/>
    <col min="10502" max="10502" width="4.140625" style="2" customWidth="1"/>
    <col min="10503" max="10503" width="11.28515625" style="2" customWidth="1"/>
    <col min="10504" max="10504" width="16.140625" style="2" customWidth="1"/>
    <col min="10505" max="10505" width="11" style="2" customWidth="1"/>
    <col min="10506" max="10507" width="2.140625" style="2" customWidth="1"/>
    <col min="10508" max="10508" width="3.28515625" style="2" customWidth="1"/>
    <col min="10509" max="10510" width="0" style="2" hidden="1" customWidth="1"/>
    <col min="10511" max="10511" width="2.85546875" style="2" customWidth="1"/>
    <col min="10512" max="10512" width="3.28515625" style="2" customWidth="1"/>
    <col min="10513" max="10513" width="1.42578125" style="2" customWidth="1"/>
    <col min="10514" max="10514" width="0" style="2" hidden="1" customWidth="1"/>
    <col min="10515" max="10515" width="6.85546875" style="2" customWidth="1"/>
    <col min="10516" max="10516" width="0" style="2" hidden="1" customWidth="1"/>
    <col min="10517" max="10518" width="6.28515625" style="2" customWidth="1"/>
    <col min="10519" max="10519" width="17.28515625" style="2" customWidth="1"/>
    <col min="10520" max="10520" width="24.42578125" style="2" customWidth="1"/>
    <col min="10521" max="10521" width="10.85546875" style="2" customWidth="1"/>
    <col min="10522" max="10522" width="14.140625" style="2" customWidth="1"/>
    <col min="10523" max="10523" width="0" style="2" hidden="1" customWidth="1"/>
    <col min="10524" max="10524" width="18" style="2" customWidth="1"/>
    <col min="10525" max="10525" width="13.140625" style="2" customWidth="1"/>
    <col min="10526" max="10527" width="14" style="2" customWidth="1"/>
    <col min="10528" max="10528" width="11.42578125" style="2" customWidth="1"/>
    <col min="10529" max="10529" width="15.85546875" style="2" customWidth="1"/>
    <col min="10530" max="10530" width="23.7109375" style="2" customWidth="1"/>
    <col min="10531" max="10531" width="12" style="2" customWidth="1"/>
    <col min="10532" max="10533" width="0.28515625" style="2" customWidth="1"/>
    <col min="10534" max="10534" width="1.42578125" style="2" customWidth="1"/>
    <col min="10535" max="10535" width="0" style="2" hidden="1" customWidth="1"/>
    <col min="10536" max="10752" width="11.42578125" style="2"/>
    <col min="10753" max="10753" width="10.28515625" style="2" customWidth="1"/>
    <col min="10754" max="10754" width="13.42578125" style="2" customWidth="1"/>
    <col min="10755" max="10755" width="4.28515625" style="2" customWidth="1"/>
    <col min="10756" max="10756" width="4" style="2" customWidth="1"/>
    <col min="10757" max="10757" width="15" style="2" customWidth="1"/>
    <col min="10758" max="10758" width="4.140625" style="2" customWidth="1"/>
    <col min="10759" max="10759" width="11.28515625" style="2" customWidth="1"/>
    <col min="10760" max="10760" width="16.140625" style="2" customWidth="1"/>
    <col min="10761" max="10761" width="11" style="2" customWidth="1"/>
    <col min="10762" max="10763" width="2.140625" style="2" customWidth="1"/>
    <col min="10764" max="10764" width="3.28515625" style="2" customWidth="1"/>
    <col min="10765" max="10766" width="0" style="2" hidden="1" customWidth="1"/>
    <col min="10767" max="10767" width="2.85546875" style="2" customWidth="1"/>
    <col min="10768" max="10768" width="3.28515625" style="2" customWidth="1"/>
    <col min="10769" max="10769" width="1.42578125" style="2" customWidth="1"/>
    <col min="10770" max="10770" width="0" style="2" hidden="1" customWidth="1"/>
    <col min="10771" max="10771" width="6.85546875" style="2" customWidth="1"/>
    <col min="10772" max="10772" width="0" style="2" hidden="1" customWidth="1"/>
    <col min="10773" max="10774" width="6.28515625" style="2" customWidth="1"/>
    <col min="10775" max="10775" width="17.28515625" style="2" customWidth="1"/>
    <col min="10776" max="10776" width="24.42578125" style="2" customWidth="1"/>
    <col min="10777" max="10777" width="10.85546875" style="2" customWidth="1"/>
    <col min="10778" max="10778" width="14.140625" style="2" customWidth="1"/>
    <col min="10779" max="10779" width="0" style="2" hidden="1" customWidth="1"/>
    <col min="10780" max="10780" width="18" style="2" customWidth="1"/>
    <col min="10781" max="10781" width="13.140625" style="2" customWidth="1"/>
    <col min="10782" max="10783" width="14" style="2" customWidth="1"/>
    <col min="10784" max="10784" width="11.42578125" style="2" customWidth="1"/>
    <col min="10785" max="10785" width="15.85546875" style="2" customWidth="1"/>
    <col min="10786" max="10786" width="23.7109375" style="2" customWidth="1"/>
    <col min="10787" max="10787" width="12" style="2" customWidth="1"/>
    <col min="10788" max="10789" width="0.28515625" style="2" customWidth="1"/>
    <col min="10790" max="10790" width="1.42578125" style="2" customWidth="1"/>
    <col min="10791" max="10791" width="0" style="2" hidden="1" customWidth="1"/>
    <col min="10792" max="11008" width="11.42578125" style="2"/>
    <col min="11009" max="11009" width="10.28515625" style="2" customWidth="1"/>
    <col min="11010" max="11010" width="13.42578125" style="2" customWidth="1"/>
    <col min="11011" max="11011" width="4.28515625" style="2" customWidth="1"/>
    <col min="11012" max="11012" width="4" style="2" customWidth="1"/>
    <col min="11013" max="11013" width="15" style="2" customWidth="1"/>
    <col min="11014" max="11014" width="4.140625" style="2" customWidth="1"/>
    <col min="11015" max="11015" width="11.28515625" style="2" customWidth="1"/>
    <col min="11016" max="11016" width="16.140625" style="2" customWidth="1"/>
    <col min="11017" max="11017" width="11" style="2" customWidth="1"/>
    <col min="11018" max="11019" width="2.140625" style="2" customWidth="1"/>
    <col min="11020" max="11020" width="3.28515625" style="2" customWidth="1"/>
    <col min="11021" max="11022" width="0" style="2" hidden="1" customWidth="1"/>
    <col min="11023" max="11023" width="2.85546875" style="2" customWidth="1"/>
    <col min="11024" max="11024" width="3.28515625" style="2" customWidth="1"/>
    <col min="11025" max="11025" width="1.42578125" style="2" customWidth="1"/>
    <col min="11026" max="11026" width="0" style="2" hidden="1" customWidth="1"/>
    <col min="11027" max="11027" width="6.85546875" style="2" customWidth="1"/>
    <col min="11028" max="11028" width="0" style="2" hidden="1" customWidth="1"/>
    <col min="11029" max="11030" width="6.28515625" style="2" customWidth="1"/>
    <col min="11031" max="11031" width="17.28515625" style="2" customWidth="1"/>
    <col min="11032" max="11032" width="24.42578125" style="2" customWidth="1"/>
    <col min="11033" max="11033" width="10.85546875" style="2" customWidth="1"/>
    <col min="11034" max="11034" width="14.140625" style="2" customWidth="1"/>
    <col min="11035" max="11035" width="0" style="2" hidden="1" customWidth="1"/>
    <col min="11036" max="11036" width="18" style="2" customWidth="1"/>
    <col min="11037" max="11037" width="13.140625" style="2" customWidth="1"/>
    <col min="11038" max="11039" width="14" style="2" customWidth="1"/>
    <col min="11040" max="11040" width="11.42578125" style="2" customWidth="1"/>
    <col min="11041" max="11041" width="15.85546875" style="2" customWidth="1"/>
    <col min="11042" max="11042" width="23.7109375" style="2" customWidth="1"/>
    <col min="11043" max="11043" width="12" style="2" customWidth="1"/>
    <col min="11044" max="11045" width="0.28515625" style="2" customWidth="1"/>
    <col min="11046" max="11046" width="1.42578125" style="2" customWidth="1"/>
    <col min="11047" max="11047" width="0" style="2" hidden="1" customWidth="1"/>
    <col min="11048" max="11264" width="11.42578125" style="2"/>
    <col min="11265" max="11265" width="10.28515625" style="2" customWidth="1"/>
    <col min="11266" max="11266" width="13.42578125" style="2" customWidth="1"/>
    <col min="11267" max="11267" width="4.28515625" style="2" customWidth="1"/>
    <col min="11268" max="11268" width="4" style="2" customWidth="1"/>
    <col min="11269" max="11269" width="15" style="2" customWidth="1"/>
    <col min="11270" max="11270" width="4.140625" style="2" customWidth="1"/>
    <col min="11271" max="11271" width="11.28515625" style="2" customWidth="1"/>
    <col min="11272" max="11272" width="16.140625" style="2" customWidth="1"/>
    <col min="11273" max="11273" width="11" style="2" customWidth="1"/>
    <col min="11274" max="11275" width="2.140625" style="2" customWidth="1"/>
    <col min="11276" max="11276" width="3.28515625" style="2" customWidth="1"/>
    <col min="11277" max="11278" width="0" style="2" hidden="1" customWidth="1"/>
    <col min="11279" max="11279" width="2.85546875" style="2" customWidth="1"/>
    <col min="11280" max="11280" width="3.28515625" style="2" customWidth="1"/>
    <col min="11281" max="11281" width="1.42578125" style="2" customWidth="1"/>
    <col min="11282" max="11282" width="0" style="2" hidden="1" customWidth="1"/>
    <col min="11283" max="11283" width="6.85546875" style="2" customWidth="1"/>
    <col min="11284" max="11284" width="0" style="2" hidden="1" customWidth="1"/>
    <col min="11285" max="11286" width="6.28515625" style="2" customWidth="1"/>
    <col min="11287" max="11287" width="17.28515625" style="2" customWidth="1"/>
    <col min="11288" max="11288" width="24.42578125" style="2" customWidth="1"/>
    <col min="11289" max="11289" width="10.85546875" style="2" customWidth="1"/>
    <col min="11290" max="11290" width="14.140625" style="2" customWidth="1"/>
    <col min="11291" max="11291" width="0" style="2" hidden="1" customWidth="1"/>
    <col min="11292" max="11292" width="18" style="2" customWidth="1"/>
    <col min="11293" max="11293" width="13.140625" style="2" customWidth="1"/>
    <col min="11294" max="11295" width="14" style="2" customWidth="1"/>
    <col min="11296" max="11296" width="11.42578125" style="2" customWidth="1"/>
    <col min="11297" max="11297" width="15.85546875" style="2" customWidth="1"/>
    <col min="11298" max="11298" width="23.7109375" style="2" customWidth="1"/>
    <col min="11299" max="11299" width="12" style="2" customWidth="1"/>
    <col min="11300" max="11301" width="0.28515625" style="2" customWidth="1"/>
    <col min="11302" max="11302" width="1.42578125" style="2" customWidth="1"/>
    <col min="11303" max="11303" width="0" style="2" hidden="1" customWidth="1"/>
    <col min="11304" max="11520" width="11.42578125" style="2"/>
    <col min="11521" max="11521" width="10.28515625" style="2" customWidth="1"/>
    <col min="11522" max="11522" width="13.42578125" style="2" customWidth="1"/>
    <col min="11523" max="11523" width="4.28515625" style="2" customWidth="1"/>
    <col min="11524" max="11524" width="4" style="2" customWidth="1"/>
    <col min="11525" max="11525" width="15" style="2" customWidth="1"/>
    <col min="11526" max="11526" width="4.140625" style="2" customWidth="1"/>
    <col min="11527" max="11527" width="11.28515625" style="2" customWidth="1"/>
    <col min="11528" max="11528" width="16.140625" style="2" customWidth="1"/>
    <col min="11529" max="11529" width="11" style="2" customWidth="1"/>
    <col min="11530" max="11531" width="2.140625" style="2" customWidth="1"/>
    <col min="11532" max="11532" width="3.28515625" style="2" customWidth="1"/>
    <col min="11533" max="11534" width="0" style="2" hidden="1" customWidth="1"/>
    <col min="11535" max="11535" width="2.85546875" style="2" customWidth="1"/>
    <col min="11536" max="11536" width="3.28515625" style="2" customWidth="1"/>
    <col min="11537" max="11537" width="1.42578125" style="2" customWidth="1"/>
    <col min="11538" max="11538" width="0" style="2" hidden="1" customWidth="1"/>
    <col min="11539" max="11539" width="6.85546875" style="2" customWidth="1"/>
    <col min="11540" max="11540" width="0" style="2" hidden="1" customWidth="1"/>
    <col min="11541" max="11542" width="6.28515625" style="2" customWidth="1"/>
    <col min="11543" max="11543" width="17.28515625" style="2" customWidth="1"/>
    <col min="11544" max="11544" width="24.42578125" style="2" customWidth="1"/>
    <col min="11545" max="11545" width="10.85546875" style="2" customWidth="1"/>
    <col min="11546" max="11546" width="14.140625" style="2" customWidth="1"/>
    <col min="11547" max="11547" width="0" style="2" hidden="1" customWidth="1"/>
    <col min="11548" max="11548" width="18" style="2" customWidth="1"/>
    <col min="11549" max="11549" width="13.140625" style="2" customWidth="1"/>
    <col min="11550" max="11551" width="14" style="2" customWidth="1"/>
    <col min="11552" max="11552" width="11.42578125" style="2" customWidth="1"/>
    <col min="11553" max="11553" width="15.85546875" style="2" customWidth="1"/>
    <col min="11554" max="11554" width="23.7109375" style="2" customWidth="1"/>
    <col min="11555" max="11555" width="12" style="2" customWidth="1"/>
    <col min="11556" max="11557" width="0.28515625" style="2" customWidth="1"/>
    <col min="11558" max="11558" width="1.42578125" style="2" customWidth="1"/>
    <col min="11559" max="11559" width="0" style="2" hidden="1" customWidth="1"/>
    <col min="11560" max="11776" width="11.42578125" style="2"/>
    <col min="11777" max="11777" width="10.28515625" style="2" customWidth="1"/>
    <col min="11778" max="11778" width="13.42578125" style="2" customWidth="1"/>
    <col min="11779" max="11779" width="4.28515625" style="2" customWidth="1"/>
    <col min="11780" max="11780" width="4" style="2" customWidth="1"/>
    <col min="11781" max="11781" width="15" style="2" customWidth="1"/>
    <col min="11782" max="11782" width="4.140625" style="2" customWidth="1"/>
    <col min="11783" max="11783" width="11.28515625" style="2" customWidth="1"/>
    <col min="11784" max="11784" width="16.140625" style="2" customWidth="1"/>
    <col min="11785" max="11785" width="11" style="2" customWidth="1"/>
    <col min="11786" max="11787" width="2.140625" style="2" customWidth="1"/>
    <col min="11788" max="11788" width="3.28515625" style="2" customWidth="1"/>
    <col min="11789" max="11790" width="0" style="2" hidden="1" customWidth="1"/>
    <col min="11791" max="11791" width="2.85546875" style="2" customWidth="1"/>
    <col min="11792" max="11792" width="3.28515625" style="2" customWidth="1"/>
    <col min="11793" max="11793" width="1.42578125" style="2" customWidth="1"/>
    <col min="11794" max="11794" width="0" style="2" hidden="1" customWidth="1"/>
    <col min="11795" max="11795" width="6.85546875" style="2" customWidth="1"/>
    <col min="11796" max="11796" width="0" style="2" hidden="1" customWidth="1"/>
    <col min="11797" max="11798" width="6.28515625" style="2" customWidth="1"/>
    <col min="11799" max="11799" width="17.28515625" style="2" customWidth="1"/>
    <col min="11800" max="11800" width="24.42578125" style="2" customWidth="1"/>
    <col min="11801" max="11801" width="10.85546875" style="2" customWidth="1"/>
    <col min="11802" max="11802" width="14.140625" style="2" customWidth="1"/>
    <col min="11803" max="11803" width="0" style="2" hidden="1" customWidth="1"/>
    <col min="11804" max="11804" width="18" style="2" customWidth="1"/>
    <col min="11805" max="11805" width="13.140625" style="2" customWidth="1"/>
    <col min="11806" max="11807" width="14" style="2" customWidth="1"/>
    <col min="11808" max="11808" width="11.42578125" style="2" customWidth="1"/>
    <col min="11809" max="11809" width="15.85546875" style="2" customWidth="1"/>
    <col min="11810" max="11810" width="23.7109375" style="2" customWidth="1"/>
    <col min="11811" max="11811" width="12" style="2" customWidth="1"/>
    <col min="11812" max="11813" width="0.28515625" style="2" customWidth="1"/>
    <col min="11814" max="11814" width="1.42578125" style="2" customWidth="1"/>
    <col min="11815" max="11815" width="0" style="2" hidden="1" customWidth="1"/>
    <col min="11816" max="12032" width="11.42578125" style="2"/>
    <col min="12033" max="12033" width="10.28515625" style="2" customWidth="1"/>
    <col min="12034" max="12034" width="13.42578125" style="2" customWidth="1"/>
    <col min="12035" max="12035" width="4.28515625" style="2" customWidth="1"/>
    <col min="12036" max="12036" width="4" style="2" customWidth="1"/>
    <col min="12037" max="12037" width="15" style="2" customWidth="1"/>
    <col min="12038" max="12038" width="4.140625" style="2" customWidth="1"/>
    <col min="12039" max="12039" width="11.28515625" style="2" customWidth="1"/>
    <col min="12040" max="12040" width="16.140625" style="2" customWidth="1"/>
    <col min="12041" max="12041" width="11" style="2" customWidth="1"/>
    <col min="12042" max="12043" width="2.140625" style="2" customWidth="1"/>
    <col min="12044" max="12044" width="3.28515625" style="2" customWidth="1"/>
    <col min="12045" max="12046" width="0" style="2" hidden="1" customWidth="1"/>
    <col min="12047" max="12047" width="2.85546875" style="2" customWidth="1"/>
    <col min="12048" max="12048" width="3.28515625" style="2" customWidth="1"/>
    <col min="12049" max="12049" width="1.42578125" style="2" customWidth="1"/>
    <col min="12050" max="12050" width="0" style="2" hidden="1" customWidth="1"/>
    <col min="12051" max="12051" width="6.85546875" style="2" customWidth="1"/>
    <col min="12052" max="12052" width="0" style="2" hidden="1" customWidth="1"/>
    <col min="12053" max="12054" width="6.28515625" style="2" customWidth="1"/>
    <col min="12055" max="12055" width="17.28515625" style="2" customWidth="1"/>
    <col min="12056" max="12056" width="24.42578125" style="2" customWidth="1"/>
    <col min="12057" max="12057" width="10.85546875" style="2" customWidth="1"/>
    <col min="12058" max="12058" width="14.140625" style="2" customWidth="1"/>
    <col min="12059" max="12059" width="0" style="2" hidden="1" customWidth="1"/>
    <col min="12060" max="12060" width="18" style="2" customWidth="1"/>
    <col min="12061" max="12061" width="13.140625" style="2" customWidth="1"/>
    <col min="12062" max="12063" width="14" style="2" customWidth="1"/>
    <col min="12064" max="12064" width="11.42578125" style="2" customWidth="1"/>
    <col min="12065" max="12065" width="15.85546875" style="2" customWidth="1"/>
    <col min="12066" max="12066" width="23.7109375" style="2" customWidth="1"/>
    <col min="12067" max="12067" width="12" style="2" customWidth="1"/>
    <col min="12068" max="12069" width="0.28515625" style="2" customWidth="1"/>
    <col min="12070" max="12070" width="1.42578125" style="2" customWidth="1"/>
    <col min="12071" max="12071" width="0" style="2" hidden="1" customWidth="1"/>
    <col min="12072" max="12288" width="11.42578125" style="2"/>
    <col min="12289" max="12289" width="10.28515625" style="2" customWidth="1"/>
    <col min="12290" max="12290" width="13.42578125" style="2" customWidth="1"/>
    <col min="12291" max="12291" width="4.28515625" style="2" customWidth="1"/>
    <col min="12292" max="12292" width="4" style="2" customWidth="1"/>
    <col min="12293" max="12293" width="15" style="2" customWidth="1"/>
    <col min="12294" max="12294" width="4.140625" style="2" customWidth="1"/>
    <col min="12295" max="12295" width="11.28515625" style="2" customWidth="1"/>
    <col min="12296" max="12296" width="16.140625" style="2" customWidth="1"/>
    <col min="12297" max="12297" width="11" style="2" customWidth="1"/>
    <col min="12298" max="12299" width="2.140625" style="2" customWidth="1"/>
    <col min="12300" max="12300" width="3.28515625" style="2" customWidth="1"/>
    <col min="12301" max="12302" width="0" style="2" hidden="1" customWidth="1"/>
    <col min="12303" max="12303" width="2.85546875" style="2" customWidth="1"/>
    <col min="12304" max="12304" width="3.28515625" style="2" customWidth="1"/>
    <col min="12305" max="12305" width="1.42578125" style="2" customWidth="1"/>
    <col min="12306" max="12306" width="0" style="2" hidden="1" customWidth="1"/>
    <col min="12307" max="12307" width="6.85546875" style="2" customWidth="1"/>
    <col min="12308" max="12308" width="0" style="2" hidden="1" customWidth="1"/>
    <col min="12309" max="12310" width="6.28515625" style="2" customWidth="1"/>
    <col min="12311" max="12311" width="17.28515625" style="2" customWidth="1"/>
    <col min="12312" max="12312" width="24.42578125" style="2" customWidth="1"/>
    <col min="12313" max="12313" width="10.85546875" style="2" customWidth="1"/>
    <col min="12314" max="12314" width="14.140625" style="2" customWidth="1"/>
    <col min="12315" max="12315" width="0" style="2" hidden="1" customWidth="1"/>
    <col min="12316" max="12316" width="18" style="2" customWidth="1"/>
    <col min="12317" max="12317" width="13.140625" style="2" customWidth="1"/>
    <col min="12318" max="12319" width="14" style="2" customWidth="1"/>
    <col min="12320" max="12320" width="11.42578125" style="2" customWidth="1"/>
    <col min="12321" max="12321" width="15.85546875" style="2" customWidth="1"/>
    <col min="12322" max="12322" width="23.7109375" style="2" customWidth="1"/>
    <col min="12323" max="12323" width="12" style="2" customWidth="1"/>
    <col min="12324" max="12325" width="0.28515625" style="2" customWidth="1"/>
    <col min="12326" max="12326" width="1.42578125" style="2" customWidth="1"/>
    <col min="12327" max="12327" width="0" style="2" hidden="1" customWidth="1"/>
    <col min="12328" max="12544" width="11.42578125" style="2"/>
    <col min="12545" max="12545" width="10.28515625" style="2" customWidth="1"/>
    <col min="12546" max="12546" width="13.42578125" style="2" customWidth="1"/>
    <col min="12547" max="12547" width="4.28515625" style="2" customWidth="1"/>
    <col min="12548" max="12548" width="4" style="2" customWidth="1"/>
    <col min="12549" max="12549" width="15" style="2" customWidth="1"/>
    <col min="12550" max="12550" width="4.140625" style="2" customWidth="1"/>
    <col min="12551" max="12551" width="11.28515625" style="2" customWidth="1"/>
    <col min="12552" max="12552" width="16.140625" style="2" customWidth="1"/>
    <col min="12553" max="12553" width="11" style="2" customWidth="1"/>
    <col min="12554" max="12555" width="2.140625" style="2" customWidth="1"/>
    <col min="12556" max="12556" width="3.28515625" style="2" customWidth="1"/>
    <col min="12557" max="12558" width="0" style="2" hidden="1" customWidth="1"/>
    <col min="12559" max="12559" width="2.85546875" style="2" customWidth="1"/>
    <col min="12560" max="12560" width="3.28515625" style="2" customWidth="1"/>
    <col min="12561" max="12561" width="1.42578125" style="2" customWidth="1"/>
    <col min="12562" max="12562" width="0" style="2" hidden="1" customWidth="1"/>
    <col min="12563" max="12563" width="6.85546875" style="2" customWidth="1"/>
    <col min="12564" max="12564" width="0" style="2" hidden="1" customWidth="1"/>
    <col min="12565" max="12566" width="6.28515625" style="2" customWidth="1"/>
    <col min="12567" max="12567" width="17.28515625" style="2" customWidth="1"/>
    <col min="12568" max="12568" width="24.42578125" style="2" customWidth="1"/>
    <col min="12569" max="12569" width="10.85546875" style="2" customWidth="1"/>
    <col min="12570" max="12570" width="14.140625" style="2" customWidth="1"/>
    <col min="12571" max="12571" width="0" style="2" hidden="1" customWidth="1"/>
    <col min="12572" max="12572" width="18" style="2" customWidth="1"/>
    <col min="12573" max="12573" width="13.140625" style="2" customWidth="1"/>
    <col min="12574" max="12575" width="14" style="2" customWidth="1"/>
    <col min="12576" max="12576" width="11.42578125" style="2" customWidth="1"/>
    <col min="12577" max="12577" width="15.85546875" style="2" customWidth="1"/>
    <col min="12578" max="12578" width="23.7109375" style="2" customWidth="1"/>
    <col min="12579" max="12579" width="12" style="2" customWidth="1"/>
    <col min="12580" max="12581" width="0.28515625" style="2" customWidth="1"/>
    <col min="12582" max="12582" width="1.42578125" style="2" customWidth="1"/>
    <col min="12583" max="12583" width="0" style="2" hidden="1" customWidth="1"/>
    <col min="12584" max="12800" width="11.42578125" style="2"/>
    <col min="12801" max="12801" width="10.28515625" style="2" customWidth="1"/>
    <col min="12802" max="12802" width="13.42578125" style="2" customWidth="1"/>
    <col min="12803" max="12803" width="4.28515625" style="2" customWidth="1"/>
    <col min="12804" max="12804" width="4" style="2" customWidth="1"/>
    <col min="12805" max="12805" width="15" style="2" customWidth="1"/>
    <col min="12806" max="12806" width="4.140625" style="2" customWidth="1"/>
    <col min="12807" max="12807" width="11.28515625" style="2" customWidth="1"/>
    <col min="12808" max="12808" width="16.140625" style="2" customWidth="1"/>
    <col min="12809" max="12809" width="11" style="2" customWidth="1"/>
    <col min="12810" max="12811" width="2.140625" style="2" customWidth="1"/>
    <col min="12812" max="12812" width="3.28515625" style="2" customWidth="1"/>
    <col min="12813" max="12814" width="0" style="2" hidden="1" customWidth="1"/>
    <col min="12815" max="12815" width="2.85546875" style="2" customWidth="1"/>
    <col min="12816" max="12816" width="3.28515625" style="2" customWidth="1"/>
    <col min="12817" max="12817" width="1.42578125" style="2" customWidth="1"/>
    <col min="12818" max="12818" width="0" style="2" hidden="1" customWidth="1"/>
    <col min="12819" max="12819" width="6.85546875" style="2" customWidth="1"/>
    <col min="12820" max="12820" width="0" style="2" hidden="1" customWidth="1"/>
    <col min="12821" max="12822" width="6.28515625" style="2" customWidth="1"/>
    <col min="12823" max="12823" width="17.28515625" style="2" customWidth="1"/>
    <col min="12824" max="12824" width="24.42578125" style="2" customWidth="1"/>
    <col min="12825" max="12825" width="10.85546875" style="2" customWidth="1"/>
    <col min="12826" max="12826" width="14.140625" style="2" customWidth="1"/>
    <col min="12827" max="12827" width="0" style="2" hidden="1" customWidth="1"/>
    <col min="12828" max="12828" width="18" style="2" customWidth="1"/>
    <col min="12829" max="12829" width="13.140625" style="2" customWidth="1"/>
    <col min="12830" max="12831" width="14" style="2" customWidth="1"/>
    <col min="12832" max="12832" width="11.42578125" style="2" customWidth="1"/>
    <col min="12833" max="12833" width="15.85546875" style="2" customWidth="1"/>
    <col min="12834" max="12834" width="23.7109375" style="2" customWidth="1"/>
    <col min="12835" max="12835" width="12" style="2" customWidth="1"/>
    <col min="12836" max="12837" width="0.28515625" style="2" customWidth="1"/>
    <col min="12838" max="12838" width="1.42578125" style="2" customWidth="1"/>
    <col min="12839" max="12839" width="0" style="2" hidden="1" customWidth="1"/>
    <col min="12840" max="13056" width="11.42578125" style="2"/>
    <col min="13057" max="13057" width="10.28515625" style="2" customWidth="1"/>
    <col min="13058" max="13058" width="13.42578125" style="2" customWidth="1"/>
    <col min="13059" max="13059" width="4.28515625" style="2" customWidth="1"/>
    <col min="13060" max="13060" width="4" style="2" customWidth="1"/>
    <col min="13061" max="13061" width="15" style="2" customWidth="1"/>
    <col min="13062" max="13062" width="4.140625" style="2" customWidth="1"/>
    <col min="13063" max="13063" width="11.28515625" style="2" customWidth="1"/>
    <col min="13064" max="13064" width="16.140625" style="2" customWidth="1"/>
    <col min="13065" max="13065" width="11" style="2" customWidth="1"/>
    <col min="13066" max="13067" width="2.140625" style="2" customWidth="1"/>
    <col min="13068" max="13068" width="3.28515625" style="2" customWidth="1"/>
    <col min="13069" max="13070" width="0" style="2" hidden="1" customWidth="1"/>
    <col min="13071" max="13071" width="2.85546875" style="2" customWidth="1"/>
    <col min="13072" max="13072" width="3.28515625" style="2" customWidth="1"/>
    <col min="13073" max="13073" width="1.42578125" style="2" customWidth="1"/>
    <col min="13074" max="13074" width="0" style="2" hidden="1" customWidth="1"/>
    <col min="13075" max="13075" width="6.85546875" style="2" customWidth="1"/>
    <col min="13076" max="13076" width="0" style="2" hidden="1" customWidth="1"/>
    <col min="13077" max="13078" width="6.28515625" style="2" customWidth="1"/>
    <col min="13079" max="13079" width="17.28515625" style="2" customWidth="1"/>
    <col min="13080" max="13080" width="24.42578125" style="2" customWidth="1"/>
    <col min="13081" max="13081" width="10.85546875" style="2" customWidth="1"/>
    <col min="13082" max="13082" width="14.140625" style="2" customWidth="1"/>
    <col min="13083" max="13083" width="0" style="2" hidden="1" customWidth="1"/>
    <col min="13084" max="13084" width="18" style="2" customWidth="1"/>
    <col min="13085" max="13085" width="13.140625" style="2" customWidth="1"/>
    <col min="13086" max="13087" width="14" style="2" customWidth="1"/>
    <col min="13088" max="13088" width="11.42578125" style="2" customWidth="1"/>
    <col min="13089" max="13089" width="15.85546875" style="2" customWidth="1"/>
    <col min="13090" max="13090" width="23.7109375" style="2" customWidth="1"/>
    <col min="13091" max="13091" width="12" style="2" customWidth="1"/>
    <col min="13092" max="13093" width="0.28515625" style="2" customWidth="1"/>
    <col min="13094" max="13094" width="1.42578125" style="2" customWidth="1"/>
    <col min="13095" max="13095" width="0" style="2" hidden="1" customWidth="1"/>
    <col min="13096" max="13312" width="11.42578125" style="2"/>
    <col min="13313" max="13313" width="10.28515625" style="2" customWidth="1"/>
    <col min="13314" max="13314" width="13.42578125" style="2" customWidth="1"/>
    <col min="13315" max="13315" width="4.28515625" style="2" customWidth="1"/>
    <col min="13316" max="13316" width="4" style="2" customWidth="1"/>
    <col min="13317" max="13317" width="15" style="2" customWidth="1"/>
    <col min="13318" max="13318" width="4.140625" style="2" customWidth="1"/>
    <col min="13319" max="13319" width="11.28515625" style="2" customWidth="1"/>
    <col min="13320" max="13320" width="16.140625" style="2" customWidth="1"/>
    <col min="13321" max="13321" width="11" style="2" customWidth="1"/>
    <col min="13322" max="13323" width="2.140625" style="2" customWidth="1"/>
    <col min="13324" max="13324" width="3.28515625" style="2" customWidth="1"/>
    <col min="13325" max="13326" width="0" style="2" hidden="1" customWidth="1"/>
    <col min="13327" max="13327" width="2.85546875" style="2" customWidth="1"/>
    <col min="13328" max="13328" width="3.28515625" style="2" customWidth="1"/>
    <col min="13329" max="13329" width="1.42578125" style="2" customWidth="1"/>
    <col min="13330" max="13330" width="0" style="2" hidden="1" customWidth="1"/>
    <col min="13331" max="13331" width="6.85546875" style="2" customWidth="1"/>
    <col min="13332" max="13332" width="0" style="2" hidden="1" customWidth="1"/>
    <col min="13333" max="13334" width="6.28515625" style="2" customWidth="1"/>
    <col min="13335" max="13335" width="17.28515625" style="2" customWidth="1"/>
    <col min="13336" max="13336" width="24.42578125" style="2" customWidth="1"/>
    <col min="13337" max="13337" width="10.85546875" style="2" customWidth="1"/>
    <col min="13338" max="13338" width="14.140625" style="2" customWidth="1"/>
    <col min="13339" max="13339" width="0" style="2" hidden="1" customWidth="1"/>
    <col min="13340" max="13340" width="18" style="2" customWidth="1"/>
    <col min="13341" max="13341" width="13.140625" style="2" customWidth="1"/>
    <col min="13342" max="13343" width="14" style="2" customWidth="1"/>
    <col min="13344" max="13344" width="11.42578125" style="2" customWidth="1"/>
    <col min="13345" max="13345" width="15.85546875" style="2" customWidth="1"/>
    <col min="13346" max="13346" width="23.7109375" style="2" customWidth="1"/>
    <col min="13347" max="13347" width="12" style="2" customWidth="1"/>
    <col min="13348" max="13349" width="0.28515625" style="2" customWidth="1"/>
    <col min="13350" max="13350" width="1.42578125" style="2" customWidth="1"/>
    <col min="13351" max="13351" width="0" style="2" hidden="1" customWidth="1"/>
    <col min="13352" max="13568" width="11.42578125" style="2"/>
    <col min="13569" max="13569" width="10.28515625" style="2" customWidth="1"/>
    <col min="13570" max="13570" width="13.42578125" style="2" customWidth="1"/>
    <col min="13571" max="13571" width="4.28515625" style="2" customWidth="1"/>
    <col min="13572" max="13572" width="4" style="2" customWidth="1"/>
    <col min="13573" max="13573" width="15" style="2" customWidth="1"/>
    <col min="13574" max="13574" width="4.140625" style="2" customWidth="1"/>
    <col min="13575" max="13575" width="11.28515625" style="2" customWidth="1"/>
    <col min="13576" max="13576" width="16.140625" style="2" customWidth="1"/>
    <col min="13577" max="13577" width="11" style="2" customWidth="1"/>
    <col min="13578" max="13579" width="2.140625" style="2" customWidth="1"/>
    <col min="13580" max="13580" width="3.28515625" style="2" customWidth="1"/>
    <col min="13581" max="13582" width="0" style="2" hidden="1" customWidth="1"/>
    <col min="13583" max="13583" width="2.85546875" style="2" customWidth="1"/>
    <col min="13584" max="13584" width="3.28515625" style="2" customWidth="1"/>
    <col min="13585" max="13585" width="1.42578125" style="2" customWidth="1"/>
    <col min="13586" max="13586" width="0" style="2" hidden="1" customWidth="1"/>
    <col min="13587" max="13587" width="6.85546875" style="2" customWidth="1"/>
    <col min="13588" max="13588" width="0" style="2" hidden="1" customWidth="1"/>
    <col min="13589" max="13590" width="6.28515625" style="2" customWidth="1"/>
    <col min="13591" max="13591" width="17.28515625" style="2" customWidth="1"/>
    <col min="13592" max="13592" width="24.42578125" style="2" customWidth="1"/>
    <col min="13593" max="13593" width="10.85546875" style="2" customWidth="1"/>
    <col min="13594" max="13594" width="14.140625" style="2" customWidth="1"/>
    <col min="13595" max="13595" width="0" style="2" hidden="1" customWidth="1"/>
    <col min="13596" max="13596" width="18" style="2" customWidth="1"/>
    <col min="13597" max="13597" width="13.140625" style="2" customWidth="1"/>
    <col min="13598" max="13599" width="14" style="2" customWidth="1"/>
    <col min="13600" max="13600" width="11.42578125" style="2" customWidth="1"/>
    <col min="13601" max="13601" width="15.85546875" style="2" customWidth="1"/>
    <col min="13602" max="13602" width="23.7109375" style="2" customWidth="1"/>
    <col min="13603" max="13603" width="12" style="2" customWidth="1"/>
    <col min="13604" max="13605" width="0.28515625" style="2" customWidth="1"/>
    <col min="13606" max="13606" width="1.42578125" style="2" customWidth="1"/>
    <col min="13607" max="13607" width="0" style="2" hidden="1" customWidth="1"/>
    <col min="13608" max="13824" width="11.42578125" style="2"/>
    <col min="13825" max="13825" width="10.28515625" style="2" customWidth="1"/>
    <col min="13826" max="13826" width="13.42578125" style="2" customWidth="1"/>
    <col min="13827" max="13827" width="4.28515625" style="2" customWidth="1"/>
    <col min="13828" max="13828" width="4" style="2" customWidth="1"/>
    <col min="13829" max="13829" width="15" style="2" customWidth="1"/>
    <col min="13830" max="13830" width="4.140625" style="2" customWidth="1"/>
    <col min="13831" max="13831" width="11.28515625" style="2" customWidth="1"/>
    <col min="13832" max="13832" width="16.140625" style="2" customWidth="1"/>
    <col min="13833" max="13833" width="11" style="2" customWidth="1"/>
    <col min="13834" max="13835" width="2.140625" style="2" customWidth="1"/>
    <col min="13836" max="13836" width="3.28515625" style="2" customWidth="1"/>
    <col min="13837" max="13838" width="0" style="2" hidden="1" customWidth="1"/>
    <col min="13839" max="13839" width="2.85546875" style="2" customWidth="1"/>
    <col min="13840" max="13840" width="3.28515625" style="2" customWidth="1"/>
    <col min="13841" max="13841" width="1.42578125" style="2" customWidth="1"/>
    <col min="13842" max="13842" width="0" style="2" hidden="1" customWidth="1"/>
    <col min="13843" max="13843" width="6.85546875" style="2" customWidth="1"/>
    <col min="13844" max="13844" width="0" style="2" hidden="1" customWidth="1"/>
    <col min="13845" max="13846" width="6.28515625" style="2" customWidth="1"/>
    <col min="13847" max="13847" width="17.28515625" style="2" customWidth="1"/>
    <col min="13848" max="13848" width="24.42578125" style="2" customWidth="1"/>
    <col min="13849" max="13849" width="10.85546875" style="2" customWidth="1"/>
    <col min="13850" max="13850" width="14.140625" style="2" customWidth="1"/>
    <col min="13851" max="13851" width="0" style="2" hidden="1" customWidth="1"/>
    <col min="13852" max="13852" width="18" style="2" customWidth="1"/>
    <col min="13853" max="13853" width="13.140625" style="2" customWidth="1"/>
    <col min="13854" max="13855" width="14" style="2" customWidth="1"/>
    <col min="13856" max="13856" width="11.42578125" style="2" customWidth="1"/>
    <col min="13857" max="13857" width="15.85546875" style="2" customWidth="1"/>
    <col min="13858" max="13858" width="23.7109375" style="2" customWidth="1"/>
    <col min="13859" max="13859" width="12" style="2" customWidth="1"/>
    <col min="13860" max="13861" width="0.28515625" style="2" customWidth="1"/>
    <col min="13862" max="13862" width="1.42578125" style="2" customWidth="1"/>
    <col min="13863" max="13863" width="0" style="2" hidden="1" customWidth="1"/>
    <col min="13864" max="14080" width="11.42578125" style="2"/>
    <col min="14081" max="14081" width="10.28515625" style="2" customWidth="1"/>
    <col min="14082" max="14082" width="13.42578125" style="2" customWidth="1"/>
    <col min="14083" max="14083" width="4.28515625" style="2" customWidth="1"/>
    <col min="14084" max="14084" width="4" style="2" customWidth="1"/>
    <col min="14085" max="14085" width="15" style="2" customWidth="1"/>
    <col min="14086" max="14086" width="4.140625" style="2" customWidth="1"/>
    <col min="14087" max="14087" width="11.28515625" style="2" customWidth="1"/>
    <col min="14088" max="14088" width="16.140625" style="2" customWidth="1"/>
    <col min="14089" max="14089" width="11" style="2" customWidth="1"/>
    <col min="14090" max="14091" width="2.140625" style="2" customWidth="1"/>
    <col min="14092" max="14092" width="3.28515625" style="2" customWidth="1"/>
    <col min="14093" max="14094" width="0" style="2" hidden="1" customWidth="1"/>
    <col min="14095" max="14095" width="2.85546875" style="2" customWidth="1"/>
    <col min="14096" max="14096" width="3.28515625" style="2" customWidth="1"/>
    <col min="14097" max="14097" width="1.42578125" style="2" customWidth="1"/>
    <col min="14098" max="14098" width="0" style="2" hidden="1" customWidth="1"/>
    <col min="14099" max="14099" width="6.85546875" style="2" customWidth="1"/>
    <col min="14100" max="14100" width="0" style="2" hidden="1" customWidth="1"/>
    <col min="14101" max="14102" width="6.28515625" style="2" customWidth="1"/>
    <col min="14103" max="14103" width="17.28515625" style="2" customWidth="1"/>
    <col min="14104" max="14104" width="24.42578125" style="2" customWidth="1"/>
    <col min="14105" max="14105" width="10.85546875" style="2" customWidth="1"/>
    <col min="14106" max="14106" width="14.140625" style="2" customWidth="1"/>
    <col min="14107" max="14107" width="0" style="2" hidden="1" customWidth="1"/>
    <col min="14108" max="14108" width="18" style="2" customWidth="1"/>
    <col min="14109" max="14109" width="13.140625" style="2" customWidth="1"/>
    <col min="14110" max="14111" width="14" style="2" customWidth="1"/>
    <col min="14112" max="14112" width="11.42578125" style="2" customWidth="1"/>
    <col min="14113" max="14113" width="15.85546875" style="2" customWidth="1"/>
    <col min="14114" max="14114" width="23.7109375" style="2" customWidth="1"/>
    <col min="14115" max="14115" width="12" style="2" customWidth="1"/>
    <col min="14116" max="14117" width="0.28515625" style="2" customWidth="1"/>
    <col min="14118" max="14118" width="1.42578125" style="2" customWidth="1"/>
    <col min="14119" max="14119" width="0" style="2" hidden="1" customWidth="1"/>
    <col min="14120" max="14336" width="11.42578125" style="2"/>
    <col min="14337" max="14337" width="10.28515625" style="2" customWidth="1"/>
    <col min="14338" max="14338" width="13.42578125" style="2" customWidth="1"/>
    <col min="14339" max="14339" width="4.28515625" style="2" customWidth="1"/>
    <col min="14340" max="14340" width="4" style="2" customWidth="1"/>
    <col min="14341" max="14341" width="15" style="2" customWidth="1"/>
    <col min="14342" max="14342" width="4.140625" style="2" customWidth="1"/>
    <col min="14343" max="14343" width="11.28515625" style="2" customWidth="1"/>
    <col min="14344" max="14344" width="16.140625" style="2" customWidth="1"/>
    <col min="14345" max="14345" width="11" style="2" customWidth="1"/>
    <col min="14346" max="14347" width="2.140625" style="2" customWidth="1"/>
    <col min="14348" max="14348" width="3.28515625" style="2" customWidth="1"/>
    <col min="14349" max="14350" width="0" style="2" hidden="1" customWidth="1"/>
    <col min="14351" max="14351" width="2.85546875" style="2" customWidth="1"/>
    <col min="14352" max="14352" width="3.28515625" style="2" customWidth="1"/>
    <col min="14353" max="14353" width="1.42578125" style="2" customWidth="1"/>
    <col min="14354" max="14354" width="0" style="2" hidden="1" customWidth="1"/>
    <col min="14355" max="14355" width="6.85546875" style="2" customWidth="1"/>
    <col min="14356" max="14356" width="0" style="2" hidden="1" customWidth="1"/>
    <col min="14357" max="14358" width="6.28515625" style="2" customWidth="1"/>
    <col min="14359" max="14359" width="17.28515625" style="2" customWidth="1"/>
    <col min="14360" max="14360" width="24.42578125" style="2" customWidth="1"/>
    <col min="14361" max="14361" width="10.85546875" style="2" customWidth="1"/>
    <col min="14362" max="14362" width="14.140625" style="2" customWidth="1"/>
    <col min="14363" max="14363" width="0" style="2" hidden="1" customWidth="1"/>
    <col min="14364" max="14364" width="18" style="2" customWidth="1"/>
    <col min="14365" max="14365" width="13.140625" style="2" customWidth="1"/>
    <col min="14366" max="14367" width="14" style="2" customWidth="1"/>
    <col min="14368" max="14368" width="11.42578125" style="2" customWidth="1"/>
    <col min="14369" max="14369" width="15.85546875" style="2" customWidth="1"/>
    <col min="14370" max="14370" width="23.7109375" style="2" customWidth="1"/>
    <col min="14371" max="14371" width="12" style="2" customWidth="1"/>
    <col min="14372" max="14373" width="0.28515625" style="2" customWidth="1"/>
    <col min="14374" max="14374" width="1.42578125" style="2" customWidth="1"/>
    <col min="14375" max="14375" width="0" style="2" hidden="1" customWidth="1"/>
    <col min="14376" max="14592" width="11.42578125" style="2"/>
    <col min="14593" max="14593" width="10.28515625" style="2" customWidth="1"/>
    <col min="14594" max="14594" width="13.42578125" style="2" customWidth="1"/>
    <col min="14595" max="14595" width="4.28515625" style="2" customWidth="1"/>
    <col min="14596" max="14596" width="4" style="2" customWidth="1"/>
    <col min="14597" max="14597" width="15" style="2" customWidth="1"/>
    <col min="14598" max="14598" width="4.140625" style="2" customWidth="1"/>
    <col min="14599" max="14599" width="11.28515625" style="2" customWidth="1"/>
    <col min="14600" max="14600" width="16.140625" style="2" customWidth="1"/>
    <col min="14601" max="14601" width="11" style="2" customWidth="1"/>
    <col min="14602" max="14603" width="2.140625" style="2" customWidth="1"/>
    <col min="14604" max="14604" width="3.28515625" style="2" customWidth="1"/>
    <col min="14605" max="14606" width="0" style="2" hidden="1" customWidth="1"/>
    <col min="14607" max="14607" width="2.85546875" style="2" customWidth="1"/>
    <col min="14608" max="14608" width="3.28515625" style="2" customWidth="1"/>
    <col min="14609" max="14609" width="1.42578125" style="2" customWidth="1"/>
    <col min="14610" max="14610" width="0" style="2" hidden="1" customWidth="1"/>
    <col min="14611" max="14611" width="6.85546875" style="2" customWidth="1"/>
    <col min="14612" max="14612" width="0" style="2" hidden="1" customWidth="1"/>
    <col min="14613" max="14614" width="6.28515625" style="2" customWidth="1"/>
    <col min="14615" max="14615" width="17.28515625" style="2" customWidth="1"/>
    <col min="14616" max="14616" width="24.42578125" style="2" customWidth="1"/>
    <col min="14617" max="14617" width="10.85546875" style="2" customWidth="1"/>
    <col min="14618" max="14618" width="14.140625" style="2" customWidth="1"/>
    <col min="14619" max="14619" width="0" style="2" hidden="1" customWidth="1"/>
    <col min="14620" max="14620" width="18" style="2" customWidth="1"/>
    <col min="14621" max="14621" width="13.140625" style="2" customWidth="1"/>
    <col min="14622" max="14623" width="14" style="2" customWidth="1"/>
    <col min="14624" max="14624" width="11.42578125" style="2" customWidth="1"/>
    <col min="14625" max="14625" width="15.85546875" style="2" customWidth="1"/>
    <col min="14626" max="14626" width="23.7109375" style="2" customWidth="1"/>
    <col min="14627" max="14627" width="12" style="2" customWidth="1"/>
    <col min="14628" max="14629" width="0.28515625" style="2" customWidth="1"/>
    <col min="14630" max="14630" width="1.42578125" style="2" customWidth="1"/>
    <col min="14631" max="14631" width="0" style="2" hidden="1" customWidth="1"/>
    <col min="14632" max="14848" width="11.42578125" style="2"/>
    <col min="14849" max="14849" width="10.28515625" style="2" customWidth="1"/>
    <col min="14850" max="14850" width="13.42578125" style="2" customWidth="1"/>
    <col min="14851" max="14851" width="4.28515625" style="2" customWidth="1"/>
    <col min="14852" max="14852" width="4" style="2" customWidth="1"/>
    <col min="14853" max="14853" width="15" style="2" customWidth="1"/>
    <col min="14854" max="14854" width="4.140625" style="2" customWidth="1"/>
    <col min="14855" max="14855" width="11.28515625" style="2" customWidth="1"/>
    <col min="14856" max="14856" width="16.140625" style="2" customWidth="1"/>
    <col min="14857" max="14857" width="11" style="2" customWidth="1"/>
    <col min="14858" max="14859" width="2.140625" style="2" customWidth="1"/>
    <col min="14860" max="14860" width="3.28515625" style="2" customWidth="1"/>
    <col min="14861" max="14862" width="0" style="2" hidden="1" customWidth="1"/>
    <col min="14863" max="14863" width="2.85546875" style="2" customWidth="1"/>
    <col min="14864" max="14864" width="3.28515625" style="2" customWidth="1"/>
    <col min="14865" max="14865" width="1.42578125" style="2" customWidth="1"/>
    <col min="14866" max="14866" width="0" style="2" hidden="1" customWidth="1"/>
    <col min="14867" max="14867" width="6.85546875" style="2" customWidth="1"/>
    <col min="14868" max="14868" width="0" style="2" hidden="1" customWidth="1"/>
    <col min="14869" max="14870" width="6.28515625" style="2" customWidth="1"/>
    <col min="14871" max="14871" width="17.28515625" style="2" customWidth="1"/>
    <col min="14872" max="14872" width="24.42578125" style="2" customWidth="1"/>
    <col min="14873" max="14873" width="10.85546875" style="2" customWidth="1"/>
    <col min="14874" max="14874" width="14.140625" style="2" customWidth="1"/>
    <col min="14875" max="14875" width="0" style="2" hidden="1" customWidth="1"/>
    <col min="14876" max="14876" width="18" style="2" customWidth="1"/>
    <col min="14877" max="14877" width="13.140625" style="2" customWidth="1"/>
    <col min="14878" max="14879" width="14" style="2" customWidth="1"/>
    <col min="14880" max="14880" width="11.42578125" style="2" customWidth="1"/>
    <col min="14881" max="14881" width="15.85546875" style="2" customWidth="1"/>
    <col min="14882" max="14882" width="23.7109375" style="2" customWidth="1"/>
    <col min="14883" max="14883" width="12" style="2" customWidth="1"/>
    <col min="14884" max="14885" width="0.28515625" style="2" customWidth="1"/>
    <col min="14886" max="14886" width="1.42578125" style="2" customWidth="1"/>
    <col min="14887" max="14887" width="0" style="2" hidden="1" customWidth="1"/>
    <col min="14888" max="15104" width="11.42578125" style="2"/>
    <col min="15105" max="15105" width="10.28515625" style="2" customWidth="1"/>
    <col min="15106" max="15106" width="13.42578125" style="2" customWidth="1"/>
    <col min="15107" max="15107" width="4.28515625" style="2" customWidth="1"/>
    <col min="15108" max="15108" width="4" style="2" customWidth="1"/>
    <col min="15109" max="15109" width="15" style="2" customWidth="1"/>
    <col min="15110" max="15110" width="4.140625" style="2" customWidth="1"/>
    <col min="15111" max="15111" width="11.28515625" style="2" customWidth="1"/>
    <col min="15112" max="15112" width="16.140625" style="2" customWidth="1"/>
    <col min="15113" max="15113" width="11" style="2" customWidth="1"/>
    <col min="15114" max="15115" width="2.140625" style="2" customWidth="1"/>
    <col min="15116" max="15116" width="3.28515625" style="2" customWidth="1"/>
    <col min="15117" max="15118" width="0" style="2" hidden="1" customWidth="1"/>
    <col min="15119" max="15119" width="2.85546875" style="2" customWidth="1"/>
    <col min="15120" max="15120" width="3.28515625" style="2" customWidth="1"/>
    <col min="15121" max="15121" width="1.42578125" style="2" customWidth="1"/>
    <col min="15122" max="15122" width="0" style="2" hidden="1" customWidth="1"/>
    <col min="15123" max="15123" width="6.85546875" style="2" customWidth="1"/>
    <col min="15124" max="15124" width="0" style="2" hidden="1" customWidth="1"/>
    <col min="15125" max="15126" width="6.28515625" style="2" customWidth="1"/>
    <col min="15127" max="15127" width="17.28515625" style="2" customWidth="1"/>
    <col min="15128" max="15128" width="24.42578125" style="2" customWidth="1"/>
    <col min="15129" max="15129" width="10.85546875" style="2" customWidth="1"/>
    <col min="15130" max="15130" width="14.140625" style="2" customWidth="1"/>
    <col min="15131" max="15131" width="0" style="2" hidden="1" customWidth="1"/>
    <col min="15132" max="15132" width="18" style="2" customWidth="1"/>
    <col min="15133" max="15133" width="13.140625" style="2" customWidth="1"/>
    <col min="15134" max="15135" width="14" style="2" customWidth="1"/>
    <col min="15136" max="15136" width="11.42578125" style="2" customWidth="1"/>
    <col min="15137" max="15137" width="15.85546875" style="2" customWidth="1"/>
    <col min="15138" max="15138" width="23.7109375" style="2" customWidth="1"/>
    <col min="15139" max="15139" width="12" style="2" customWidth="1"/>
    <col min="15140" max="15141" width="0.28515625" style="2" customWidth="1"/>
    <col min="15142" max="15142" width="1.42578125" style="2" customWidth="1"/>
    <col min="15143" max="15143" width="0" style="2" hidden="1" customWidth="1"/>
    <col min="15144" max="15360" width="11.42578125" style="2"/>
    <col min="15361" max="15361" width="10.28515625" style="2" customWidth="1"/>
    <col min="15362" max="15362" width="13.42578125" style="2" customWidth="1"/>
    <col min="15363" max="15363" width="4.28515625" style="2" customWidth="1"/>
    <col min="15364" max="15364" width="4" style="2" customWidth="1"/>
    <col min="15365" max="15365" width="15" style="2" customWidth="1"/>
    <col min="15366" max="15366" width="4.140625" style="2" customWidth="1"/>
    <col min="15367" max="15367" width="11.28515625" style="2" customWidth="1"/>
    <col min="15368" max="15368" width="16.140625" style="2" customWidth="1"/>
    <col min="15369" max="15369" width="11" style="2" customWidth="1"/>
    <col min="15370" max="15371" width="2.140625" style="2" customWidth="1"/>
    <col min="15372" max="15372" width="3.28515625" style="2" customWidth="1"/>
    <col min="15373" max="15374" width="0" style="2" hidden="1" customWidth="1"/>
    <col min="15375" max="15375" width="2.85546875" style="2" customWidth="1"/>
    <col min="15376" max="15376" width="3.28515625" style="2" customWidth="1"/>
    <col min="15377" max="15377" width="1.42578125" style="2" customWidth="1"/>
    <col min="15378" max="15378" width="0" style="2" hidden="1" customWidth="1"/>
    <col min="15379" max="15379" width="6.85546875" style="2" customWidth="1"/>
    <col min="15380" max="15380" width="0" style="2" hidden="1" customWidth="1"/>
    <col min="15381" max="15382" width="6.28515625" style="2" customWidth="1"/>
    <col min="15383" max="15383" width="17.28515625" style="2" customWidth="1"/>
    <col min="15384" max="15384" width="24.42578125" style="2" customWidth="1"/>
    <col min="15385" max="15385" width="10.85546875" style="2" customWidth="1"/>
    <col min="15386" max="15386" width="14.140625" style="2" customWidth="1"/>
    <col min="15387" max="15387" width="0" style="2" hidden="1" customWidth="1"/>
    <col min="15388" max="15388" width="18" style="2" customWidth="1"/>
    <col min="15389" max="15389" width="13.140625" style="2" customWidth="1"/>
    <col min="15390" max="15391" width="14" style="2" customWidth="1"/>
    <col min="15392" max="15392" width="11.42578125" style="2" customWidth="1"/>
    <col min="15393" max="15393" width="15.85546875" style="2" customWidth="1"/>
    <col min="15394" max="15394" width="23.7109375" style="2" customWidth="1"/>
    <col min="15395" max="15395" width="12" style="2" customWidth="1"/>
    <col min="15396" max="15397" width="0.28515625" style="2" customWidth="1"/>
    <col min="15398" max="15398" width="1.42578125" style="2" customWidth="1"/>
    <col min="15399" max="15399" width="0" style="2" hidden="1" customWidth="1"/>
    <col min="15400" max="15616" width="11.42578125" style="2"/>
    <col min="15617" max="15617" width="10.28515625" style="2" customWidth="1"/>
    <col min="15618" max="15618" width="13.42578125" style="2" customWidth="1"/>
    <col min="15619" max="15619" width="4.28515625" style="2" customWidth="1"/>
    <col min="15620" max="15620" width="4" style="2" customWidth="1"/>
    <col min="15621" max="15621" width="15" style="2" customWidth="1"/>
    <col min="15622" max="15622" width="4.140625" style="2" customWidth="1"/>
    <col min="15623" max="15623" width="11.28515625" style="2" customWidth="1"/>
    <col min="15624" max="15624" width="16.140625" style="2" customWidth="1"/>
    <col min="15625" max="15625" width="11" style="2" customWidth="1"/>
    <col min="15626" max="15627" width="2.140625" style="2" customWidth="1"/>
    <col min="15628" max="15628" width="3.28515625" style="2" customWidth="1"/>
    <col min="15629" max="15630" width="0" style="2" hidden="1" customWidth="1"/>
    <col min="15631" max="15631" width="2.85546875" style="2" customWidth="1"/>
    <col min="15632" max="15632" width="3.28515625" style="2" customWidth="1"/>
    <col min="15633" max="15633" width="1.42578125" style="2" customWidth="1"/>
    <col min="15634" max="15634" width="0" style="2" hidden="1" customWidth="1"/>
    <col min="15635" max="15635" width="6.85546875" style="2" customWidth="1"/>
    <col min="15636" max="15636" width="0" style="2" hidden="1" customWidth="1"/>
    <col min="15637" max="15638" width="6.28515625" style="2" customWidth="1"/>
    <col min="15639" max="15639" width="17.28515625" style="2" customWidth="1"/>
    <col min="15640" max="15640" width="24.42578125" style="2" customWidth="1"/>
    <col min="15641" max="15641" width="10.85546875" style="2" customWidth="1"/>
    <col min="15642" max="15642" width="14.140625" style="2" customWidth="1"/>
    <col min="15643" max="15643" width="0" style="2" hidden="1" customWidth="1"/>
    <col min="15644" max="15644" width="18" style="2" customWidth="1"/>
    <col min="15645" max="15645" width="13.140625" style="2" customWidth="1"/>
    <col min="15646" max="15647" width="14" style="2" customWidth="1"/>
    <col min="15648" max="15648" width="11.42578125" style="2" customWidth="1"/>
    <col min="15649" max="15649" width="15.85546875" style="2" customWidth="1"/>
    <col min="15650" max="15650" width="23.7109375" style="2" customWidth="1"/>
    <col min="15651" max="15651" width="12" style="2" customWidth="1"/>
    <col min="15652" max="15653" width="0.28515625" style="2" customWidth="1"/>
    <col min="15654" max="15654" width="1.42578125" style="2" customWidth="1"/>
    <col min="15655" max="15655" width="0" style="2" hidden="1" customWidth="1"/>
    <col min="15656" max="15872" width="11.42578125" style="2"/>
    <col min="15873" max="15873" width="10.28515625" style="2" customWidth="1"/>
    <col min="15874" max="15874" width="13.42578125" style="2" customWidth="1"/>
    <col min="15875" max="15875" width="4.28515625" style="2" customWidth="1"/>
    <col min="15876" max="15876" width="4" style="2" customWidth="1"/>
    <col min="15877" max="15877" width="15" style="2" customWidth="1"/>
    <col min="15878" max="15878" width="4.140625" style="2" customWidth="1"/>
    <col min="15879" max="15879" width="11.28515625" style="2" customWidth="1"/>
    <col min="15880" max="15880" width="16.140625" style="2" customWidth="1"/>
    <col min="15881" max="15881" width="11" style="2" customWidth="1"/>
    <col min="15882" max="15883" width="2.140625" style="2" customWidth="1"/>
    <col min="15884" max="15884" width="3.28515625" style="2" customWidth="1"/>
    <col min="15885" max="15886" width="0" style="2" hidden="1" customWidth="1"/>
    <col min="15887" max="15887" width="2.85546875" style="2" customWidth="1"/>
    <col min="15888" max="15888" width="3.28515625" style="2" customWidth="1"/>
    <col min="15889" max="15889" width="1.42578125" style="2" customWidth="1"/>
    <col min="15890" max="15890" width="0" style="2" hidden="1" customWidth="1"/>
    <col min="15891" max="15891" width="6.85546875" style="2" customWidth="1"/>
    <col min="15892" max="15892" width="0" style="2" hidden="1" customWidth="1"/>
    <col min="15893" max="15894" width="6.28515625" style="2" customWidth="1"/>
    <col min="15895" max="15895" width="17.28515625" style="2" customWidth="1"/>
    <col min="15896" max="15896" width="24.42578125" style="2" customWidth="1"/>
    <col min="15897" max="15897" width="10.85546875" style="2" customWidth="1"/>
    <col min="15898" max="15898" width="14.140625" style="2" customWidth="1"/>
    <col min="15899" max="15899" width="0" style="2" hidden="1" customWidth="1"/>
    <col min="15900" max="15900" width="18" style="2" customWidth="1"/>
    <col min="15901" max="15901" width="13.140625" style="2" customWidth="1"/>
    <col min="15902" max="15903" width="14" style="2" customWidth="1"/>
    <col min="15904" max="15904" width="11.42578125" style="2" customWidth="1"/>
    <col min="15905" max="15905" width="15.85546875" style="2" customWidth="1"/>
    <col min="15906" max="15906" width="23.7109375" style="2" customWidth="1"/>
    <col min="15907" max="15907" width="12" style="2" customWidth="1"/>
    <col min="15908" max="15909" width="0.28515625" style="2" customWidth="1"/>
    <col min="15910" max="15910" width="1.42578125" style="2" customWidth="1"/>
    <col min="15911" max="15911" width="0" style="2" hidden="1" customWidth="1"/>
    <col min="15912" max="16128" width="11.42578125" style="2"/>
    <col min="16129" max="16129" width="10.28515625" style="2" customWidth="1"/>
    <col min="16130" max="16130" width="13.42578125" style="2" customWidth="1"/>
    <col min="16131" max="16131" width="4.28515625" style="2" customWidth="1"/>
    <col min="16132" max="16132" width="4" style="2" customWidth="1"/>
    <col min="16133" max="16133" width="15" style="2" customWidth="1"/>
    <col min="16134" max="16134" width="4.140625" style="2" customWidth="1"/>
    <col min="16135" max="16135" width="11.28515625" style="2" customWidth="1"/>
    <col min="16136" max="16136" width="16.140625" style="2" customWidth="1"/>
    <col min="16137" max="16137" width="11" style="2" customWidth="1"/>
    <col min="16138" max="16139" width="2.140625" style="2" customWidth="1"/>
    <col min="16140" max="16140" width="3.28515625" style="2" customWidth="1"/>
    <col min="16141" max="16142" width="0" style="2" hidden="1" customWidth="1"/>
    <col min="16143" max="16143" width="2.85546875" style="2" customWidth="1"/>
    <col min="16144" max="16144" width="3.28515625" style="2" customWidth="1"/>
    <col min="16145" max="16145" width="1.42578125" style="2" customWidth="1"/>
    <col min="16146" max="16146" width="0" style="2" hidden="1" customWidth="1"/>
    <col min="16147" max="16147" width="6.85546875" style="2" customWidth="1"/>
    <col min="16148" max="16148" width="0" style="2" hidden="1" customWidth="1"/>
    <col min="16149" max="16150" width="6.28515625" style="2" customWidth="1"/>
    <col min="16151" max="16151" width="17.28515625" style="2" customWidth="1"/>
    <col min="16152" max="16152" width="24.42578125" style="2" customWidth="1"/>
    <col min="16153" max="16153" width="10.85546875" style="2" customWidth="1"/>
    <col min="16154" max="16154" width="14.140625" style="2" customWidth="1"/>
    <col min="16155" max="16155" width="0" style="2" hidden="1" customWidth="1"/>
    <col min="16156" max="16156" width="18" style="2" customWidth="1"/>
    <col min="16157" max="16157" width="13.140625" style="2" customWidth="1"/>
    <col min="16158" max="16159" width="14" style="2" customWidth="1"/>
    <col min="16160" max="16160" width="11.42578125" style="2" customWidth="1"/>
    <col min="16161" max="16161" width="15.85546875" style="2" customWidth="1"/>
    <col min="16162" max="16162" width="23.7109375" style="2" customWidth="1"/>
    <col min="16163" max="16163" width="12" style="2" customWidth="1"/>
    <col min="16164" max="16165" width="0.28515625" style="2" customWidth="1"/>
    <col min="16166" max="16166" width="1.42578125" style="2" customWidth="1"/>
    <col min="16167" max="16167" width="0" style="2" hidden="1" customWidth="1"/>
    <col min="16168" max="16384" width="11.42578125" style="2"/>
  </cols>
  <sheetData>
    <row r="1" spans="1:37" ht="45" customHeight="1">
      <c r="A1" s="600"/>
      <c r="B1" s="600"/>
      <c r="C1" s="684" t="s">
        <v>0</v>
      </c>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6"/>
      <c r="AH1" s="689" t="s">
        <v>45</v>
      </c>
      <c r="AJ1" s="3" t="s">
        <v>17</v>
      </c>
      <c r="AK1" s="6" t="s">
        <v>23</v>
      </c>
    </row>
    <row r="2" spans="1:37" ht="45" customHeight="1">
      <c r="A2" s="600"/>
      <c r="B2" s="600"/>
      <c r="C2" s="690" t="s">
        <v>37</v>
      </c>
      <c r="D2" s="691"/>
      <c r="E2" s="691"/>
      <c r="F2" s="691"/>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2"/>
      <c r="AH2" s="689"/>
      <c r="AJ2" s="2" t="s">
        <v>18</v>
      </c>
      <c r="AK2" s="7" t="s">
        <v>24</v>
      </c>
    </row>
    <row r="3" spans="1:37"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G3" s="604"/>
      <c r="AH3" s="604"/>
      <c r="AJ3" s="3" t="s">
        <v>16</v>
      </c>
      <c r="AK3" s="6" t="s">
        <v>25</v>
      </c>
    </row>
    <row r="4" spans="1:37" ht="30.75" customHeight="1">
      <c r="A4" s="597" t="s">
        <v>5</v>
      </c>
      <c r="B4" s="597"/>
      <c r="C4" s="597"/>
      <c r="D4" s="597"/>
      <c r="E4" s="598" t="s">
        <v>138</v>
      </c>
      <c r="F4" s="598"/>
      <c r="G4" s="598"/>
      <c r="H4" s="598"/>
      <c r="I4" s="598"/>
      <c r="J4" s="598"/>
      <c r="K4" s="598"/>
      <c r="L4" s="598"/>
      <c r="M4" s="598"/>
      <c r="N4" s="598"/>
      <c r="O4" s="598"/>
      <c r="P4" s="598"/>
      <c r="Q4" s="598"/>
      <c r="R4" s="598"/>
      <c r="S4" s="598"/>
      <c r="T4" s="598"/>
      <c r="U4" s="598"/>
      <c r="V4" s="598"/>
      <c r="W4" s="599" t="s">
        <v>20</v>
      </c>
      <c r="X4" s="599"/>
      <c r="Y4" s="599"/>
      <c r="Z4" s="679" t="s">
        <v>139</v>
      </c>
      <c r="AA4" s="680"/>
      <c r="AB4" s="680"/>
      <c r="AC4" s="680"/>
      <c r="AD4" s="680"/>
      <c r="AE4" s="681"/>
      <c r="AF4" s="682" t="s">
        <v>48</v>
      </c>
      <c r="AG4" s="683"/>
      <c r="AH4" s="45" t="s">
        <v>71</v>
      </c>
      <c r="AJ4" s="6" t="s">
        <v>19</v>
      </c>
    </row>
    <row r="5" spans="1:37" ht="4.5" customHeight="1" thickBo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row>
    <row r="6" spans="1:37" ht="57" customHeight="1">
      <c r="A6" s="605" t="s">
        <v>39</v>
      </c>
      <c r="B6" s="606"/>
      <c r="C6" s="599" t="s">
        <v>1</v>
      </c>
      <c r="D6" s="599" t="s">
        <v>49</v>
      </c>
      <c r="E6" s="599"/>
      <c r="F6" s="608" t="s">
        <v>6</v>
      </c>
      <c r="G6" s="599" t="s">
        <v>9</v>
      </c>
      <c r="H6" s="607" t="s">
        <v>50</v>
      </c>
      <c r="I6" s="599" t="s">
        <v>2</v>
      </c>
      <c r="J6" s="599" t="s">
        <v>21</v>
      </c>
      <c r="K6" s="599"/>
      <c r="L6" s="599"/>
      <c r="M6" s="599"/>
      <c r="N6" s="599"/>
      <c r="O6" s="599"/>
      <c r="P6" s="599"/>
      <c r="Q6" s="599"/>
      <c r="R6" s="599"/>
      <c r="S6" s="599"/>
      <c r="T6" s="599"/>
      <c r="U6" s="599"/>
      <c r="V6" s="599"/>
      <c r="W6" s="599" t="s">
        <v>51</v>
      </c>
      <c r="X6" s="607" t="s">
        <v>52</v>
      </c>
      <c r="Y6" s="599" t="s">
        <v>3</v>
      </c>
      <c r="Z6" s="599"/>
      <c r="AA6" s="599"/>
      <c r="AB6" s="610" t="s">
        <v>53</v>
      </c>
      <c r="AC6" s="610" t="s">
        <v>4</v>
      </c>
      <c r="AD6" s="610"/>
      <c r="AE6" s="611" t="s">
        <v>54</v>
      </c>
      <c r="AF6" s="599" t="s">
        <v>55</v>
      </c>
      <c r="AG6" s="599" t="s">
        <v>56</v>
      </c>
      <c r="AH6" s="599" t="s">
        <v>57</v>
      </c>
    </row>
    <row r="7" spans="1:37" ht="37.5" customHeight="1" thickBot="1">
      <c r="A7" s="58" t="s">
        <v>40</v>
      </c>
      <c r="B7" s="59" t="s">
        <v>41</v>
      </c>
      <c r="C7" s="599"/>
      <c r="D7" s="599"/>
      <c r="E7" s="599"/>
      <c r="F7" s="608"/>
      <c r="G7" s="599"/>
      <c r="H7" s="693"/>
      <c r="I7" s="599"/>
      <c r="J7" s="599" t="s">
        <v>11</v>
      </c>
      <c r="K7" s="599"/>
      <c r="L7" s="599"/>
      <c r="M7" s="599"/>
      <c r="N7" s="599"/>
      <c r="O7" s="599"/>
      <c r="P7" s="644" t="s">
        <v>12</v>
      </c>
      <c r="Q7" s="644"/>
      <c r="R7" s="644"/>
      <c r="S7" s="644"/>
      <c r="T7" s="644"/>
      <c r="U7" s="644" t="s">
        <v>13</v>
      </c>
      <c r="V7" s="644"/>
      <c r="W7" s="599"/>
      <c r="X7" s="693"/>
      <c r="Y7" s="599"/>
      <c r="Z7" s="599"/>
      <c r="AA7" s="599"/>
      <c r="AB7" s="610"/>
      <c r="AC7" s="56" t="s">
        <v>14</v>
      </c>
      <c r="AD7" s="54" t="s">
        <v>15</v>
      </c>
      <c r="AE7" s="687"/>
      <c r="AF7" s="599"/>
      <c r="AG7" s="599"/>
      <c r="AH7" s="599"/>
    </row>
    <row r="8" spans="1:37" ht="99.75" customHeight="1">
      <c r="A8" s="773"/>
      <c r="B8" s="773"/>
      <c r="C8" s="696">
        <v>1</v>
      </c>
      <c r="D8" s="922" t="s">
        <v>140</v>
      </c>
      <c r="E8" s="923"/>
      <c r="F8" s="701">
        <v>43921</v>
      </c>
      <c r="G8" s="695" t="s">
        <v>28</v>
      </c>
      <c r="H8" s="695" t="s">
        <v>59</v>
      </c>
      <c r="I8" s="696" t="s">
        <v>25</v>
      </c>
      <c r="J8" s="915" t="s">
        <v>162</v>
      </c>
      <c r="K8" s="928"/>
      <c r="L8" s="928"/>
      <c r="M8" s="928"/>
      <c r="N8" s="928"/>
      <c r="O8" s="916"/>
      <c r="P8" s="915" t="s">
        <v>162</v>
      </c>
      <c r="Q8" s="928"/>
      <c r="R8" s="928"/>
      <c r="S8" s="916"/>
      <c r="T8" s="63"/>
      <c r="U8" s="915" t="s">
        <v>162</v>
      </c>
      <c r="V8" s="916"/>
      <c r="W8" s="700" t="s">
        <v>141</v>
      </c>
      <c r="X8" s="700" t="s">
        <v>142</v>
      </c>
      <c r="Y8" s="909" t="s">
        <v>143</v>
      </c>
      <c r="Z8" s="910"/>
      <c r="AA8" s="911"/>
      <c r="AB8" s="128" t="s">
        <v>144</v>
      </c>
      <c r="AC8" s="130">
        <v>43922</v>
      </c>
      <c r="AD8" s="130">
        <v>43951</v>
      </c>
      <c r="AE8" s="107" t="s">
        <v>68</v>
      </c>
      <c r="AF8" s="53" t="s">
        <v>17</v>
      </c>
      <c r="AG8" s="5">
        <v>1</v>
      </c>
      <c r="AH8" s="67" t="s">
        <v>145</v>
      </c>
    </row>
    <row r="9" spans="1:37" ht="99" customHeight="1">
      <c r="A9" s="633"/>
      <c r="B9" s="633"/>
      <c r="C9" s="674"/>
      <c r="D9" s="834"/>
      <c r="E9" s="835"/>
      <c r="F9" s="791"/>
      <c r="G9" s="668"/>
      <c r="H9" s="668"/>
      <c r="I9" s="674"/>
      <c r="J9" s="917"/>
      <c r="K9" s="929"/>
      <c r="L9" s="929"/>
      <c r="M9" s="929"/>
      <c r="N9" s="929"/>
      <c r="O9" s="918"/>
      <c r="P9" s="917"/>
      <c r="Q9" s="929"/>
      <c r="R9" s="929"/>
      <c r="S9" s="918"/>
      <c r="T9" s="63"/>
      <c r="U9" s="917"/>
      <c r="V9" s="918"/>
      <c r="W9" s="657"/>
      <c r="X9" s="657"/>
      <c r="Y9" s="912" t="s">
        <v>146</v>
      </c>
      <c r="Z9" s="913"/>
      <c r="AA9" s="914"/>
      <c r="AB9" s="129" t="s">
        <v>147</v>
      </c>
      <c r="AC9" s="130">
        <v>43922</v>
      </c>
      <c r="AD9" s="130">
        <v>43951</v>
      </c>
      <c r="AE9" s="107" t="s">
        <v>68</v>
      </c>
      <c r="AF9" s="53" t="s">
        <v>17</v>
      </c>
      <c r="AG9" s="5">
        <v>1</v>
      </c>
      <c r="AH9" s="67" t="s">
        <v>145</v>
      </c>
    </row>
    <row r="10" spans="1:37" ht="114" customHeight="1">
      <c r="A10" s="633"/>
      <c r="B10" s="633"/>
      <c r="C10" s="674"/>
      <c r="D10" s="834"/>
      <c r="E10" s="835"/>
      <c r="F10" s="791"/>
      <c r="G10" s="668"/>
      <c r="H10" s="668"/>
      <c r="I10" s="674"/>
      <c r="J10" s="917"/>
      <c r="K10" s="929"/>
      <c r="L10" s="929"/>
      <c r="M10" s="929"/>
      <c r="N10" s="929"/>
      <c r="O10" s="918"/>
      <c r="P10" s="917"/>
      <c r="Q10" s="929"/>
      <c r="R10" s="929"/>
      <c r="S10" s="918"/>
      <c r="T10" s="63"/>
      <c r="U10" s="917"/>
      <c r="V10" s="918"/>
      <c r="W10" s="657"/>
      <c r="X10" s="657"/>
      <c r="Y10" s="909" t="s">
        <v>148</v>
      </c>
      <c r="Z10" s="910"/>
      <c r="AA10" s="911"/>
      <c r="AB10" s="131" t="s">
        <v>149</v>
      </c>
      <c r="AC10" s="132">
        <v>43922</v>
      </c>
      <c r="AD10" s="132">
        <v>44119</v>
      </c>
      <c r="AE10" s="107"/>
      <c r="AF10" s="53" t="s">
        <v>16</v>
      </c>
      <c r="AG10" s="5"/>
      <c r="AH10" s="67" t="s">
        <v>150</v>
      </c>
    </row>
    <row r="11" spans="1:37" ht="111" customHeight="1">
      <c r="A11" s="621"/>
      <c r="B11" s="621"/>
      <c r="C11" s="921"/>
      <c r="D11" s="924"/>
      <c r="E11" s="925"/>
      <c r="F11" s="926"/>
      <c r="G11" s="927"/>
      <c r="H11" s="927"/>
      <c r="I11" s="921"/>
      <c r="J11" s="919"/>
      <c r="K11" s="930"/>
      <c r="L11" s="930"/>
      <c r="M11" s="930"/>
      <c r="N11" s="930"/>
      <c r="O11" s="920"/>
      <c r="P11" s="919"/>
      <c r="Q11" s="930"/>
      <c r="R11" s="930"/>
      <c r="S11" s="920"/>
      <c r="T11" s="63"/>
      <c r="U11" s="919"/>
      <c r="V11" s="920"/>
      <c r="W11" s="627"/>
      <c r="X11" s="627"/>
      <c r="Y11" s="912" t="s">
        <v>151</v>
      </c>
      <c r="Z11" s="913"/>
      <c r="AA11" s="914"/>
      <c r="AB11" s="129" t="s">
        <v>152</v>
      </c>
      <c r="AC11" s="130">
        <v>44119</v>
      </c>
      <c r="AD11" s="130">
        <v>44165</v>
      </c>
      <c r="AE11" s="107" t="s">
        <v>68</v>
      </c>
      <c r="AF11" s="53" t="s">
        <v>17</v>
      </c>
      <c r="AG11" s="5">
        <v>1</v>
      </c>
      <c r="AH11" s="67" t="s">
        <v>153</v>
      </c>
    </row>
    <row r="12" spans="1:37" ht="115.5" customHeight="1">
      <c r="A12" s="773"/>
      <c r="B12" s="773"/>
      <c r="C12" s="696">
        <v>2</v>
      </c>
      <c r="D12" s="922" t="s">
        <v>1202</v>
      </c>
      <c r="E12" s="923"/>
      <c r="F12" s="701">
        <v>43708</v>
      </c>
      <c r="G12" s="695" t="s">
        <v>38</v>
      </c>
      <c r="H12" s="695" t="s">
        <v>65</v>
      </c>
      <c r="I12" s="696" t="s">
        <v>23</v>
      </c>
      <c r="J12" s="915"/>
      <c r="K12" s="928"/>
      <c r="L12" s="928"/>
      <c r="M12" s="928"/>
      <c r="N12" s="928"/>
      <c r="O12" s="916"/>
      <c r="P12" s="915"/>
      <c r="Q12" s="928"/>
      <c r="R12" s="928"/>
      <c r="S12" s="916"/>
      <c r="T12" s="551"/>
      <c r="U12" s="915"/>
      <c r="V12" s="916"/>
      <c r="W12" s="700" t="s">
        <v>1197</v>
      </c>
      <c r="X12" s="1180">
        <v>1</v>
      </c>
      <c r="Y12" s="1149" t="s">
        <v>1198</v>
      </c>
      <c r="Z12" s="1149"/>
      <c r="AA12" s="1149"/>
      <c r="AB12" s="576" t="s">
        <v>1199</v>
      </c>
      <c r="AC12" s="22">
        <v>44075</v>
      </c>
      <c r="AD12" s="22">
        <v>44089</v>
      </c>
      <c r="AE12" s="559"/>
      <c r="AF12" s="587"/>
      <c r="AG12" s="5"/>
      <c r="AH12" s="67"/>
    </row>
    <row r="13" spans="1:37" ht="111" customHeight="1">
      <c r="A13" s="621"/>
      <c r="B13" s="621"/>
      <c r="C13" s="921"/>
      <c r="D13" s="924"/>
      <c r="E13" s="925"/>
      <c r="F13" s="926"/>
      <c r="G13" s="927"/>
      <c r="H13" s="927"/>
      <c r="I13" s="921"/>
      <c r="J13" s="919"/>
      <c r="K13" s="930"/>
      <c r="L13" s="930"/>
      <c r="M13" s="930"/>
      <c r="N13" s="930"/>
      <c r="O13" s="920"/>
      <c r="P13" s="919"/>
      <c r="Q13" s="930"/>
      <c r="R13" s="930"/>
      <c r="S13" s="920"/>
      <c r="T13" s="551"/>
      <c r="U13" s="919"/>
      <c r="V13" s="920"/>
      <c r="W13" s="627"/>
      <c r="X13" s="1411"/>
      <c r="Y13" s="1149" t="s">
        <v>1200</v>
      </c>
      <c r="Z13" s="1149"/>
      <c r="AA13" s="1149"/>
      <c r="AB13" s="576" t="s">
        <v>1201</v>
      </c>
      <c r="AC13" s="22">
        <v>44075</v>
      </c>
      <c r="AD13" s="22">
        <v>44089</v>
      </c>
      <c r="AE13" s="559"/>
      <c r="AF13" s="587"/>
      <c r="AG13" s="5"/>
      <c r="AH13" s="67"/>
    </row>
    <row r="14" spans="1:37" ht="6" customHeight="1">
      <c r="A14" s="604"/>
      <c r="B14" s="604"/>
      <c r="C14" s="604"/>
      <c r="D14" s="604"/>
      <c r="E14" s="604"/>
      <c r="F14" s="604"/>
      <c r="G14" s="604"/>
      <c r="H14" s="604"/>
      <c r="I14" s="604"/>
      <c r="J14" s="604"/>
      <c r="K14" s="604"/>
      <c r="L14" s="604"/>
      <c r="M14" s="604"/>
      <c r="N14" s="604"/>
      <c r="O14" s="604"/>
      <c r="P14" s="604"/>
      <c r="Q14" s="604"/>
      <c r="R14" s="604"/>
      <c r="S14" s="604"/>
      <c r="T14" s="604"/>
      <c r="U14" s="604"/>
      <c r="V14" s="604"/>
      <c r="W14" s="604"/>
      <c r="X14" s="604"/>
      <c r="Y14" s="604"/>
      <c r="Z14" s="604"/>
      <c r="AA14" s="604"/>
      <c r="AB14" s="604"/>
      <c r="AC14" s="604"/>
      <c r="AD14" s="604"/>
      <c r="AE14" s="604"/>
      <c r="AF14" s="604"/>
      <c r="AG14" s="604"/>
      <c r="AH14" s="604"/>
    </row>
    <row r="15" spans="1:37" ht="12.75" customHeight="1">
      <c r="A15" s="644" t="s">
        <v>22</v>
      </c>
      <c r="B15" s="644"/>
      <c r="C15" s="644"/>
      <c r="D15" s="644"/>
      <c r="E15" s="644"/>
      <c r="F15" s="644"/>
      <c r="G15" s="644"/>
      <c r="H15" s="644"/>
      <c r="I15" s="644"/>
      <c r="J15" s="644"/>
      <c r="K15" s="644"/>
      <c r="L15" s="644"/>
      <c r="M15" s="4"/>
      <c r="N15" s="4"/>
      <c r="O15" s="645" t="s">
        <v>34</v>
      </c>
      <c r="P15" s="645"/>
      <c r="Q15" s="645"/>
      <c r="R15" s="645"/>
      <c r="S15" s="645"/>
      <c r="T15" s="645"/>
      <c r="U15" s="645"/>
      <c r="V15" s="645"/>
      <c r="W15" s="645"/>
      <c r="X15" s="645"/>
      <c r="Y15" s="645"/>
      <c r="Z15" s="645"/>
      <c r="AA15" s="645"/>
      <c r="AB15" s="645"/>
      <c r="AC15" s="645"/>
      <c r="AD15" s="646" t="s">
        <v>35</v>
      </c>
      <c r="AE15" s="646"/>
      <c r="AF15" s="646"/>
      <c r="AG15" s="646"/>
      <c r="AH15" s="646"/>
    </row>
    <row r="16" spans="1:37">
      <c r="A16" s="644"/>
      <c r="B16" s="644"/>
      <c r="C16" s="644"/>
      <c r="D16" s="644"/>
      <c r="E16" s="644"/>
      <c r="F16" s="644"/>
      <c r="G16" s="644"/>
      <c r="H16" s="644"/>
      <c r="I16" s="644"/>
      <c r="J16" s="644"/>
      <c r="K16" s="644"/>
      <c r="L16" s="644"/>
      <c r="M16" s="4"/>
      <c r="N16" s="4"/>
      <c r="O16" s="645"/>
      <c r="P16" s="645"/>
      <c r="Q16" s="645"/>
      <c r="R16" s="645"/>
      <c r="S16" s="645"/>
      <c r="T16" s="645"/>
      <c r="U16" s="645"/>
      <c r="V16" s="645"/>
      <c r="W16" s="645"/>
      <c r="X16" s="645"/>
      <c r="Y16" s="645"/>
      <c r="Z16" s="645"/>
      <c r="AA16" s="645"/>
      <c r="AB16" s="645"/>
      <c r="AC16" s="645"/>
      <c r="AD16" s="646"/>
      <c r="AE16" s="646"/>
      <c r="AF16" s="646"/>
      <c r="AG16" s="646"/>
      <c r="AH16" s="646"/>
    </row>
    <row r="17" spans="1:37" ht="38.25" customHeight="1">
      <c r="A17" s="648" t="s">
        <v>157</v>
      </c>
      <c r="B17" s="648"/>
      <c r="C17" s="648"/>
      <c r="D17" s="648"/>
      <c r="E17" s="648"/>
      <c r="F17" s="648"/>
      <c r="G17" s="648"/>
      <c r="H17" s="648"/>
      <c r="I17" s="648"/>
      <c r="J17" s="648"/>
      <c r="K17" s="648"/>
      <c r="L17" s="648"/>
      <c r="M17" s="4"/>
      <c r="N17" s="4"/>
      <c r="O17" s="650" t="s">
        <v>155</v>
      </c>
      <c r="P17" s="650"/>
      <c r="Q17" s="650"/>
      <c r="R17" s="650"/>
      <c r="S17" s="650"/>
      <c r="T17" s="650"/>
      <c r="U17" s="650"/>
      <c r="V17" s="650"/>
      <c r="W17" s="650"/>
      <c r="X17" s="650"/>
      <c r="Y17" s="650"/>
      <c r="Z17" s="650"/>
      <c r="AA17" s="650"/>
      <c r="AB17" s="650"/>
      <c r="AC17" s="650"/>
      <c r="AD17" s="651" t="s">
        <v>156</v>
      </c>
      <c r="AE17" s="651"/>
      <c r="AF17" s="651"/>
      <c r="AG17" s="651"/>
      <c r="AH17" s="651"/>
    </row>
    <row r="18" spans="1:37" ht="15" customHeight="1">
      <c r="A18" s="641" t="s">
        <v>36</v>
      </c>
      <c r="B18" s="641"/>
      <c r="C18" s="641"/>
      <c r="D18" s="641"/>
      <c r="E18" s="641"/>
      <c r="F18" s="641"/>
      <c r="G18" s="641"/>
      <c r="H18" s="641"/>
      <c r="I18" s="641"/>
      <c r="J18" s="641"/>
      <c r="K18" s="641"/>
      <c r="L18" s="641"/>
      <c r="M18" s="641"/>
      <c r="N18" s="641"/>
      <c r="O18" s="641"/>
      <c r="P18" s="641"/>
      <c r="Q18" s="641"/>
      <c r="R18" s="641"/>
      <c r="S18" s="641"/>
      <c r="T18" s="641"/>
      <c r="U18" s="641"/>
      <c r="V18" s="641"/>
      <c r="W18" s="641"/>
      <c r="X18" s="641"/>
      <c r="Y18" s="641"/>
      <c r="Z18" s="641"/>
      <c r="AA18" s="641"/>
      <c r="AB18" s="641"/>
      <c r="AC18" s="641"/>
      <c r="AD18" s="641"/>
      <c r="AE18" s="641"/>
      <c r="AF18" s="641"/>
      <c r="AG18" s="641"/>
      <c r="AH18" s="641"/>
    </row>
    <row r="19" spans="1:37" ht="0.95" customHeight="1">
      <c r="A19" s="642"/>
      <c r="B19" s="642"/>
      <c r="C19" s="642"/>
      <c r="D19" s="642"/>
      <c r="E19" s="642"/>
      <c r="F19" s="642"/>
      <c r="G19" s="642"/>
      <c r="H19" s="642"/>
      <c r="I19" s="642"/>
      <c r="J19" s="642"/>
      <c r="K19" s="642"/>
      <c r="L19" s="642"/>
      <c r="M19" s="642"/>
      <c r="N19" s="642"/>
      <c r="O19" s="642"/>
      <c r="P19" s="642"/>
      <c r="Q19" s="642"/>
      <c r="R19" s="642"/>
      <c r="S19" s="642"/>
      <c r="T19" s="642"/>
      <c r="U19" s="642"/>
      <c r="V19" s="642"/>
      <c r="W19" s="642"/>
      <c r="X19" s="642"/>
      <c r="Y19" s="642"/>
      <c r="Z19" s="642"/>
      <c r="AA19" s="642"/>
      <c r="AB19" s="642"/>
      <c r="AC19" s="642"/>
      <c r="AD19" s="642"/>
      <c r="AE19" s="642"/>
      <c r="AF19" s="642"/>
      <c r="AG19" s="642"/>
      <c r="AH19" s="642"/>
      <c r="AI19" s="642"/>
    </row>
    <row r="20" spans="1:37">
      <c r="A20" s="642"/>
      <c r="B20" s="642"/>
      <c r="C20" s="642"/>
      <c r="D20" s="642"/>
      <c r="E20" s="642"/>
      <c r="F20" s="642"/>
      <c r="G20" s="642"/>
      <c r="H20" s="642"/>
      <c r="I20" s="642"/>
      <c r="J20" s="642"/>
      <c r="K20" s="642"/>
      <c r="L20" s="642"/>
      <c r="M20" s="642"/>
      <c r="N20" s="642"/>
      <c r="O20" s="642"/>
      <c r="P20" s="642"/>
      <c r="Q20" s="642"/>
      <c r="R20" s="642"/>
      <c r="S20" s="642"/>
      <c r="T20" s="642"/>
      <c r="U20" s="642"/>
      <c r="V20" s="642"/>
      <c r="W20" s="642"/>
      <c r="X20" s="642"/>
      <c r="Y20" s="642"/>
      <c r="Z20" s="642"/>
      <c r="AA20" s="642"/>
      <c r="AB20" s="642"/>
      <c r="AC20" s="642"/>
      <c r="AD20" s="642"/>
      <c r="AE20" s="642"/>
      <c r="AF20" s="642"/>
      <c r="AG20" s="642"/>
      <c r="AH20" s="642"/>
      <c r="AI20" s="8"/>
      <c r="AJ20" s="8"/>
    </row>
    <row r="21" spans="1:37" ht="24" customHeight="1">
      <c r="A21" s="74"/>
      <c r="B21" s="75"/>
      <c r="C21" s="74"/>
      <c r="D21" s="74"/>
      <c r="E21" s="74"/>
      <c r="F21" s="74"/>
      <c r="G21" s="74"/>
      <c r="H21" s="76" t="s">
        <v>66</v>
      </c>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8"/>
      <c r="AJ21" s="8"/>
    </row>
    <row r="22" spans="1:37" ht="54.95" customHeight="1">
      <c r="A22" s="74"/>
      <c r="B22" s="75"/>
      <c r="C22" s="74"/>
      <c r="D22" s="74"/>
      <c r="E22" s="74"/>
      <c r="F22" s="74"/>
      <c r="G22" s="74"/>
      <c r="H22" s="76" t="s">
        <v>67</v>
      </c>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8"/>
      <c r="AJ22" s="8"/>
    </row>
    <row r="23" spans="1:37" ht="0.95" customHeight="1">
      <c r="A23" s="74"/>
      <c r="B23" s="75" t="s">
        <v>68</v>
      </c>
      <c r="C23" s="74"/>
      <c r="D23" s="74"/>
      <c r="E23" s="74"/>
      <c r="F23" s="74"/>
      <c r="G23" s="74"/>
      <c r="H23" s="76" t="s">
        <v>69</v>
      </c>
      <c r="I23" s="74"/>
      <c r="J23" s="74"/>
      <c r="K23" s="74"/>
      <c r="L23" s="74"/>
      <c r="M23" s="74"/>
      <c r="N23" s="74"/>
      <c r="O23" s="74"/>
      <c r="P23" s="74"/>
      <c r="Q23" s="74"/>
      <c r="R23" s="74"/>
      <c r="S23" s="74"/>
      <c r="T23" s="74"/>
      <c r="U23" s="74"/>
      <c r="V23" s="74"/>
      <c r="W23" s="74"/>
      <c r="X23" s="76" t="s">
        <v>23</v>
      </c>
      <c r="Y23" s="74"/>
      <c r="Z23" s="74"/>
      <c r="AA23" s="74"/>
      <c r="AB23" s="74"/>
      <c r="AC23" s="74"/>
      <c r="AD23" s="74"/>
      <c r="AE23" s="74"/>
      <c r="AF23" s="74"/>
      <c r="AG23" s="74"/>
      <c r="AH23" s="74"/>
      <c r="AI23" s="8"/>
      <c r="AJ23" s="8"/>
    </row>
    <row r="24" spans="1:37" ht="0.95" customHeight="1">
      <c r="A24" s="74"/>
      <c r="B24" s="75" t="s">
        <v>70</v>
      </c>
      <c r="C24" s="74"/>
      <c r="D24" s="74"/>
      <c r="E24" s="74"/>
      <c r="F24" s="74"/>
      <c r="G24" s="74"/>
      <c r="H24" s="77" t="s">
        <v>59</v>
      </c>
      <c r="I24" s="74"/>
      <c r="J24" s="74"/>
      <c r="K24" s="74"/>
      <c r="L24" s="74"/>
      <c r="M24" s="74"/>
      <c r="N24" s="74"/>
      <c r="O24" s="74"/>
      <c r="P24" s="74"/>
      <c r="Q24" s="74"/>
      <c r="R24" s="74"/>
      <c r="S24" s="74"/>
      <c r="T24" s="74"/>
      <c r="U24" s="74"/>
      <c r="V24" s="74"/>
      <c r="W24" s="74"/>
      <c r="X24" s="76" t="s">
        <v>25</v>
      </c>
      <c r="Y24" s="74"/>
      <c r="Z24" s="74"/>
      <c r="AA24" s="74"/>
      <c r="AB24" s="74"/>
      <c r="AC24" s="74"/>
      <c r="AD24" s="74"/>
      <c r="AE24" s="74"/>
      <c r="AF24" s="74"/>
      <c r="AG24" s="74"/>
      <c r="AH24" s="74"/>
      <c r="AI24" s="8"/>
      <c r="AJ24" s="8"/>
    </row>
    <row r="25" spans="1:37" ht="0.95" customHeight="1">
      <c r="A25" s="78"/>
      <c r="B25" s="79" t="s">
        <v>16</v>
      </c>
      <c r="C25" s="78"/>
      <c r="D25" s="78"/>
      <c r="E25" s="78"/>
      <c r="F25" s="78"/>
      <c r="G25" s="78"/>
      <c r="H25" s="80" t="s">
        <v>65</v>
      </c>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row>
    <row r="27" spans="1:37" ht="24.75" customHeight="1">
      <c r="AK27" s="6" t="s">
        <v>38</v>
      </c>
    </row>
    <row r="28" spans="1:37" ht="24.75" customHeight="1">
      <c r="AK28" s="6" t="s">
        <v>10</v>
      </c>
    </row>
    <row r="29" spans="1:37" ht="24.75" customHeight="1">
      <c r="AK29" s="6" t="s">
        <v>42</v>
      </c>
    </row>
    <row r="30" spans="1:37" ht="24.75" customHeight="1">
      <c r="AK30" s="6" t="s">
        <v>43</v>
      </c>
    </row>
    <row r="31" spans="1:37" ht="24.75" customHeight="1">
      <c r="AK31" s="6" t="s">
        <v>44</v>
      </c>
    </row>
    <row r="32" spans="1:37" ht="24.75" customHeight="1">
      <c r="AK32" s="6" t="s">
        <v>26</v>
      </c>
    </row>
    <row r="33" spans="37:37" ht="24.75" customHeight="1">
      <c r="AK33" s="6" t="s">
        <v>27</v>
      </c>
    </row>
    <row r="34" spans="37:37" ht="24.75" customHeight="1">
      <c r="AK34" s="6" t="s">
        <v>28</v>
      </c>
    </row>
    <row r="35" spans="37:37" ht="24.75" customHeight="1">
      <c r="AK35" s="6" t="s">
        <v>30</v>
      </c>
    </row>
    <row r="36" spans="37:37" ht="24.75" customHeight="1">
      <c r="AK36" s="6" t="s">
        <v>29</v>
      </c>
    </row>
    <row r="37" spans="37:37" ht="24.75" customHeight="1">
      <c r="AK37" s="6" t="s">
        <v>31</v>
      </c>
    </row>
    <row r="38" spans="37:37" ht="24.75" customHeight="1">
      <c r="AK38" s="6" t="s">
        <v>32</v>
      </c>
    </row>
    <row r="39" spans="37:37" ht="51">
      <c r="AK39" s="6" t="s">
        <v>33</v>
      </c>
    </row>
  </sheetData>
  <mergeCells count="73">
    <mergeCell ref="U12:V13"/>
    <mergeCell ref="W12:W13"/>
    <mergeCell ref="X12:X13"/>
    <mergeCell ref="Y12:AA12"/>
    <mergeCell ref="Y13:AA13"/>
    <mergeCell ref="G12:G13"/>
    <mergeCell ref="H12:H13"/>
    <mergeCell ref="I12:I13"/>
    <mergeCell ref="J12:O13"/>
    <mergeCell ref="P12:S13"/>
    <mergeCell ref="A12:A13"/>
    <mergeCell ref="B12:B13"/>
    <mergeCell ref="C12:C13"/>
    <mergeCell ref="D12:E13"/>
    <mergeCell ref="F12:F13"/>
    <mergeCell ref="A4:D4"/>
    <mergeCell ref="E4:V4"/>
    <mergeCell ref="W4:Y4"/>
    <mergeCell ref="Z4:AE4"/>
    <mergeCell ref="AF4:AG4"/>
    <mergeCell ref="A1:B2"/>
    <mergeCell ref="C1:AG1"/>
    <mergeCell ref="AH1:AH2"/>
    <mergeCell ref="C2:AG2"/>
    <mergeCell ref="A3:AH3"/>
    <mergeCell ref="A5:AH5"/>
    <mergeCell ref="A6:B6"/>
    <mergeCell ref="C6:C7"/>
    <mergeCell ref="D6:E7"/>
    <mergeCell ref="F6:F7"/>
    <mergeCell ref="G6:G7"/>
    <mergeCell ref="H6:H7"/>
    <mergeCell ref="I6:I7"/>
    <mergeCell ref="J6:V6"/>
    <mergeCell ref="W6:W7"/>
    <mergeCell ref="AG6:AG7"/>
    <mergeCell ref="AH6:AH7"/>
    <mergeCell ref="J7:O7"/>
    <mergeCell ref="P7:T7"/>
    <mergeCell ref="U7:V7"/>
    <mergeCell ref="X6:X7"/>
    <mergeCell ref="Y6:AA7"/>
    <mergeCell ref="AB6:AB7"/>
    <mergeCell ref="AC6:AD6"/>
    <mergeCell ref="AE6:AE7"/>
    <mergeCell ref="AF6:AF7"/>
    <mergeCell ref="U8:V11"/>
    <mergeCell ref="A8:A11"/>
    <mergeCell ref="B8:B11"/>
    <mergeCell ref="C8:C11"/>
    <mergeCell ref="D8:E11"/>
    <mergeCell ref="F8:F11"/>
    <mergeCell ref="G8:G11"/>
    <mergeCell ref="H8:H11"/>
    <mergeCell ref="I8:I11"/>
    <mergeCell ref="J8:O11"/>
    <mergeCell ref="P8:S11"/>
    <mergeCell ref="W8:W11"/>
    <mergeCell ref="X8:X11"/>
    <mergeCell ref="Y8:AA8"/>
    <mergeCell ref="Y9:AA9"/>
    <mergeCell ref="Y10:AA10"/>
    <mergeCell ref="Y11:AA11"/>
    <mergeCell ref="A20:AH20"/>
    <mergeCell ref="A14:AH14"/>
    <mergeCell ref="A15:L16"/>
    <mergeCell ref="O15:AC16"/>
    <mergeCell ref="AD15:AH16"/>
    <mergeCell ref="A17:L17"/>
    <mergeCell ref="O17:AC17"/>
    <mergeCell ref="AD17:AH17"/>
    <mergeCell ref="A18:AH18"/>
    <mergeCell ref="A19:AI19"/>
  </mergeCells>
  <conditionalFormatting sqref="AG8:AG11">
    <cfRule type="cellIs" dxfId="293" priority="7" operator="between">
      <formula>0.001</formula>
      <formula>0.99</formula>
    </cfRule>
    <cfRule type="cellIs" dxfId="292" priority="8" operator="equal">
      <formula>1</formula>
    </cfRule>
    <cfRule type="cellIs" dxfId="291" priority="9" operator="equal">
      <formula>0</formula>
    </cfRule>
  </conditionalFormatting>
  <conditionalFormatting sqref="AG8:AG11">
    <cfRule type="cellIs" dxfId="290" priority="10" operator="between">
      <formula>0.01</formula>
      <formula>0.99</formula>
    </cfRule>
    <cfRule type="cellIs" dxfId="289" priority="11" operator="equal">
      <formula>1</formula>
    </cfRule>
    <cfRule type="cellIs" dxfId="288" priority="12" operator="equal">
      <formula>0</formula>
    </cfRule>
  </conditionalFormatting>
  <conditionalFormatting sqref="AG12:AG13">
    <cfRule type="cellIs" dxfId="287" priority="1" operator="between">
      <formula>0.001</formula>
      <formula>0.99</formula>
    </cfRule>
    <cfRule type="cellIs" dxfId="286" priority="2" operator="equal">
      <formula>1</formula>
    </cfRule>
    <cfRule type="cellIs" dxfId="285" priority="3" operator="equal">
      <formula>0</formula>
    </cfRule>
  </conditionalFormatting>
  <conditionalFormatting sqref="AG12:AG13">
    <cfRule type="cellIs" dxfId="284" priority="4" operator="between">
      <formula>0.01</formula>
      <formula>0.99</formula>
    </cfRule>
    <cfRule type="cellIs" dxfId="283" priority="5" operator="equal">
      <formula>1</formula>
    </cfRule>
    <cfRule type="cellIs" dxfId="282" priority="6" operator="equal">
      <formula>0</formula>
    </cfRule>
  </conditionalFormatting>
  <dataValidations count="5">
    <dataValidation type="list" allowBlank="1" showInputMessage="1" showErrorMessage="1" sqref="WVO983052 WLS983052 WBW983052 VSA983052 VIE983052 UYI983052 UOM983052 UEQ983052 TUU983052 TKY983052 TBC983052 SRG983052 SHK983052 RXO983052 RNS983052 RDW983052 QUA983052 QKE983052 QAI983052 PQM983052 PGQ983052 OWU983052 OMY983052 ODC983052 NTG983052 NJK983052 MZO983052 MPS983052 MFW983052 LWA983052 LME983052 LCI983052 KSM983052 KIQ983052 JYU983052 JOY983052 JFC983052 IVG983052 ILK983052 IBO983052 HRS983052 HHW983052 GYA983052 GOE983052 GEI983052 FUM983052 FKQ983052 FAU983052 EQY983052 EHC983052 DXG983052 DNK983052 DDO983052 CTS983052 CJW983052 CAA983052 BQE983052 BGI983052 AWM983052 AMQ983052 ACU983052 SY983052 JC983052 G983052 WVO917516 WLS917516 WBW917516 VSA917516 VIE917516 UYI917516 UOM917516 UEQ917516 TUU917516 TKY917516 TBC917516 SRG917516 SHK917516 RXO917516 RNS917516 RDW917516 QUA917516 QKE917516 QAI917516 PQM917516 PGQ917516 OWU917516 OMY917516 ODC917516 NTG917516 NJK917516 MZO917516 MPS917516 MFW917516 LWA917516 LME917516 LCI917516 KSM917516 KIQ917516 JYU917516 JOY917516 JFC917516 IVG917516 ILK917516 IBO917516 HRS917516 HHW917516 GYA917516 GOE917516 GEI917516 FUM917516 FKQ917516 FAU917516 EQY917516 EHC917516 DXG917516 DNK917516 DDO917516 CTS917516 CJW917516 CAA917516 BQE917516 BGI917516 AWM917516 AMQ917516 ACU917516 SY917516 JC917516 G917516 WVO851980 WLS851980 WBW851980 VSA851980 VIE851980 UYI851980 UOM851980 UEQ851980 TUU851980 TKY851980 TBC851980 SRG851980 SHK851980 RXO851980 RNS851980 RDW851980 QUA851980 QKE851980 QAI851980 PQM851980 PGQ851980 OWU851980 OMY851980 ODC851980 NTG851980 NJK851980 MZO851980 MPS851980 MFW851980 LWA851980 LME851980 LCI851980 KSM851980 KIQ851980 JYU851980 JOY851980 JFC851980 IVG851980 ILK851980 IBO851980 HRS851980 HHW851980 GYA851980 GOE851980 GEI851980 FUM851980 FKQ851980 FAU851980 EQY851980 EHC851980 DXG851980 DNK851980 DDO851980 CTS851980 CJW851980 CAA851980 BQE851980 BGI851980 AWM851980 AMQ851980 ACU851980 SY851980 JC851980 G851980 WVO786444 WLS786444 WBW786444 VSA786444 VIE786444 UYI786444 UOM786444 UEQ786444 TUU786444 TKY786444 TBC786444 SRG786444 SHK786444 RXO786444 RNS786444 RDW786444 QUA786444 QKE786444 QAI786444 PQM786444 PGQ786444 OWU786444 OMY786444 ODC786444 NTG786444 NJK786444 MZO786444 MPS786444 MFW786444 LWA786444 LME786444 LCI786444 KSM786444 KIQ786444 JYU786444 JOY786444 JFC786444 IVG786444 ILK786444 IBO786444 HRS786444 HHW786444 GYA786444 GOE786444 GEI786444 FUM786444 FKQ786444 FAU786444 EQY786444 EHC786444 DXG786444 DNK786444 DDO786444 CTS786444 CJW786444 CAA786444 BQE786444 BGI786444 AWM786444 AMQ786444 ACU786444 SY786444 JC786444 G786444 WVO720908 WLS720908 WBW720908 VSA720908 VIE720908 UYI720908 UOM720908 UEQ720908 TUU720908 TKY720908 TBC720908 SRG720908 SHK720908 RXO720908 RNS720908 RDW720908 QUA720908 QKE720908 QAI720908 PQM720908 PGQ720908 OWU720908 OMY720908 ODC720908 NTG720908 NJK720908 MZO720908 MPS720908 MFW720908 LWA720908 LME720908 LCI720908 KSM720908 KIQ720908 JYU720908 JOY720908 JFC720908 IVG720908 ILK720908 IBO720908 HRS720908 HHW720908 GYA720908 GOE720908 GEI720908 FUM720908 FKQ720908 FAU720908 EQY720908 EHC720908 DXG720908 DNK720908 DDO720908 CTS720908 CJW720908 CAA720908 BQE720908 BGI720908 AWM720908 AMQ720908 ACU720908 SY720908 JC720908 G720908 WVO655372 WLS655372 WBW655372 VSA655372 VIE655372 UYI655372 UOM655372 UEQ655372 TUU655372 TKY655372 TBC655372 SRG655372 SHK655372 RXO655372 RNS655372 RDW655372 QUA655372 QKE655372 QAI655372 PQM655372 PGQ655372 OWU655372 OMY655372 ODC655372 NTG655372 NJK655372 MZO655372 MPS655372 MFW655372 LWA655372 LME655372 LCI655372 KSM655372 KIQ655372 JYU655372 JOY655372 JFC655372 IVG655372 ILK655372 IBO655372 HRS655372 HHW655372 GYA655372 GOE655372 GEI655372 FUM655372 FKQ655372 FAU655372 EQY655372 EHC655372 DXG655372 DNK655372 DDO655372 CTS655372 CJW655372 CAA655372 BQE655372 BGI655372 AWM655372 AMQ655372 ACU655372 SY655372 JC655372 G655372 WVO589836 WLS589836 WBW589836 VSA589836 VIE589836 UYI589836 UOM589836 UEQ589836 TUU589836 TKY589836 TBC589836 SRG589836 SHK589836 RXO589836 RNS589836 RDW589836 QUA589836 QKE589836 QAI589836 PQM589836 PGQ589836 OWU589836 OMY589836 ODC589836 NTG589836 NJK589836 MZO589836 MPS589836 MFW589836 LWA589836 LME589836 LCI589836 KSM589836 KIQ589836 JYU589836 JOY589836 JFC589836 IVG589836 ILK589836 IBO589836 HRS589836 HHW589836 GYA589836 GOE589836 GEI589836 FUM589836 FKQ589836 FAU589836 EQY589836 EHC589836 DXG589836 DNK589836 DDO589836 CTS589836 CJW589836 CAA589836 BQE589836 BGI589836 AWM589836 AMQ589836 ACU589836 SY589836 JC589836 G589836 WVO524300 WLS524300 WBW524300 VSA524300 VIE524300 UYI524300 UOM524300 UEQ524300 TUU524300 TKY524300 TBC524300 SRG524300 SHK524300 RXO524300 RNS524300 RDW524300 QUA524300 QKE524300 QAI524300 PQM524300 PGQ524300 OWU524300 OMY524300 ODC524300 NTG524300 NJK524300 MZO524300 MPS524300 MFW524300 LWA524300 LME524300 LCI524300 KSM524300 KIQ524300 JYU524300 JOY524300 JFC524300 IVG524300 ILK524300 IBO524300 HRS524300 HHW524300 GYA524300 GOE524300 GEI524300 FUM524300 FKQ524300 FAU524300 EQY524300 EHC524300 DXG524300 DNK524300 DDO524300 CTS524300 CJW524300 CAA524300 BQE524300 BGI524300 AWM524300 AMQ524300 ACU524300 SY524300 JC524300 G524300 WVO458764 WLS458764 WBW458764 VSA458764 VIE458764 UYI458764 UOM458764 UEQ458764 TUU458764 TKY458764 TBC458764 SRG458764 SHK458764 RXO458764 RNS458764 RDW458764 QUA458764 QKE458764 QAI458764 PQM458764 PGQ458764 OWU458764 OMY458764 ODC458764 NTG458764 NJK458764 MZO458764 MPS458764 MFW458764 LWA458764 LME458764 LCI458764 KSM458764 KIQ458764 JYU458764 JOY458764 JFC458764 IVG458764 ILK458764 IBO458764 HRS458764 HHW458764 GYA458764 GOE458764 GEI458764 FUM458764 FKQ458764 FAU458764 EQY458764 EHC458764 DXG458764 DNK458764 DDO458764 CTS458764 CJW458764 CAA458764 BQE458764 BGI458764 AWM458764 AMQ458764 ACU458764 SY458764 JC458764 G458764 WVO393228 WLS393228 WBW393228 VSA393228 VIE393228 UYI393228 UOM393228 UEQ393228 TUU393228 TKY393228 TBC393228 SRG393228 SHK393228 RXO393228 RNS393228 RDW393228 QUA393228 QKE393228 QAI393228 PQM393228 PGQ393228 OWU393228 OMY393228 ODC393228 NTG393228 NJK393228 MZO393228 MPS393228 MFW393228 LWA393228 LME393228 LCI393228 KSM393228 KIQ393228 JYU393228 JOY393228 JFC393228 IVG393228 ILK393228 IBO393228 HRS393228 HHW393228 GYA393228 GOE393228 GEI393228 FUM393228 FKQ393228 FAU393228 EQY393228 EHC393228 DXG393228 DNK393228 DDO393228 CTS393228 CJW393228 CAA393228 BQE393228 BGI393228 AWM393228 AMQ393228 ACU393228 SY393228 JC393228 G393228 WVO327692 WLS327692 WBW327692 VSA327692 VIE327692 UYI327692 UOM327692 UEQ327692 TUU327692 TKY327692 TBC327692 SRG327692 SHK327692 RXO327692 RNS327692 RDW327692 QUA327692 QKE327692 QAI327692 PQM327692 PGQ327692 OWU327692 OMY327692 ODC327692 NTG327692 NJK327692 MZO327692 MPS327692 MFW327692 LWA327692 LME327692 LCI327692 KSM327692 KIQ327692 JYU327692 JOY327692 JFC327692 IVG327692 ILK327692 IBO327692 HRS327692 HHW327692 GYA327692 GOE327692 GEI327692 FUM327692 FKQ327692 FAU327692 EQY327692 EHC327692 DXG327692 DNK327692 DDO327692 CTS327692 CJW327692 CAA327692 BQE327692 BGI327692 AWM327692 AMQ327692 ACU327692 SY327692 JC327692 G327692 WVO262156 WLS262156 WBW262156 VSA262156 VIE262156 UYI262156 UOM262156 UEQ262156 TUU262156 TKY262156 TBC262156 SRG262156 SHK262156 RXO262156 RNS262156 RDW262156 QUA262156 QKE262156 QAI262156 PQM262156 PGQ262156 OWU262156 OMY262156 ODC262156 NTG262156 NJK262156 MZO262156 MPS262156 MFW262156 LWA262156 LME262156 LCI262156 KSM262156 KIQ262156 JYU262156 JOY262156 JFC262156 IVG262156 ILK262156 IBO262156 HRS262156 HHW262156 GYA262156 GOE262156 GEI262156 FUM262156 FKQ262156 FAU262156 EQY262156 EHC262156 DXG262156 DNK262156 DDO262156 CTS262156 CJW262156 CAA262156 BQE262156 BGI262156 AWM262156 AMQ262156 ACU262156 SY262156 JC262156 G262156 WVO196620 WLS196620 WBW196620 VSA196620 VIE196620 UYI196620 UOM196620 UEQ196620 TUU196620 TKY196620 TBC196620 SRG196620 SHK196620 RXO196620 RNS196620 RDW196620 QUA196620 QKE196620 QAI196620 PQM196620 PGQ196620 OWU196620 OMY196620 ODC196620 NTG196620 NJK196620 MZO196620 MPS196620 MFW196620 LWA196620 LME196620 LCI196620 KSM196620 KIQ196620 JYU196620 JOY196620 JFC196620 IVG196620 ILK196620 IBO196620 HRS196620 HHW196620 GYA196620 GOE196620 GEI196620 FUM196620 FKQ196620 FAU196620 EQY196620 EHC196620 DXG196620 DNK196620 DDO196620 CTS196620 CJW196620 CAA196620 BQE196620 BGI196620 AWM196620 AMQ196620 ACU196620 SY196620 JC196620 G196620 WVO131084 WLS131084 WBW131084 VSA131084 VIE131084 UYI131084 UOM131084 UEQ131084 TUU131084 TKY131084 TBC131084 SRG131084 SHK131084 RXO131084 RNS131084 RDW131084 QUA131084 QKE131084 QAI131084 PQM131084 PGQ131084 OWU131084 OMY131084 ODC131084 NTG131084 NJK131084 MZO131084 MPS131084 MFW131084 LWA131084 LME131084 LCI131084 KSM131084 KIQ131084 JYU131084 JOY131084 JFC131084 IVG131084 ILK131084 IBO131084 HRS131084 HHW131084 GYA131084 GOE131084 GEI131084 FUM131084 FKQ131084 FAU131084 EQY131084 EHC131084 DXG131084 DNK131084 DDO131084 CTS131084 CJW131084 CAA131084 BQE131084 BGI131084 AWM131084 AMQ131084 ACU131084 SY131084 JC131084 G131084 WVO65548 WLS65548 WBW65548 VSA65548 VIE65548 UYI65548 UOM65548 UEQ65548 TUU65548 TKY65548 TBC65548 SRG65548 SHK65548 RXO65548 RNS65548 RDW65548 QUA65548 QKE65548 QAI65548 PQM65548 PGQ65548 OWU65548 OMY65548 ODC65548 NTG65548 NJK65548 MZO65548 MPS65548 MFW65548 LWA65548 LME65548 LCI65548 KSM65548 KIQ65548 JYU65548 JOY65548 JFC65548 IVG65548 ILK65548 IBO65548 HRS65548 HHW65548 GYA65548 GOE65548 GEI65548 FUM65548 FKQ65548 FAU65548 EQY65548 EHC65548 DXG65548 DNK65548 DDO65548 CTS65548 CJW65548 CAA65548 BQE65548 BGI65548 AWM65548 AMQ65548 ACU65548 SY65548 JC65548 G65548 WVO983048 WLS983048 WBW983048 VSA983048 VIE983048 UYI983048 UOM983048 UEQ983048 TUU983048 TKY983048 TBC983048 SRG983048 SHK983048 RXO983048 RNS983048 RDW983048 QUA983048 QKE983048 QAI983048 PQM983048 PGQ983048 OWU983048 OMY983048 ODC983048 NTG983048 NJK983048 MZO983048 MPS983048 MFW983048 LWA983048 LME983048 LCI983048 KSM983048 KIQ983048 JYU983048 JOY983048 JFC983048 IVG983048 ILK983048 IBO983048 HRS983048 HHW983048 GYA983048 GOE983048 GEI983048 FUM983048 FKQ983048 FAU983048 EQY983048 EHC983048 DXG983048 DNK983048 DDO983048 CTS983048 CJW983048 CAA983048 BQE983048 BGI983048 AWM983048 AMQ983048 ACU983048 SY983048 JC983048 G983048 WVO917512 WLS917512 WBW917512 VSA917512 VIE917512 UYI917512 UOM917512 UEQ917512 TUU917512 TKY917512 TBC917512 SRG917512 SHK917512 RXO917512 RNS917512 RDW917512 QUA917512 QKE917512 QAI917512 PQM917512 PGQ917512 OWU917512 OMY917512 ODC917512 NTG917512 NJK917512 MZO917512 MPS917512 MFW917512 LWA917512 LME917512 LCI917512 KSM917512 KIQ917512 JYU917512 JOY917512 JFC917512 IVG917512 ILK917512 IBO917512 HRS917512 HHW917512 GYA917512 GOE917512 GEI917512 FUM917512 FKQ917512 FAU917512 EQY917512 EHC917512 DXG917512 DNK917512 DDO917512 CTS917512 CJW917512 CAA917512 BQE917512 BGI917512 AWM917512 AMQ917512 ACU917512 SY917512 JC917512 G917512 WVO851976 WLS851976 WBW851976 VSA851976 VIE851976 UYI851976 UOM851976 UEQ851976 TUU851976 TKY851976 TBC851976 SRG851976 SHK851976 RXO851976 RNS851976 RDW851976 QUA851976 QKE851976 QAI851976 PQM851976 PGQ851976 OWU851976 OMY851976 ODC851976 NTG851976 NJK851976 MZO851976 MPS851976 MFW851976 LWA851976 LME851976 LCI851976 KSM851976 KIQ851976 JYU851976 JOY851976 JFC851976 IVG851976 ILK851976 IBO851976 HRS851976 HHW851976 GYA851976 GOE851976 GEI851976 FUM851976 FKQ851976 FAU851976 EQY851976 EHC851976 DXG851976 DNK851976 DDO851976 CTS851976 CJW851976 CAA851976 BQE851976 BGI851976 AWM851976 AMQ851976 ACU851976 SY851976 JC851976 G851976 WVO786440 WLS786440 WBW786440 VSA786440 VIE786440 UYI786440 UOM786440 UEQ786440 TUU786440 TKY786440 TBC786440 SRG786440 SHK786440 RXO786440 RNS786440 RDW786440 QUA786440 QKE786440 QAI786440 PQM786440 PGQ786440 OWU786440 OMY786440 ODC786440 NTG786440 NJK786440 MZO786440 MPS786440 MFW786440 LWA786440 LME786440 LCI786440 KSM786440 KIQ786440 JYU786440 JOY786440 JFC786440 IVG786440 ILK786440 IBO786440 HRS786440 HHW786440 GYA786440 GOE786440 GEI786440 FUM786440 FKQ786440 FAU786440 EQY786440 EHC786440 DXG786440 DNK786440 DDO786440 CTS786440 CJW786440 CAA786440 BQE786440 BGI786440 AWM786440 AMQ786440 ACU786440 SY786440 JC786440 G786440 WVO720904 WLS720904 WBW720904 VSA720904 VIE720904 UYI720904 UOM720904 UEQ720904 TUU720904 TKY720904 TBC720904 SRG720904 SHK720904 RXO720904 RNS720904 RDW720904 QUA720904 QKE720904 QAI720904 PQM720904 PGQ720904 OWU720904 OMY720904 ODC720904 NTG720904 NJK720904 MZO720904 MPS720904 MFW720904 LWA720904 LME720904 LCI720904 KSM720904 KIQ720904 JYU720904 JOY720904 JFC720904 IVG720904 ILK720904 IBO720904 HRS720904 HHW720904 GYA720904 GOE720904 GEI720904 FUM720904 FKQ720904 FAU720904 EQY720904 EHC720904 DXG720904 DNK720904 DDO720904 CTS720904 CJW720904 CAA720904 BQE720904 BGI720904 AWM720904 AMQ720904 ACU720904 SY720904 JC720904 G720904 WVO655368 WLS655368 WBW655368 VSA655368 VIE655368 UYI655368 UOM655368 UEQ655368 TUU655368 TKY655368 TBC655368 SRG655368 SHK655368 RXO655368 RNS655368 RDW655368 QUA655368 QKE655368 QAI655368 PQM655368 PGQ655368 OWU655368 OMY655368 ODC655368 NTG655368 NJK655368 MZO655368 MPS655368 MFW655368 LWA655368 LME655368 LCI655368 KSM655368 KIQ655368 JYU655368 JOY655368 JFC655368 IVG655368 ILK655368 IBO655368 HRS655368 HHW655368 GYA655368 GOE655368 GEI655368 FUM655368 FKQ655368 FAU655368 EQY655368 EHC655368 DXG655368 DNK655368 DDO655368 CTS655368 CJW655368 CAA655368 BQE655368 BGI655368 AWM655368 AMQ655368 ACU655368 SY655368 JC655368 G655368 WVO589832 WLS589832 WBW589832 VSA589832 VIE589832 UYI589832 UOM589832 UEQ589832 TUU589832 TKY589832 TBC589832 SRG589832 SHK589832 RXO589832 RNS589832 RDW589832 QUA589832 QKE589832 QAI589832 PQM589832 PGQ589832 OWU589832 OMY589832 ODC589832 NTG589832 NJK589832 MZO589832 MPS589832 MFW589832 LWA589832 LME589832 LCI589832 KSM589832 KIQ589832 JYU589832 JOY589832 JFC589832 IVG589832 ILK589832 IBO589832 HRS589832 HHW589832 GYA589832 GOE589832 GEI589832 FUM589832 FKQ589832 FAU589832 EQY589832 EHC589832 DXG589832 DNK589832 DDO589832 CTS589832 CJW589832 CAA589832 BQE589832 BGI589832 AWM589832 AMQ589832 ACU589832 SY589832 JC589832 G589832 WVO524296 WLS524296 WBW524296 VSA524296 VIE524296 UYI524296 UOM524296 UEQ524296 TUU524296 TKY524296 TBC524296 SRG524296 SHK524296 RXO524296 RNS524296 RDW524296 QUA524296 QKE524296 QAI524296 PQM524296 PGQ524296 OWU524296 OMY524296 ODC524296 NTG524296 NJK524296 MZO524296 MPS524296 MFW524296 LWA524296 LME524296 LCI524296 KSM524296 KIQ524296 JYU524296 JOY524296 JFC524296 IVG524296 ILK524296 IBO524296 HRS524296 HHW524296 GYA524296 GOE524296 GEI524296 FUM524296 FKQ524296 FAU524296 EQY524296 EHC524296 DXG524296 DNK524296 DDO524296 CTS524296 CJW524296 CAA524296 BQE524296 BGI524296 AWM524296 AMQ524296 ACU524296 SY524296 JC524296 G524296 WVO458760 WLS458760 WBW458760 VSA458760 VIE458760 UYI458760 UOM458760 UEQ458760 TUU458760 TKY458760 TBC458760 SRG458760 SHK458760 RXO458760 RNS458760 RDW458760 QUA458760 QKE458760 QAI458760 PQM458760 PGQ458760 OWU458760 OMY458760 ODC458760 NTG458760 NJK458760 MZO458760 MPS458760 MFW458760 LWA458760 LME458760 LCI458760 KSM458760 KIQ458760 JYU458760 JOY458760 JFC458760 IVG458760 ILK458760 IBO458760 HRS458760 HHW458760 GYA458760 GOE458760 GEI458760 FUM458760 FKQ458760 FAU458760 EQY458760 EHC458760 DXG458760 DNK458760 DDO458760 CTS458760 CJW458760 CAA458760 BQE458760 BGI458760 AWM458760 AMQ458760 ACU458760 SY458760 JC458760 G458760 WVO393224 WLS393224 WBW393224 VSA393224 VIE393224 UYI393224 UOM393224 UEQ393224 TUU393224 TKY393224 TBC393224 SRG393224 SHK393224 RXO393224 RNS393224 RDW393224 QUA393224 QKE393224 QAI393224 PQM393224 PGQ393224 OWU393224 OMY393224 ODC393224 NTG393224 NJK393224 MZO393224 MPS393224 MFW393224 LWA393224 LME393224 LCI393224 KSM393224 KIQ393224 JYU393224 JOY393224 JFC393224 IVG393224 ILK393224 IBO393224 HRS393224 HHW393224 GYA393224 GOE393224 GEI393224 FUM393224 FKQ393224 FAU393224 EQY393224 EHC393224 DXG393224 DNK393224 DDO393224 CTS393224 CJW393224 CAA393224 BQE393224 BGI393224 AWM393224 AMQ393224 ACU393224 SY393224 JC393224 G393224 WVO327688 WLS327688 WBW327688 VSA327688 VIE327688 UYI327688 UOM327688 UEQ327688 TUU327688 TKY327688 TBC327688 SRG327688 SHK327688 RXO327688 RNS327688 RDW327688 QUA327688 QKE327688 QAI327688 PQM327688 PGQ327688 OWU327688 OMY327688 ODC327688 NTG327688 NJK327688 MZO327688 MPS327688 MFW327688 LWA327688 LME327688 LCI327688 KSM327688 KIQ327688 JYU327688 JOY327688 JFC327688 IVG327688 ILK327688 IBO327688 HRS327688 HHW327688 GYA327688 GOE327688 GEI327688 FUM327688 FKQ327688 FAU327688 EQY327688 EHC327688 DXG327688 DNK327688 DDO327688 CTS327688 CJW327688 CAA327688 BQE327688 BGI327688 AWM327688 AMQ327688 ACU327688 SY327688 JC327688 G327688 WVO262152 WLS262152 WBW262152 VSA262152 VIE262152 UYI262152 UOM262152 UEQ262152 TUU262152 TKY262152 TBC262152 SRG262152 SHK262152 RXO262152 RNS262152 RDW262152 QUA262152 QKE262152 QAI262152 PQM262152 PGQ262152 OWU262152 OMY262152 ODC262152 NTG262152 NJK262152 MZO262152 MPS262152 MFW262152 LWA262152 LME262152 LCI262152 KSM262152 KIQ262152 JYU262152 JOY262152 JFC262152 IVG262152 ILK262152 IBO262152 HRS262152 HHW262152 GYA262152 GOE262152 GEI262152 FUM262152 FKQ262152 FAU262152 EQY262152 EHC262152 DXG262152 DNK262152 DDO262152 CTS262152 CJW262152 CAA262152 BQE262152 BGI262152 AWM262152 AMQ262152 ACU262152 SY262152 JC262152 G262152 WVO196616 WLS196616 WBW196616 VSA196616 VIE196616 UYI196616 UOM196616 UEQ196616 TUU196616 TKY196616 TBC196616 SRG196616 SHK196616 RXO196616 RNS196616 RDW196616 QUA196616 QKE196616 QAI196616 PQM196616 PGQ196616 OWU196616 OMY196616 ODC196616 NTG196616 NJK196616 MZO196616 MPS196616 MFW196616 LWA196616 LME196616 LCI196616 KSM196616 KIQ196616 JYU196616 JOY196616 JFC196616 IVG196616 ILK196616 IBO196616 HRS196616 HHW196616 GYA196616 GOE196616 GEI196616 FUM196616 FKQ196616 FAU196616 EQY196616 EHC196616 DXG196616 DNK196616 DDO196616 CTS196616 CJW196616 CAA196616 BQE196616 BGI196616 AWM196616 AMQ196616 ACU196616 SY196616 JC196616 G196616 WVO131080 WLS131080 WBW131080 VSA131080 VIE131080 UYI131080 UOM131080 UEQ131080 TUU131080 TKY131080 TBC131080 SRG131080 SHK131080 RXO131080 RNS131080 RDW131080 QUA131080 QKE131080 QAI131080 PQM131080 PGQ131080 OWU131080 OMY131080 ODC131080 NTG131080 NJK131080 MZO131080 MPS131080 MFW131080 LWA131080 LME131080 LCI131080 KSM131080 KIQ131080 JYU131080 JOY131080 JFC131080 IVG131080 ILK131080 IBO131080 HRS131080 HHW131080 GYA131080 GOE131080 GEI131080 FUM131080 FKQ131080 FAU131080 EQY131080 EHC131080 DXG131080 DNK131080 DDO131080 CTS131080 CJW131080 CAA131080 BQE131080 BGI131080 AWM131080 AMQ131080 ACU131080 SY131080 JC131080 G131080 WVO65544 WLS65544 WBW65544 VSA65544 VIE65544 UYI65544 UOM65544 UEQ65544 TUU65544 TKY65544 TBC65544 SRG65544 SHK65544 RXO65544 RNS65544 RDW65544 QUA65544 QKE65544 QAI65544 PQM65544 PGQ65544 OWU65544 OMY65544 ODC65544 NTG65544 NJK65544 MZO65544 MPS65544 MFW65544 LWA65544 LME65544 LCI65544 KSM65544 KIQ65544 JYU65544 JOY65544 JFC65544 IVG65544 ILK65544 IBO65544 HRS65544 HHW65544 GYA65544 GOE65544 GEI65544 FUM65544 FKQ65544 FAU65544 EQY65544 EHC65544 DXG65544 DNK65544 DDO65544 CTS65544 CJW65544 CAA65544 BQE65544 BGI65544 AWM65544 AMQ65544 ACU65544 SY65544 JC65544 G65544 WVO8 WLS8 WBW8 VSA8 VIE8 UYI8 UOM8 UEQ8 TUU8 TKY8 TBC8 SRG8 SHK8 RXO8 RNS8 RDW8 QUA8 QKE8 QAI8 PQM8 PGQ8 OWU8 OMY8 ODC8 NTG8 NJK8 MZO8 MPS8 MFW8 LWA8 LME8 LCI8 KSM8 KIQ8 JYU8 JOY8 JFC8 IVG8 ILK8 IBO8 HRS8 HHW8 GYA8 GOE8 GEI8 FUM8 FKQ8 FAU8 EQY8 EHC8 DXG8 DNK8 DDO8 CTS8 CJW8 CAA8 BQE8 BGI8 AWM8 AMQ8 ACU8 SY8 JC8 G8 WVO983045 WLS983045 WBW983045 VSA983045 VIE983045 UYI983045 UOM983045 UEQ983045 TUU983045 TKY983045 TBC983045 SRG983045 SHK983045 RXO983045 RNS983045 RDW983045 QUA983045 QKE983045 QAI983045 PQM983045 PGQ983045 OWU983045 OMY983045 ODC983045 NTG983045 NJK983045 MZO983045 MPS983045 MFW983045 LWA983045 LME983045 LCI983045 KSM983045 KIQ983045 JYU983045 JOY983045 JFC983045 IVG983045 ILK983045 IBO983045 HRS983045 HHW983045 GYA983045 GOE983045 GEI983045 FUM983045 FKQ983045 FAU983045 EQY983045 EHC983045 DXG983045 DNK983045 DDO983045 CTS983045 CJW983045 CAA983045 BQE983045 BGI983045 AWM983045 AMQ983045 ACU983045 SY983045 JC983045 G983045 WVO917509 WLS917509 WBW917509 VSA917509 VIE917509 UYI917509 UOM917509 UEQ917509 TUU917509 TKY917509 TBC917509 SRG917509 SHK917509 RXO917509 RNS917509 RDW917509 QUA917509 QKE917509 QAI917509 PQM917509 PGQ917509 OWU917509 OMY917509 ODC917509 NTG917509 NJK917509 MZO917509 MPS917509 MFW917509 LWA917509 LME917509 LCI917509 KSM917509 KIQ917509 JYU917509 JOY917509 JFC917509 IVG917509 ILK917509 IBO917509 HRS917509 HHW917509 GYA917509 GOE917509 GEI917509 FUM917509 FKQ917509 FAU917509 EQY917509 EHC917509 DXG917509 DNK917509 DDO917509 CTS917509 CJW917509 CAA917509 BQE917509 BGI917509 AWM917509 AMQ917509 ACU917509 SY917509 JC917509 G917509 WVO851973 WLS851973 WBW851973 VSA851973 VIE851973 UYI851973 UOM851973 UEQ851973 TUU851973 TKY851973 TBC851973 SRG851973 SHK851973 RXO851973 RNS851973 RDW851973 QUA851973 QKE851973 QAI851973 PQM851973 PGQ851973 OWU851973 OMY851973 ODC851973 NTG851973 NJK851973 MZO851973 MPS851973 MFW851973 LWA851973 LME851973 LCI851973 KSM851973 KIQ851973 JYU851973 JOY851973 JFC851973 IVG851973 ILK851973 IBO851973 HRS851973 HHW851973 GYA851973 GOE851973 GEI851973 FUM851973 FKQ851973 FAU851973 EQY851973 EHC851973 DXG851973 DNK851973 DDO851973 CTS851973 CJW851973 CAA851973 BQE851973 BGI851973 AWM851973 AMQ851973 ACU851973 SY851973 JC851973 G851973 WVO786437 WLS786437 WBW786437 VSA786437 VIE786437 UYI786437 UOM786437 UEQ786437 TUU786437 TKY786437 TBC786437 SRG786437 SHK786437 RXO786437 RNS786437 RDW786437 QUA786437 QKE786437 QAI786437 PQM786437 PGQ786437 OWU786437 OMY786437 ODC786437 NTG786437 NJK786437 MZO786437 MPS786437 MFW786437 LWA786437 LME786437 LCI786437 KSM786437 KIQ786437 JYU786437 JOY786437 JFC786437 IVG786437 ILK786437 IBO786437 HRS786437 HHW786437 GYA786437 GOE786437 GEI786437 FUM786437 FKQ786437 FAU786437 EQY786437 EHC786437 DXG786437 DNK786437 DDO786437 CTS786437 CJW786437 CAA786437 BQE786437 BGI786437 AWM786437 AMQ786437 ACU786437 SY786437 JC786437 G786437 WVO720901 WLS720901 WBW720901 VSA720901 VIE720901 UYI720901 UOM720901 UEQ720901 TUU720901 TKY720901 TBC720901 SRG720901 SHK720901 RXO720901 RNS720901 RDW720901 QUA720901 QKE720901 QAI720901 PQM720901 PGQ720901 OWU720901 OMY720901 ODC720901 NTG720901 NJK720901 MZO720901 MPS720901 MFW720901 LWA720901 LME720901 LCI720901 KSM720901 KIQ720901 JYU720901 JOY720901 JFC720901 IVG720901 ILK720901 IBO720901 HRS720901 HHW720901 GYA720901 GOE720901 GEI720901 FUM720901 FKQ720901 FAU720901 EQY720901 EHC720901 DXG720901 DNK720901 DDO720901 CTS720901 CJW720901 CAA720901 BQE720901 BGI720901 AWM720901 AMQ720901 ACU720901 SY720901 JC720901 G720901 WVO655365 WLS655365 WBW655365 VSA655365 VIE655365 UYI655365 UOM655365 UEQ655365 TUU655365 TKY655365 TBC655365 SRG655365 SHK655365 RXO655365 RNS655365 RDW655365 QUA655365 QKE655365 QAI655365 PQM655365 PGQ655365 OWU655365 OMY655365 ODC655365 NTG655365 NJK655365 MZO655365 MPS655365 MFW655365 LWA655365 LME655365 LCI655365 KSM655365 KIQ655365 JYU655365 JOY655365 JFC655365 IVG655365 ILK655365 IBO655365 HRS655365 HHW655365 GYA655365 GOE655365 GEI655365 FUM655365 FKQ655365 FAU655365 EQY655365 EHC655365 DXG655365 DNK655365 DDO655365 CTS655365 CJW655365 CAA655365 BQE655365 BGI655365 AWM655365 AMQ655365 ACU655365 SY655365 JC655365 G655365 WVO589829 WLS589829 WBW589829 VSA589829 VIE589829 UYI589829 UOM589829 UEQ589829 TUU589829 TKY589829 TBC589829 SRG589829 SHK589829 RXO589829 RNS589829 RDW589829 QUA589829 QKE589829 QAI589829 PQM589829 PGQ589829 OWU589829 OMY589829 ODC589829 NTG589829 NJK589829 MZO589829 MPS589829 MFW589829 LWA589829 LME589829 LCI589829 KSM589829 KIQ589829 JYU589829 JOY589829 JFC589829 IVG589829 ILK589829 IBO589829 HRS589829 HHW589829 GYA589829 GOE589829 GEI589829 FUM589829 FKQ589829 FAU589829 EQY589829 EHC589829 DXG589829 DNK589829 DDO589829 CTS589829 CJW589829 CAA589829 BQE589829 BGI589829 AWM589829 AMQ589829 ACU589829 SY589829 JC589829 G589829 WVO524293 WLS524293 WBW524293 VSA524293 VIE524293 UYI524293 UOM524293 UEQ524293 TUU524293 TKY524293 TBC524293 SRG524293 SHK524293 RXO524293 RNS524293 RDW524293 QUA524293 QKE524293 QAI524293 PQM524293 PGQ524293 OWU524293 OMY524293 ODC524293 NTG524293 NJK524293 MZO524293 MPS524293 MFW524293 LWA524293 LME524293 LCI524293 KSM524293 KIQ524293 JYU524293 JOY524293 JFC524293 IVG524293 ILK524293 IBO524293 HRS524293 HHW524293 GYA524293 GOE524293 GEI524293 FUM524293 FKQ524293 FAU524293 EQY524293 EHC524293 DXG524293 DNK524293 DDO524293 CTS524293 CJW524293 CAA524293 BQE524293 BGI524293 AWM524293 AMQ524293 ACU524293 SY524293 JC524293 G524293 WVO458757 WLS458757 WBW458757 VSA458757 VIE458757 UYI458757 UOM458757 UEQ458757 TUU458757 TKY458757 TBC458757 SRG458757 SHK458757 RXO458757 RNS458757 RDW458757 QUA458757 QKE458757 QAI458757 PQM458757 PGQ458757 OWU458757 OMY458757 ODC458757 NTG458757 NJK458757 MZO458757 MPS458757 MFW458757 LWA458757 LME458757 LCI458757 KSM458757 KIQ458757 JYU458757 JOY458757 JFC458757 IVG458757 ILK458757 IBO458757 HRS458757 HHW458757 GYA458757 GOE458757 GEI458757 FUM458757 FKQ458757 FAU458757 EQY458757 EHC458757 DXG458757 DNK458757 DDO458757 CTS458757 CJW458757 CAA458757 BQE458757 BGI458757 AWM458757 AMQ458757 ACU458757 SY458757 JC458757 G458757 WVO393221 WLS393221 WBW393221 VSA393221 VIE393221 UYI393221 UOM393221 UEQ393221 TUU393221 TKY393221 TBC393221 SRG393221 SHK393221 RXO393221 RNS393221 RDW393221 QUA393221 QKE393221 QAI393221 PQM393221 PGQ393221 OWU393221 OMY393221 ODC393221 NTG393221 NJK393221 MZO393221 MPS393221 MFW393221 LWA393221 LME393221 LCI393221 KSM393221 KIQ393221 JYU393221 JOY393221 JFC393221 IVG393221 ILK393221 IBO393221 HRS393221 HHW393221 GYA393221 GOE393221 GEI393221 FUM393221 FKQ393221 FAU393221 EQY393221 EHC393221 DXG393221 DNK393221 DDO393221 CTS393221 CJW393221 CAA393221 BQE393221 BGI393221 AWM393221 AMQ393221 ACU393221 SY393221 JC393221 G393221 WVO327685 WLS327685 WBW327685 VSA327685 VIE327685 UYI327685 UOM327685 UEQ327685 TUU327685 TKY327685 TBC327685 SRG327685 SHK327685 RXO327685 RNS327685 RDW327685 QUA327685 QKE327685 QAI327685 PQM327685 PGQ327685 OWU327685 OMY327685 ODC327685 NTG327685 NJK327685 MZO327685 MPS327685 MFW327685 LWA327685 LME327685 LCI327685 KSM327685 KIQ327685 JYU327685 JOY327685 JFC327685 IVG327685 ILK327685 IBO327685 HRS327685 HHW327685 GYA327685 GOE327685 GEI327685 FUM327685 FKQ327685 FAU327685 EQY327685 EHC327685 DXG327685 DNK327685 DDO327685 CTS327685 CJW327685 CAA327685 BQE327685 BGI327685 AWM327685 AMQ327685 ACU327685 SY327685 JC327685 G327685 WVO262149 WLS262149 WBW262149 VSA262149 VIE262149 UYI262149 UOM262149 UEQ262149 TUU262149 TKY262149 TBC262149 SRG262149 SHK262149 RXO262149 RNS262149 RDW262149 QUA262149 QKE262149 QAI262149 PQM262149 PGQ262149 OWU262149 OMY262149 ODC262149 NTG262149 NJK262149 MZO262149 MPS262149 MFW262149 LWA262149 LME262149 LCI262149 KSM262149 KIQ262149 JYU262149 JOY262149 JFC262149 IVG262149 ILK262149 IBO262149 HRS262149 HHW262149 GYA262149 GOE262149 GEI262149 FUM262149 FKQ262149 FAU262149 EQY262149 EHC262149 DXG262149 DNK262149 DDO262149 CTS262149 CJW262149 CAA262149 BQE262149 BGI262149 AWM262149 AMQ262149 ACU262149 SY262149 JC262149 G262149 WVO196613 WLS196613 WBW196613 VSA196613 VIE196613 UYI196613 UOM196613 UEQ196613 TUU196613 TKY196613 TBC196613 SRG196613 SHK196613 RXO196613 RNS196613 RDW196613 QUA196613 QKE196613 QAI196613 PQM196613 PGQ196613 OWU196613 OMY196613 ODC196613 NTG196613 NJK196613 MZO196613 MPS196613 MFW196613 LWA196613 LME196613 LCI196613 KSM196613 KIQ196613 JYU196613 JOY196613 JFC196613 IVG196613 ILK196613 IBO196613 HRS196613 HHW196613 GYA196613 GOE196613 GEI196613 FUM196613 FKQ196613 FAU196613 EQY196613 EHC196613 DXG196613 DNK196613 DDO196613 CTS196613 CJW196613 CAA196613 BQE196613 BGI196613 AWM196613 AMQ196613 ACU196613 SY196613 JC196613 G196613 WVO131077 WLS131077 WBW131077 VSA131077 VIE131077 UYI131077 UOM131077 UEQ131077 TUU131077 TKY131077 TBC131077 SRG131077 SHK131077 RXO131077 RNS131077 RDW131077 QUA131077 QKE131077 QAI131077 PQM131077 PGQ131077 OWU131077 OMY131077 ODC131077 NTG131077 NJK131077 MZO131077 MPS131077 MFW131077 LWA131077 LME131077 LCI131077 KSM131077 KIQ131077 JYU131077 JOY131077 JFC131077 IVG131077 ILK131077 IBO131077 HRS131077 HHW131077 GYA131077 GOE131077 GEI131077 FUM131077 FKQ131077 FAU131077 EQY131077 EHC131077 DXG131077 DNK131077 DDO131077 CTS131077 CJW131077 CAA131077 BQE131077 BGI131077 AWM131077 AMQ131077 ACU131077 SY131077 JC131077 G131077 WVO65541 WLS65541 WBW65541 VSA65541 VIE65541 UYI65541 UOM65541 UEQ65541 TUU65541 TKY65541 TBC65541 SRG65541 SHK65541 RXO65541 RNS65541 RDW65541 QUA65541 QKE65541 QAI65541 PQM65541 PGQ65541 OWU65541 OMY65541 ODC65541 NTG65541 NJK65541 MZO65541 MPS65541 MFW65541 LWA65541 LME65541 LCI65541 KSM65541 KIQ65541 JYU65541 JOY65541 JFC65541 IVG65541 ILK65541 IBO65541 HRS65541 HHW65541 GYA65541 GOE65541 GEI65541 FUM65541 FKQ65541 FAU65541 EQY65541 EHC65541 DXG65541 DNK65541 DDO65541 CTS65541 CJW65541 CAA65541 BQE65541 BGI65541 AWM65541 AMQ65541 ACU65541 SY65541 JC65541 G65541 G12">
      <formula1>$AK$27:$AK$39</formula1>
    </dataValidation>
    <dataValidation type="list" allowBlank="1" showInputMessage="1" showErrorMessage="1" sqref="WVQ983052 WLU983052 WBY983052 VSC983052 VIG983052 UYK983052 UOO983052 UES983052 TUW983052 TLA983052 TBE983052 SRI983052 SHM983052 RXQ983052 RNU983052 RDY983052 QUC983052 QKG983052 QAK983052 PQO983052 PGS983052 OWW983052 ONA983052 ODE983052 NTI983052 NJM983052 MZQ983052 MPU983052 MFY983052 LWC983052 LMG983052 LCK983052 KSO983052 KIS983052 JYW983052 JPA983052 JFE983052 IVI983052 ILM983052 IBQ983052 HRU983052 HHY983052 GYC983052 GOG983052 GEK983052 FUO983052 FKS983052 FAW983052 ERA983052 EHE983052 DXI983052 DNM983052 DDQ983052 CTU983052 CJY983052 CAC983052 BQG983052 BGK983052 AWO983052 AMS983052 ACW983052 TA983052 JE983052 I983052 WVQ917516 WLU917516 WBY917516 VSC917516 VIG917516 UYK917516 UOO917516 UES917516 TUW917516 TLA917516 TBE917516 SRI917516 SHM917516 RXQ917516 RNU917516 RDY917516 QUC917516 QKG917516 QAK917516 PQO917516 PGS917516 OWW917516 ONA917516 ODE917516 NTI917516 NJM917516 MZQ917516 MPU917516 MFY917516 LWC917516 LMG917516 LCK917516 KSO917516 KIS917516 JYW917516 JPA917516 JFE917516 IVI917516 ILM917516 IBQ917516 HRU917516 HHY917516 GYC917516 GOG917516 GEK917516 FUO917516 FKS917516 FAW917516 ERA917516 EHE917516 DXI917516 DNM917516 DDQ917516 CTU917516 CJY917516 CAC917516 BQG917516 BGK917516 AWO917516 AMS917516 ACW917516 TA917516 JE917516 I917516 WVQ851980 WLU851980 WBY851980 VSC851980 VIG851980 UYK851980 UOO851980 UES851980 TUW851980 TLA851980 TBE851980 SRI851980 SHM851980 RXQ851980 RNU851980 RDY851980 QUC851980 QKG851980 QAK851980 PQO851980 PGS851980 OWW851980 ONA851980 ODE851980 NTI851980 NJM851980 MZQ851980 MPU851980 MFY851980 LWC851980 LMG851980 LCK851980 KSO851980 KIS851980 JYW851980 JPA851980 JFE851980 IVI851980 ILM851980 IBQ851980 HRU851980 HHY851980 GYC851980 GOG851980 GEK851980 FUO851980 FKS851980 FAW851980 ERA851980 EHE851980 DXI851980 DNM851980 DDQ851980 CTU851980 CJY851980 CAC851980 BQG851980 BGK851980 AWO851980 AMS851980 ACW851980 TA851980 JE851980 I851980 WVQ786444 WLU786444 WBY786444 VSC786444 VIG786444 UYK786444 UOO786444 UES786444 TUW786444 TLA786444 TBE786444 SRI786444 SHM786444 RXQ786444 RNU786444 RDY786444 QUC786444 QKG786444 QAK786444 PQO786444 PGS786444 OWW786444 ONA786444 ODE786444 NTI786444 NJM786444 MZQ786444 MPU786444 MFY786444 LWC786444 LMG786444 LCK786444 KSO786444 KIS786444 JYW786444 JPA786444 JFE786444 IVI786444 ILM786444 IBQ786444 HRU786444 HHY786444 GYC786444 GOG786444 GEK786444 FUO786444 FKS786444 FAW786444 ERA786444 EHE786444 DXI786444 DNM786444 DDQ786444 CTU786444 CJY786444 CAC786444 BQG786444 BGK786444 AWO786444 AMS786444 ACW786444 TA786444 JE786444 I786444 WVQ720908 WLU720908 WBY720908 VSC720908 VIG720908 UYK720908 UOO720908 UES720908 TUW720908 TLA720908 TBE720908 SRI720908 SHM720908 RXQ720908 RNU720908 RDY720908 QUC720908 QKG720908 QAK720908 PQO720908 PGS720908 OWW720908 ONA720908 ODE720908 NTI720908 NJM720908 MZQ720908 MPU720908 MFY720908 LWC720908 LMG720908 LCK720908 KSO720908 KIS720908 JYW720908 JPA720908 JFE720908 IVI720908 ILM720908 IBQ720908 HRU720908 HHY720908 GYC720908 GOG720908 GEK720908 FUO720908 FKS720908 FAW720908 ERA720908 EHE720908 DXI720908 DNM720908 DDQ720908 CTU720908 CJY720908 CAC720908 BQG720908 BGK720908 AWO720908 AMS720908 ACW720908 TA720908 JE720908 I720908 WVQ655372 WLU655372 WBY655372 VSC655372 VIG655372 UYK655372 UOO655372 UES655372 TUW655372 TLA655372 TBE655372 SRI655372 SHM655372 RXQ655372 RNU655372 RDY655372 QUC655372 QKG655372 QAK655372 PQO655372 PGS655372 OWW655372 ONA655372 ODE655372 NTI655372 NJM655372 MZQ655372 MPU655372 MFY655372 LWC655372 LMG655372 LCK655372 KSO655372 KIS655372 JYW655372 JPA655372 JFE655372 IVI655372 ILM655372 IBQ655372 HRU655372 HHY655372 GYC655372 GOG655372 GEK655372 FUO655372 FKS655372 FAW655372 ERA655372 EHE655372 DXI655372 DNM655372 DDQ655372 CTU655372 CJY655372 CAC655372 BQG655372 BGK655372 AWO655372 AMS655372 ACW655372 TA655372 JE655372 I655372 WVQ589836 WLU589836 WBY589836 VSC589836 VIG589836 UYK589836 UOO589836 UES589836 TUW589836 TLA589836 TBE589836 SRI589836 SHM589836 RXQ589836 RNU589836 RDY589836 QUC589836 QKG589836 QAK589836 PQO589836 PGS589836 OWW589836 ONA589836 ODE589836 NTI589836 NJM589836 MZQ589836 MPU589836 MFY589836 LWC589836 LMG589836 LCK589836 KSO589836 KIS589836 JYW589836 JPA589836 JFE589836 IVI589836 ILM589836 IBQ589836 HRU589836 HHY589836 GYC589836 GOG589836 GEK589836 FUO589836 FKS589836 FAW589836 ERA589836 EHE589836 DXI589836 DNM589836 DDQ589836 CTU589836 CJY589836 CAC589836 BQG589836 BGK589836 AWO589836 AMS589836 ACW589836 TA589836 JE589836 I589836 WVQ524300 WLU524300 WBY524300 VSC524300 VIG524300 UYK524300 UOO524300 UES524300 TUW524300 TLA524300 TBE524300 SRI524300 SHM524300 RXQ524300 RNU524300 RDY524300 QUC524300 QKG524300 QAK524300 PQO524300 PGS524300 OWW524300 ONA524300 ODE524300 NTI524300 NJM524300 MZQ524300 MPU524300 MFY524300 LWC524300 LMG524300 LCK524300 KSO524300 KIS524300 JYW524300 JPA524300 JFE524300 IVI524300 ILM524300 IBQ524300 HRU524300 HHY524300 GYC524300 GOG524300 GEK524300 FUO524300 FKS524300 FAW524300 ERA524300 EHE524300 DXI524300 DNM524300 DDQ524300 CTU524300 CJY524300 CAC524300 BQG524300 BGK524300 AWO524300 AMS524300 ACW524300 TA524300 JE524300 I524300 WVQ458764 WLU458764 WBY458764 VSC458764 VIG458764 UYK458764 UOO458764 UES458764 TUW458764 TLA458764 TBE458764 SRI458764 SHM458764 RXQ458764 RNU458764 RDY458764 QUC458764 QKG458764 QAK458764 PQO458764 PGS458764 OWW458764 ONA458764 ODE458764 NTI458764 NJM458764 MZQ458764 MPU458764 MFY458764 LWC458764 LMG458764 LCK458764 KSO458764 KIS458764 JYW458764 JPA458764 JFE458764 IVI458764 ILM458764 IBQ458764 HRU458764 HHY458764 GYC458764 GOG458764 GEK458764 FUO458764 FKS458764 FAW458764 ERA458764 EHE458764 DXI458764 DNM458764 DDQ458764 CTU458764 CJY458764 CAC458764 BQG458764 BGK458764 AWO458764 AMS458764 ACW458764 TA458764 JE458764 I458764 WVQ393228 WLU393228 WBY393228 VSC393228 VIG393228 UYK393228 UOO393228 UES393228 TUW393228 TLA393228 TBE393228 SRI393228 SHM393228 RXQ393228 RNU393228 RDY393228 QUC393228 QKG393228 QAK393228 PQO393228 PGS393228 OWW393228 ONA393228 ODE393228 NTI393228 NJM393228 MZQ393228 MPU393228 MFY393228 LWC393228 LMG393228 LCK393228 KSO393228 KIS393228 JYW393228 JPA393228 JFE393228 IVI393228 ILM393228 IBQ393228 HRU393228 HHY393228 GYC393228 GOG393228 GEK393228 FUO393228 FKS393228 FAW393228 ERA393228 EHE393228 DXI393228 DNM393228 DDQ393228 CTU393228 CJY393228 CAC393228 BQG393228 BGK393228 AWO393228 AMS393228 ACW393228 TA393228 JE393228 I393228 WVQ327692 WLU327692 WBY327692 VSC327692 VIG327692 UYK327692 UOO327692 UES327692 TUW327692 TLA327692 TBE327692 SRI327692 SHM327692 RXQ327692 RNU327692 RDY327692 QUC327692 QKG327692 QAK327692 PQO327692 PGS327692 OWW327692 ONA327692 ODE327692 NTI327692 NJM327692 MZQ327692 MPU327692 MFY327692 LWC327692 LMG327692 LCK327692 KSO327692 KIS327692 JYW327692 JPA327692 JFE327692 IVI327692 ILM327692 IBQ327692 HRU327692 HHY327692 GYC327692 GOG327692 GEK327692 FUO327692 FKS327692 FAW327692 ERA327692 EHE327692 DXI327692 DNM327692 DDQ327692 CTU327692 CJY327692 CAC327692 BQG327692 BGK327692 AWO327692 AMS327692 ACW327692 TA327692 JE327692 I327692 WVQ262156 WLU262156 WBY262156 VSC262156 VIG262156 UYK262156 UOO262156 UES262156 TUW262156 TLA262156 TBE262156 SRI262156 SHM262156 RXQ262156 RNU262156 RDY262156 QUC262156 QKG262156 QAK262156 PQO262156 PGS262156 OWW262156 ONA262156 ODE262156 NTI262156 NJM262156 MZQ262156 MPU262156 MFY262156 LWC262156 LMG262156 LCK262156 KSO262156 KIS262156 JYW262156 JPA262156 JFE262156 IVI262156 ILM262156 IBQ262156 HRU262156 HHY262156 GYC262156 GOG262156 GEK262156 FUO262156 FKS262156 FAW262156 ERA262156 EHE262156 DXI262156 DNM262156 DDQ262156 CTU262156 CJY262156 CAC262156 BQG262156 BGK262156 AWO262156 AMS262156 ACW262156 TA262156 JE262156 I262156 WVQ196620 WLU196620 WBY196620 VSC196620 VIG196620 UYK196620 UOO196620 UES196620 TUW196620 TLA196620 TBE196620 SRI196620 SHM196620 RXQ196620 RNU196620 RDY196620 QUC196620 QKG196620 QAK196620 PQO196620 PGS196620 OWW196620 ONA196620 ODE196620 NTI196620 NJM196620 MZQ196620 MPU196620 MFY196620 LWC196620 LMG196620 LCK196620 KSO196620 KIS196620 JYW196620 JPA196620 JFE196620 IVI196620 ILM196620 IBQ196620 HRU196620 HHY196620 GYC196620 GOG196620 GEK196620 FUO196620 FKS196620 FAW196620 ERA196620 EHE196620 DXI196620 DNM196620 DDQ196620 CTU196620 CJY196620 CAC196620 BQG196620 BGK196620 AWO196620 AMS196620 ACW196620 TA196620 JE196620 I196620 WVQ131084 WLU131084 WBY131084 VSC131084 VIG131084 UYK131084 UOO131084 UES131084 TUW131084 TLA131084 TBE131084 SRI131084 SHM131084 RXQ131084 RNU131084 RDY131084 QUC131084 QKG131084 QAK131084 PQO131084 PGS131084 OWW131084 ONA131084 ODE131084 NTI131084 NJM131084 MZQ131084 MPU131084 MFY131084 LWC131084 LMG131084 LCK131084 KSO131084 KIS131084 JYW131084 JPA131084 JFE131084 IVI131084 ILM131084 IBQ131084 HRU131084 HHY131084 GYC131084 GOG131084 GEK131084 FUO131084 FKS131084 FAW131084 ERA131084 EHE131084 DXI131084 DNM131084 DDQ131084 CTU131084 CJY131084 CAC131084 BQG131084 BGK131084 AWO131084 AMS131084 ACW131084 TA131084 JE131084 I131084 WVQ65548 WLU65548 WBY65548 VSC65548 VIG65548 UYK65548 UOO65548 UES65548 TUW65548 TLA65548 TBE65548 SRI65548 SHM65548 RXQ65548 RNU65548 RDY65548 QUC65548 QKG65548 QAK65548 PQO65548 PGS65548 OWW65548 ONA65548 ODE65548 NTI65548 NJM65548 MZQ65548 MPU65548 MFY65548 LWC65548 LMG65548 LCK65548 KSO65548 KIS65548 JYW65548 JPA65548 JFE65548 IVI65548 ILM65548 IBQ65548 HRU65548 HHY65548 GYC65548 GOG65548 GEK65548 FUO65548 FKS65548 FAW65548 ERA65548 EHE65548 DXI65548 DNM65548 DDQ65548 CTU65548 CJY65548 CAC65548 BQG65548 BGK65548 AWO65548 AMS65548 ACW65548 TA65548 JE65548 I65548 WVQ983048 WLU983048 WBY983048 VSC983048 VIG983048 UYK983048 UOO983048 UES983048 TUW983048 TLA983048 TBE983048 SRI983048 SHM983048 RXQ983048 RNU983048 RDY983048 QUC983048 QKG983048 QAK983048 PQO983048 PGS983048 OWW983048 ONA983048 ODE983048 NTI983048 NJM983048 MZQ983048 MPU983048 MFY983048 LWC983048 LMG983048 LCK983048 KSO983048 KIS983048 JYW983048 JPA983048 JFE983048 IVI983048 ILM983048 IBQ983048 HRU983048 HHY983048 GYC983048 GOG983048 GEK983048 FUO983048 FKS983048 FAW983048 ERA983048 EHE983048 DXI983048 DNM983048 DDQ983048 CTU983048 CJY983048 CAC983048 BQG983048 BGK983048 AWO983048 AMS983048 ACW983048 TA983048 JE983048 I983048 WVQ917512 WLU917512 WBY917512 VSC917512 VIG917512 UYK917512 UOO917512 UES917512 TUW917512 TLA917512 TBE917512 SRI917512 SHM917512 RXQ917512 RNU917512 RDY917512 QUC917512 QKG917512 QAK917512 PQO917512 PGS917512 OWW917512 ONA917512 ODE917512 NTI917512 NJM917512 MZQ917512 MPU917512 MFY917512 LWC917512 LMG917512 LCK917512 KSO917512 KIS917512 JYW917512 JPA917512 JFE917512 IVI917512 ILM917512 IBQ917512 HRU917512 HHY917512 GYC917512 GOG917512 GEK917512 FUO917512 FKS917512 FAW917512 ERA917512 EHE917512 DXI917512 DNM917512 DDQ917512 CTU917512 CJY917512 CAC917512 BQG917512 BGK917512 AWO917512 AMS917512 ACW917512 TA917512 JE917512 I917512 WVQ851976 WLU851976 WBY851976 VSC851976 VIG851976 UYK851976 UOO851976 UES851976 TUW851976 TLA851976 TBE851976 SRI851976 SHM851976 RXQ851976 RNU851976 RDY851976 QUC851976 QKG851976 QAK851976 PQO851976 PGS851976 OWW851976 ONA851976 ODE851976 NTI851976 NJM851976 MZQ851976 MPU851976 MFY851976 LWC851976 LMG851976 LCK851976 KSO851976 KIS851976 JYW851976 JPA851976 JFE851976 IVI851976 ILM851976 IBQ851976 HRU851976 HHY851976 GYC851976 GOG851976 GEK851976 FUO851976 FKS851976 FAW851976 ERA851976 EHE851976 DXI851976 DNM851976 DDQ851976 CTU851976 CJY851976 CAC851976 BQG851976 BGK851976 AWO851976 AMS851976 ACW851976 TA851976 JE851976 I851976 WVQ786440 WLU786440 WBY786440 VSC786440 VIG786440 UYK786440 UOO786440 UES786440 TUW786440 TLA786440 TBE786440 SRI786440 SHM786440 RXQ786440 RNU786440 RDY786440 QUC786440 QKG786440 QAK786440 PQO786440 PGS786440 OWW786440 ONA786440 ODE786440 NTI786440 NJM786440 MZQ786440 MPU786440 MFY786440 LWC786440 LMG786440 LCK786440 KSO786440 KIS786440 JYW786440 JPA786440 JFE786440 IVI786440 ILM786440 IBQ786440 HRU786440 HHY786440 GYC786440 GOG786440 GEK786440 FUO786440 FKS786440 FAW786440 ERA786440 EHE786440 DXI786440 DNM786440 DDQ786440 CTU786440 CJY786440 CAC786440 BQG786440 BGK786440 AWO786440 AMS786440 ACW786440 TA786440 JE786440 I786440 WVQ720904 WLU720904 WBY720904 VSC720904 VIG720904 UYK720904 UOO720904 UES720904 TUW720904 TLA720904 TBE720904 SRI720904 SHM720904 RXQ720904 RNU720904 RDY720904 QUC720904 QKG720904 QAK720904 PQO720904 PGS720904 OWW720904 ONA720904 ODE720904 NTI720904 NJM720904 MZQ720904 MPU720904 MFY720904 LWC720904 LMG720904 LCK720904 KSO720904 KIS720904 JYW720904 JPA720904 JFE720904 IVI720904 ILM720904 IBQ720904 HRU720904 HHY720904 GYC720904 GOG720904 GEK720904 FUO720904 FKS720904 FAW720904 ERA720904 EHE720904 DXI720904 DNM720904 DDQ720904 CTU720904 CJY720904 CAC720904 BQG720904 BGK720904 AWO720904 AMS720904 ACW720904 TA720904 JE720904 I720904 WVQ655368 WLU655368 WBY655368 VSC655368 VIG655368 UYK655368 UOO655368 UES655368 TUW655368 TLA655368 TBE655368 SRI655368 SHM655368 RXQ655368 RNU655368 RDY655368 QUC655368 QKG655368 QAK655368 PQO655368 PGS655368 OWW655368 ONA655368 ODE655368 NTI655368 NJM655368 MZQ655368 MPU655368 MFY655368 LWC655368 LMG655368 LCK655368 KSO655368 KIS655368 JYW655368 JPA655368 JFE655368 IVI655368 ILM655368 IBQ655368 HRU655368 HHY655368 GYC655368 GOG655368 GEK655368 FUO655368 FKS655368 FAW655368 ERA655368 EHE655368 DXI655368 DNM655368 DDQ655368 CTU655368 CJY655368 CAC655368 BQG655368 BGK655368 AWO655368 AMS655368 ACW655368 TA655368 JE655368 I655368 WVQ589832 WLU589832 WBY589832 VSC589832 VIG589832 UYK589832 UOO589832 UES589832 TUW589832 TLA589832 TBE589832 SRI589832 SHM589832 RXQ589832 RNU589832 RDY589832 QUC589832 QKG589832 QAK589832 PQO589832 PGS589832 OWW589832 ONA589832 ODE589832 NTI589832 NJM589832 MZQ589832 MPU589832 MFY589832 LWC589832 LMG589832 LCK589832 KSO589832 KIS589832 JYW589832 JPA589832 JFE589832 IVI589832 ILM589832 IBQ589832 HRU589832 HHY589832 GYC589832 GOG589832 GEK589832 FUO589832 FKS589832 FAW589832 ERA589832 EHE589832 DXI589832 DNM589832 DDQ589832 CTU589832 CJY589832 CAC589832 BQG589832 BGK589832 AWO589832 AMS589832 ACW589832 TA589832 JE589832 I589832 WVQ524296 WLU524296 WBY524296 VSC524296 VIG524296 UYK524296 UOO524296 UES524296 TUW524296 TLA524296 TBE524296 SRI524296 SHM524296 RXQ524296 RNU524296 RDY524296 QUC524296 QKG524296 QAK524296 PQO524296 PGS524296 OWW524296 ONA524296 ODE524296 NTI524296 NJM524296 MZQ524296 MPU524296 MFY524296 LWC524296 LMG524296 LCK524296 KSO524296 KIS524296 JYW524296 JPA524296 JFE524296 IVI524296 ILM524296 IBQ524296 HRU524296 HHY524296 GYC524296 GOG524296 GEK524296 FUO524296 FKS524296 FAW524296 ERA524296 EHE524296 DXI524296 DNM524296 DDQ524296 CTU524296 CJY524296 CAC524296 BQG524296 BGK524296 AWO524296 AMS524296 ACW524296 TA524296 JE524296 I524296 WVQ458760 WLU458760 WBY458760 VSC458760 VIG458760 UYK458760 UOO458760 UES458760 TUW458760 TLA458760 TBE458760 SRI458760 SHM458760 RXQ458760 RNU458760 RDY458760 QUC458760 QKG458760 QAK458760 PQO458760 PGS458760 OWW458760 ONA458760 ODE458760 NTI458760 NJM458760 MZQ458760 MPU458760 MFY458760 LWC458760 LMG458760 LCK458760 KSO458760 KIS458760 JYW458760 JPA458760 JFE458760 IVI458760 ILM458760 IBQ458760 HRU458760 HHY458760 GYC458760 GOG458760 GEK458760 FUO458760 FKS458760 FAW458760 ERA458760 EHE458760 DXI458760 DNM458760 DDQ458760 CTU458760 CJY458760 CAC458760 BQG458760 BGK458760 AWO458760 AMS458760 ACW458760 TA458760 JE458760 I458760 WVQ393224 WLU393224 WBY393224 VSC393224 VIG393224 UYK393224 UOO393224 UES393224 TUW393224 TLA393224 TBE393224 SRI393224 SHM393224 RXQ393224 RNU393224 RDY393224 QUC393224 QKG393224 QAK393224 PQO393224 PGS393224 OWW393224 ONA393224 ODE393224 NTI393224 NJM393224 MZQ393224 MPU393224 MFY393224 LWC393224 LMG393224 LCK393224 KSO393224 KIS393224 JYW393224 JPA393224 JFE393224 IVI393224 ILM393224 IBQ393224 HRU393224 HHY393224 GYC393224 GOG393224 GEK393224 FUO393224 FKS393224 FAW393224 ERA393224 EHE393224 DXI393224 DNM393224 DDQ393224 CTU393224 CJY393224 CAC393224 BQG393224 BGK393224 AWO393224 AMS393224 ACW393224 TA393224 JE393224 I393224 WVQ327688 WLU327688 WBY327688 VSC327688 VIG327688 UYK327688 UOO327688 UES327688 TUW327688 TLA327688 TBE327688 SRI327688 SHM327688 RXQ327688 RNU327688 RDY327688 QUC327688 QKG327688 QAK327688 PQO327688 PGS327688 OWW327688 ONA327688 ODE327688 NTI327688 NJM327688 MZQ327688 MPU327688 MFY327688 LWC327688 LMG327688 LCK327688 KSO327688 KIS327688 JYW327688 JPA327688 JFE327688 IVI327688 ILM327688 IBQ327688 HRU327688 HHY327688 GYC327688 GOG327688 GEK327688 FUO327688 FKS327688 FAW327688 ERA327688 EHE327688 DXI327688 DNM327688 DDQ327688 CTU327688 CJY327688 CAC327688 BQG327688 BGK327688 AWO327688 AMS327688 ACW327688 TA327688 JE327688 I327688 WVQ262152 WLU262152 WBY262152 VSC262152 VIG262152 UYK262152 UOO262152 UES262152 TUW262152 TLA262152 TBE262152 SRI262152 SHM262152 RXQ262152 RNU262152 RDY262152 QUC262152 QKG262152 QAK262152 PQO262152 PGS262152 OWW262152 ONA262152 ODE262152 NTI262152 NJM262152 MZQ262152 MPU262152 MFY262152 LWC262152 LMG262152 LCK262152 KSO262152 KIS262152 JYW262152 JPA262152 JFE262152 IVI262152 ILM262152 IBQ262152 HRU262152 HHY262152 GYC262152 GOG262152 GEK262152 FUO262152 FKS262152 FAW262152 ERA262152 EHE262152 DXI262152 DNM262152 DDQ262152 CTU262152 CJY262152 CAC262152 BQG262152 BGK262152 AWO262152 AMS262152 ACW262152 TA262152 JE262152 I262152 WVQ196616 WLU196616 WBY196616 VSC196616 VIG196616 UYK196616 UOO196616 UES196616 TUW196616 TLA196616 TBE196616 SRI196616 SHM196616 RXQ196616 RNU196616 RDY196616 QUC196616 QKG196616 QAK196616 PQO196616 PGS196616 OWW196616 ONA196616 ODE196616 NTI196616 NJM196616 MZQ196616 MPU196616 MFY196616 LWC196616 LMG196616 LCK196616 KSO196616 KIS196616 JYW196616 JPA196616 JFE196616 IVI196616 ILM196616 IBQ196616 HRU196616 HHY196616 GYC196616 GOG196616 GEK196616 FUO196616 FKS196616 FAW196616 ERA196616 EHE196616 DXI196616 DNM196616 DDQ196616 CTU196616 CJY196616 CAC196616 BQG196616 BGK196616 AWO196616 AMS196616 ACW196616 TA196616 JE196616 I196616 WVQ131080 WLU131080 WBY131080 VSC131080 VIG131080 UYK131080 UOO131080 UES131080 TUW131080 TLA131080 TBE131080 SRI131080 SHM131080 RXQ131080 RNU131080 RDY131080 QUC131080 QKG131080 QAK131080 PQO131080 PGS131080 OWW131080 ONA131080 ODE131080 NTI131080 NJM131080 MZQ131080 MPU131080 MFY131080 LWC131080 LMG131080 LCK131080 KSO131080 KIS131080 JYW131080 JPA131080 JFE131080 IVI131080 ILM131080 IBQ131080 HRU131080 HHY131080 GYC131080 GOG131080 GEK131080 FUO131080 FKS131080 FAW131080 ERA131080 EHE131080 DXI131080 DNM131080 DDQ131080 CTU131080 CJY131080 CAC131080 BQG131080 BGK131080 AWO131080 AMS131080 ACW131080 TA131080 JE131080 I131080 WVQ65544 WLU65544 WBY65544 VSC65544 VIG65544 UYK65544 UOO65544 UES65544 TUW65544 TLA65544 TBE65544 SRI65544 SHM65544 RXQ65544 RNU65544 RDY65544 QUC65544 QKG65544 QAK65544 PQO65544 PGS65544 OWW65544 ONA65544 ODE65544 NTI65544 NJM65544 MZQ65544 MPU65544 MFY65544 LWC65544 LMG65544 LCK65544 KSO65544 KIS65544 JYW65544 JPA65544 JFE65544 IVI65544 ILM65544 IBQ65544 HRU65544 HHY65544 GYC65544 GOG65544 GEK65544 FUO65544 FKS65544 FAW65544 ERA65544 EHE65544 DXI65544 DNM65544 DDQ65544 CTU65544 CJY65544 CAC65544 BQG65544 BGK65544 AWO65544 AMS65544 ACW65544 TA65544 JE65544 I65544 WVQ8 WLU8 WBY8 VSC8 VIG8 UYK8 UOO8 UES8 TUW8 TLA8 TBE8 SRI8 SHM8 RXQ8 RNU8 RDY8 QUC8 QKG8 QAK8 PQO8 PGS8 OWW8 ONA8 ODE8 NTI8 NJM8 MZQ8 MPU8 MFY8 LWC8 LMG8 LCK8 KSO8 KIS8 JYW8 JPA8 JFE8 IVI8 ILM8 IBQ8 HRU8 HHY8 GYC8 GOG8 GEK8 FUO8 FKS8 FAW8 ERA8 EHE8 DXI8 DNM8 DDQ8 CTU8 CJY8 CAC8 BQG8 BGK8 AWO8 AMS8 ACW8 TA8 JE8 I8 WVQ983045 WLU983045 WBY983045 VSC983045 VIG983045 UYK983045 UOO983045 UES983045 TUW983045 TLA983045 TBE983045 SRI983045 SHM983045 RXQ983045 RNU983045 RDY983045 QUC983045 QKG983045 QAK983045 PQO983045 PGS983045 OWW983045 ONA983045 ODE983045 NTI983045 NJM983045 MZQ983045 MPU983045 MFY983045 LWC983045 LMG983045 LCK983045 KSO983045 KIS983045 JYW983045 JPA983045 JFE983045 IVI983045 ILM983045 IBQ983045 HRU983045 HHY983045 GYC983045 GOG983045 GEK983045 FUO983045 FKS983045 FAW983045 ERA983045 EHE983045 DXI983045 DNM983045 DDQ983045 CTU983045 CJY983045 CAC983045 BQG983045 BGK983045 AWO983045 AMS983045 ACW983045 TA983045 JE983045 I983045 WVQ917509 WLU917509 WBY917509 VSC917509 VIG917509 UYK917509 UOO917509 UES917509 TUW917509 TLA917509 TBE917509 SRI917509 SHM917509 RXQ917509 RNU917509 RDY917509 QUC917509 QKG917509 QAK917509 PQO917509 PGS917509 OWW917509 ONA917509 ODE917509 NTI917509 NJM917509 MZQ917509 MPU917509 MFY917509 LWC917509 LMG917509 LCK917509 KSO917509 KIS917509 JYW917509 JPA917509 JFE917509 IVI917509 ILM917509 IBQ917509 HRU917509 HHY917509 GYC917509 GOG917509 GEK917509 FUO917509 FKS917509 FAW917509 ERA917509 EHE917509 DXI917509 DNM917509 DDQ917509 CTU917509 CJY917509 CAC917509 BQG917509 BGK917509 AWO917509 AMS917509 ACW917509 TA917509 JE917509 I917509 WVQ851973 WLU851973 WBY851973 VSC851973 VIG851973 UYK851973 UOO851973 UES851973 TUW851973 TLA851973 TBE851973 SRI851973 SHM851973 RXQ851973 RNU851973 RDY851973 QUC851973 QKG851973 QAK851973 PQO851973 PGS851973 OWW851973 ONA851973 ODE851973 NTI851973 NJM851973 MZQ851973 MPU851973 MFY851973 LWC851973 LMG851973 LCK851973 KSO851973 KIS851973 JYW851973 JPA851973 JFE851973 IVI851973 ILM851973 IBQ851973 HRU851973 HHY851973 GYC851973 GOG851973 GEK851973 FUO851973 FKS851973 FAW851973 ERA851973 EHE851973 DXI851973 DNM851973 DDQ851973 CTU851973 CJY851973 CAC851973 BQG851973 BGK851973 AWO851973 AMS851973 ACW851973 TA851973 JE851973 I851973 WVQ786437 WLU786437 WBY786437 VSC786437 VIG786437 UYK786437 UOO786437 UES786437 TUW786437 TLA786437 TBE786437 SRI786437 SHM786437 RXQ786437 RNU786437 RDY786437 QUC786437 QKG786437 QAK786437 PQO786437 PGS786437 OWW786437 ONA786437 ODE786437 NTI786437 NJM786437 MZQ786437 MPU786437 MFY786437 LWC786437 LMG786437 LCK786437 KSO786437 KIS786437 JYW786437 JPA786437 JFE786437 IVI786437 ILM786437 IBQ786437 HRU786437 HHY786437 GYC786437 GOG786437 GEK786437 FUO786437 FKS786437 FAW786437 ERA786437 EHE786437 DXI786437 DNM786437 DDQ786437 CTU786437 CJY786437 CAC786437 BQG786437 BGK786437 AWO786437 AMS786437 ACW786437 TA786437 JE786437 I786437 WVQ720901 WLU720901 WBY720901 VSC720901 VIG720901 UYK720901 UOO720901 UES720901 TUW720901 TLA720901 TBE720901 SRI720901 SHM720901 RXQ720901 RNU720901 RDY720901 QUC720901 QKG720901 QAK720901 PQO720901 PGS720901 OWW720901 ONA720901 ODE720901 NTI720901 NJM720901 MZQ720901 MPU720901 MFY720901 LWC720901 LMG720901 LCK720901 KSO720901 KIS720901 JYW720901 JPA720901 JFE720901 IVI720901 ILM720901 IBQ720901 HRU720901 HHY720901 GYC720901 GOG720901 GEK720901 FUO720901 FKS720901 FAW720901 ERA720901 EHE720901 DXI720901 DNM720901 DDQ720901 CTU720901 CJY720901 CAC720901 BQG720901 BGK720901 AWO720901 AMS720901 ACW720901 TA720901 JE720901 I720901 WVQ655365 WLU655365 WBY655365 VSC655365 VIG655365 UYK655365 UOO655365 UES655365 TUW655365 TLA655365 TBE655365 SRI655365 SHM655365 RXQ655365 RNU655365 RDY655365 QUC655365 QKG655365 QAK655365 PQO655365 PGS655365 OWW655365 ONA655365 ODE655365 NTI655365 NJM655365 MZQ655365 MPU655365 MFY655365 LWC655365 LMG655365 LCK655365 KSO655365 KIS655365 JYW655365 JPA655365 JFE655365 IVI655365 ILM655365 IBQ655365 HRU655365 HHY655365 GYC655365 GOG655365 GEK655365 FUO655365 FKS655365 FAW655365 ERA655365 EHE655365 DXI655365 DNM655365 DDQ655365 CTU655365 CJY655365 CAC655365 BQG655365 BGK655365 AWO655365 AMS655365 ACW655365 TA655365 JE655365 I655365 WVQ589829 WLU589829 WBY589829 VSC589829 VIG589829 UYK589829 UOO589829 UES589829 TUW589829 TLA589829 TBE589829 SRI589829 SHM589829 RXQ589829 RNU589829 RDY589829 QUC589829 QKG589829 QAK589829 PQO589829 PGS589829 OWW589829 ONA589829 ODE589829 NTI589829 NJM589829 MZQ589829 MPU589829 MFY589829 LWC589829 LMG589829 LCK589829 KSO589829 KIS589829 JYW589829 JPA589829 JFE589829 IVI589829 ILM589829 IBQ589829 HRU589829 HHY589829 GYC589829 GOG589829 GEK589829 FUO589829 FKS589829 FAW589829 ERA589829 EHE589829 DXI589829 DNM589829 DDQ589829 CTU589829 CJY589829 CAC589829 BQG589829 BGK589829 AWO589829 AMS589829 ACW589829 TA589829 JE589829 I589829 WVQ524293 WLU524293 WBY524293 VSC524293 VIG524293 UYK524293 UOO524293 UES524293 TUW524293 TLA524293 TBE524293 SRI524293 SHM524293 RXQ524293 RNU524293 RDY524293 QUC524293 QKG524293 QAK524293 PQO524293 PGS524293 OWW524293 ONA524293 ODE524293 NTI524293 NJM524293 MZQ524293 MPU524293 MFY524293 LWC524293 LMG524293 LCK524293 KSO524293 KIS524293 JYW524293 JPA524293 JFE524293 IVI524293 ILM524293 IBQ524293 HRU524293 HHY524293 GYC524293 GOG524293 GEK524293 FUO524293 FKS524293 FAW524293 ERA524293 EHE524293 DXI524293 DNM524293 DDQ524293 CTU524293 CJY524293 CAC524293 BQG524293 BGK524293 AWO524293 AMS524293 ACW524293 TA524293 JE524293 I524293 WVQ458757 WLU458757 WBY458757 VSC458757 VIG458757 UYK458757 UOO458757 UES458757 TUW458757 TLA458757 TBE458757 SRI458757 SHM458757 RXQ458757 RNU458757 RDY458757 QUC458757 QKG458757 QAK458757 PQO458757 PGS458757 OWW458757 ONA458757 ODE458757 NTI458757 NJM458757 MZQ458757 MPU458757 MFY458757 LWC458757 LMG458757 LCK458757 KSO458757 KIS458757 JYW458757 JPA458757 JFE458757 IVI458757 ILM458757 IBQ458757 HRU458757 HHY458757 GYC458757 GOG458757 GEK458757 FUO458757 FKS458757 FAW458757 ERA458757 EHE458757 DXI458757 DNM458757 DDQ458757 CTU458757 CJY458757 CAC458757 BQG458757 BGK458757 AWO458757 AMS458757 ACW458757 TA458757 JE458757 I458757 WVQ393221 WLU393221 WBY393221 VSC393221 VIG393221 UYK393221 UOO393221 UES393221 TUW393221 TLA393221 TBE393221 SRI393221 SHM393221 RXQ393221 RNU393221 RDY393221 QUC393221 QKG393221 QAK393221 PQO393221 PGS393221 OWW393221 ONA393221 ODE393221 NTI393221 NJM393221 MZQ393221 MPU393221 MFY393221 LWC393221 LMG393221 LCK393221 KSO393221 KIS393221 JYW393221 JPA393221 JFE393221 IVI393221 ILM393221 IBQ393221 HRU393221 HHY393221 GYC393221 GOG393221 GEK393221 FUO393221 FKS393221 FAW393221 ERA393221 EHE393221 DXI393221 DNM393221 DDQ393221 CTU393221 CJY393221 CAC393221 BQG393221 BGK393221 AWO393221 AMS393221 ACW393221 TA393221 JE393221 I393221 WVQ327685 WLU327685 WBY327685 VSC327685 VIG327685 UYK327685 UOO327685 UES327685 TUW327685 TLA327685 TBE327685 SRI327685 SHM327685 RXQ327685 RNU327685 RDY327685 QUC327685 QKG327685 QAK327685 PQO327685 PGS327685 OWW327685 ONA327685 ODE327685 NTI327685 NJM327685 MZQ327685 MPU327685 MFY327685 LWC327685 LMG327685 LCK327685 KSO327685 KIS327685 JYW327685 JPA327685 JFE327685 IVI327685 ILM327685 IBQ327685 HRU327685 HHY327685 GYC327685 GOG327685 GEK327685 FUO327685 FKS327685 FAW327685 ERA327685 EHE327685 DXI327685 DNM327685 DDQ327685 CTU327685 CJY327685 CAC327685 BQG327685 BGK327685 AWO327685 AMS327685 ACW327685 TA327685 JE327685 I327685 WVQ262149 WLU262149 WBY262149 VSC262149 VIG262149 UYK262149 UOO262149 UES262149 TUW262149 TLA262149 TBE262149 SRI262149 SHM262149 RXQ262149 RNU262149 RDY262149 QUC262149 QKG262149 QAK262149 PQO262149 PGS262149 OWW262149 ONA262149 ODE262149 NTI262149 NJM262149 MZQ262149 MPU262149 MFY262149 LWC262149 LMG262149 LCK262149 KSO262149 KIS262149 JYW262149 JPA262149 JFE262149 IVI262149 ILM262149 IBQ262149 HRU262149 HHY262149 GYC262149 GOG262149 GEK262149 FUO262149 FKS262149 FAW262149 ERA262149 EHE262149 DXI262149 DNM262149 DDQ262149 CTU262149 CJY262149 CAC262149 BQG262149 BGK262149 AWO262149 AMS262149 ACW262149 TA262149 JE262149 I262149 WVQ196613 WLU196613 WBY196613 VSC196613 VIG196613 UYK196613 UOO196613 UES196613 TUW196613 TLA196613 TBE196613 SRI196613 SHM196613 RXQ196613 RNU196613 RDY196613 QUC196613 QKG196613 QAK196613 PQO196613 PGS196613 OWW196613 ONA196613 ODE196613 NTI196613 NJM196613 MZQ196613 MPU196613 MFY196613 LWC196613 LMG196613 LCK196613 KSO196613 KIS196613 JYW196613 JPA196613 JFE196613 IVI196613 ILM196613 IBQ196613 HRU196613 HHY196613 GYC196613 GOG196613 GEK196613 FUO196613 FKS196613 FAW196613 ERA196613 EHE196613 DXI196613 DNM196613 DDQ196613 CTU196613 CJY196613 CAC196613 BQG196613 BGK196613 AWO196613 AMS196613 ACW196613 TA196613 JE196613 I196613 WVQ131077 WLU131077 WBY131077 VSC131077 VIG131077 UYK131077 UOO131077 UES131077 TUW131077 TLA131077 TBE131077 SRI131077 SHM131077 RXQ131077 RNU131077 RDY131077 QUC131077 QKG131077 QAK131077 PQO131077 PGS131077 OWW131077 ONA131077 ODE131077 NTI131077 NJM131077 MZQ131077 MPU131077 MFY131077 LWC131077 LMG131077 LCK131077 KSO131077 KIS131077 JYW131077 JPA131077 JFE131077 IVI131077 ILM131077 IBQ131077 HRU131077 HHY131077 GYC131077 GOG131077 GEK131077 FUO131077 FKS131077 FAW131077 ERA131077 EHE131077 DXI131077 DNM131077 DDQ131077 CTU131077 CJY131077 CAC131077 BQG131077 BGK131077 AWO131077 AMS131077 ACW131077 TA131077 JE131077 I131077 WVQ65541 WLU65541 WBY65541 VSC65541 VIG65541 UYK65541 UOO65541 UES65541 TUW65541 TLA65541 TBE65541 SRI65541 SHM65541 RXQ65541 RNU65541 RDY65541 QUC65541 QKG65541 QAK65541 PQO65541 PGS65541 OWW65541 ONA65541 ODE65541 NTI65541 NJM65541 MZQ65541 MPU65541 MFY65541 LWC65541 LMG65541 LCK65541 KSO65541 KIS65541 JYW65541 JPA65541 JFE65541 IVI65541 ILM65541 IBQ65541 HRU65541 HHY65541 GYC65541 GOG65541 GEK65541 FUO65541 FKS65541 FAW65541 ERA65541 EHE65541 DXI65541 DNM65541 DDQ65541 CTU65541 CJY65541 CAC65541 BQG65541 BGK65541 AWO65541 AMS65541 ACW65541 TA65541 JE65541 I65541 I12">
      <formula1>$X$23:$X$24</formula1>
    </dataValidation>
    <dataValidation type="list" allowBlank="1" showInputMessage="1" showErrorMessage="1" sqref="AF65541:AF65549 KB65541:KB65549 TX65541:TX65549 ADT65541:ADT65549 ANP65541:ANP65549 AXL65541:AXL65549 BHH65541:BHH65549 BRD65541:BRD65549 CAZ65541:CAZ65549 CKV65541:CKV65549 CUR65541:CUR65549 DEN65541:DEN65549 DOJ65541:DOJ65549 DYF65541:DYF65549 EIB65541:EIB65549 ERX65541:ERX65549 FBT65541:FBT65549 FLP65541:FLP65549 FVL65541:FVL65549 GFH65541:GFH65549 GPD65541:GPD65549 GYZ65541:GYZ65549 HIV65541:HIV65549 HSR65541:HSR65549 ICN65541:ICN65549 IMJ65541:IMJ65549 IWF65541:IWF65549 JGB65541:JGB65549 JPX65541:JPX65549 JZT65541:JZT65549 KJP65541:KJP65549 KTL65541:KTL65549 LDH65541:LDH65549 LND65541:LND65549 LWZ65541:LWZ65549 MGV65541:MGV65549 MQR65541:MQR65549 NAN65541:NAN65549 NKJ65541:NKJ65549 NUF65541:NUF65549 OEB65541:OEB65549 ONX65541:ONX65549 OXT65541:OXT65549 PHP65541:PHP65549 PRL65541:PRL65549 QBH65541:QBH65549 QLD65541:QLD65549 QUZ65541:QUZ65549 REV65541:REV65549 ROR65541:ROR65549 RYN65541:RYN65549 SIJ65541:SIJ65549 SSF65541:SSF65549 TCB65541:TCB65549 TLX65541:TLX65549 TVT65541:TVT65549 UFP65541:UFP65549 UPL65541:UPL65549 UZH65541:UZH65549 VJD65541:VJD65549 VSZ65541:VSZ65549 WCV65541:WCV65549 WMR65541:WMR65549 WWN65541:WWN65549 AF131077:AF131085 KB131077:KB131085 TX131077:TX131085 ADT131077:ADT131085 ANP131077:ANP131085 AXL131077:AXL131085 BHH131077:BHH131085 BRD131077:BRD131085 CAZ131077:CAZ131085 CKV131077:CKV131085 CUR131077:CUR131085 DEN131077:DEN131085 DOJ131077:DOJ131085 DYF131077:DYF131085 EIB131077:EIB131085 ERX131077:ERX131085 FBT131077:FBT131085 FLP131077:FLP131085 FVL131077:FVL131085 GFH131077:GFH131085 GPD131077:GPD131085 GYZ131077:GYZ131085 HIV131077:HIV131085 HSR131077:HSR131085 ICN131077:ICN131085 IMJ131077:IMJ131085 IWF131077:IWF131085 JGB131077:JGB131085 JPX131077:JPX131085 JZT131077:JZT131085 KJP131077:KJP131085 KTL131077:KTL131085 LDH131077:LDH131085 LND131077:LND131085 LWZ131077:LWZ131085 MGV131077:MGV131085 MQR131077:MQR131085 NAN131077:NAN131085 NKJ131077:NKJ131085 NUF131077:NUF131085 OEB131077:OEB131085 ONX131077:ONX131085 OXT131077:OXT131085 PHP131077:PHP131085 PRL131077:PRL131085 QBH131077:QBH131085 QLD131077:QLD131085 QUZ131077:QUZ131085 REV131077:REV131085 ROR131077:ROR131085 RYN131077:RYN131085 SIJ131077:SIJ131085 SSF131077:SSF131085 TCB131077:TCB131085 TLX131077:TLX131085 TVT131077:TVT131085 UFP131077:UFP131085 UPL131077:UPL131085 UZH131077:UZH131085 VJD131077:VJD131085 VSZ131077:VSZ131085 WCV131077:WCV131085 WMR131077:WMR131085 WWN131077:WWN131085 AF196613:AF196621 KB196613:KB196621 TX196613:TX196621 ADT196613:ADT196621 ANP196613:ANP196621 AXL196613:AXL196621 BHH196613:BHH196621 BRD196613:BRD196621 CAZ196613:CAZ196621 CKV196613:CKV196621 CUR196613:CUR196621 DEN196613:DEN196621 DOJ196613:DOJ196621 DYF196613:DYF196621 EIB196613:EIB196621 ERX196613:ERX196621 FBT196613:FBT196621 FLP196613:FLP196621 FVL196613:FVL196621 GFH196613:GFH196621 GPD196613:GPD196621 GYZ196613:GYZ196621 HIV196613:HIV196621 HSR196613:HSR196621 ICN196613:ICN196621 IMJ196613:IMJ196621 IWF196613:IWF196621 JGB196613:JGB196621 JPX196613:JPX196621 JZT196613:JZT196621 KJP196613:KJP196621 KTL196613:KTL196621 LDH196613:LDH196621 LND196613:LND196621 LWZ196613:LWZ196621 MGV196613:MGV196621 MQR196613:MQR196621 NAN196613:NAN196621 NKJ196613:NKJ196621 NUF196613:NUF196621 OEB196613:OEB196621 ONX196613:ONX196621 OXT196613:OXT196621 PHP196613:PHP196621 PRL196613:PRL196621 QBH196613:QBH196621 QLD196613:QLD196621 QUZ196613:QUZ196621 REV196613:REV196621 ROR196613:ROR196621 RYN196613:RYN196621 SIJ196613:SIJ196621 SSF196613:SSF196621 TCB196613:TCB196621 TLX196613:TLX196621 TVT196613:TVT196621 UFP196613:UFP196621 UPL196613:UPL196621 UZH196613:UZH196621 VJD196613:VJD196621 VSZ196613:VSZ196621 WCV196613:WCV196621 WMR196613:WMR196621 WWN196613:WWN196621 AF262149:AF262157 KB262149:KB262157 TX262149:TX262157 ADT262149:ADT262157 ANP262149:ANP262157 AXL262149:AXL262157 BHH262149:BHH262157 BRD262149:BRD262157 CAZ262149:CAZ262157 CKV262149:CKV262157 CUR262149:CUR262157 DEN262149:DEN262157 DOJ262149:DOJ262157 DYF262149:DYF262157 EIB262149:EIB262157 ERX262149:ERX262157 FBT262149:FBT262157 FLP262149:FLP262157 FVL262149:FVL262157 GFH262149:GFH262157 GPD262149:GPD262157 GYZ262149:GYZ262157 HIV262149:HIV262157 HSR262149:HSR262157 ICN262149:ICN262157 IMJ262149:IMJ262157 IWF262149:IWF262157 JGB262149:JGB262157 JPX262149:JPX262157 JZT262149:JZT262157 KJP262149:KJP262157 KTL262149:KTL262157 LDH262149:LDH262157 LND262149:LND262157 LWZ262149:LWZ262157 MGV262149:MGV262157 MQR262149:MQR262157 NAN262149:NAN262157 NKJ262149:NKJ262157 NUF262149:NUF262157 OEB262149:OEB262157 ONX262149:ONX262157 OXT262149:OXT262157 PHP262149:PHP262157 PRL262149:PRL262157 QBH262149:QBH262157 QLD262149:QLD262157 QUZ262149:QUZ262157 REV262149:REV262157 ROR262149:ROR262157 RYN262149:RYN262157 SIJ262149:SIJ262157 SSF262149:SSF262157 TCB262149:TCB262157 TLX262149:TLX262157 TVT262149:TVT262157 UFP262149:UFP262157 UPL262149:UPL262157 UZH262149:UZH262157 VJD262149:VJD262157 VSZ262149:VSZ262157 WCV262149:WCV262157 WMR262149:WMR262157 WWN262149:WWN262157 AF327685:AF327693 KB327685:KB327693 TX327685:TX327693 ADT327685:ADT327693 ANP327685:ANP327693 AXL327685:AXL327693 BHH327685:BHH327693 BRD327685:BRD327693 CAZ327685:CAZ327693 CKV327685:CKV327693 CUR327685:CUR327693 DEN327685:DEN327693 DOJ327685:DOJ327693 DYF327685:DYF327693 EIB327685:EIB327693 ERX327685:ERX327693 FBT327685:FBT327693 FLP327685:FLP327693 FVL327685:FVL327693 GFH327685:GFH327693 GPD327685:GPD327693 GYZ327685:GYZ327693 HIV327685:HIV327693 HSR327685:HSR327693 ICN327685:ICN327693 IMJ327685:IMJ327693 IWF327685:IWF327693 JGB327685:JGB327693 JPX327685:JPX327693 JZT327685:JZT327693 KJP327685:KJP327693 KTL327685:KTL327693 LDH327685:LDH327693 LND327685:LND327693 LWZ327685:LWZ327693 MGV327685:MGV327693 MQR327685:MQR327693 NAN327685:NAN327693 NKJ327685:NKJ327693 NUF327685:NUF327693 OEB327685:OEB327693 ONX327685:ONX327693 OXT327685:OXT327693 PHP327685:PHP327693 PRL327685:PRL327693 QBH327685:QBH327693 QLD327685:QLD327693 QUZ327685:QUZ327693 REV327685:REV327693 ROR327685:ROR327693 RYN327685:RYN327693 SIJ327685:SIJ327693 SSF327685:SSF327693 TCB327685:TCB327693 TLX327685:TLX327693 TVT327685:TVT327693 UFP327685:UFP327693 UPL327685:UPL327693 UZH327685:UZH327693 VJD327685:VJD327693 VSZ327685:VSZ327693 WCV327685:WCV327693 WMR327685:WMR327693 WWN327685:WWN327693 AF393221:AF393229 KB393221:KB393229 TX393221:TX393229 ADT393221:ADT393229 ANP393221:ANP393229 AXL393221:AXL393229 BHH393221:BHH393229 BRD393221:BRD393229 CAZ393221:CAZ393229 CKV393221:CKV393229 CUR393221:CUR393229 DEN393221:DEN393229 DOJ393221:DOJ393229 DYF393221:DYF393229 EIB393221:EIB393229 ERX393221:ERX393229 FBT393221:FBT393229 FLP393221:FLP393229 FVL393221:FVL393229 GFH393221:GFH393229 GPD393221:GPD393229 GYZ393221:GYZ393229 HIV393221:HIV393229 HSR393221:HSR393229 ICN393221:ICN393229 IMJ393221:IMJ393229 IWF393221:IWF393229 JGB393221:JGB393229 JPX393221:JPX393229 JZT393221:JZT393229 KJP393221:KJP393229 KTL393221:KTL393229 LDH393221:LDH393229 LND393221:LND393229 LWZ393221:LWZ393229 MGV393221:MGV393229 MQR393221:MQR393229 NAN393221:NAN393229 NKJ393221:NKJ393229 NUF393221:NUF393229 OEB393221:OEB393229 ONX393221:ONX393229 OXT393221:OXT393229 PHP393221:PHP393229 PRL393221:PRL393229 QBH393221:QBH393229 QLD393221:QLD393229 QUZ393221:QUZ393229 REV393221:REV393229 ROR393221:ROR393229 RYN393221:RYN393229 SIJ393221:SIJ393229 SSF393221:SSF393229 TCB393221:TCB393229 TLX393221:TLX393229 TVT393221:TVT393229 UFP393221:UFP393229 UPL393221:UPL393229 UZH393221:UZH393229 VJD393221:VJD393229 VSZ393221:VSZ393229 WCV393221:WCV393229 WMR393221:WMR393229 WWN393221:WWN393229 AF458757:AF458765 KB458757:KB458765 TX458757:TX458765 ADT458757:ADT458765 ANP458757:ANP458765 AXL458757:AXL458765 BHH458757:BHH458765 BRD458757:BRD458765 CAZ458757:CAZ458765 CKV458757:CKV458765 CUR458757:CUR458765 DEN458757:DEN458765 DOJ458757:DOJ458765 DYF458757:DYF458765 EIB458757:EIB458765 ERX458757:ERX458765 FBT458757:FBT458765 FLP458757:FLP458765 FVL458757:FVL458765 GFH458757:GFH458765 GPD458757:GPD458765 GYZ458757:GYZ458765 HIV458757:HIV458765 HSR458757:HSR458765 ICN458757:ICN458765 IMJ458757:IMJ458765 IWF458757:IWF458765 JGB458757:JGB458765 JPX458757:JPX458765 JZT458757:JZT458765 KJP458757:KJP458765 KTL458757:KTL458765 LDH458757:LDH458765 LND458757:LND458765 LWZ458757:LWZ458765 MGV458757:MGV458765 MQR458757:MQR458765 NAN458757:NAN458765 NKJ458757:NKJ458765 NUF458757:NUF458765 OEB458757:OEB458765 ONX458757:ONX458765 OXT458757:OXT458765 PHP458757:PHP458765 PRL458757:PRL458765 QBH458757:QBH458765 QLD458757:QLD458765 QUZ458757:QUZ458765 REV458757:REV458765 ROR458757:ROR458765 RYN458757:RYN458765 SIJ458757:SIJ458765 SSF458757:SSF458765 TCB458757:TCB458765 TLX458757:TLX458765 TVT458757:TVT458765 UFP458757:UFP458765 UPL458757:UPL458765 UZH458757:UZH458765 VJD458757:VJD458765 VSZ458757:VSZ458765 WCV458757:WCV458765 WMR458757:WMR458765 WWN458757:WWN458765 AF524293:AF524301 KB524293:KB524301 TX524293:TX524301 ADT524293:ADT524301 ANP524293:ANP524301 AXL524293:AXL524301 BHH524293:BHH524301 BRD524293:BRD524301 CAZ524293:CAZ524301 CKV524293:CKV524301 CUR524293:CUR524301 DEN524293:DEN524301 DOJ524293:DOJ524301 DYF524293:DYF524301 EIB524293:EIB524301 ERX524293:ERX524301 FBT524293:FBT524301 FLP524293:FLP524301 FVL524293:FVL524301 GFH524293:GFH524301 GPD524293:GPD524301 GYZ524293:GYZ524301 HIV524293:HIV524301 HSR524293:HSR524301 ICN524293:ICN524301 IMJ524293:IMJ524301 IWF524293:IWF524301 JGB524293:JGB524301 JPX524293:JPX524301 JZT524293:JZT524301 KJP524293:KJP524301 KTL524293:KTL524301 LDH524293:LDH524301 LND524293:LND524301 LWZ524293:LWZ524301 MGV524293:MGV524301 MQR524293:MQR524301 NAN524293:NAN524301 NKJ524293:NKJ524301 NUF524293:NUF524301 OEB524293:OEB524301 ONX524293:ONX524301 OXT524293:OXT524301 PHP524293:PHP524301 PRL524293:PRL524301 QBH524293:QBH524301 QLD524293:QLD524301 QUZ524293:QUZ524301 REV524293:REV524301 ROR524293:ROR524301 RYN524293:RYN524301 SIJ524293:SIJ524301 SSF524293:SSF524301 TCB524293:TCB524301 TLX524293:TLX524301 TVT524293:TVT524301 UFP524293:UFP524301 UPL524293:UPL524301 UZH524293:UZH524301 VJD524293:VJD524301 VSZ524293:VSZ524301 WCV524293:WCV524301 WMR524293:WMR524301 WWN524293:WWN524301 AF589829:AF589837 KB589829:KB589837 TX589829:TX589837 ADT589829:ADT589837 ANP589829:ANP589837 AXL589829:AXL589837 BHH589829:BHH589837 BRD589829:BRD589837 CAZ589829:CAZ589837 CKV589829:CKV589837 CUR589829:CUR589837 DEN589829:DEN589837 DOJ589829:DOJ589837 DYF589829:DYF589837 EIB589829:EIB589837 ERX589829:ERX589837 FBT589829:FBT589837 FLP589829:FLP589837 FVL589829:FVL589837 GFH589829:GFH589837 GPD589829:GPD589837 GYZ589829:GYZ589837 HIV589829:HIV589837 HSR589829:HSR589837 ICN589829:ICN589837 IMJ589829:IMJ589837 IWF589829:IWF589837 JGB589829:JGB589837 JPX589829:JPX589837 JZT589829:JZT589837 KJP589829:KJP589837 KTL589829:KTL589837 LDH589829:LDH589837 LND589829:LND589837 LWZ589829:LWZ589837 MGV589829:MGV589837 MQR589829:MQR589837 NAN589829:NAN589837 NKJ589829:NKJ589837 NUF589829:NUF589837 OEB589829:OEB589837 ONX589829:ONX589837 OXT589829:OXT589837 PHP589829:PHP589837 PRL589829:PRL589837 QBH589829:QBH589837 QLD589829:QLD589837 QUZ589829:QUZ589837 REV589829:REV589837 ROR589829:ROR589837 RYN589829:RYN589837 SIJ589829:SIJ589837 SSF589829:SSF589837 TCB589829:TCB589837 TLX589829:TLX589837 TVT589829:TVT589837 UFP589829:UFP589837 UPL589829:UPL589837 UZH589829:UZH589837 VJD589829:VJD589837 VSZ589829:VSZ589837 WCV589829:WCV589837 WMR589829:WMR589837 WWN589829:WWN589837 AF655365:AF655373 KB655365:KB655373 TX655365:TX655373 ADT655365:ADT655373 ANP655365:ANP655373 AXL655365:AXL655373 BHH655365:BHH655373 BRD655365:BRD655373 CAZ655365:CAZ655373 CKV655365:CKV655373 CUR655365:CUR655373 DEN655365:DEN655373 DOJ655365:DOJ655373 DYF655365:DYF655373 EIB655365:EIB655373 ERX655365:ERX655373 FBT655365:FBT655373 FLP655365:FLP655373 FVL655365:FVL655373 GFH655365:GFH655373 GPD655365:GPD655373 GYZ655365:GYZ655373 HIV655365:HIV655373 HSR655365:HSR655373 ICN655365:ICN655373 IMJ655365:IMJ655373 IWF655365:IWF655373 JGB655365:JGB655373 JPX655365:JPX655373 JZT655365:JZT655373 KJP655365:KJP655373 KTL655365:KTL655373 LDH655365:LDH655373 LND655365:LND655373 LWZ655365:LWZ655373 MGV655365:MGV655373 MQR655365:MQR655373 NAN655365:NAN655373 NKJ655365:NKJ655373 NUF655365:NUF655373 OEB655365:OEB655373 ONX655365:ONX655373 OXT655365:OXT655373 PHP655365:PHP655373 PRL655365:PRL655373 QBH655365:QBH655373 QLD655365:QLD655373 QUZ655365:QUZ655373 REV655365:REV655373 ROR655365:ROR655373 RYN655365:RYN655373 SIJ655365:SIJ655373 SSF655365:SSF655373 TCB655365:TCB655373 TLX655365:TLX655373 TVT655365:TVT655373 UFP655365:UFP655373 UPL655365:UPL655373 UZH655365:UZH655373 VJD655365:VJD655373 VSZ655365:VSZ655373 WCV655365:WCV655373 WMR655365:WMR655373 WWN655365:WWN655373 AF720901:AF720909 KB720901:KB720909 TX720901:TX720909 ADT720901:ADT720909 ANP720901:ANP720909 AXL720901:AXL720909 BHH720901:BHH720909 BRD720901:BRD720909 CAZ720901:CAZ720909 CKV720901:CKV720909 CUR720901:CUR720909 DEN720901:DEN720909 DOJ720901:DOJ720909 DYF720901:DYF720909 EIB720901:EIB720909 ERX720901:ERX720909 FBT720901:FBT720909 FLP720901:FLP720909 FVL720901:FVL720909 GFH720901:GFH720909 GPD720901:GPD720909 GYZ720901:GYZ720909 HIV720901:HIV720909 HSR720901:HSR720909 ICN720901:ICN720909 IMJ720901:IMJ720909 IWF720901:IWF720909 JGB720901:JGB720909 JPX720901:JPX720909 JZT720901:JZT720909 KJP720901:KJP720909 KTL720901:KTL720909 LDH720901:LDH720909 LND720901:LND720909 LWZ720901:LWZ720909 MGV720901:MGV720909 MQR720901:MQR720909 NAN720901:NAN720909 NKJ720901:NKJ720909 NUF720901:NUF720909 OEB720901:OEB720909 ONX720901:ONX720909 OXT720901:OXT720909 PHP720901:PHP720909 PRL720901:PRL720909 QBH720901:QBH720909 QLD720901:QLD720909 QUZ720901:QUZ720909 REV720901:REV720909 ROR720901:ROR720909 RYN720901:RYN720909 SIJ720901:SIJ720909 SSF720901:SSF720909 TCB720901:TCB720909 TLX720901:TLX720909 TVT720901:TVT720909 UFP720901:UFP720909 UPL720901:UPL720909 UZH720901:UZH720909 VJD720901:VJD720909 VSZ720901:VSZ720909 WCV720901:WCV720909 WMR720901:WMR720909 WWN720901:WWN720909 AF786437:AF786445 KB786437:KB786445 TX786437:TX786445 ADT786437:ADT786445 ANP786437:ANP786445 AXL786437:AXL786445 BHH786437:BHH786445 BRD786437:BRD786445 CAZ786437:CAZ786445 CKV786437:CKV786445 CUR786437:CUR786445 DEN786437:DEN786445 DOJ786437:DOJ786445 DYF786437:DYF786445 EIB786437:EIB786445 ERX786437:ERX786445 FBT786437:FBT786445 FLP786437:FLP786445 FVL786437:FVL786445 GFH786437:GFH786445 GPD786437:GPD786445 GYZ786437:GYZ786445 HIV786437:HIV786445 HSR786437:HSR786445 ICN786437:ICN786445 IMJ786437:IMJ786445 IWF786437:IWF786445 JGB786437:JGB786445 JPX786437:JPX786445 JZT786437:JZT786445 KJP786437:KJP786445 KTL786437:KTL786445 LDH786437:LDH786445 LND786437:LND786445 LWZ786437:LWZ786445 MGV786437:MGV786445 MQR786437:MQR786445 NAN786437:NAN786445 NKJ786437:NKJ786445 NUF786437:NUF786445 OEB786437:OEB786445 ONX786437:ONX786445 OXT786437:OXT786445 PHP786437:PHP786445 PRL786437:PRL786445 QBH786437:QBH786445 QLD786437:QLD786445 QUZ786437:QUZ786445 REV786437:REV786445 ROR786437:ROR786445 RYN786437:RYN786445 SIJ786437:SIJ786445 SSF786437:SSF786445 TCB786437:TCB786445 TLX786437:TLX786445 TVT786437:TVT786445 UFP786437:UFP786445 UPL786437:UPL786445 UZH786437:UZH786445 VJD786437:VJD786445 VSZ786437:VSZ786445 WCV786437:WCV786445 WMR786437:WMR786445 WWN786437:WWN786445 AF851973:AF851981 KB851973:KB851981 TX851973:TX851981 ADT851973:ADT851981 ANP851973:ANP851981 AXL851973:AXL851981 BHH851973:BHH851981 BRD851973:BRD851981 CAZ851973:CAZ851981 CKV851973:CKV851981 CUR851973:CUR851981 DEN851973:DEN851981 DOJ851973:DOJ851981 DYF851973:DYF851981 EIB851973:EIB851981 ERX851973:ERX851981 FBT851973:FBT851981 FLP851973:FLP851981 FVL851973:FVL851981 GFH851973:GFH851981 GPD851973:GPD851981 GYZ851973:GYZ851981 HIV851973:HIV851981 HSR851973:HSR851981 ICN851973:ICN851981 IMJ851973:IMJ851981 IWF851973:IWF851981 JGB851973:JGB851981 JPX851973:JPX851981 JZT851973:JZT851981 KJP851973:KJP851981 KTL851973:KTL851981 LDH851973:LDH851981 LND851973:LND851981 LWZ851973:LWZ851981 MGV851973:MGV851981 MQR851973:MQR851981 NAN851973:NAN851981 NKJ851973:NKJ851981 NUF851973:NUF851981 OEB851973:OEB851981 ONX851973:ONX851981 OXT851973:OXT851981 PHP851973:PHP851981 PRL851973:PRL851981 QBH851973:QBH851981 QLD851973:QLD851981 QUZ851973:QUZ851981 REV851973:REV851981 ROR851973:ROR851981 RYN851973:RYN851981 SIJ851973:SIJ851981 SSF851973:SSF851981 TCB851973:TCB851981 TLX851973:TLX851981 TVT851973:TVT851981 UFP851973:UFP851981 UPL851973:UPL851981 UZH851973:UZH851981 VJD851973:VJD851981 VSZ851973:VSZ851981 WCV851973:WCV851981 WMR851973:WMR851981 WWN851973:WWN851981 AF917509:AF917517 KB917509:KB917517 TX917509:TX917517 ADT917509:ADT917517 ANP917509:ANP917517 AXL917509:AXL917517 BHH917509:BHH917517 BRD917509:BRD917517 CAZ917509:CAZ917517 CKV917509:CKV917517 CUR917509:CUR917517 DEN917509:DEN917517 DOJ917509:DOJ917517 DYF917509:DYF917517 EIB917509:EIB917517 ERX917509:ERX917517 FBT917509:FBT917517 FLP917509:FLP917517 FVL917509:FVL917517 GFH917509:GFH917517 GPD917509:GPD917517 GYZ917509:GYZ917517 HIV917509:HIV917517 HSR917509:HSR917517 ICN917509:ICN917517 IMJ917509:IMJ917517 IWF917509:IWF917517 JGB917509:JGB917517 JPX917509:JPX917517 JZT917509:JZT917517 KJP917509:KJP917517 KTL917509:KTL917517 LDH917509:LDH917517 LND917509:LND917517 LWZ917509:LWZ917517 MGV917509:MGV917517 MQR917509:MQR917517 NAN917509:NAN917517 NKJ917509:NKJ917517 NUF917509:NUF917517 OEB917509:OEB917517 ONX917509:ONX917517 OXT917509:OXT917517 PHP917509:PHP917517 PRL917509:PRL917517 QBH917509:QBH917517 QLD917509:QLD917517 QUZ917509:QUZ917517 REV917509:REV917517 ROR917509:ROR917517 RYN917509:RYN917517 SIJ917509:SIJ917517 SSF917509:SSF917517 TCB917509:TCB917517 TLX917509:TLX917517 TVT917509:TVT917517 UFP917509:UFP917517 UPL917509:UPL917517 UZH917509:UZH917517 VJD917509:VJD917517 VSZ917509:VSZ917517 WCV917509:WCV917517 WMR917509:WMR917517 WWN917509:WWN917517 AF983045:AF983053 KB983045:KB983053 TX983045:TX983053 ADT983045:ADT983053 ANP983045:ANP983053 AXL983045:AXL983053 BHH983045:BHH983053 BRD983045:BRD983053 CAZ983045:CAZ983053 CKV983045:CKV983053 CUR983045:CUR983053 DEN983045:DEN983053 DOJ983045:DOJ983053 DYF983045:DYF983053 EIB983045:EIB983053 ERX983045:ERX983053 FBT983045:FBT983053 FLP983045:FLP983053 FVL983045:FVL983053 GFH983045:GFH983053 GPD983045:GPD983053 GYZ983045:GYZ983053 HIV983045:HIV983053 HSR983045:HSR983053 ICN983045:ICN983053 IMJ983045:IMJ983053 IWF983045:IWF983053 JGB983045:JGB983053 JPX983045:JPX983053 JZT983045:JZT983053 KJP983045:KJP983053 KTL983045:KTL983053 LDH983045:LDH983053 LND983045:LND983053 LWZ983045:LWZ983053 MGV983045:MGV983053 MQR983045:MQR983053 NAN983045:NAN983053 NKJ983045:NKJ983053 NUF983045:NUF983053 OEB983045:OEB983053 ONX983045:ONX983053 OXT983045:OXT983053 PHP983045:PHP983053 PRL983045:PRL983053 QBH983045:QBH983053 QLD983045:QLD983053 QUZ983045:QUZ983053 REV983045:REV983053 ROR983045:ROR983053 RYN983045:RYN983053 SIJ983045:SIJ983053 SSF983045:SSF983053 TCB983045:TCB983053 TLX983045:TLX983053 TVT983045:TVT983053 UFP983045:UFP983053 UPL983045:UPL983053 UZH983045:UZH983053 VJD983045:VJD983053 VSZ983045:VSZ983053 WCV983045:WCV983053 WMR983045:WMR983053 WWN983045:WWN983053 WMR8:WMR13 WCV8:WCV13 VSZ8:VSZ13 VJD8:VJD13 UZH8:UZH13 UPL8:UPL13 UFP8:UFP13 TVT8:TVT13 TLX8:TLX13 TCB8:TCB13 SSF8:SSF13 SIJ8:SIJ13 RYN8:RYN13 ROR8:ROR13 REV8:REV13 QUZ8:QUZ13 QLD8:QLD13 QBH8:QBH13 PRL8:PRL13 PHP8:PHP13 OXT8:OXT13 ONX8:ONX13 OEB8:OEB13 NUF8:NUF13 NKJ8:NKJ13 NAN8:NAN13 MQR8:MQR13 MGV8:MGV13 LWZ8:LWZ13 LND8:LND13 LDH8:LDH13 KTL8:KTL13 KJP8:KJP13 JZT8:JZT13 JPX8:JPX13 JGB8:JGB13 IWF8:IWF13 IMJ8:IMJ13 ICN8:ICN13 HSR8:HSR13 HIV8:HIV13 GYZ8:GYZ13 GPD8:GPD13 GFH8:GFH13 FVL8:FVL13 FLP8:FLP13 FBT8:FBT13 ERX8:ERX13 EIB8:EIB13 DYF8:DYF13 DOJ8:DOJ13 DEN8:DEN13 CUR8:CUR13 CKV8:CKV13 CAZ8:CAZ13 BRD8:BRD13 BHH8:BHH13 AXL8:AXL13 ANP8:ANP13 ADT8:ADT13 TX8:TX13 KB8:KB13 AF8:AF13 WWN8:WWN13">
      <formula1>$AJ$1:$AJ$4</formula1>
    </dataValidation>
    <dataValidation type="list" allowBlank="1" showInputMessage="1" showErrorMessage="1" sqref="WWM983045 AE65541 WMQ983045 WCU983045 VSY983045 VJC983045 UZG983045 UPK983045 UFO983045 TVS983045 TLW983045 TCA983045 SSE983045 SII983045 RYM983045 ROQ983045 REU983045 QUY983045 QLC983045 QBG983045 PRK983045 PHO983045 OXS983045 ONW983045 OEA983045 NUE983045 NKI983045 NAM983045 MQQ983045 MGU983045 LWY983045 LNC983045 LDG983045 KTK983045 KJO983045 JZS983045 JPW983045 JGA983045 IWE983045 IMI983045 ICM983045 HSQ983045 HIU983045 GYY983045 GPC983045 GFG983045 FVK983045 FLO983045 FBS983045 ERW983045 EIA983045 DYE983045 DOI983045 DEM983045 CUQ983045 CKU983045 CAY983045 BRC983045 BHG983045 AXK983045 ANO983045 ADS983045 TW983045 KA983045 AE983045 WWM917509 WMQ917509 WCU917509 VSY917509 VJC917509 UZG917509 UPK917509 UFO917509 TVS917509 TLW917509 TCA917509 SSE917509 SII917509 RYM917509 ROQ917509 REU917509 QUY917509 QLC917509 QBG917509 PRK917509 PHO917509 OXS917509 ONW917509 OEA917509 NUE917509 NKI917509 NAM917509 MQQ917509 MGU917509 LWY917509 LNC917509 LDG917509 KTK917509 KJO917509 JZS917509 JPW917509 JGA917509 IWE917509 IMI917509 ICM917509 HSQ917509 HIU917509 GYY917509 GPC917509 GFG917509 FVK917509 FLO917509 FBS917509 ERW917509 EIA917509 DYE917509 DOI917509 DEM917509 CUQ917509 CKU917509 CAY917509 BRC917509 BHG917509 AXK917509 ANO917509 ADS917509 TW917509 KA917509 AE917509 WWM851973 WMQ851973 WCU851973 VSY851973 VJC851973 UZG851973 UPK851973 UFO851973 TVS851973 TLW851973 TCA851973 SSE851973 SII851973 RYM851973 ROQ851973 REU851973 QUY851973 QLC851973 QBG851973 PRK851973 PHO851973 OXS851973 ONW851973 OEA851973 NUE851973 NKI851973 NAM851973 MQQ851973 MGU851973 LWY851973 LNC851973 LDG851973 KTK851973 KJO851973 JZS851973 JPW851973 JGA851973 IWE851973 IMI851973 ICM851973 HSQ851973 HIU851973 GYY851973 GPC851973 GFG851973 FVK851973 FLO851973 FBS851973 ERW851973 EIA851973 DYE851973 DOI851973 DEM851973 CUQ851973 CKU851973 CAY851973 BRC851973 BHG851973 AXK851973 ANO851973 ADS851973 TW851973 KA851973 AE851973 WWM786437 WMQ786437 WCU786437 VSY786437 VJC786437 UZG786437 UPK786437 UFO786437 TVS786437 TLW786437 TCA786437 SSE786437 SII786437 RYM786437 ROQ786437 REU786437 QUY786437 QLC786437 QBG786437 PRK786437 PHO786437 OXS786437 ONW786437 OEA786437 NUE786437 NKI786437 NAM786437 MQQ786437 MGU786437 LWY786437 LNC786437 LDG786437 KTK786437 KJO786437 JZS786437 JPW786437 JGA786437 IWE786437 IMI786437 ICM786437 HSQ786437 HIU786437 GYY786437 GPC786437 GFG786437 FVK786437 FLO786437 FBS786437 ERW786437 EIA786437 DYE786437 DOI786437 DEM786437 CUQ786437 CKU786437 CAY786437 BRC786437 BHG786437 AXK786437 ANO786437 ADS786437 TW786437 KA786437 AE786437 WWM720901 WMQ720901 WCU720901 VSY720901 VJC720901 UZG720901 UPK720901 UFO720901 TVS720901 TLW720901 TCA720901 SSE720901 SII720901 RYM720901 ROQ720901 REU720901 QUY720901 QLC720901 QBG720901 PRK720901 PHO720901 OXS720901 ONW720901 OEA720901 NUE720901 NKI720901 NAM720901 MQQ720901 MGU720901 LWY720901 LNC720901 LDG720901 KTK720901 KJO720901 JZS720901 JPW720901 JGA720901 IWE720901 IMI720901 ICM720901 HSQ720901 HIU720901 GYY720901 GPC720901 GFG720901 FVK720901 FLO720901 FBS720901 ERW720901 EIA720901 DYE720901 DOI720901 DEM720901 CUQ720901 CKU720901 CAY720901 BRC720901 BHG720901 AXK720901 ANO720901 ADS720901 TW720901 KA720901 AE720901 WWM655365 WMQ655365 WCU655365 VSY655365 VJC655365 UZG655365 UPK655365 UFO655365 TVS655365 TLW655365 TCA655365 SSE655365 SII655365 RYM655365 ROQ655365 REU655365 QUY655365 QLC655365 QBG655365 PRK655365 PHO655365 OXS655365 ONW655365 OEA655365 NUE655365 NKI655365 NAM655365 MQQ655365 MGU655365 LWY655365 LNC655365 LDG655365 KTK655365 KJO655365 JZS655365 JPW655365 JGA655365 IWE655365 IMI655365 ICM655365 HSQ655365 HIU655365 GYY655365 GPC655365 GFG655365 FVK655365 FLO655365 FBS655365 ERW655365 EIA655365 DYE655365 DOI655365 DEM655365 CUQ655365 CKU655365 CAY655365 BRC655365 BHG655365 AXK655365 ANO655365 ADS655365 TW655365 KA655365 AE655365 WWM589829 WMQ589829 WCU589829 VSY589829 VJC589829 UZG589829 UPK589829 UFO589829 TVS589829 TLW589829 TCA589829 SSE589829 SII589829 RYM589829 ROQ589829 REU589829 QUY589829 QLC589829 QBG589829 PRK589829 PHO589829 OXS589829 ONW589829 OEA589829 NUE589829 NKI589829 NAM589829 MQQ589829 MGU589829 LWY589829 LNC589829 LDG589829 KTK589829 KJO589829 JZS589829 JPW589829 JGA589829 IWE589829 IMI589829 ICM589829 HSQ589829 HIU589829 GYY589829 GPC589829 GFG589829 FVK589829 FLO589829 FBS589829 ERW589829 EIA589829 DYE589829 DOI589829 DEM589829 CUQ589829 CKU589829 CAY589829 BRC589829 BHG589829 AXK589829 ANO589829 ADS589829 TW589829 KA589829 AE589829 WWM524293 WMQ524293 WCU524293 VSY524293 VJC524293 UZG524293 UPK524293 UFO524293 TVS524293 TLW524293 TCA524293 SSE524293 SII524293 RYM524293 ROQ524293 REU524293 QUY524293 QLC524293 QBG524293 PRK524293 PHO524293 OXS524293 ONW524293 OEA524293 NUE524293 NKI524293 NAM524293 MQQ524293 MGU524293 LWY524293 LNC524293 LDG524293 KTK524293 KJO524293 JZS524293 JPW524293 JGA524293 IWE524293 IMI524293 ICM524293 HSQ524293 HIU524293 GYY524293 GPC524293 GFG524293 FVK524293 FLO524293 FBS524293 ERW524293 EIA524293 DYE524293 DOI524293 DEM524293 CUQ524293 CKU524293 CAY524293 BRC524293 BHG524293 AXK524293 ANO524293 ADS524293 TW524293 KA524293 AE524293 WWM458757 WMQ458757 WCU458757 VSY458757 VJC458757 UZG458757 UPK458757 UFO458757 TVS458757 TLW458757 TCA458757 SSE458757 SII458757 RYM458757 ROQ458757 REU458757 QUY458757 QLC458757 QBG458757 PRK458757 PHO458757 OXS458757 ONW458757 OEA458757 NUE458757 NKI458757 NAM458757 MQQ458757 MGU458757 LWY458757 LNC458757 LDG458757 KTK458757 KJO458757 JZS458757 JPW458757 JGA458757 IWE458757 IMI458757 ICM458757 HSQ458757 HIU458757 GYY458757 GPC458757 GFG458757 FVK458757 FLO458757 FBS458757 ERW458757 EIA458757 DYE458757 DOI458757 DEM458757 CUQ458757 CKU458757 CAY458757 BRC458757 BHG458757 AXK458757 ANO458757 ADS458757 TW458757 KA458757 AE458757 WWM393221 WMQ393221 WCU393221 VSY393221 VJC393221 UZG393221 UPK393221 UFO393221 TVS393221 TLW393221 TCA393221 SSE393221 SII393221 RYM393221 ROQ393221 REU393221 QUY393221 QLC393221 QBG393221 PRK393221 PHO393221 OXS393221 ONW393221 OEA393221 NUE393221 NKI393221 NAM393221 MQQ393221 MGU393221 LWY393221 LNC393221 LDG393221 KTK393221 KJO393221 JZS393221 JPW393221 JGA393221 IWE393221 IMI393221 ICM393221 HSQ393221 HIU393221 GYY393221 GPC393221 GFG393221 FVK393221 FLO393221 FBS393221 ERW393221 EIA393221 DYE393221 DOI393221 DEM393221 CUQ393221 CKU393221 CAY393221 BRC393221 BHG393221 AXK393221 ANO393221 ADS393221 TW393221 KA393221 AE393221 WWM327685 WMQ327685 WCU327685 VSY327685 VJC327685 UZG327685 UPK327685 UFO327685 TVS327685 TLW327685 TCA327685 SSE327685 SII327685 RYM327685 ROQ327685 REU327685 QUY327685 QLC327685 QBG327685 PRK327685 PHO327685 OXS327685 ONW327685 OEA327685 NUE327685 NKI327685 NAM327685 MQQ327685 MGU327685 LWY327685 LNC327685 LDG327685 KTK327685 KJO327685 JZS327685 JPW327685 JGA327685 IWE327685 IMI327685 ICM327685 HSQ327685 HIU327685 GYY327685 GPC327685 GFG327685 FVK327685 FLO327685 FBS327685 ERW327685 EIA327685 DYE327685 DOI327685 DEM327685 CUQ327685 CKU327685 CAY327685 BRC327685 BHG327685 AXK327685 ANO327685 ADS327685 TW327685 KA327685 AE327685 WWM262149 WMQ262149 WCU262149 VSY262149 VJC262149 UZG262149 UPK262149 UFO262149 TVS262149 TLW262149 TCA262149 SSE262149 SII262149 RYM262149 ROQ262149 REU262149 QUY262149 QLC262149 QBG262149 PRK262149 PHO262149 OXS262149 ONW262149 OEA262149 NUE262149 NKI262149 NAM262149 MQQ262149 MGU262149 LWY262149 LNC262149 LDG262149 KTK262149 KJO262149 JZS262149 JPW262149 JGA262149 IWE262149 IMI262149 ICM262149 HSQ262149 HIU262149 GYY262149 GPC262149 GFG262149 FVK262149 FLO262149 FBS262149 ERW262149 EIA262149 DYE262149 DOI262149 DEM262149 CUQ262149 CKU262149 CAY262149 BRC262149 BHG262149 AXK262149 ANO262149 ADS262149 TW262149 KA262149 AE262149 WWM196613 WMQ196613 WCU196613 VSY196613 VJC196613 UZG196613 UPK196613 UFO196613 TVS196613 TLW196613 TCA196613 SSE196613 SII196613 RYM196613 ROQ196613 REU196613 QUY196613 QLC196613 QBG196613 PRK196613 PHO196613 OXS196613 ONW196613 OEA196613 NUE196613 NKI196613 NAM196613 MQQ196613 MGU196613 LWY196613 LNC196613 LDG196613 KTK196613 KJO196613 JZS196613 JPW196613 JGA196613 IWE196613 IMI196613 ICM196613 HSQ196613 HIU196613 GYY196613 GPC196613 GFG196613 FVK196613 FLO196613 FBS196613 ERW196613 EIA196613 DYE196613 DOI196613 DEM196613 CUQ196613 CKU196613 CAY196613 BRC196613 BHG196613 AXK196613 ANO196613 ADS196613 TW196613 KA196613 AE196613 WWM131077 WMQ131077 WCU131077 VSY131077 VJC131077 UZG131077 UPK131077 UFO131077 TVS131077 TLW131077 TCA131077 SSE131077 SII131077 RYM131077 ROQ131077 REU131077 QUY131077 QLC131077 QBG131077 PRK131077 PHO131077 OXS131077 ONW131077 OEA131077 NUE131077 NKI131077 NAM131077 MQQ131077 MGU131077 LWY131077 LNC131077 LDG131077 KTK131077 KJO131077 JZS131077 JPW131077 JGA131077 IWE131077 IMI131077 ICM131077 HSQ131077 HIU131077 GYY131077 GPC131077 GFG131077 FVK131077 FLO131077 FBS131077 ERW131077 EIA131077 DYE131077 DOI131077 DEM131077 CUQ131077 CKU131077 CAY131077 BRC131077 BHG131077 AXK131077 ANO131077 ADS131077 TW131077 KA131077 AE131077 WWM65541 WMQ65541 WCU65541 VSY65541 VJC65541 UZG65541 UPK65541 UFO65541 TVS65541 TLW65541 TCA65541 SSE65541 SII65541 RYM65541 ROQ65541 REU65541 QUY65541 QLC65541 QBG65541 PRK65541 PHO65541 OXS65541 ONW65541 OEA65541 NUE65541 NKI65541 NAM65541 MQQ65541 MGU65541 LWY65541 LNC65541 LDG65541 KTK65541 KJO65541 JZS65541 JPW65541 JGA65541 IWE65541 IMI65541 ICM65541 HSQ65541 HIU65541 GYY65541 GPC65541 GFG65541 FVK65541 FLO65541 FBS65541 ERW65541 EIA65541 DYE65541 DOI65541 DEM65541 CUQ65541 CKU65541 CAY65541 BRC65541 BHG65541 AXK65541 ANO65541 ADS65541 TW65541 KA65541 AE8:AE13">
      <formula1>$B$23:$B$25</formula1>
    </dataValidation>
    <dataValidation type="list" allowBlank="1" showInputMessage="1" showErrorMessage="1" sqref="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983048 WLT983048 WBX983048 VSB983048 VIF983048 UYJ983048 UON983048 UER983048 TUV983048 TKZ983048 TBD983048 SRH983048 SHL983048 RXP983048 RNT983048 RDX983048 QUB983048 QKF983048 QAJ983048 PQN983048 PGR983048 OWV983048 OMZ983048 ODD983048 NTH983048 NJL983048 MZP983048 MPT983048 MFX983048 LWB983048 LMF983048 LCJ983048 KSN983048 KIR983048 JYV983048 JOZ983048 JFD983048 IVH983048 ILL983048 IBP983048 HRT983048 HHX983048 GYB983048 GOF983048 GEJ983048 FUN983048 FKR983048 FAV983048 EQZ983048 EHD983048 DXH983048 DNL983048 DDP983048 CTT983048 CJX983048 CAB983048 BQF983048 BGJ983048 AWN983048 AMR983048 ACV983048 SZ983048 JD983048 H983048 WVP917512 WLT917512 WBX917512 VSB917512 VIF917512 UYJ917512 UON917512 UER917512 TUV917512 TKZ917512 TBD917512 SRH917512 SHL917512 RXP917512 RNT917512 RDX917512 QUB917512 QKF917512 QAJ917512 PQN917512 PGR917512 OWV917512 OMZ917512 ODD917512 NTH917512 NJL917512 MZP917512 MPT917512 MFX917512 LWB917512 LMF917512 LCJ917512 KSN917512 KIR917512 JYV917512 JOZ917512 JFD917512 IVH917512 ILL917512 IBP917512 HRT917512 HHX917512 GYB917512 GOF917512 GEJ917512 FUN917512 FKR917512 FAV917512 EQZ917512 EHD917512 DXH917512 DNL917512 DDP917512 CTT917512 CJX917512 CAB917512 BQF917512 BGJ917512 AWN917512 AMR917512 ACV917512 SZ917512 JD917512 H917512 WVP851976 WLT851976 WBX851976 VSB851976 VIF851976 UYJ851976 UON851976 UER851976 TUV851976 TKZ851976 TBD851976 SRH851976 SHL851976 RXP851976 RNT851976 RDX851976 QUB851976 QKF851976 QAJ851976 PQN851976 PGR851976 OWV851976 OMZ851976 ODD851976 NTH851976 NJL851976 MZP851976 MPT851976 MFX851976 LWB851976 LMF851976 LCJ851976 KSN851976 KIR851976 JYV851976 JOZ851976 JFD851976 IVH851976 ILL851976 IBP851976 HRT851976 HHX851976 GYB851976 GOF851976 GEJ851976 FUN851976 FKR851976 FAV851976 EQZ851976 EHD851976 DXH851976 DNL851976 DDP851976 CTT851976 CJX851976 CAB851976 BQF851976 BGJ851976 AWN851976 AMR851976 ACV851976 SZ851976 JD851976 H851976 WVP786440 WLT786440 WBX786440 VSB786440 VIF786440 UYJ786440 UON786440 UER786440 TUV786440 TKZ786440 TBD786440 SRH786440 SHL786440 RXP786440 RNT786440 RDX786440 QUB786440 QKF786440 QAJ786440 PQN786440 PGR786440 OWV786440 OMZ786440 ODD786440 NTH786440 NJL786440 MZP786440 MPT786440 MFX786440 LWB786440 LMF786440 LCJ786440 KSN786440 KIR786440 JYV786440 JOZ786440 JFD786440 IVH786440 ILL786440 IBP786440 HRT786440 HHX786440 GYB786440 GOF786440 GEJ786440 FUN786440 FKR786440 FAV786440 EQZ786440 EHD786440 DXH786440 DNL786440 DDP786440 CTT786440 CJX786440 CAB786440 BQF786440 BGJ786440 AWN786440 AMR786440 ACV786440 SZ786440 JD786440 H786440 WVP720904 WLT720904 WBX720904 VSB720904 VIF720904 UYJ720904 UON720904 UER720904 TUV720904 TKZ720904 TBD720904 SRH720904 SHL720904 RXP720904 RNT720904 RDX720904 QUB720904 QKF720904 QAJ720904 PQN720904 PGR720904 OWV720904 OMZ720904 ODD720904 NTH720904 NJL720904 MZP720904 MPT720904 MFX720904 LWB720904 LMF720904 LCJ720904 KSN720904 KIR720904 JYV720904 JOZ720904 JFD720904 IVH720904 ILL720904 IBP720904 HRT720904 HHX720904 GYB720904 GOF720904 GEJ720904 FUN720904 FKR720904 FAV720904 EQZ720904 EHD720904 DXH720904 DNL720904 DDP720904 CTT720904 CJX720904 CAB720904 BQF720904 BGJ720904 AWN720904 AMR720904 ACV720904 SZ720904 JD720904 H720904 WVP655368 WLT655368 WBX655368 VSB655368 VIF655368 UYJ655368 UON655368 UER655368 TUV655368 TKZ655368 TBD655368 SRH655368 SHL655368 RXP655368 RNT655368 RDX655368 QUB655368 QKF655368 QAJ655368 PQN655368 PGR655368 OWV655368 OMZ655368 ODD655368 NTH655368 NJL655368 MZP655368 MPT655368 MFX655368 LWB655368 LMF655368 LCJ655368 KSN655368 KIR655368 JYV655368 JOZ655368 JFD655368 IVH655368 ILL655368 IBP655368 HRT655368 HHX655368 GYB655368 GOF655368 GEJ655368 FUN655368 FKR655368 FAV655368 EQZ655368 EHD655368 DXH655368 DNL655368 DDP655368 CTT655368 CJX655368 CAB655368 BQF655368 BGJ655368 AWN655368 AMR655368 ACV655368 SZ655368 JD655368 H655368 WVP589832 WLT589832 WBX589832 VSB589832 VIF589832 UYJ589832 UON589832 UER589832 TUV589832 TKZ589832 TBD589832 SRH589832 SHL589832 RXP589832 RNT589832 RDX589832 QUB589832 QKF589832 QAJ589832 PQN589832 PGR589832 OWV589832 OMZ589832 ODD589832 NTH589832 NJL589832 MZP589832 MPT589832 MFX589832 LWB589832 LMF589832 LCJ589832 KSN589832 KIR589832 JYV589832 JOZ589832 JFD589832 IVH589832 ILL589832 IBP589832 HRT589832 HHX589832 GYB589832 GOF589832 GEJ589832 FUN589832 FKR589832 FAV589832 EQZ589832 EHD589832 DXH589832 DNL589832 DDP589832 CTT589832 CJX589832 CAB589832 BQF589832 BGJ589832 AWN589832 AMR589832 ACV589832 SZ589832 JD589832 H589832 WVP524296 WLT524296 WBX524296 VSB524296 VIF524296 UYJ524296 UON524296 UER524296 TUV524296 TKZ524296 TBD524296 SRH524296 SHL524296 RXP524296 RNT524296 RDX524296 QUB524296 QKF524296 QAJ524296 PQN524296 PGR524296 OWV524296 OMZ524296 ODD524296 NTH524296 NJL524296 MZP524296 MPT524296 MFX524296 LWB524296 LMF524296 LCJ524296 KSN524296 KIR524296 JYV524296 JOZ524296 JFD524296 IVH524296 ILL524296 IBP524296 HRT524296 HHX524296 GYB524296 GOF524296 GEJ524296 FUN524296 FKR524296 FAV524296 EQZ524296 EHD524296 DXH524296 DNL524296 DDP524296 CTT524296 CJX524296 CAB524296 BQF524296 BGJ524296 AWN524296 AMR524296 ACV524296 SZ524296 JD524296 H524296 WVP458760 WLT458760 WBX458760 VSB458760 VIF458760 UYJ458760 UON458760 UER458760 TUV458760 TKZ458760 TBD458760 SRH458760 SHL458760 RXP458760 RNT458760 RDX458760 QUB458760 QKF458760 QAJ458760 PQN458760 PGR458760 OWV458760 OMZ458760 ODD458760 NTH458760 NJL458760 MZP458760 MPT458760 MFX458760 LWB458760 LMF458760 LCJ458760 KSN458760 KIR458760 JYV458760 JOZ458760 JFD458760 IVH458760 ILL458760 IBP458760 HRT458760 HHX458760 GYB458760 GOF458760 GEJ458760 FUN458760 FKR458760 FAV458760 EQZ458760 EHD458760 DXH458760 DNL458760 DDP458760 CTT458760 CJX458760 CAB458760 BQF458760 BGJ458760 AWN458760 AMR458760 ACV458760 SZ458760 JD458760 H458760 WVP393224 WLT393224 WBX393224 VSB393224 VIF393224 UYJ393224 UON393224 UER393224 TUV393224 TKZ393224 TBD393224 SRH393224 SHL393224 RXP393224 RNT393224 RDX393224 QUB393224 QKF393224 QAJ393224 PQN393224 PGR393224 OWV393224 OMZ393224 ODD393224 NTH393224 NJL393224 MZP393224 MPT393224 MFX393224 LWB393224 LMF393224 LCJ393224 KSN393224 KIR393224 JYV393224 JOZ393224 JFD393224 IVH393224 ILL393224 IBP393224 HRT393224 HHX393224 GYB393224 GOF393224 GEJ393224 FUN393224 FKR393224 FAV393224 EQZ393224 EHD393224 DXH393224 DNL393224 DDP393224 CTT393224 CJX393224 CAB393224 BQF393224 BGJ393224 AWN393224 AMR393224 ACV393224 SZ393224 JD393224 H393224 WVP327688 WLT327688 WBX327688 VSB327688 VIF327688 UYJ327688 UON327688 UER327688 TUV327688 TKZ327688 TBD327688 SRH327688 SHL327688 RXP327688 RNT327688 RDX327688 QUB327688 QKF327688 QAJ327688 PQN327688 PGR327688 OWV327688 OMZ327688 ODD327688 NTH327688 NJL327688 MZP327688 MPT327688 MFX327688 LWB327688 LMF327688 LCJ327688 KSN327688 KIR327688 JYV327688 JOZ327688 JFD327688 IVH327688 ILL327688 IBP327688 HRT327688 HHX327688 GYB327688 GOF327688 GEJ327688 FUN327688 FKR327688 FAV327688 EQZ327688 EHD327688 DXH327688 DNL327688 DDP327688 CTT327688 CJX327688 CAB327688 BQF327688 BGJ327688 AWN327688 AMR327688 ACV327688 SZ327688 JD327688 H327688 WVP262152 WLT262152 WBX262152 VSB262152 VIF262152 UYJ262152 UON262152 UER262152 TUV262152 TKZ262152 TBD262152 SRH262152 SHL262152 RXP262152 RNT262152 RDX262152 QUB262152 QKF262152 QAJ262152 PQN262152 PGR262152 OWV262152 OMZ262152 ODD262152 NTH262152 NJL262152 MZP262152 MPT262152 MFX262152 LWB262152 LMF262152 LCJ262152 KSN262152 KIR262152 JYV262152 JOZ262152 JFD262152 IVH262152 ILL262152 IBP262152 HRT262152 HHX262152 GYB262152 GOF262152 GEJ262152 FUN262152 FKR262152 FAV262152 EQZ262152 EHD262152 DXH262152 DNL262152 DDP262152 CTT262152 CJX262152 CAB262152 BQF262152 BGJ262152 AWN262152 AMR262152 ACV262152 SZ262152 JD262152 H262152 WVP196616 WLT196616 WBX196616 VSB196616 VIF196616 UYJ196616 UON196616 UER196616 TUV196616 TKZ196616 TBD196616 SRH196616 SHL196616 RXP196616 RNT196616 RDX196616 QUB196616 QKF196616 QAJ196616 PQN196616 PGR196616 OWV196616 OMZ196616 ODD196616 NTH196616 NJL196616 MZP196616 MPT196616 MFX196616 LWB196616 LMF196616 LCJ196616 KSN196616 KIR196616 JYV196616 JOZ196616 JFD196616 IVH196616 ILL196616 IBP196616 HRT196616 HHX196616 GYB196616 GOF196616 GEJ196616 FUN196616 FKR196616 FAV196616 EQZ196616 EHD196616 DXH196616 DNL196616 DDP196616 CTT196616 CJX196616 CAB196616 BQF196616 BGJ196616 AWN196616 AMR196616 ACV196616 SZ196616 JD196616 H196616 WVP131080 WLT131080 WBX131080 VSB131080 VIF131080 UYJ131080 UON131080 UER131080 TUV131080 TKZ131080 TBD131080 SRH131080 SHL131080 RXP131080 RNT131080 RDX131080 QUB131080 QKF131080 QAJ131080 PQN131080 PGR131080 OWV131080 OMZ131080 ODD131080 NTH131080 NJL131080 MZP131080 MPT131080 MFX131080 LWB131080 LMF131080 LCJ131080 KSN131080 KIR131080 JYV131080 JOZ131080 JFD131080 IVH131080 ILL131080 IBP131080 HRT131080 HHX131080 GYB131080 GOF131080 GEJ131080 FUN131080 FKR131080 FAV131080 EQZ131080 EHD131080 DXH131080 DNL131080 DDP131080 CTT131080 CJX131080 CAB131080 BQF131080 BGJ131080 AWN131080 AMR131080 ACV131080 SZ131080 JD131080 H131080 WVP65544 WLT65544 WBX65544 VSB65544 VIF65544 UYJ65544 UON65544 UER65544 TUV65544 TKZ65544 TBD65544 SRH65544 SHL65544 RXP65544 RNT65544 RDX65544 QUB65544 QKF65544 QAJ65544 PQN65544 PGR65544 OWV65544 OMZ65544 ODD65544 NTH65544 NJL65544 MZP65544 MPT65544 MFX65544 LWB65544 LMF65544 LCJ65544 KSN65544 KIR65544 JYV65544 JOZ65544 JFD65544 IVH65544 ILL65544 IBP65544 HRT65544 HHX65544 GYB65544 GOF65544 GEJ65544 FUN65544 FKR65544 FAV65544 EQZ65544 EHD65544 DXH65544 DNL65544 DDP65544 CTT65544 CJX65544 CAB65544 BQF65544 BGJ65544 AWN65544 AMR65544 ACV65544 SZ65544 JD65544 H65544 WVP8 WLT8 WBX8 VSB8 VIF8 UYJ8 UON8 UER8 TUV8 TKZ8 TBD8 SRH8 SHL8 RXP8 RNT8 RDX8 QUB8 QKF8 QAJ8 PQN8 PGR8 OWV8 OMZ8 ODD8 NTH8 NJL8 MZP8 MPT8 MFX8 LWB8 LMF8 LCJ8 KSN8 KIR8 JYV8 JOZ8 JFD8 IVH8 ILL8 IBP8 HRT8 HHX8 GYB8 GOF8 GEJ8 FUN8 FKR8 FAV8 EQZ8 EHD8 DXH8 DNL8 DDP8 CTT8 CJX8 CAB8 BQF8 BGJ8 AWN8 AMR8 ACV8 SZ8 JD8 H8 WVP983045 WLT983045 WBX983045 VSB983045 VIF983045 UYJ983045 UON983045 UER983045 TUV983045 TKZ983045 TBD983045 SRH983045 SHL983045 RXP983045 RNT983045 RDX983045 QUB983045 QKF983045 QAJ983045 PQN983045 PGR983045 OWV983045 OMZ983045 ODD983045 NTH983045 NJL983045 MZP983045 MPT983045 MFX983045 LWB983045 LMF983045 LCJ983045 KSN983045 KIR983045 JYV983045 JOZ983045 JFD983045 IVH983045 ILL983045 IBP983045 HRT983045 HHX983045 GYB983045 GOF983045 GEJ983045 FUN983045 FKR983045 FAV983045 EQZ983045 EHD983045 DXH983045 DNL983045 DDP983045 CTT983045 CJX983045 CAB983045 BQF983045 BGJ983045 AWN983045 AMR983045 ACV983045 SZ983045 JD983045 H983045 WVP917509 WLT917509 WBX917509 VSB917509 VIF917509 UYJ917509 UON917509 UER917509 TUV917509 TKZ917509 TBD917509 SRH917509 SHL917509 RXP917509 RNT917509 RDX917509 QUB917509 QKF917509 QAJ917509 PQN917509 PGR917509 OWV917509 OMZ917509 ODD917509 NTH917509 NJL917509 MZP917509 MPT917509 MFX917509 LWB917509 LMF917509 LCJ917509 KSN917509 KIR917509 JYV917509 JOZ917509 JFD917509 IVH917509 ILL917509 IBP917509 HRT917509 HHX917509 GYB917509 GOF917509 GEJ917509 FUN917509 FKR917509 FAV917509 EQZ917509 EHD917509 DXH917509 DNL917509 DDP917509 CTT917509 CJX917509 CAB917509 BQF917509 BGJ917509 AWN917509 AMR917509 ACV917509 SZ917509 JD917509 H917509 WVP851973 WLT851973 WBX851973 VSB851973 VIF851973 UYJ851973 UON851973 UER851973 TUV851973 TKZ851973 TBD851973 SRH851973 SHL851973 RXP851973 RNT851973 RDX851973 QUB851973 QKF851973 QAJ851973 PQN851973 PGR851973 OWV851973 OMZ851973 ODD851973 NTH851973 NJL851973 MZP851973 MPT851973 MFX851973 LWB851973 LMF851973 LCJ851973 KSN851973 KIR851973 JYV851973 JOZ851973 JFD851973 IVH851973 ILL851973 IBP851973 HRT851973 HHX851973 GYB851973 GOF851973 GEJ851973 FUN851973 FKR851973 FAV851973 EQZ851973 EHD851973 DXH851973 DNL851973 DDP851973 CTT851973 CJX851973 CAB851973 BQF851973 BGJ851973 AWN851973 AMR851973 ACV851973 SZ851973 JD851973 H851973 WVP786437 WLT786437 WBX786437 VSB786437 VIF786437 UYJ786437 UON786437 UER786437 TUV786437 TKZ786437 TBD786437 SRH786437 SHL786437 RXP786437 RNT786437 RDX786437 QUB786437 QKF786437 QAJ786437 PQN786437 PGR786437 OWV786437 OMZ786437 ODD786437 NTH786437 NJL786437 MZP786437 MPT786437 MFX786437 LWB786437 LMF786437 LCJ786437 KSN786437 KIR786437 JYV786437 JOZ786437 JFD786437 IVH786437 ILL786437 IBP786437 HRT786437 HHX786437 GYB786437 GOF786437 GEJ786437 FUN786437 FKR786437 FAV786437 EQZ786437 EHD786437 DXH786437 DNL786437 DDP786437 CTT786437 CJX786437 CAB786437 BQF786437 BGJ786437 AWN786437 AMR786437 ACV786437 SZ786437 JD786437 H786437 WVP720901 WLT720901 WBX720901 VSB720901 VIF720901 UYJ720901 UON720901 UER720901 TUV720901 TKZ720901 TBD720901 SRH720901 SHL720901 RXP720901 RNT720901 RDX720901 QUB720901 QKF720901 QAJ720901 PQN720901 PGR720901 OWV720901 OMZ720901 ODD720901 NTH720901 NJL720901 MZP720901 MPT720901 MFX720901 LWB720901 LMF720901 LCJ720901 KSN720901 KIR720901 JYV720901 JOZ720901 JFD720901 IVH720901 ILL720901 IBP720901 HRT720901 HHX720901 GYB720901 GOF720901 GEJ720901 FUN720901 FKR720901 FAV720901 EQZ720901 EHD720901 DXH720901 DNL720901 DDP720901 CTT720901 CJX720901 CAB720901 BQF720901 BGJ720901 AWN720901 AMR720901 ACV720901 SZ720901 JD720901 H720901 WVP655365 WLT655365 WBX655365 VSB655365 VIF655365 UYJ655365 UON655365 UER655365 TUV655365 TKZ655365 TBD655365 SRH655365 SHL655365 RXP655365 RNT655365 RDX655365 QUB655365 QKF655365 QAJ655365 PQN655365 PGR655365 OWV655365 OMZ655365 ODD655365 NTH655365 NJL655365 MZP655365 MPT655365 MFX655365 LWB655365 LMF655365 LCJ655365 KSN655365 KIR655365 JYV655365 JOZ655365 JFD655365 IVH655365 ILL655365 IBP655365 HRT655365 HHX655365 GYB655365 GOF655365 GEJ655365 FUN655365 FKR655365 FAV655365 EQZ655365 EHD655365 DXH655365 DNL655365 DDP655365 CTT655365 CJX655365 CAB655365 BQF655365 BGJ655365 AWN655365 AMR655365 ACV655365 SZ655365 JD655365 H655365 WVP589829 WLT589829 WBX589829 VSB589829 VIF589829 UYJ589829 UON589829 UER589829 TUV589829 TKZ589829 TBD589829 SRH589829 SHL589829 RXP589829 RNT589829 RDX589829 QUB589829 QKF589829 QAJ589829 PQN589829 PGR589829 OWV589829 OMZ589829 ODD589829 NTH589829 NJL589829 MZP589829 MPT589829 MFX589829 LWB589829 LMF589829 LCJ589829 KSN589829 KIR589829 JYV589829 JOZ589829 JFD589829 IVH589829 ILL589829 IBP589829 HRT589829 HHX589829 GYB589829 GOF589829 GEJ589829 FUN589829 FKR589829 FAV589829 EQZ589829 EHD589829 DXH589829 DNL589829 DDP589829 CTT589829 CJX589829 CAB589829 BQF589829 BGJ589829 AWN589829 AMR589829 ACV589829 SZ589829 JD589829 H589829 WVP524293 WLT524293 WBX524293 VSB524293 VIF524293 UYJ524293 UON524293 UER524293 TUV524293 TKZ524293 TBD524293 SRH524293 SHL524293 RXP524293 RNT524293 RDX524293 QUB524293 QKF524293 QAJ524293 PQN524293 PGR524293 OWV524293 OMZ524293 ODD524293 NTH524293 NJL524293 MZP524293 MPT524293 MFX524293 LWB524293 LMF524293 LCJ524293 KSN524293 KIR524293 JYV524293 JOZ524293 JFD524293 IVH524293 ILL524293 IBP524293 HRT524293 HHX524293 GYB524293 GOF524293 GEJ524293 FUN524293 FKR524293 FAV524293 EQZ524293 EHD524293 DXH524293 DNL524293 DDP524293 CTT524293 CJX524293 CAB524293 BQF524293 BGJ524293 AWN524293 AMR524293 ACV524293 SZ524293 JD524293 H524293 WVP458757 WLT458757 WBX458757 VSB458757 VIF458757 UYJ458757 UON458757 UER458757 TUV458757 TKZ458757 TBD458757 SRH458757 SHL458757 RXP458757 RNT458757 RDX458757 QUB458757 QKF458757 QAJ458757 PQN458757 PGR458757 OWV458757 OMZ458757 ODD458757 NTH458757 NJL458757 MZP458757 MPT458757 MFX458757 LWB458757 LMF458757 LCJ458757 KSN458757 KIR458757 JYV458757 JOZ458757 JFD458757 IVH458757 ILL458757 IBP458757 HRT458757 HHX458757 GYB458757 GOF458757 GEJ458757 FUN458757 FKR458757 FAV458757 EQZ458757 EHD458757 DXH458757 DNL458757 DDP458757 CTT458757 CJX458757 CAB458757 BQF458757 BGJ458757 AWN458757 AMR458757 ACV458757 SZ458757 JD458757 H458757 WVP393221 WLT393221 WBX393221 VSB393221 VIF393221 UYJ393221 UON393221 UER393221 TUV393221 TKZ393221 TBD393221 SRH393221 SHL393221 RXP393221 RNT393221 RDX393221 QUB393221 QKF393221 QAJ393221 PQN393221 PGR393221 OWV393221 OMZ393221 ODD393221 NTH393221 NJL393221 MZP393221 MPT393221 MFX393221 LWB393221 LMF393221 LCJ393221 KSN393221 KIR393221 JYV393221 JOZ393221 JFD393221 IVH393221 ILL393221 IBP393221 HRT393221 HHX393221 GYB393221 GOF393221 GEJ393221 FUN393221 FKR393221 FAV393221 EQZ393221 EHD393221 DXH393221 DNL393221 DDP393221 CTT393221 CJX393221 CAB393221 BQF393221 BGJ393221 AWN393221 AMR393221 ACV393221 SZ393221 JD393221 H393221 WVP327685 WLT327685 WBX327685 VSB327685 VIF327685 UYJ327685 UON327685 UER327685 TUV327685 TKZ327685 TBD327685 SRH327685 SHL327685 RXP327685 RNT327685 RDX327685 QUB327685 QKF327685 QAJ327685 PQN327685 PGR327685 OWV327685 OMZ327685 ODD327685 NTH327685 NJL327685 MZP327685 MPT327685 MFX327685 LWB327685 LMF327685 LCJ327685 KSN327685 KIR327685 JYV327685 JOZ327685 JFD327685 IVH327685 ILL327685 IBP327685 HRT327685 HHX327685 GYB327685 GOF327685 GEJ327685 FUN327685 FKR327685 FAV327685 EQZ327685 EHD327685 DXH327685 DNL327685 DDP327685 CTT327685 CJX327685 CAB327685 BQF327685 BGJ327685 AWN327685 AMR327685 ACV327685 SZ327685 JD327685 H327685 WVP262149 WLT262149 WBX262149 VSB262149 VIF262149 UYJ262149 UON262149 UER262149 TUV262149 TKZ262149 TBD262149 SRH262149 SHL262149 RXP262149 RNT262149 RDX262149 QUB262149 QKF262149 QAJ262149 PQN262149 PGR262149 OWV262149 OMZ262149 ODD262149 NTH262149 NJL262149 MZP262149 MPT262149 MFX262149 LWB262149 LMF262149 LCJ262149 KSN262149 KIR262149 JYV262149 JOZ262149 JFD262149 IVH262149 ILL262149 IBP262149 HRT262149 HHX262149 GYB262149 GOF262149 GEJ262149 FUN262149 FKR262149 FAV262149 EQZ262149 EHD262149 DXH262149 DNL262149 DDP262149 CTT262149 CJX262149 CAB262149 BQF262149 BGJ262149 AWN262149 AMR262149 ACV262149 SZ262149 JD262149 H262149 WVP196613 WLT196613 WBX196613 VSB196613 VIF196613 UYJ196613 UON196613 UER196613 TUV196613 TKZ196613 TBD196613 SRH196613 SHL196613 RXP196613 RNT196613 RDX196613 QUB196613 QKF196613 QAJ196613 PQN196613 PGR196613 OWV196613 OMZ196613 ODD196613 NTH196613 NJL196613 MZP196613 MPT196613 MFX196613 LWB196613 LMF196613 LCJ196613 KSN196613 KIR196613 JYV196613 JOZ196613 JFD196613 IVH196613 ILL196613 IBP196613 HRT196613 HHX196613 GYB196613 GOF196613 GEJ196613 FUN196613 FKR196613 FAV196613 EQZ196613 EHD196613 DXH196613 DNL196613 DDP196613 CTT196613 CJX196613 CAB196613 BQF196613 BGJ196613 AWN196613 AMR196613 ACV196613 SZ196613 JD196613 H196613 WVP131077 WLT131077 WBX131077 VSB131077 VIF131077 UYJ131077 UON131077 UER131077 TUV131077 TKZ131077 TBD131077 SRH131077 SHL131077 RXP131077 RNT131077 RDX131077 QUB131077 QKF131077 QAJ131077 PQN131077 PGR131077 OWV131077 OMZ131077 ODD131077 NTH131077 NJL131077 MZP131077 MPT131077 MFX131077 LWB131077 LMF131077 LCJ131077 KSN131077 KIR131077 JYV131077 JOZ131077 JFD131077 IVH131077 ILL131077 IBP131077 HRT131077 HHX131077 GYB131077 GOF131077 GEJ131077 FUN131077 FKR131077 FAV131077 EQZ131077 EHD131077 DXH131077 DNL131077 DDP131077 CTT131077 CJX131077 CAB131077 BQF131077 BGJ131077 AWN131077 AMR131077 ACV131077 SZ131077 JD131077 H131077 WVP65541 WLT65541 WBX65541 VSB65541 VIF65541 UYJ65541 UON65541 UER65541 TUV65541 TKZ65541 TBD65541 SRH65541 SHL65541 RXP65541 RNT65541 RDX65541 QUB65541 QKF65541 QAJ65541 PQN65541 PGR65541 OWV65541 OMZ65541 ODD65541 NTH65541 NJL65541 MZP65541 MPT65541 MFX65541 LWB65541 LMF65541 LCJ65541 KSN65541 KIR65541 JYV65541 JOZ65541 JFD65541 IVH65541 ILL65541 IBP65541 HRT65541 HHX65541 GYB65541 GOF65541 GEJ65541 FUN65541 FKR65541 FAV65541 EQZ65541 EHD65541 DXH65541 DNL65541 DDP65541 CTT65541 CJX65541 CAB65541 BQF65541 BGJ65541 AWN65541 AMR65541 ACV65541 SZ65541 JD65541 H65541 H12">
      <formula1>$H$21:$H$25</formula1>
    </dataValidation>
  </dataValidations>
  <printOptions horizontalCentered="1"/>
  <pageMargins left="0.25" right="0.25" top="0.75" bottom="0.75" header="0.3" footer="0.3"/>
  <pageSetup scale="45" orientation="landscape" copies="2"/>
  <headerFooter>
    <oddFooter>&amp;C&amp;"Tahoma,Cursiva"&amp;9Si usted ha accedido a este formato a través de un medio diferente al sitio web del Sistema de Control Documental del SIGEC asegúrese que ésta es la versión vigente</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L34"/>
  <sheetViews>
    <sheetView topLeftCell="A8" zoomScale="80" zoomScaleNormal="80" zoomScaleSheetLayoutView="100" workbookViewId="0">
      <selection activeCell="AD12" sqref="AD12"/>
    </sheetView>
  </sheetViews>
  <sheetFormatPr baseColWidth="10" defaultRowHeight="12.75"/>
  <cols>
    <col min="1" max="1" width="8" style="2" customWidth="1"/>
    <col min="2" max="2" width="13.42578125" style="2" customWidth="1"/>
    <col min="3" max="3" width="4.28515625" style="2" customWidth="1"/>
    <col min="4" max="4" width="4" style="2" customWidth="1"/>
    <col min="5" max="5" width="17.42578125" style="2" customWidth="1"/>
    <col min="6" max="6" width="4.140625" style="2" customWidth="1"/>
    <col min="7" max="7" width="11.28515625" style="2" customWidth="1"/>
    <col min="8" max="8" width="11" style="2" customWidth="1"/>
    <col min="9" max="10" width="2.140625" style="2" customWidth="1"/>
    <col min="11" max="11" width="3.28515625" style="2" customWidth="1"/>
    <col min="12" max="12" width="0.28515625" style="2" hidden="1" customWidth="1"/>
    <col min="13" max="13" width="0.42578125" style="2" hidden="1" customWidth="1"/>
    <col min="14" max="14" width="2.85546875" style="2" customWidth="1"/>
    <col min="15" max="15" width="3.28515625" style="2" customWidth="1"/>
    <col min="16" max="16" width="1.5703125" style="2" customWidth="1"/>
    <col min="17" max="17" width="1.85546875" style="2" hidden="1" customWidth="1"/>
    <col min="18" max="18" width="6.85546875" style="2" customWidth="1"/>
    <col min="19" max="19" width="3" style="2" hidden="1" customWidth="1"/>
    <col min="20" max="21" width="6.28515625" style="2" customWidth="1"/>
    <col min="22" max="22" width="13.85546875" style="2" customWidth="1"/>
    <col min="23" max="23" width="18.28515625" style="2" customWidth="1"/>
    <col min="24" max="24" width="15.85546875" style="2" customWidth="1"/>
    <col min="25" max="25" width="0.42578125" style="2" hidden="1" customWidth="1"/>
    <col min="26" max="26" width="13" style="2" customWidth="1"/>
    <col min="27" max="27" width="13.85546875" style="2" customWidth="1"/>
    <col min="28" max="28" width="13.140625" style="2" customWidth="1"/>
    <col min="29" max="29" width="14" style="2" customWidth="1"/>
    <col min="30" max="30" width="8.140625" style="2" customWidth="1"/>
    <col min="31" max="31" width="15.28515625" style="2" customWidth="1"/>
    <col min="32" max="32" width="44.42578125" style="2" customWidth="1"/>
    <col min="33" max="33" width="12" style="2" customWidth="1"/>
    <col min="34" max="35" width="0.28515625" style="2" customWidth="1"/>
    <col min="36" max="36" width="1.42578125" style="2" customWidth="1"/>
    <col min="37" max="37" width="1.28515625" style="2" hidden="1" customWidth="1"/>
    <col min="38" max="256" width="11.42578125" style="2"/>
    <col min="257" max="257" width="8" style="2" customWidth="1"/>
    <col min="258" max="258" width="13.42578125" style="2" customWidth="1"/>
    <col min="259" max="259" width="4.28515625" style="2" customWidth="1"/>
    <col min="260" max="260" width="4" style="2" customWidth="1"/>
    <col min="261" max="261" width="17" style="2" customWidth="1"/>
    <col min="262" max="262" width="4.140625" style="2" customWidth="1"/>
    <col min="263" max="263" width="11.28515625" style="2" customWidth="1"/>
    <col min="264" max="264" width="11" style="2" customWidth="1"/>
    <col min="265" max="266" width="2.140625" style="2" customWidth="1"/>
    <col min="267" max="267" width="3.28515625" style="2" customWidth="1"/>
    <col min="268" max="269" width="0" style="2" hidden="1" customWidth="1"/>
    <col min="270" max="270" width="2.85546875" style="2" customWidth="1"/>
    <col min="271" max="271" width="3.28515625" style="2" customWidth="1"/>
    <col min="272" max="272" width="1.5703125" style="2" customWidth="1"/>
    <col min="273" max="273" width="0" style="2" hidden="1" customWidth="1"/>
    <col min="274" max="274" width="6.85546875" style="2" customWidth="1"/>
    <col min="275" max="275" width="0" style="2" hidden="1" customWidth="1"/>
    <col min="276" max="277" width="6.28515625" style="2" customWidth="1"/>
    <col min="278" max="278" width="13.85546875" style="2" customWidth="1"/>
    <col min="279" max="279" width="10.85546875" style="2" customWidth="1"/>
    <col min="280" max="280" width="14.7109375" style="2" customWidth="1"/>
    <col min="281" max="281" width="0" style="2" hidden="1" customWidth="1"/>
    <col min="282" max="282" width="13" style="2" customWidth="1"/>
    <col min="283" max="283" width="12.7109375" style="2" customWidth="1"/>
    <col min="284" max="284" width="13.140625" style="2" customWidth="1"/>
    <col min="285" max="285" width="14" style="2" customWidth="1"/>
    <col min="286" max="286" width="8.140625" style="2" customWidth="1"/>
    <col min="287" max="287" width="11.5703125" style="2" customWidth="1"/>
    <col min="288" max="288" width="24.7109375" style="2" customWidth="1"/>
    <col min="289" max="289" width="12" style="2" customWidth="1"/>
    <col min="290" max="291" width="0.28515625" style="2" customWidth="1"/>
    <col min="292" max="292" width="1.42578125" style="2" customWidth="1"/>
    <col min="293" max="293" width="0" style="2" hidden="1" customWidth="1"/>
    <col min="294" max="512" width="11.42578125" style="2"/>
    <col min="513" max="513" width="8" style="2" customWidth="1"/>
    <col min="514" max="514" width="13.42578125" style="2" customWidth="1"/>
    <col min="515" max="515" width="4.28515625" style="2" customWidth="1"/>
    <col min="516" max="516" width="4" style="2" customWidth="1"/>
    <col min="517" max="517" width="17" style="2" customWidth="1"/>
    <col min="518" max="518" width="4.140625" style="2" customWidth="1"/>
    <col min="519" max="519" width="11.28515625" style="2" customWidth="1"/>
    <col min="520" max="520" width="11" style="2" customWidth="1"/>
    <col min="521" max="522" width="2.140625" style="2" customWidth="1"/>
    <col min="523" max="523" width="3.28515625" style="2" customWidth="1"/>
    <col min="524" max="525" width="0" style="2" hidden="1" customWidth="1"/>
    <col min="526" max="526" width="2.85546875" style="2" customWidth="1"/>
    <col min="527" max="527" width="3.28515625" style="2" customWidth="1"/>
    <col min="528" max="528" width="1.5703125" style="2" customWidth="1"/>
    <col min="529" max="529" width="0" style="2" hidden="1" customWidth="1"/>
    <col min="530" max="530" width="6.85546875" style="2" customWidth="1"/>
    <col min="531" max="531" width="0" style="2" hidden="1" customWidth="1"/>
    <col min="532" max="533" width="6.28515625" style="2" customWidth="1"/>
    <col min="534" max="534" width="13.85546875" style="2" customWidth="1"/>
    <col min="535" max="535" width="10.85546875" style="2" customWidth="1"/>
    <col min="536" max="536" width="14.7109375" style="2" customWidth="1"/>
    <col min="537" max="537" width="0" style="2" hidden="1" customWidth="1"/>
    <col min="538" max="538" width="13" style="2" customWidth="1"/>
    <col min="539" max="539" width="12.7109375" style="2" customWidth="1"/>
    <col min="540" max="540" width="13.140625" style="2" customWidth="1"/>
    <col min="541" max="541" width="14" style="2" customWidth="1"/>
    <col min="542" max="542" width="8.140625" style="2" customWidth="1"/>
    <col min="543" max="543" width="11.5703125" style="2" customWidth="1"/>
    <col min="544" max="544" width="24.7109375" style="2" customWidth="1"/>
    <col min="545" max="545" width="12" style="2" customWidth="1"/>
    <col min="546" max="547" width="0.28515625" style="2" customWidth="1"/>
    <col min="548" max="548" width="1.42578125" style="2" customWidth="1"/>
    <col min="549" max="549" width="0" style="2" hidden="1" customWidth="1"/>
    <col min="550" max="768" width="11.42578125" style="2"/>
    <col min="769" max="769" width="8" style="2" customWidth="1"/>
    <col min="770" max="770" width="13.42578125" style="2" customWidth="1"/>
    <col min="771" max="771" width="4.28515625" style="2" customWidth="1"/>
    <col min="772" max="772" width="4" style="2" customWidth="1"/>
    <col min="773" max="773" width="17" style="2" customWidth="1"/>
    <col min="774" max="774" width="4.140625" style="2" customWidth="1"/>
    <col min="775" max="775" width="11.28515625" style="2" customWidth="1"/>
    <col min="776" max="776" width="11" style="2" customWidth="1"/>
    <col min="777" max="778" width="2.140625" style="2" customWidth="1"/>
    <col min="779" max="779" width="3.28515625" style="2" customWidth="1"/>
    <col min="780" max="781" width="0" style="2" hidden="1" customWidth="1"/>
    <col min="782" max="782" width="2.85546875" style="2" customWidth="1"/>
    <col min="783" max="783" width="3.28515625" style="2" customWidth="1"/>
    <col min="784" max="784" width="1.5703125" style="2" customWidth="1"/>
    <col min="785" max="785" width="0" style="2" hidden="1" customWidth="1"/>
    <col min="786" max="786" width="6.85546875" style="2" customWidth="1"/>
    <col min="787" max="787" width="0" style="2" hidden="1" customWidth="1"/>
    <col min="788" max="789" width="6.28515625" style="2" customWidth="1"/>
    <col min="790" max="790" width="13.85546875" style="2" customWidth="1"/>
    <col min="791" max="791" width="10.85546875" style="2" customWidth="1"/>
    <col min="792" max="792" width="14.7109375" style="2" customWidth="1"/>
    <col min="793" max="793" width="0" style="2" hidden="1" customWidth="1"/>
    <col min="794" max="794" width="13" style="2" customWidth="1"/>
    <col min="795" max="795" width="12.7109375" style="2" customWidth="1"/>
    <col min="796" max="796" width="13.140625" style="2" customWidth="1"/>
    <col min="797" max="797" width="14" style="2" customWidth="1"/>
    <col min="798" max="798" width="8.140625" style="2" customWidth="1"/>
    <col min="799" max="799" width="11.5703125" style="2" customWidth="1"/>
    <col min="800" max="800" width="24.7109375" style="2" customWidth="1"/>
    <col min="801" max="801" width="12" style="2" customWidth="1"/>
    <col min="802" max="803" width="0.28515625" style="2" customWidth="1"/>
    <col min="804" max="804" width="1.42578125" style="2" customWidth="1"/>
    <col min="805" max="805" width="0" style="2" hidden="1" customWidth="1"/>
    <col min="806" max="1024" width="11.42578125" style="2"/>
    <col min="1025" max="1025" width="8" style="2" customWidth="1"/>
    <col min="1026" max="1026" width="13.42578125" style="2" customWidth="1"/>
    <col min="1027" max="1027" width="4.28515625" style="2" customWidth="1"/>
    <col min="1028" max="1028" width="4" style="2" customWidth="1"/>
    <col min="1029" max="1029" width="17" style="2" customWidth="1"/>
    <col min="1030" max="1030" width="4.140625" style="2" customWidth="1"/>
    <col min="1031" max="1031" width="11.28515625" style="2" customWidth="1"/>
    <col min="1032" max="1032" width="11" style="2" customWidth="1"/>
    <col min="1033" max="1034" width="2.140625" style="2" customWidth="1"/>
    <col min="1035" max="1035" width="3.28515625" style="2" customWidth="1"/>
    <col min="1036" max="1037" width="0" style="2" hidden="1" customWidth="1"/>
    <col min="1038" max="1038" width="2.85546875" style="2" customWidth="1"/>
    <col min="1039" max="1039" width="3.28515625" style="2" customWidth="1"/>
    <col min="1040" max="1040" width="1.5703125" style="2" customWidth="1"/>
    <col min="1041" max="1041" width="0" style="2" hidden="1" customWidth="1"/>
    <col min="1042" max="1042" width="6.85546875" style="2" customWidth="1"/>
    <col min="1043" max="1043" width="0" style="2" hidden="1" customWidth="1"/>
    <col min="1044" max="1045" width="6.28515625" style="2" customWidth="1"/>
    <col min="1046" max="1046" width="13.85546875" style="2" customWidth="1"/>
    <col min="1047" max="1047" width="10.85546875" style="2" customWidth="1"/>
    <col min="1048" max="1048" width="14.7109375" style="2" customWidth="1"/>
    <col min="1049" max="1049" width="0" style="2" hidden="1" customWidth="1"/>
    <col min="1050" max="1050" width="13" style="2" customWidth="1"/>
    <col min="1051" max="1051" width="12.7109375" style="2" customWidth="1"/>
    <col min="1052" max="1052" width="13.140625" style="2" customWidth="1"/>
    <col min="1053" max="1053" width="14" style="2" customWidth="1"/>
    <col min="1054" max="1054" width="8.140625" style="2" customWidth="1"/>
    <col min="1055" max="1055" width="11.5703125" style="2" customWidth="1"/>
    <col min="1056" max="1056" width="24.7109375" style="2" customWidth="1"/>
    <col min="1057" max="1057" width="12" style="2" customWidth="1"/>
    <col min="1058" max="1059" width="0.28515625" style="2" customWidth="1"/>
    <col min="1060" max="1060" width="1.42578125" style="2" customWidth="1"/>
    <col min="1061" max="1061" width="0" style="2" hidden="1" customWidth="1"/>
    <col min="1062" max="1280" width="11.42578125" style="2"/>
    <col min="1281" max="1281" width="8" style="2" customWidth="1"/>
    <col min="1282" max="1282" width="13.42578125" style="2" customWidth="1"/>
    <col min="1283" max="1283" width="4.28515625" style="2" customWidth="1"/>
    <col min="1284" max="1284" width="4" style="2" customWidth="1"/>
    <col min="1285" max="1285" width="17" style="2" customWidth="1"/>
    <col min="1286" max="1286" width="4.140625" style="2" customWidth="1"/>
    <col min="1287" max="1287" width="11.28515625" style="2" customWidth="1"/>
    <col min="1288" max="1288" width="11" style="2" customWidth="1"/>
    <col min="1289" max="1290" width="2.140625" style="2" customWidth="1"/>
    <col min="1291" max="1291" width="3.28515625" style="2" customWidth="1"/>
    <col min="1292" max="1293" width="0" style="2" hidden="1" customWidth="1"/>
    <col min="1294" max="1294" width="2.85546875" style="2" customWidth="1"/>
    <col min="1295" max="1295" width="3.28515625" style="2" customWidth="1"/>
    <col min="1296" max="1296" width="1.5703125" style="2" customWidth="1"/>
    <col min="1297" max="1297" width="0" style="2" hidden="1" customWidth="1"/>
    <col min="1298" max="1298" width="6.85546875" style="2" customWidth="1"/>
    <col min="1299" max="1299" width="0" style="2" hidden="1" customWidth="1"/>
    <col min="1300" max="1301" width="6.28515625" style="2" customWidth="1"/>
    <col min="1302" max="1302" width="13.85546875" style="2" customWidth="1"/>
    <col min="1303" max="1303" width="10.85546875" style="2" customWidth="1"/>
    <col min="1304" max="1304" width="14.7109375" style="2" customWidth="1"/>
    <col min="1305" max="1305" width="0" style="2" hidden="1" customWidth="1"/>
    <col min="1306" max="1306" width="13" style="2" customWidth="1"/>
    <col min="1307" max="1307" width="12.7109375" style="2" customWidth="1"/>
    <col min="1308" max="1308" width="13.140625" style="2" customWidth="1"/>
    <col min="1309" max="1309" width="14" style="2" customWidth="1"/>
    <col min="1310" max="1310" width="8.140625" style="2" customWidth="1"/>
    <col min="1311" max="1311" width="11.5703125" style="2" customWidth="1"/>
    <col min="1312" max="1312" width="24.7109375" style="2" customWidth="1"/>
    <col min="1313" max="1313" width="12" style="2" customWidth="1"/>
    <col min="1314" max="1315" width="0.28515625" style="2" customWidth="1"/>
    <col min="1316" max="1316" width="1.42578125" style="2" customWidth="1"/>
    <col min="1317" max="1317" width="0" style="2" hidden="1" customWidth="1"/>
    <col min="1318" max="1536" width="11.42578125" style="2"/>
    <col min="1537" max="1537" width="8" style="2" customWidth="1"/>
    <col min="1538" max="1538" width="13.42578125" style="2" customWidth="1"/>
    <col min="1539" max="1539" width="4.28515625" style="2" customWidth="1"/>
    <col min="1540" max="1540" width="4" style="2" customWidth="1"/>
    <col min="1541" max="1541" width="17" style="2" customWidth="1"/>
    <col min="1542" max="1542" width="4.140625" style="2" customWidth="1"/>
    <col min="1543" max="1543" width="11.28515625" style="2" customWidth="1"/>
    <col min="1544" max="1544" width="11" style="2" customWidth="1"/>
    <col min="1545" max="1546" width="2.140625" style="2" customWidth="1"/>
    <col min="1547" max="1547" width="3.28515625" style="2" customWidth="1"/>
    <col min="1548" max="1549" width="0" style="2" hidden="1" customWidth="1"/>
    <col min="1550" max="1550" width="2.85546875" style="2" customWidth="1"/>
    <col min="1551" max="1551" width="3.28515625" style="2" customWidth="1"/>
    <col min="1552" max="1552" width="1.5703125" style="2" customWidth="1"/>
    <col min="1553" max="1553" width="0" style="2" hidden="1" customWidth="1"/>
    <col min="1554" max="1554" width="6.85546875" style="2" customWidth="1"/>
    <col min="1555" max="1555" width="0" style="2" hidden="1" customWidth="1"/>
    <col min="1556" max="1557" width="6.28515625" style="2" customWidth="1"/>
    <col min="1558" max="1558" width="13.85546875" style="2" customWidth="1"/>
    <col min="1559" max="1559" width="10.85546875" style="2" customWidth="1"/>
    <col min="1560" max="1560" width="14.7109375" style="2" customWidth="1"/>
    <col min="1561" max="1561" width="0" style="2" hidden="1" customWidth="1"/>
    <col min="1562" max="1562" width="13" style="2" customWidth="1"/>
    <col min="1563" max="1563" width="12.7109375" style="2" customWidth="1"/>
    <col min="1564" max="1564" width="13.140625" style="2" customWidth="1"/>
    <col min="1565" max="1565" width="14" style="2" customWidth="1"/>
    <col min="1566" max="1566" width="8.140625" style="2" customWidth="1"/>
    <col min="1567" max="1567" width="11.5703125" style="2" customWidth="1"/>
    <col min="1568" max="1568" width="24.7109375" style="2" customWidth="1"/>
    <col min="1569" max="1569" width="12" style="2" customWidth="1"/>
    <col min="1570" max="1571" width="0.28515625" style="2" customWidth="1"/>
    <col min="1572" max="1572" width="1.42578125" style="2" customWidth="1"/>
    <col min="1573" max="1573" width="0" style="2" hidden="1" customWidth="1"/>
    <col min="1574" max="1792" width="11.42578125" style="2"/>
    <col min="1793" max="1793" width="8" style="2" customWidth="1"/>
    <col min="1794" max="1794" width="13.42578125" style="2" customWidth="1"/>
    <col min="1795" max="1795" width="4.28515625" style="2" customWidth="1"/>
    <col min="1796" max="1796" width="4" style="2" customWidth="1"/>
    <col min="1797" max="1797" width="17" style="2" customWidth="1"/>
    <col min="1798" max="1798" width="4.140625" style="2" customWidth="1"/>
    <col min="1799" max="1799" width="11.28515625" style="2" customWidth="1"/>
    <col min="1800" max="1800" width="11" style="2" customWidth="1"/>
    <col min="1801" max="1802" width="2.140625" style="2" customWidth="1"/>
    <col min="1803" max="1803" width="3.28515625" style="2" customWidth="1"/>
    <col min="1804" max="1805" width="0" style="2" hidden="1" customWidth="1"/>
    <col min="1806" max="1806" width="2.85546875" style="2" customWidth="1"/>
    <col min="1807" max="1807" width="3.28515625" style="2" customWidth="1"/>
    <col min="1808" max="1808" width="1.5703125" style="2" customWidth="1"/>
    <col min="1809" max="1809" width="0" style="2" hidden="1" customWidth="1"/>
    <col min="1810" max="1810" width="6.85546875" style="2" customWidth="1"/>
    <col min="1811" max="1811" width="0" style="2" hidden="1" customWidth="1"/>
    <col min="1812" max="1813" width="6.28515625" style="2" customWidth="1"/>
    <col min="1814" max="1814" width="13.85546875" style="2" customWidth="1"/>
    <col min="1815" max="1815" width="10.85546875" style="2" customWidth="1"/>
    <col min="1816" max="1816" width="14.7109375" style="2" customWidth="1"/>
    <col min="1817" max="1817" width="0" style="2" hidden="1" customWidth="1"/>
    <col min="1818" max="1818" width="13" style="2" customWidth="1"/>
    <col min="1819" max="1819" width="12.7109375" style="2" customWidth="1"/>
    <col min="1820" max="1820" width="13.140625" style="2" customWidth="1"/>
    <col min="1821" max="1821" width="14" style="2" customWidth="1"/>
    <col min="1822" max="1822" width="8.140625" style="2" customWidth="1"/>
    <col min="1823" max="1823" width="11.5703125" style="2" customWidth="1"/>
    <col min="1824" max="1824" width="24.7109375" style="2" customWidth="1"/>
    <col min="1825" max="1825" width="12" style="2" customWidth="1"/>
    <col min="1826" max="1827" width="0.28515625" style="2" customWidth="1"/>
    <col min="1828" max="1828" width="1.42578125" style="2" customWidth="1"/>
    <col min="1829" max="1829" width="0" style="2" hidden="1" customWidth="1"/>
    <col min="1830" max="2048" width="11.42578125" style="2"/>
    <col min="2049" max="2049" width="8" style="2" customWidth="1"/>
    <col min="2050" max="2050" width="13.42578125" style="2" customWidth="1"/>
    <col min="2051" max="2051" width="4.28515625" style="2" customWidth="1"/>
    <col min="2052" max="2052" width="4" style="2" customWidth="1"/>
    <col min="2053" max="2053" width="17" style="2" customWidth="1"/>
    <col min="2054" max="2054" width="4.140625" style="2" customWidth="1"/>
    <col min="2055" max="2055" width="11.28515625" style="2" customWidth="1"/>
    <col min="2056" max="2056" width="11" style="2" customWidth="1"/>
    <col min="2057" max="2058" width="2.140625" style="2" customWidth="1"/>
    <col min="2059" max="2059" width="3.28515625" style="2" customWidth="1"/>
    <col min="2060" max="2061" width="0" style="2" hidden="1" customWidth="1"/>
    <col min="2062" max="2062" width="2.85546875" style="2" customWidth="1"/>
    <col min="2063" max="2063" width="3.28515625" style="2" customWidth="1"/>
    <col min="2064" max="2064" width="1.5703125" style="2" customWidth="1"/>
    <col min="2065" max="2065" width="0" style="2" hidden="1" customWidth="1"/>
    <col min="2066" max="2066" width="6.85546875" style="2" customWidth="1"/>
    <col min="2067" max="2067" width="0" style="2" hidden="1" customWidth="1"/>
    <col min="2068" max="2069" width="6.28515625" style="2" customWidth="1"/>
    <col min="2070" max="2070" width="13.85546875" style="2" customWidth="1"/>
    <col min="2071" max="2071" width="10.85546875" style="2" customWidth="1"/>
    <col min="2072" max="2072" width="14.7109375" style="2" customWidth="1"/>
    <col min="2073" max="2073" width="0" style="2" hidden="1" customWidth="1"/>
    <col min="2074" max="2074" width="13" style="2" customWidth="1"/>
    <col min="2075" max="2075" width="12.7109375" style="2" customWidth="1"/>
    <col min="2076" max="2076" width="13.140625" style="2" customWidth="1"/>
    <col min="2077" max="2077" width="14" style="2" customWidth="1"/>
    <col min="2078" max="2078" width="8.140625" style="2" customWidth="1"/>
    <col min="2079" max="2079" width="11.5703125" style="2" customWidth="1"/>
    <col min="2080" max="2080" width="24.7109375" style="2" customWidth="1"/>
    <col min="2081" max="2081" width="12" style="2" customWidth="1"/>
    <col min="2082" max="2083" width="0.28515625" style="2" customWidth="1"/>
    <col min="2084" max="2084" width="1.42578125" style="2" customWidth="1"/>
    <col min="2085" max="2085" width="0" style="2" hidden="1" customWidth="1"/>
    <col min="2086" max="2304" width="11.42578125" style="2"/>
    <col min="2305" max="2305" width="8" style="2" customWidth="1"/>
    <col min="2306" max="2306" width="13.42578125" style="2" customWidth="1"/>
    <col min="2307" max="2307" width="4.28515625" style="2" customWidth="1"/>
    <col min="2308" max="2308" width="4" style="2" customWidth="1"/>
    <col min="2309" max="2309" width="17" style="2" customWidth="1"/>
    <col min="2310" max="2310" width="4.140625" style="2" customWidth="1"/>
    <col min="2311" max="2311" width="11.28515625" style="2" customWidth="1"/>
    <col min="2312" max="2312" width="11" style="2" customWidth="1"/>
    <col min="2313" max="2314" width="2.140625" style="2" customWidth="1"/>
    <col min="2315" max="2315" width="3.28515625" style="2" customWidth="1"/>
    <col min="2316" max="2317" width="0" style="2" hidden="1" customWidth="1"/>
    <col min="2318" max="2318" width="2.85546875" style="2" customWidth="1"/>
    <col min="2319" max="2319" width="3.28515625" style="2" customWidth="1"/>
    <col min="2320" max="2320" width="1.5703125" style="2" customWidth="1"/>
    <col min="2321" max="2321" width="0" style="2" hidden="1" customWidth="1"/>
    <col min="2322" max="2322" width="6.85546875" style="2" customWidth="1"/>
    <col min="2323" max="2323" width="0" style="2" hidden="1" customWidth="1"/>
    <col min="2324" max="2325" width="6.28515625" style="2" customWidth="1"/>
    <col min="2326" max="2326" width="13.85546875" style="2" customWidth="1"/>
    <col min="2327" max="2327" width="10.85546875" style="2" customWidth="1"/>
    <col min="2328" max="2328" width="14.7109375" style="2" customWidth="1"/>
    <col min="2329" max="2329" width="0" style="2" hidden="1" customWidth="1"/>
    <col min="2330" max="2330" width="13" style="2" customWidth="1"/>
    <col min="2331" max="2331" width="12.7109375" style="2" customWidth="1"/>
    <col min="2332" max="2332" width="13.140625" style="2" customWidth="1"/>
    <col min="2333" max="2333" width="14" style="2" customWidth="1"/>
    <col min="2334" max="2334" width="8.140625" style="2" customWidth="1"/>
    <col min="2335" max="2335" width="11.5703125" style="2" customWidth="1"/>
    <col min="2336" max="2336" width="24.7109375" style="2" customWidth="1"/>
    <col min="2337" max="2337" width="12" style="2" customWidth="1"/>
    <col min="2338" max="2339" width="0.28515625" style="2" customWidth="1"/>
    <col min="2340" max="2340" width="1.42578125" style="2" customWidth="1"/>
    <col min="2341" max="2341" width="0" style="2" hidden="1" customWidth="1"/>
    <col min="2342" max="2560" width="11.42578125" style="2"/>
    <col min="2561" max="2561" width="8" style="2" customWidth="1"/>
    <col min="2562" max="2562" width="13.42578125" style="2" customWidth="1"/>
    <col min="2563" max="2563" width="4.28515625" style="2" customWidth="1"/>
    <col min="2564" max="2564" width="4" style="2" customWidth="1"/>
    <col min="2565" max="2565" width="17" style="2" customWidth="1"/>
    <col min="2566" max="2566" width="4.140625" style="2" customWidth="1"/>
    <col min="2567" max="2567" width="11.28515625" style="2" customWidth="1"/>
    <col min="2568" max="2568" width="11" style="2" customWidth="1"/>
    <col min="2569" max="2570" width="2.140625" style="2" customWidth="1"/>
    <col min="2571" max="2571" width="3.28515625" style="2" customWidth="1"/>
    <col min="2572" max="2573" width="0" style="2" hidden="1" customWidth="1"/>
    <col min="2574" max="2574" width="2.85546875" style="2" customWidth="1"/>
    <col min="2575" max="2575" width="3.28515625" style="2" customWidth="1"/>
    <col min="2576" max="2576" width="1.5703125" style="2" customWidth="1"/>
    <col min="2577" max="2577" width="0" style="2" hidden="1" customWidth="1"/>
    <col min="2578" max="2578" width="6.85546875" style="2" customWidth="1"/>
    <col min="2579" max="2579" width="0" style="2" hidden="1" customWidth="1"/>
    <col min="2580" max="2581" width="6.28515625" style="2" customWidth="1"/>
    <col min="2582" max="2582" width="13.85546875" style="2" customWidth="1"/>
    <col min="2583" max="2583" width="10.85546875" style="2" customWidth="1"/>
    <col min="2584" max="2584" width="14.7109375" style="2" customWidth="1"/>
    <col min="2585" max="2585" width="0" style="2" hidden="1" customWidth="1"/>
    <col min="2586" max="2586" width="13" style="2" customWidth="1"/>
    <col min="2587" max="2587" width="12.7109375" style="2" customWidth="1"/>
    <col min="2588" max="2588" width="13.140625" style="2" customWidth="1"/>
    <col min="2589" max="2589" width="14" style="2" customWidth="1"/>
    <col min="2590" max="2590" width="8.140625" style="2" customWidth="1"/>
    <col min="2591" max="2591" width="11.5703125" style="2" customWidth="1"/>
    <col min="2592" max="2592" width="24.7109375" style="2" customWidth="1"/>
    <col min="2593" max="2593" width="12" style="2" customWidth="1"/>
    <col min="2594" max="2595" width="0.28515625" style="2" customWidth="1"/>
    <col min="2596" max="2596" width="1.42578125" style="2" customWidth="1"/>
    <col min="2597" max="2597" width="0" style="2" hidden="1" customWidth="1"/>
    <col min="2598" max="2816" width="11.42578125" style="2"/>
    <col min="2817" max="2817" width="8" style="2" customWidth="1"/>
    <col min="2818" max="2818" width="13.42578125" style="2" customWidth="1"/>
    <col min="2819" max="2819" width="4.28515625" style="2" customWidth="1"/>
    <col min="2820" max="2820" width="4" style="2" customWidth="1"/>
    <col min="2821" max="2821" width="17" style="2" customWidth="1"/>
    <col min="2822" max="2822" width="4.140625" style="2" customWidth="1"/>
    <col min="2823" max="2823" width="11.28515625" style="2" customWidth="1"/>
    <col min="2824" max="2824" width="11" style="2" customWidth="1"/>
    <col min="2825" max="2826" width="2.140625" style="2" customWidth="1"/>
    <col min="2827" max="2827" width="3.28515625" style="2" customWidth="1"/>
    <col min="2828" max="2829" width="0" style="2" hidden="1" customWidth="1"/>
    <col min="2830" max="2830" width="2.85546875" style="2" customWidth="1"/>
    <col min="2831" max="2831" width="3.28515625" style="2" customWidth="1"/>
    <col min="2832" max="2832" width="1.5703125" style="2" customWidth="1"/>
    <col min="2833" max="2833" width="0" style="2" hidden="1" customWidth="1"/>
    <col min="2834" max="2834" width="6.85546875" style="2" customWidth="1"/>
    <col min="2835" max="2835" width="0" style="2" hidden="1" customWidth="1"/>
    <col min="2836" max="2837" width="6.28515625" style="2" customWidth="1"/>
    <col min="2838" max="2838" width="13.85546875" style="2" customWidth="1"/>
    <col min="2839" max="2839" width="10.85546875" style="2" customWidth="1"/>
    <col min="2840" max="2840" width="14.7109375" style="2" customWidth="1"/>
    <col min="2841" max="2841" width="0" style="2" hidden="1" customWidth="1"/>
    <col min="2842" max="2842" width="13" style="2" customWidth="1"/>
    <col min="2843" max="2843" width="12.7109375" style="2" customWidth="1"/>
    <col min="2844" max="2844" width="13.140625" style="2" customWidth="1"/>
    <col min="2845" max="2845" width="14" style="2" customWidth="1"/>
    <col min="2846" max="2846" width="8.140625" style="2" customWidth="1"/>
    <col min="2847" max="2847" width="11.5703125" style="2" customWidth="1"/>
    <col min="2848" max="2848" width="24.7109375" style="2" customWidth="1"/>
    <col min="2849" max="2849" width="12" style="2" customWidth="1"/>
    <col min="2850" max="2851" width="0.28515625" style="2" customWidth="1"/>
    <col min="2852" max="2852" width="1.42578125" style="2" customWidth="1"/>
    <col min="2853" max="2853" width="0" style="2" hidden="1" customWidth="1"/>
    <col min="2854" max="3072" width="11.42578125" style="2"/>
    <col min="3073" max="3073" width="8" style="2" customWidth="1"/>
    <col min="3074" max="3074" width="13.42578125" style="2" customWidth="1"/>
    <col min="3075" max="3075" width="4.28515625" style="2" customWidth="1"/>
    <col min="3076" max="3076" width="4" style="2" customWidth="1"/>
    <col min="3077" max="3077" width="17" style="2" customWidth="1"/>
    <col min="3078" max="3078" width="4.140625" style="2" customWidth="1"/>
    <col min="3079" max="3079" width="11.28515625" style="2" customWidth="1"/>
    <col min="3080" max="3080" width="11" style="2" customWidth="1"/>
    <col min="3081" max="3082" width="2.140625" style="2" customWidth="1"/>
    <col min="3083" max="3083" width="3.28515625" style="2" customWidth="1"/>
    <col min="3084" max="3085" width="0" style="2" hidden="1" customWidth="1"/>
    <col min="3086" max="3086" width="2.85546875" style="2" customWidth="1"/>
    <col min="3087" max="3087" width="3.28515625" style="2" customWidth="1"/>
    <col min="3088" max="3088" width="1.5703125" style="2" customWidth="1"/>
    <col min="3089" max="3089" width="0" style="2" hidden="1" customWidth="1"/>
    <col min="3090" max="3090" width="6.85546875" style="2" customWidth="1"/>
    <col min="3091" max="3091" width="0" style="2" hidden="1" customWidth="1"/>
    <col min="3092" max="3093" width="6.28515625" style="2" customWidth="1"/>
    <col min="3094" max="3094" width="13.85546875" style="2" customWidth="1"/>
    <col min="3095" max="3095" width="10.85546875" style="2" customWidth="1"/>
    <col min="3096" max="3096" width="14.7109375" style="2" customWidth="1"/>
    <col min="3097" max="3097" width="0" style="2" hidden="1" customWidth="1"/>
    <col min="3098" max="3098" width="13" style="2" customWidth="1"/>
    <col min="3099" max="3099" width="12.7109375" style="2" customWidth="1"/>
    <col min="3100" max="3100" width="13.140625" style="2" customWidth="1"/>
    <col min="3101" max="3101" width="14" style="2" customWidth="1"/>
    <col min="3102" max="3102" width="8.140625" style="2" customWidth="1"/>
    <col min="3103" max="3103" width="11.5703125" style="2" customWidth="1"/>
    <col min="3104" max="3104" width="24.7109375" style="2" customWidth="1"/>
    <col min="3105" max="3105" width="12" style="2" customWidth="1"/>
    <col min="3106" max="3107" width="0.28515625" style="2" customWidth="1"/>
    <col min="3108" max="3108" width="1.42578125" style="2" customWidth="1"/>
    <col min="3109" max="3109" width="0" style="2" hidden="1" customWidth="1"/>
    <col min="3110" max="3328" width="11.42578125" style="2"/>
    <col min="3329" max="3329" width="8" style="2" customWidth="1"/>
    <col min="3330" max="3330" width="13.42578125" style="2" customWidth="1"/>
    <col min="3331" max="3331" width="4.28515625" style="2" customWidth="1"/>
    <col min="3332" max="3332" width="4" style="2" customWidth="1"/>
    <col min="3333" max="3333" width="17" style="2" customWidth="1"/>
    <col min="3334" max="3334" width="4.140625" style="2" customWidth="1"/>
    <col min="3335" max="3335" width="11.28515625" style="2" customWidth="1"/>
    <col min="3336" max="3336" width="11" style="2" customWidth="1"/>
    <col min="3337" max="3338" width="2.140625" style="2" customWidth="1"/>
    <col min="3339" max="3339" width="3.28515625" style="2" customWidth="1"/>
    <col min="3340" max="3341" width="0" style="2" hidden="1" customWidth="1"/>
    <col min="3342" max="3342" width="2.85546875" style="2" customWidth="1"/>
    <col min="3343" max="3343" width="3.28515625" style="2" customWidth="1"/>
    <col min="3344" max="3344" width="1.5703125" style="2" customWidth="1"/>
    <col min="3345" max="3345" width="0" style="2" hidden="1" customWidth="1"/>
    <col min="3346" max="3346" width="6.85546875" style="2" customWidth="1"/>
    <col min="3347" max="3347" width="0" style="2" hidden="1" customWidth="1"/>
    <col min="3348" max="3349" width="6.28515625" style="2" customWidth="1"/>
    <col min="3350" max="3350" width="13.85546875" style="2" customWidth="1"/>
    <col min="3351" max="3351" width="10.85546875" style="2" customWidth="1"/>
    <col min="3352" max="3352" width="14.7109375" style="2" customWidth="1"/>
    <col min="3353" max="3353" width="0" style="2" hidden="1" customWidth="1"/>
    <col min="3354" max="3354" width="13" style="2" customWidth="1"/>
    <col min="3355" max="3355" width="12.7109375" style="2" customWidth="1"/>
    <col min="3356" max="3356" width="13.140625" style="2" customWidth="1"/>
    <col min="3357" max="3357" width="14" style="2" customWidth="1"/>
    <col min="3358" max="3358" width="8.140625" style="2" customWidth="1"/>
    <col min="3359" max="3359" width="11.5703125" style="2" customWidth="1"/>
    <col min="3360" max="3360" width="24.7109375" style="2" customWidth="1"/>
    <col min="3361" max="3361" width="12" style="2" customWidth="1"/>
    <col min="3362" max="3363" width="0.28515625" style="2" customWidth="1"/>
    <col min="3364" max="3364" width="1.42578125" style="2" customWidth="1"/>
    <col min="3365" max="3365" width="0" style="2" hidden="1" customWidth="1"/>
    <col min="3366" max="3584" width="11.42578125" style="2"/>
    <col min="3585" max="3585" width="8" style="2" customWidth="1"/>
    <col min="3586" max="3586" width="13.42578125" style="2" customWidth="1"/>
    <col min="3587" max="3587" width="4.28515625" style="2" customWidth="1"/>
    <col min="3588" max="3588" width="4" style="2" customWidth="1"/>
    <col min="3589" max="3589" width="17" style="2" customWidth="1"/>
    <col min="3590" max="3590" width="4.140625" style="2" customWidth="1"/>
    <col min="3591" max="3591" width="11.28515625" style="2" customWidth="1"/>
    <col min="3592" max="3592" width="11" style="2" customWidth="1"/>
    <col min="3593" max="3594" width="2.140625" style="2" customWidth="1"/>
    <col min="3595" max="3595" width="3.28515625" style="2" customWidth="1"/>
    <col min="3596" max="3597" width="0" style="2" hidden="1" customWidth="1"/>
    <col min="3598" max="3598" width="2.85546875" style="2" customWidth="1"/>
    <col min="3599" max="3599" width="3.28515625" style="2" customWidth="1"/>
    <col min="3600" max="3600" width="1.5703125" style="2" customWidth="1"/>
    <col min="3601" max="3601" width="0" style="2" hidden="1" customWidth="1"/>
    <col min="3602" max="3602" width="6.85546875" style="2" customWidth="1"/>
    <col min="3603" max="3603" width="0" style="2" hidden="1" customWidth="1"/>
    <col min="3604" max="3605" width="6.28515625" style="2" customWidth="1"/>
    <col min="3606" max="3606" width="13.85546875" style="2" customWidth="1"/>
    <col min="3607" max="3607" width="10.85546875" style="2" customWidth="1"/>
    <col min="3608" max="3608" width="14.7109375" style="2" customWidth="1"/>
    <col min="3609" max="3609" width="0" style="2" hidden="1" customWidth="1"/>
    <col min="3610" max="3610" width="13" style="2" customWidth="1"/>
    <col min="3611" max="3611" width="12.7109375" style="2" customWidth="1"/>
    <col min="3612" max="3612" width="13.140625" style="2" customWidth="1"/>
    <col min="3613" max="3613" width="14" style="2" customWidth="1"/>
    <col min="3614" max="3614" width="8.140625" style="2" customWidth="1"/>
    <col min="3615" max="3615" width="11.5703125" style="2" customWidth="1"/>
    <col min="3616" max="3616" width="24.7109375" style="2" customWidth="1"/>
    <col min="3617" max="3617" width="12" style="2" customWidth="1"/>
    <col min="3618" max="3619" width="0.28515625" style="2" customWidth="1"/>
    <col min="3620" max="3620" width="1.42578125" style="2" customWidth="1"/>
    <col min="3621" max="3621" width="0" style="2" hidden="1" customWidth="1"/>
    <col min="3622" max="3840" width="11.42578125" style="2"/>
    <col min="3841" max="3841" width="8" style="2" customWidth="1"/>
    <col min="3842" max="3842" width="13.42578125" style="2" customWidth="1"/>
    <col min="3843" max="3843" width="4.28515625" style="2" customWidth="1"/>
    <col min="3844" max="3844" width="4" style="2" customWidth="1"/>
    <col min="3845" max="3845" width="17" style="2" customWidth="1"/>
    <col min="3846" max="3846" width="4.140625" style="2" customWidth="1"/>
    <col min="3847" max="3847" width="11.28515625" style="2" customWidth="1"/>
    <col min="3848" max="3848" width="11" style="2" customWidth="1"/>
    <col min="3849" max="3850" width="2.140625" style="2" customWidth="1"/>
    <col min="3851" max="3851" width="3.28515625" style="2" customWidth="1"/>
    <col min="3852" max="3853" width="0" style="2" hidden="1" customWidth="1"/>
    <col min="3854" max="3854" width="2.85546875" style="2" customWidth="1"/>
    <col min="3855" max="3855" width="3.28515625" style="2" customWidth="1"/>
    <col min="3856" max="3856" width="1.5703125" style="2" customWidth="1"/>
    <col min="3857" max="3857" width="0" style="2" hidden="1" customWidth="1"/>
    <col min="3858" max="3858" width="6.85546875" style="2" customWidth="1"/>
    <col min="3859" max="3859" width="0" style="2" hidden="1" customWidth="1"/>
    <col min="3860" max="3861" width="6.28515625" style="2" customWidth="1"/>
    <col min="3862" max="3862" width="13.85546875" style="2" customWidth="1"/>
    <col min="3863" max="3863" width="10.85546875" style="2" customWidth="1"/>
    <col min="3864" max="3864" width="14.7109375" style="2" customWidth="1"/>
    <col min="3865" max="3865" width="0" style="2" hidden="1" customWidth="1"/>
    <col min="3866" max="3866" width="13" style="2" customWidth="1"/>
    <col min="3867" max="3867" width="12.7109375" style="2" customWidth="1"/>
    <col min="3868" max="3868" width="13.140625" style="2" customWidth="1"/>
    <col min="3869" max="3869" width="14" style="2" customWidth="1"/>
    <col min="3870" max="3870" width="8.140625" style="2" customWidth="1"/>
    <col min="3871" max="3871" width="11.5703125" style="2" customWidth="1"/>
    <col min="3872" max="3872" width="24.7109375" style="2" customWidth="1"/>
    <col min="3873" max="3873" width="12" style="2" customWidth="1"/>
    <col min="3874" max="3875" width="0.28515625" style="2" customWidth="1"/>
    <col min="3876" max="3876" width="1.42578125" style="2" customWidth="1"/>
    <col min="3877" max="3877" width="0" style="2" hidden="1" customWidth="1"/>
    <col min="3878" max="4096" width="11.42578125" style="2"/>
    <col min="4097" max="4097" width="8" style="2" customWidth="1"/>
    <col min="4098" max="4098" width="13.42578125" style="2" customWidth="1"/>
    <col min="4099" max="4099" width="4.28515625" style="2" customWidth="1"/>
    <col min="4100" max="4100" width="4" style="2" customWidth="1"/>
    <col min="4101" max="4101" width="17" style="2" customWidth="1"/>
    <col min="4102" max="4102" width="4.140625" style="2" customWidth="1"/>
    <col min="4103" max="4103" width="11.28515625" style="2" customWidth="1"/>
    <col min="4104" max="4104" width="11" style="2" customWidth="1"/>
    <col min="4105" max="4106" width="2.140625" style="2" customWidth="1"/>
    <col min="4107" max="4107" width="3.28515625" style="2" customWidth="1"/>
    <col min="4108" max="4109" width="0" style="2" hidden="1" customWidth="1"/>
    <col min="4110" max="4110" width="2.85546875" style="2" customWidth="1"/>
    <col min="4111" max="4111" width="3.28515625" style="2" customWidth="1"/>
    <col min="4112" max="4112" width="1.5703125" style="2" customWidth="1"/>
    <col min="4113" max="4113" width="0" style="2" hidden="1" customWidth="1"/>
    <col min="4114" max="4114" width="6.85546875" style="2" customWidth="1"/>
    <col min="4115" max="4115" width="0" style="2" hidden="1" customWidth="1"/>
    <col min="4116" max="4117" width="6.28515625" style="2" customWidth="1"/>
    <col min="4118" max="4118" width="13.85546875" style="2" customWidth="1"/>
    <col min="4119" max="4119" width="10.85546875" style="2" customWidth="1"/>
    <col min="4120" max="4120" width="14.7109375" style="2" customWidth="1"/>
    <col min="4121" max="4121" width="0" style="2" hidden="1" customWidth="1"/>
    <col min="4122" max="4122" width="13" style="2" customWidth="1"/>
    <col min="4123" max="4123" width="12.7109375" style="2" customWidth="1"/>
    <col min="4124" max="4124" width="13.140625" style="2" customWidth="1"/>
    <col min="4125" max="4125" width="14" style="2" customWidth="1"/>
    <col min="4126" max="4126" width="8.140625" style="2" customWidth="1"/>
    <col min="4127" max="4127" width="11.5703125" style="2" customWidth="1"/>
    <col min="4128" max="4128" width="24.7109375" style="2" customWidth="1"/>
    <col min="4129" max="4129" width="12" style="2" customWidth="1"/>
    <col min="4130" max="4131" width="0.28515625" style="2" customWidth="1"/>
    <col min="4132" max="4132" width="1.42578125" style="2" customWidth="1"/>
    <col min="4133" max="4133" width="0" style="2" hidden="1" customWidth="1"/>
    <col min="4134" max="4352" width="11.42578125" style="2"/>
    <col min="4353" max="4353" width="8" style="2" customWidth="1"/>
    <col min="4354" max="4354" width="13.42578125" style="2" customWidth="1"/>
    <col min="4355" max="4355" width="4.28515625" style="2" customWidth="1"/>
    <col min="4356" max="4356" width="4" style="2" customWidth="1"/>
    <col min="4357" max="4357" width="17" style="2" customWidth="1"/>
    <col min="4358" max="4358" width="4.140625" style="2" customWidth="1"/>
    <col min="4359" max="4359" width="11.28515625" style="2" customWidth="1"/>
    <col min="4360" max="4360" width="11" style="2" customWidth="1"/>
    <col min="4361" max="4362" width="2.140625" style="2" customWidth="1"/>
    <col min="4363" max="4363" width="3.28515625" style="2" customWidth="1"/>
    <col min="4364" max="4365" width="0" style="2" hidden="1" customWidth="1"/>
    <col min="4366" max="4366" width="2.85546875" style="2" customWidth="1"/>
    <col min="4367" max="4367" width="3.28515625" style="2" customWidth="1"/>
    <col min="4368" max="4368" width="1.5703125" style="2" customWidth="1"/>
    <col min="4369" max="4369" width="0" style="2" hidden="1" customWidth="1"/>
    <col min="4370" max="4370" width="6.85546875" style="2" customWidth="1"/>
    <col min="4371" max="4371" width="0" style="2" hidden="1" customWidth="1"/>
    <col min="4372" max="4373" width="6.28515625" style="2" customWidth="1"/>
    <col min="4374" max="4374" width="13.85546875" style="2" customWidth="1"/>
    <col min="4375" max="4375" width="10.85546875" style="2" customWidth="1"/>
    <col min="4376" max="4376" width="14.7109375" style="2" customWidth="1"/>
    <col min="4377" max="4377" width="0" style="2" hidden="1" customWidth="1"/>
    <col min="4378" max="4378" width="13" style="2" customWidth="1"/>
    <col min="4379" max="4379" width="12.7109375" style="2" customWidth="1"/>
    <col min="4380" max="4380" width="13.140625" style="2" customWidth="1"/>
    <col min="4381" max="4381" width="14" style="2" customWidth="1"/>
    <col min="4382" max="4382" width="8.140625" style="2" customWidth="1"/>
    <col min="4383" max="4383" width="11.5703125" style="2" customWidth="1"/>
    <col min="4384" max="4384" width="24.7109375" style="2" customWidth="1"/>
    <col min="4385" max="4385" width="12" style="2" customWidth="1"/>
    <col min="4386" max="4387" width="0.28515625" style="2" customWidth="1"/>
    <col min="4388" max="4388" width="1.42578125" style="2" customWidth="1"/>
    <col min="4389" max="4389" width="0" style="2" hidden="1" customWidth="1"/>
    <col min="4390" max="4608" width="11.42578125" style="2"/>
    <col min="4609" max="4609" width="8" style="2" customWidth="1"/>
    <col min="4610" max="4610" width="13.42578125" style="2" customWidth="1"/>
    <col min="4611" max="4611" width="4.28515625" style="2" customWidth="1"/>
    <col min="4612" max="4612" width="4" style="2" customWidth="1"/>
    <col min="4613" max="4613" width="17" style="2" customWidth="1"/>
    <col min="4614" max="4614" width="4.140625" style="2" customWidth="1"/>
    <col min="4615" max="4615" width="11.28515625" style="2" customWidth="1"/>
    <col min="4616" max="4616" width="11" style="2" customWidth="1"/>
    <col min="4617" max="4618" width="2.140625" style="2" customWidth="1"/>
    <col min="4619" max="4619" width="3.28515625" style="2" customWidth="1"/>
    <col min="4620" max="4621" width="0" style="2" hidden="1" customWidth="1"/>
    <col min="4622" max="4622" width="2.85546875" style="2" customWidth="1"/>
    <col min="4623" max="4623" width="3.28515625" style="2" customWidth="1"/>
    <col min="4624" max="4624" width="1.5703125" style="2" customWidth="1"/>
    <col min="4625" max="4625" width="0" style="2" hidden="1" customWidth="1"/>
    <col min="4626" max="4626" width="6.85546875" style="2" customWidth="1"/>
    <col min="4627" max="4627" width="0" style="2" hidden="1" customWidth="1"/>
    <col min="4628" max="4629" width="6.28515625" style="2" customWidth="1"/>
    <col min="4630" max="4630" width="13.85546875" style="2" customWidth="1"/>
    <col min="4631" max="4631" width="10.85546875" style="2" customWidth="1"/>
    <col min="4632" max="4632" width="14.7109375" style="2" customWidth="1"/>
    <col min="4633" max="4633" width="0" style="2" hidden="1" customWidth="1"/>
    <col min="4634" max="4634" width="13" style="2" customWidth="1"/>
    <col min="4635" max="4635" width="12.7109375" style="2" customWidth="1"/>
    <col min="4636" max="4636" width="13.140625" style="2" customWidth="1"/>
    <col min="4637" max="4637" width="14" style="2" customWidth="1"/>
    <col min="4638" max="4638" width="8.140625" style="2" customWidth="1"/>
    <col min="4639" max="4639" width="11.5703125" style="2" customWidth="1"/>
    <col min="4640" max="4640" width="24.7109375" style="2" customWidth="1"/>
    <col min="4641" max="4641" width="12" style="2" customWidth="1"/>
    <col min="4642" max="4643" width="0.28515625" style="2" customWidth="1"/>
    <col min="4644" max="4644" width="1.42578125" style="2" customWidth="1"/>
    <col min="4645" max="4645" width="0" style="2" hidden="1" customWidth="1"/>
    <col min="4646" max="4864" width="11.42578125" style="2"/>
    <col min="4865" max="4865" width="8" style="2" customWidth="1"/>
    <col min="4866" max="4866" width="13.42578125" style="2" customWidth="1"/>
    <col min="4867" max="4867" width="4.28515625" style="2" customWidth="1"/>
    <col min="4868" max="4868" width="4" style="2" customWidth="1"/>
    <col min="4869" max="4869" width="17" style="2" customWidth="1"/>
    <col min="4870" max="4870" width="4.140625" style="2" customWidth="1"/>
    <col min="4871" max="4871" width="11.28515625" style="2" customWidth="1"/>
    <col min="4872" max="4872" width="11" style="2" customWidth="1"/>
    <col min="4873" max="4874" width="2.140625" style="2" customWidth="1"/>
    <col min="4875" max="4875" width="3.28515625" style="2" customWidth="1"/>
    <col min="4876" max="4877" width="0" style="2" hidden="1" customWidth="1"/>
    <col min="4878" max="4878" width="2.85546875" style="2" customWidth="1"/>
    <col min="4879" max="4879" width="3.28515625" style="2" customWidth="1"/>
    <col min="4880" max="4880" width="1.5703125" style="2" customWidth="1"/>
    <col min="4881" max="4881" width="0" style="2" hidden="1" customWidth="1"/>
    <col min="4882" max="4882" width="6.85546875" style="2" customWidth="1"/>
    <col min="4883" max="4883" width="0" style="2" hidden="1" customWidth="1"/>
    <col min="4884" max="4885" width="6.28515625" style="2" customWidth="1"/>
    <col min="4886" max="4886" width="13.85546875" style="2" customWidth="1"/>
    <col min="4887" max="4887" width="10.85546875" style="2" customWidth="1"/>
    <col min="4888" max="4888" width="14.7109375" style="2" customWidth="1"/>
    <col min="4889" max="4889" width="0" style="2" hidden="1" customWidth="1"/>
    <col min="4890" max="4890" width="13" style="2" customWidth="1"/>
    <col min="4891" max="4891" width="12.7109375" style="2" customWidth="1"/>
    <col min="4892" max="4892" width="13.140625" style="2" customWidth="1"/>
    <col min="4893" max="4893" width="14" style="2" customWidth="1"/>
    <col min="4894" max="4894" width="8.140625" style="2" customWidth="1"/>
    <col min="4895" max="4895" width="11.5703125" style="2" customWidth="1"/>
    <col min="4896" max="4896" width="24.7109375" style="2" customWidth="1"/>
    <col min="4897" max="4897" width="12" style="2" customWidth="1"/>
    <col min="4898" max="4899" width="0.28515625" style="2" customWidth="1"/>
    <col min="4900" max="4900" width="1.42578125" style="2" customWidth="1"/>
    <col min="4901" max="4901" width="0" style="2" hidden="1" customWidth="1"/>
    <col min="4902" max="5120" width="11.42578125" style="2"/>
    <col min="5121" max="5121" width="8" style="2" customWidth="1"/>
    <col min="5122" max="5122" width="13.42578125" style="2" customWidth="1"/>
    <col min="5123" max="5123" width="4.28515625" style="2" customWidth="1"/>
    <col min="5124" max="5124" width="4" style="2" customWidth="1"/>
    <col min="5125" max="5125" width="17" style="2" customWidth="1"/>
    <col min="5126" max="5126" width="4.140625" style="2" customWidth="1"/>
    <col min="5127" max="5127" width="11.28515625" style="2" customWidth="1"/>
    <col min="5128" max="5128" width="11" style="2" customWidth="1"/>
    <col min="5129" max="5130" width="2.140625" style="2" customWidth="1"/>
    <col min="5131" max="5131" width="3.28515625" style="2" customWidth="1"/>
    <col min="5132" max="5133" width="0" style="2" hidden="1" customWidth="1"/>
    <col min="5134" max="5134" width="2.85546875" style="2" customWidth="1"/>
    <col min="5135" max="5135" width="3.28515625" style="2" customWidth="1"/>
    <col min="5136" max="5136" width="1.5703125" style="2" customWidth="1"/>
    <col min="5137" max="5137" width="0" style="2" hidden="1" customWidth="1"/>
    <col min="5138" max="5138" width="6.85546875" style="2" customWidth="1"/>
    <col min="5139" max="5139" width="0" style="2" hidden="1" customWidth="1"/>
    <col min="5140" max="5141" width="6.28515625" style="2" customWidth="1"/>
    <col min="5142" max="5142" width="13.85546875" style="2" customWidth="1"/>
    <col min="5143" max="5143" width="10.85546875" style="2" customWidth="1"/>
    <col min="5144" max="5144" width="14.7109375" style="2" customWidth="1"/>
    <col min="5145" max="5145" width="0" style="2" hidden="1" customWidth="1"/>
    <col min="5146" max="5146" width="13" style="2" customWidth="1"/>
    <col min="5147" max="5147" width="12.7109375" style="2" customWidth="1"/>
    <col min="5148" max="5148" width="13.140625" style="2" customWidth="1"/>
    <col min="5149" max="5149" width="14" style="2" customWidth="1"/>
    <col min="5150" max="5150" width="8.140625" style="2" customWidth="1"/>
    <col min="5151" max="5151" width="11.5703125" style="2" customWidth="1"/>
    <col min="5152" max="5152" width="24.7109375" style="2" customWidth="1"/>
    <col min="5153" max="5153" width="12" style="2" customWidth="1"/>
    <col min="5154" max="5155" width="0.28515625" style="2" customWidth="1"/>
    <col min="5156" max="5156" width="1.42578125" style="2" customWidth="1"/>
    <col min="5157" max="5157" width="0" style="2" hidden="1" customWidth="1"/>
    <col min="5158" max="5376" width="11.42578125" style="2"/>
    <col min="5377" max="5377" width="8" style="2" customWidth="1"/>
    <col min="5378" max="5378" width="13.42578125" style="2" customWidth="1"/>
    <col min="5379" max="5379" width="4.28515625" style="2" customWidth="1"/>
    <col min="5380" max="5380" width="4" style="2" customWidth="1"/>
    <col min="5381" max="5381" width="17" style="2" customWidth="1"/>
    <col min="5382" max="5382" width="4.140625" style="2" customWidth="1"/>
    <col min="5383" max="5383" width="11.28515625" style="2" customWidth="1"/>
    <col min="5384" max="5384" width="11" style="2" customWidth="1"/>
    <col min="5385" max="5386" width="2.140625" style="2" customWidth="1"/>
    <col min="5387" max="5387" width="3.28515625" style="2" customWidth="1"/>
    <col min="5388" max="5389" width="0" style="2" hidden="1" customWidth="1"/>
    <col min="5390" max="5390" width="2.85546875" style="2" customWidth="1"/>
    <col min="5391" max="5391" width="3.28515625" style="2" customWidth="1"/>
    <col min="5392" max="5392" width="1.5703125" style="2" customWidth="1"/>
    <col min="5393" max="5393" width="0" style="2" hidden="1" customWidth="1"/>
    <col min="5394" max="5394" width="6.85546875" style="2" customWidth="1"/>
    <col min="5395" max="5395" width="0" style="2" hidden="1" customWidth="1"/>
    <col min="5396" max="5397" width="6.28515625" style="2" customWidth="1"/>
    <col min="5398" max="5398" width="13.85546875" style="2" customWidth="1"/>
    <col min="5399" max="5399" width="10.85546875" style="2" customWidth="1"/>
    <col min="5400" max="5400" width="14.7109375" style="2" customWidth="1"/>
    <col min="5401" max="5401" width="0" style="2" hidden="1" customWidth="1"/>
    <col min="5402" max="5402" width="13" style="2" customWidth="1"/>
    <col min="5403" max="5403" width="12.7109375" style="2" customWidth="1"/>
    <col min="5404" max="5404" width="13.140625" style="2" customWidth="1"/>
    <col min="5405" max="5405" width="14" style="2" customWidth="1"/>
    <col min="5406" max="5406" width="8.140625" style="2" customWidth="1"/>
    <col min="5407" max="5407" width="11.5703125" style="2" customWidth="1"/>
    <col min="5408" max="5408" width="24.7109375" style="2" customWidth="1"/>
    <col min="5409" max="5409" width="12" style="2" customWidth="1"/>
    <col min="5410" max="5411" width="0.28515625" style="2" customWidth="1"/>
    <col min="5412" max="5412" width="1.42578125" style="2" customWidth="1"/>
    <col min="5413" max="5413" width="0" style="2" hidden="1" customWidth="1"/>
    <col min="5414" max="5632" width="11.42578125" style="2"/>
    <col min="5633" max="5633" width="8" style="2" customWidth="1"/>
    <col min="5634" max="5634" width="13.42578125" style="2" customWidth="1"/>
    <col min="5635" max="5635" width="4.28515625" style="2" customWidth="1"/>
    <col min="5636" max="5636" width="4" style="2" customWidth="1"/>
    <col min="5637" max="5637" width="17" style="2" customWidth="1"/>
    <col min="5638" max="5638" width="4.140625" style="2" customWidth="1"/>
    <col min="5639" max="5639" width="11.28515625" style="2" customWidth="1"/>
    <col min="5640" max="5640" width="11" style="2" customWidth="1"/>
    <col min="5641" max="5642" width="2.140625" style="2" customWidth="1"/>
    <col min="5643" max="5643" width="3.28515625" style="2" customWidth="1"/>
    <col min="5644" max="5645" width="0" style="2" hidden="1" customWidth="1"/>
    <col min="5646" max="5646" width="2.85546875" style="2" customWidth="1"/>
    <col min="5647" max="5647" width="3.28515625" style="2" customWidth="1"/>
    <col min="5648" max="5648" width="1.5703125" style="2" customWidth="1"/>
    <col min="5649" max="5649" width="0" style="2" hidden="1" customWidth="1"/>
    <col min="5650" max="5650" width="6.85546875" style="2" customWidth="1"/>
    <col min="5651" max="5651" width="0" style="2" hidden="1" customWidth="1"/>
    <col min="5652" max="5653" width="6.28515625" style="2" customWidth="1"/>
    <col min="5654" max="5654" width="13.85546875" style="2" customWidth="1"/>
    <col min="5655" max="5655" width="10.85546875" style="2" customWidth="1"/>
    <col min="5656" max="5656" width="14.7109375" style="2" customWidth="1"/>
    <col min="5657" max="5657" width="0" style="2" hidden="1" customWidth="1"/>
    <col min="5658" max="5658" width="13" style="2" customWidth="1"/>
    <col min="5659" max="5659" width="12.7109375" style="2" customWidth="1"/>
    <col min="5660" max="5660" width="13.140625" style="2" customWidth="1"/>
    <col min="5661" max="5661" width="14" style="2" customWidth="1"/>
    <col min="5662" max="5662" width="8.140625" style="2" customWidth="1"/>
    <col min="5663" max="5663" width="11.5703125" style="2" customWidth="1"/>
    <col min="5664" max="5664" width="24.7109375" style="2" customWidth="1"/>
    <col min="5665" max="5665" width="12" style="2" customWidth="1"/>
    <col min="5666" max="5667" width="0.28515625" style="2" customWidth="1"/>
    <col min="5668" max="5668" width="1.42578125" style="2" customWidth="1"/>
    <col min="5669" max="5669" width="0" style="2" hidden="1" customWidth="1"/>
    <col min="5670" max="5888" width="11.42578125" style="2"/>
    <col min="5889" max="5889" width="8" style="2" customWidth="1"/>
    <col min="5890" max="5890" width="13.42578125" style="2" customWidth="1"/>
    <col min="5891" max="5891" width="4.28515625" style="2" customWidth="1"/>
    <col min="5892" max="5892" width="4" style="2" customWidth="1"/>
    <col min="5893" max="5893" width="17" style="2" customWidth="1"/>
    <col min="5894" max="5894" width="4.140625" style="2" customWidth="1"/>
    <col min="5895" max="5895" width="11.28515625" style="2" customWidth="1"/>
    <col min="5896" max="5896" width="11" style="2" customWidth="1"/>
    <col min="5897" max="5898" width="2.140625" style="2" customWidth="1"/>
    <col min="5899" max="5899" width="3.28515625" style="2" customWidth="1"/>
    <col min="5900" max="5901" width="0" style="2" hidden="1" customWidth="1"/>
    <col min="5902" max="5902" width="2.85546875" style="2" customWidth="1"/>
    <col min="5903" max="5903" width="3.28515625" style="2" customWidth="1"/>
    <col min="5904" max="5904" width="1.5703125" style="2" customWidth="1"/>
    <col min="5905" max="5905" width="0" style="2" hidden="1" customWidth="1"/>
    <col min="5906" max="5906" width="6.85546875" style="2" customWidth="1"/>
    <col min="5907" max="5907" width="0" style="2" hidden="1" customWidth="1"/>
    <col min="5908" max="5909" width="6.28515625" style="2" customWidth="1"/>
    <col min="5910" max="5910" width="13.85546875" style="2" customWidth="1"/>
    <col min="5911" max="5911" width="10.85546875" style="2" customWidth="1"/>
    <col min="5912" max="5912" width="14.7109375" style="2" customWidth="1"/>
    <col min="5913" max="5913" width="0" style="2" hidden="1" customWidth="1"/>
    <col min="5914" max="5914" width="13" style="2" customWidth="1"/>
    <col min="5915" max="5915" width="12.7109375" style="2" customWidth="1"/>
    <col min="5916" max="5916" width="13.140625" style="2" customWidth="1"/>
    <col min="5917" max="5917" width="14" style="2" customWidth="1"/>
    <col min="5918" max="5918" width="8.140625" style="2" customWidth="1"/>
    <col min="5919" max="5919" width="11.5703125" style="2" customWidth="1"/>
    <col min="5920" max="5920" width="24.7109375" style="2" customWidth="1"/>
    <col min="5921" max="5921" width="12" style="2" customWidth="1"/>
    <col min="5922" max="5923" width="0.28515625" style="2" customWidth="1"/>
    <col min="5924" max="5924" width="1.42578125" style="2" customWidth="1"/>
    <col min="5925" max="5925" width="0" style="2" hidden="1" customWidth="1"/>
    <col min="5926" max="6144" width="11.42578125" style="2"/>
    <col min="6145" max="6145" width="8" style="2" customWidth="1"/>
    <col min="6146" max="6146" width="13.42578125" style="2" customWidth="1"/>
    <col min="6147" max="6147" width="4.28515625" style="2" customWidth="1"/>
    <col min="6148" max="6148" width="4" style="2" customWidth="1"/>
    <col min="6149" max="6149" width="17" style="2" customWidth="1"/>
    <col min="6150" max="6150" width="4.140625" style="2" customWidth="1"/>
    <col min="6151" max="6151" width="11.28515625" style="2" customWidth="1"/>
    <col min="6152" max="6152" width="11" style="2" customWidth="1"/>
    <col min="6153" max="6154" width="2.140625" style="2" customWidth="1"/>
    <col min="6155" max="6155" width="3.28515625" style="2" customWidth="1"/>
    <col min="6156" max="6157" width="0" style="2" hidden="1" customWidth="1"/>
    <col min="6158" max="6158" width="2.85546875" style="2" customWidth="1"/>
    <col min="6159" max="6159" width="3.28515625" style="2" customWidth="1"/>
    <col min="6160" max="6160" width="1.5703125" style="2" customWidth="1"/>
    <col min="6161" max="6161" width="0" style="2" hidden="1" customWidth="1"/>
    <col min="6162" max="6162" width="6.85546875" style="2" customWidth="1"/>
    <col min="6163" max="6163" width="0" style="2" hidden="1" customWidth="1"/>
    <col min="6164" max="6165" width="6.28515625" style="2" customWidth="1"/>
    <col min="6166" max="6166" width="13.85546875" style="2" customWidth="1"/>
    <col min="6167" max="6167" width="10.85546875" style="2" customWidth="1"/>
    <col min="6168" max="6168" width="14.7109375" style="2" customWidth="1"/>
    <col min="6169" max="6169" width="0" style="2" hidden="1" customWidth="1"/>
    <col min="6170" max="6170" width="13" style="2" customWidth="1"/>
    <col min="6171" max="6171" width="12.7109375" style="2" customWidth="1"/>
    <col min="6172" max="6172" width="13.140625" style="2" customWidth="1"/>
    <col min="6173" max="6173" width="14" style="2" customWidth="1"/>
    <col min="6174" max="6174" width="8.140625" style="2" customWidth="1"/>
    <col min="6175" max="6175" width="11.5703125" style="2" customWidth="1"/>
    <col min="6176" max="6176" width="24.7109375" style="2" customWidth="1"/>
    <col min="6177" max="6177" width="12" style="2" customWidth="1"/>
    <col min="6178" max="6179" width="0.28515625" style="2" customWidth="1"/>
    <col min="6180" max="6180" width="1.42578125" style="2" customWidth="1"/>
    <col min="6181" max="6181" width="0" style="2" hidden="1" customWidth="1"/>
    <col min="6182" max="6400" width="11.42578125" style="2"/>
    <col min="6401" max="6401" width="8" style="2" customWidth="1"/>
    <col min="6402" max="6402" width="13.42578125" style="2" customWidth="1"/>
    <col min="6403" max="6403" width="4.28515625" style="2" customWidth="1"/>
    <col min="6404" max="6404" width="4" style="2" customWidth="1"/>
    <col min="6405" max="6405" width="17" style="2" customWidth="1"/>
    <col min="6406" max="6406" width="4.140625" style="2" customWidth="1"/>
    <col min="6407" max="6407" width="11.28515625" style="2" customWidth="1"/>
    <col min="6408" max="6408" width="11" style="2" customWidth="1"/>
    <col min="6409" max="6410" width="2.140625" style="2" customWidth="1"/>
    <col min="6411" max="6411" width="3.28515625" style="2" customWidth="1"/>
    <col min="6412" max="6413" width="0" style="2" hidden="1" customWidth="1"/>
    <col min="6414" max="6414" width="2.85546875" style="2" customWidth="1"/>
    <col min="6415" max="6415" width="3.28515625" style="2" customWidth="1"/>
    <col min="6416" max="6416" width="1.5703125" style="2" customWidth="1"/>
    <col min="6417" max="6417" width="0" style="2" hidden="1" customWidth="1"/>
    <col min="6418" max="6418" width="6.85546875" style="2" customWidth="1"/>
    <col min="6419" max="6419" width="0" style="2" hidden="1" customWidth="1"/>
    <col min="6420" max="6421" width="6.28515625" style="2" customWidth="1"/>
    <col min="6422" max="6422" width="13.85546875" style="2" customWidth="1"/>
    <col min="6423" max="6423" width="10.85546875" style="2" customWidth="1"/>
    <col min="6424" max="6424" width="14.7109375" style="2" customWidth="1"/>
    <col min="6425" max="6425" width="0" style="2" hidden="1" customWidth="1"/>
    <col min="6426" max="6426" width="13" style="2" customWidth="1"/>
    <col min="6427" max="6427" width="12.7109375" style="2" customWidth="1"/>
    <col min="6428" max="6428" width="13.140625" style="2" customWidth="1"/>
    <col min="6429" max="6429" width="14" style="2" customWidth="1"/>
    <col min="6430" max="6430" width="8.140625" style="2" customWidth="1"/>
    <col min="6431" max="6431" width="11.5703125" style="2" customWidth="1"/>
    <col min="6432" max="6432" width="24.7109375" style="2" customWidth="1"/>
    <col min="6433" max="6433" width="12" style="2" customWidth="1"/>
    <col min="6434" max="6435" width="0.28515625" style="2" customWidth="1"/>
    <col min="6436" max="6436" width="1.42578125" style="2" customWidth="1"/>
    <col min="6437" max="6437" width="0" style="2" hidden="1" customWidth="1"/>
    <col min="6438" max="6656" width="11.42578125" style="2"/>
    <col min="6657" max="6657" width="8" style="2" customWidth="1"/>
    <col min="6658" max="6658" width="13.42578125" style="2" customWidth="1"/>
    <col min="6659" max="6659" width="4.28515625" style="2" customWidth="1"/>
    <col min="6660" max="6660" width="4" style="2" customWidth="1"/>
    <col min="6661" max="6661" width="17" style="2" customWidth="1"/>
    <col min="6662" max="6662" width="4.140625" style="2" customWidth="1"/>
    <col min="6663" max="6663" width="11.28515625" style="2" customWidth="1"/>
    <col min="6664" max="6664" width="11" style="2" customWidth="1"/>
    <col min="6665" max="6666" width="2.140625" style="2" customWidth="1"/>
    <col min="6667" max="6667" width="3.28515625" style="2" customWidth="1"/>
    <col min="6668" max="6669" width="0" style="2" hidden="1" customWidth="1"/>
    <col min="6670" max="6670" width="2.85546875" style="2" customWidth="1"/>
    <col min="6671" max="6671" width="3.28515625" style="2" customWidth="1"/>
    <col min="6672" max="6672" width="1.5703125" style="2" customWidth="1"/>
    <col min="6673" max="6673" width="0" style="2" hidden="1" customWidth="1"/>
    <col min="6674" max="6674" width="6.85546875" style="2" customWidth="1"/>
    <col min="6675" max="6675" width="0" style="2" hidden="1" customWidth="1"/>
    <col min="6676" max="6677" width="6.28515625" style="2" customWidth="1"/>
    <col min="6678" max="6678" width="13.85546875" style="2" customWidth="1"/>
    <col min="6679" max="6679" width="10.85546875" style="2" customWidth="1"/>
    <col min="6680" max="6680" width="14.7109375" style="2" customWidth="1"/>
    <col min="6681" max="6681" width="0" style="2" hidden="1" customWidth="1"/>
    <col min="6682" max="6682" width="13" style="2" customWidth="1"/>
    <col min="6683" max="6683" width="12.7109375" style="2" customWidth="1"/>
    <col min="6684" max="6684" width="13.140625" style="2" customWidth="1"/>
    <col min="6685" max="6685" width="14" style="2" customWidth="1"/>
    <col min="6686" max="6686" width="8.140625" style="2" customWidth="1"/>
    <col min="6687" max="6687" width="11.5703125" style="2" customWidth="1"/>
    <col min="6688" max="6688" width="24.7109375" style="2" customWidth="1"/>
    <col min="6689" max="6689" width="12" style="2" customWidth="1"/>
    <col min="6690" max="6691" width="0.28515625" style="2" customWidth="1"/>
    <col min="6692" max="6692" width="1.42578125" style="2" customWidth="1"/>
    <col min="6693" max="6693" width="0" style="2" hidden="1" customWidth="1"/>
    <col min="6694" max="6912" width="11.42578125" style="2"/>
    <col min="6913" max="6913" width="8" style="2" customWidth="1"/>
    <col min="6914" max="6914" width="13.42578125" style="2" customWidth="1"/>
    <col min="6915" max="6915" width="4.28515625" style="2" customWidth="1"/>
    <col min="6916" max="6916" width="4" style="2" customWidth="1"/>
    <col min="6917" max="6917" width="17" style="2" customWidth="1"/>
    <col min="6918" max="6918" width="4.140625" style="2" customWidth="1"/>
    <col min="6919" max="6919" width="11.28515625" style="2" customWidth="1"/>
    <col min="6920" max="6920" width="11" style="2" customWidth="1"/>
    <col min="6921" max="6922" width="2.140625" style="2" customWidth="1"/>
    <col min="6923" max="6923" width="3.28515625" style="2" customWidth="1"/>
    <col min="6924" max="6925" width="0" style="2" hidden="1" customWidth="1"/>
    <col min="6926" max="6926" width="2.85546875" style="2" customWidth="1"/>
    <col min="6927" max="6927" width="3.28515625" style="2" customWidth="1"/>
    <col min="6928" max="6928" width="1.5703125" style="2" customWidth="1"/>
    <col min="6929" max="6929" width="0" style="2" hidden="1" customWidth="1"/>
    <col min="6930" max="6930" width="6.85546875" style="2" customWidth="1"/>
    <col min="6931" max="6931" width="0" style="2" hidden="1" customWidth="1"/>
    <col min="6932" max="6933" width="6.28515625" style="2" customWidth="1"/>
    <col min="6934" max="6934" width="13.85546875" style="2" customWidth="1"/>
    <col min="6935" max="6935" width="10.85546875" style="2" customWidth="1"/>
    <col min="6936" max="6936" width="14.7109375" style="2" customWidth="1"/>
    <col min="6937" max="6937" width="0" style="2" hidden="1" customWidth="1"/>
    <col min="6938" max="6938" width="13" style="2" customWidth="1"/>
    <col min="6939" max="6939" width="12.7109375" style="2" customWidth="1"/>
    <col min="6940" max="6940" width="13.140625" style="2" customWidth="1"/>
    <col min="6941" max="6941" width="14" style="2" customWidth="1"/>
    <col min="6942" max="6942" width="8.140625" style="2" customWidth="1"/>
    <col min="6943" max="6943" width="11.5703125" style="2" customWidth="1"/>
    <col min="6944" max="6944" width="24.7109375" style="2" customWidth="1"/>
    <col min="6945" max="6945" width="12" style="2" customWidth="1"/>
    <col min="6946" max="6947" width="0.28515625" style="2" customWidth="1"/>
    <col min="6948" max="6948" width="1.42578125" style="2" customWidth="1"/>
    <col min="6949" max="6949" width="0" style="2" hidden="1" customWidth="1"/>
    <col min="6950" max="7168" width="11.42578125" style="2"/>
    <col min="7169" max="7169" width="8" style="2" customWidth="1"/>
    <col min="7170" max="7170" width="13.42578125" style="2" customWidth="1"/>
    <col min="7171" max="7171" width="4.28515625" style="2" customWidth="1"/>
    <col min="7172" max="7172" width="4" style="2" customWidth="1"/>
    <col min="7173" max="7173" width="17" style="2" customWidth="1"/>
    <col min="7174" max="7174" width="4.140625" style="2" customWidth="1"/>
    <col min="7175" max="7175" width="11.28515625" style="2" customWidth="1"/>
    <col min="7176" max="7176" width="11" style="2" customWidth="1"/>
    <col min="7177" max="7178" width="2.140625" style="2" customWidth="1"/>
    <col min="7179" max="7179" width="3.28515625" style="2" customWidth="1"/>
    <col min="7180" max="7181" width="0" style="2" hidden="1" customWidth="1"/>
    <col min="7182" max="7182" width="2.85546875" style="2" customWidth="1"/>
    <col min="7183" max="7183" width="3.28515625" style="2" customWidth="1"/>
    <col min="7184" max="7184" width="1.5703125" style="2" customWidth="1"/>
    <col min="7185" max="7185" width="0" style="2" hidden="1" customWidth="1"/>
    <col min="7186" max="7186" width="6.85546875" style="2" customWidth="1"/>
    <col min="7187" max="7187" width="0" style="2" hidden="1" customWidth="1"/>
    <col min="7188" max="7189" width="6.28515625" style="2" customWidth="1"/>
    <col min="7190" max="7190" width="13.85546875" style="2" customWidth="1"/>
    <col min="7191" max="7191" width="10.85546875" style="2" customWidth="1"/>
    <col min="7192" max="7192" width="14.7109375" style="2" customWidth="1"/>
    <col min="7193" max="7193" width="0" style="2" hidden="1" customWidth="1"/>
    <col min="7194" max="7194" width="13" style="2" customWidth="1"/>
    <col min="7195" max="7195" width="12.7109375" style="2" customWidth="1"/>
    <col min="7196" max="7196" width="13.140625" style="2" customWidth="1"/>
    <col min="7197" max="7197" width="14" style="2" customWidth="1"/>
    <col min="7198" max="7198" width="8.140625" style="2" customWidth="1"/>
    <col min="7199" max="7199" width="11.5703125" style="2" customWidth="1"/>
    <col min="7200" max="7200" width="24.7109375" style="2" customWidth="1"/>
    <col min="7201" max="7201" width="12" style="2" customWidth="1"/>
    <col min="7202" max="7203" width="0.28515625" style="2" customWidth="1"/>
    <col min="7204" max="7204" width="1.42578125" style="2" customWidth="1"/>
    <col min="7205" max="7205" width="0" style="2" hidden="1" customWidth="1"/>
    <col min="7206" max="7424" width="11.42578125" style="2"/>
    <col min="7425" max="7425" width="8" style="2" customWidth="1"/>
    <col min="7426" max="7426" width="13.42578125" style="2" customWidth="1"/>
    <col min="7427" max="7427" width="4.28515625" style="2" customWidth="1"/>
    <col min="7428" max="7428" width="4" style="2" customWidth="1"/>
    <col min="7429" max="7429" width="17" style="2" customWidth="1"/>
    <col min="7430" max="7430" width="4.140625" style="2" customWidth="1"/>
    <col min="7431" max="7431" width="11.28515625" style="2" customWidth="1"/>
    <col min="7432" max="7432" width="11" style="2" customWidth="1"/>
    <col min="7433" max="7434" width="2.140625" style="2" customWidth="1"/>
    <col min="7435" max="7435" width="3.28515625" style="2" customWidth="1"/>
    <col min="7436" max="7437" width="0" style="2" hidden="1" customWidth="1"/>
    <col min="7438" max="7438" width="2.85546875" style="2" customWidth="1"/>
    <col min="7439" max="7439" width="3.28515625" style="2" customWidth="1"/>
    <col min="7440" max="7440" width="1.5703125" style="2" customWidth="1"/>
    <col min="7441" max="7441" width="0" style="2" hidden="1" customWidth="1"/>
    <col min="7442" max="7442" width="6.85546875" style="2" customWidth="1"/>
    <col min="7443" max="7443" width="0" style="2" hidden="1" customWidth="1"/>
    <col min="7444" max="7445" width="6.28515625" style="2" customWidth="1"/>
    <col min="7446" max="7446" width="13.85546875" style="2" customWidth="1"/>
    <col min="7447" max="7447" width="10.85546875" style="2" customWidth="1"/>
    <col min="7448" max="7448" width="14.7109375" style="2" customWidth="1"/>
    <col min="7449" max="7449" width="0" style="2" hidden="1" customWidth="1"/>
    <col min="7450" max="7450" width="13" style="2" customWidth="1"/>
    <col min="7451" max="7451" width="12.7109375" style="2" customWidth="1"/>
    <col min="7452" max="7452" width="13.140625" style="2" customWidth="1"/>
    <col min="7453" max="7453" width="14" style="2" customWidth="1"/>
    <col min="7454" max="7454" width="8.140625" style="2" customWidth="1"/>
    <col min="7455" max="7455" width="11.5703125" style="2" customWidth="1"/>
    <col min="7456" max="7456" width="24.7109375" style="2" customWidth="1"/>
    <col min="7457" max="7457" width="12" style="2" customWidth="1"/>
    <col min="7458" max="7459" width="0.28515625" style="2" customWidth="1"/>
    <col min="7460" max="7460" width="1.42578125" style="2" customWidth="1"/>
    <col min="7461" max="7461" width="0" style="2" hidden="1" customWidth="1"/>
    <col min="7462" max="7680" width="11.42578125" style="2"/>
    <col min="7681" max="7681" width="8" style="2" customWidth="1"/>
    <col min="7682" max="7682" width="13.42578125" style="2" customWidth="1"/>
    <col min="7683" max="7683" width="4.28515625" style="2" customWidth="1"/>
    <col min="7684" max="7684" width="4" style="2" customWidth="1"/>
    <col min="7685" max="7685" width="17" style="2" customWidth="1"/>
    <col min="7686" max="7686" width="4.140625" style="2" customWidth="1"/>
    <col min="7687" max="7687" width="11.28515625" style="2" customWidth="1"/>
    <col min="7688" max="7688" width="11" style="2" customWidth="1"/>
    <col min="7689" max="7690" width="2.140625" style="2" customWidth="1"/>
    <col min="7691" max="7691" width="3.28515625" style="2" customWidth="1"/>
    <col min="7692" max="7693" width="0" style="2" hidden="1" customWidth="1"/>
    <col min="7694" max="7694" width="2.85546875" style="2" customWidth="1"/>
    <col min="7695" max="7695" width="3.28515625" style="2" customWidth="1"/>
    <col min="7696" max="7696" width="1.5703125" style="2" customWidth="1"/>
    <col min="7697" max="7697" width="0" style="2" hidden="1" customWidth="1"/>
    <col min="7698" max="7698" width="6.85546875" style="2" customWidth="1"/>
    <col min="7699" max="7699" width="0" style="2" hidden="1" customWidth="1"/>
    <col min="7700" max="7701" width="6.28515625" style="2" customWidth="1"/>
    <col min="7702" max="7702" width="13.85546875" style="2" customWidth="1"/>
    <col min="7703" max="7703" width="10.85546875" style="2" customWidth="1"/>
    <col min="7704" max="7704" width="14.7109375" style="2" customWidth="1"/>
    <col min="7705" max="7705" width="0" style="2" hidden="1" customWidth="1"/>
    <col min="7706" max="7706" width="13" style="2" customWidth="1"/>
    <col min="7707" max="7707" width="12.7109375" style="2" customWidth="1"/>
    <col min="7708" max="7708" width="13.140625" style="2" customWidth="1"/>
    <col min="7709" max="7709" width="14" style="2" customWidth="1"/>
    <col min="7710" max="7710" width="8.140625" style="2" customWidth="1"/>
    <col min="7711" max="7711" width="11.5703125" style="2" customWidth="1"/>
    <col min="7712" max="7712" width="24.7109375" style="2" customWidth="1"/>
    <col min="7713" max="7713" width="12" style="2" customWidth="1"/>
    <col min="7714" max="7715" width="0.28515625" style="2" customWidth="1"/>
    <col min="7716" max="7716" width="1.42578125" style="2" customWidth="1"/>
    <col min="7717" max="7717" width="0" style="2" hidden="1" customWidth="1"/>
    <col min="7718" max="7936" width="11.42578125" style="2"/>
    <col min="7937" max="7937" width="8" style="2" customWidth="1"/>
    <col min="7938" max="7938" width="13.42578125" style="2" customWidth="1"/>
    <col min="7939" max="7939" width="4.28515625" style="2" customWidth="1"/>
    <col min="7940" max="7940" width="4" style="2" customWidth="1"/>
    <col min="7941" max="7941" width="17" style="2" customWidth="1"/>
    <col min="7942" max="7942" width="4.140625" style="2" customWidth="1"/>
    <col min="7943" max="7943" width="11.28515625" style="2" customWidth="1"/>
    <col min="7944" max="7944" width="11" style="2" customWidth="1"/>
    <col min="7945" max="7946" width="2.140625" style="2" customWidth="1"/>
    <col min="7947" max="7947" width="3.28515625" style="2" customWidth="1"/>
    <col min="7948" max="7949" width="0" style="2" hidden="1" customWidth="1"/>
    <col min="7950" max="7950" width="2.85546875" style="2" customWidth="1"/>
    <col min="7951" max="7951" width="3.28515625" style="2" customWidth="1"/>
    <col min="7952" max="7952" width="1.5703125" style="2" customWidth="1"/>
    <col min="7953" max="7953" width="0" style="2" hidden="1" customWidth="1"/>
    <col min="7954" max="7954" width="6.85546875" style="2" customWidth="1"/>
    <col min="7955" max="7955" width="0" style="2" hidden="1" customWidth="1"/>
    <col min="7956" max="7957" width="6.28515625" style="2" customWidth="1"/>
    <col min="7958" max="7958" width="13.85546875" style="2" customWidth="1"/>
    <col min="7959" max="7959" width="10.85546875" style="2" customWidth="1"/>
    <col min="7960" max="7960" width="14.7109375" style="2" customWidth="1"/>
    <col min="7961" max="7961" width="0" style="2" hidden="1" customWidth="1"/>
    <col min="7962" max="7962" width="13" style="2" customWidth="1"/>
    <col min="7963" max="7963" width="12.7109375" style="2" customWidth="1"/>
    <col min="7964" max="7964" width="13.140625" style="2" customWidth="1"/>
    <col min="7965" max="7965" width="14" style="2" customWidth="1"/>
    <col min="7966" max="7966" width="8.140625" style="2" customWidth="1"/>
    <col min="7967" max="7967" width="11.5703125" style="2" customWidth="1"/>
    <col min="7968" max="7968" width="24.7109375" style="2" customWidth="1"/>
    <col min="7969" max="7969" width="12" style="2" customWidth="1"/>
    <col min="7970" max="7971" width="0.28515625" style="2" customWidth="1"/>
    <col min="7972" max="7972" width="1.42578125" style="2" customWidth="1"/>
    <col min="7973" max="7973" width="0" style="2" hidden="1" customWidth="1"/>
    <col min="7974" max="8192" width="11.42578125" style="2"/>
    <col min="8193" max="8193" width="8" style="2" customWidth="1"/>
    <col min="8194" max="8194" width="13.42578125" style="2" customWidth="1"/>
    <col min="8195" max="8195" width="4.28515625" style="2" customWidth="1"/>
    <col min="8196" max="8196" width="4" style="2" customWidth="1"/>
    <col min="8197" max="8197" width="17" style="2" customWidth="1"/>
    <col min="8198" max="8198" width="4.140625" style="2" customWidth="1"/>
    <col min="8199" max="8199" width="11.28515625" style="2" customWidth="1"/>
    <col min="8200" max="8200" width="11" style="2" customWidth="1"/>
    <col min="8201" max="8202" width="2.140625" style="2" customWidth="1"/>
    <col min="8203" max="8203" width="3.28515625" style="2" customWidth="1"/>
    <col min="8204" max="8205" width="0" style="2" hidden="1" customWidth="1"/>
    <col min="8206" max="8206" width="2.85546875" style="2" customWidth="1"/>
    <col min="8207" max="8207" width="3.28515625" style="2" customWidth="1"/>
    <col min="8208" max="8208" width="1.5703125" style="2" customWidth="1"/>
    <col min="8209" max="8209" width="0" style="2" hidden="1" customWidth="1"/>
    <col min="8210" max="8210" width="6.85546875" style="2" customWidth="1"/>
    <col min="8211" max="8211" width="0" style="2" hidden="1" customWidth="1"/>
    <col min="8212" max="8213" width="6.28515625" style="2" customWidth="1"/>
    <col min="8214" max="8214" width="13.85546875" style="2" customWidth="1"/>
    <col min="8215" max="8215" width="10.85546875" style="2" customWidth="1"/>
    <col min="8216" max="8216" width="14.7109375" style="2" customWidth="1"/>
    <col min="8217" max="8217" width="0" style="2" hidden="1" customWidth="1"/>
    <col min="8218" max="8218" width="13" style="2" customWidth="1"/>
    <col min="8219" max="8219" width="12.7109375" style="2" customWidth="1"/>
    <col min="8220" max="8220" width="13.140625" style="2" customWidth="1"/>
    <col min="8221" max="8221" width="14" style="2" customWidth="1"/>
    <col min="8222" max="8222" width="8.140625" style="2" customWidth="1"/>
    <col min="8223" max="8223" width="11.5703125" style="2" customWidth="1"/>
    <col min="8224" max="8224" width="24.7109375" style="2" customWidth="1"/>
    <col min="8225" max="8225" width="12" style="2" customWidth="1"/>
    <col min="8226" max="8227" width="0.28515625" style="2" customWidth="1"/>
    <col min="8228" max="8228" width="1.42578125" style="2" customWidth="1"/>
    <col min="8229" max="8229" width="0" style="2" hidden="1" customWidth="1"/>
    <col min="8230" max="8448" width="11.42578125" style="2"/>
    <col min="8449" max="8449" width="8" style="2" customWidth="1"/>
    <col min="8450" max="8450" width="13.42578125" style="2" customWidth="1"/>
    <col min="8451" max="8451" width="4.28515625" style="2" customWidth="1"/>
    <col min="8452" max="8452" width="4" style="2" customWidth="1"/>
    <col min="8453" max="8453" width="17" style="2" customWidth="1"/>
    <col min="8454" max="8454" width="4.140625" style="2" customWidth="1"/>
    <col min="8455" max="8455" width="11.28515625" style="2" customWidth="1"/>
    <col min="8456" max="8456" width="11" style="2" customWidth="1"/>
    <col min="8457" max="8458" width="2.140625" style="2" customWidth="1"/>
    <col min="8459" max="8459" width="3.28515625" style="2" customWidth="1"/>
    <col min="8460" max="8461" width="0" style="2" hidden="1" customWidth="1"/>
    <col min="8462" max="8462" width="2.85546875" style="2" customWidth="1"/>
    <col min="8463" max="8463" width="3.28515625" style="2" customWidth="1"/>
    <col min="8464" max="8464" width="1.5703125" style="2" customWidth="1"/>
    <col min="8465" max="8465" width="0" style="2" hidden="1" customWidth="1"/>
    <col min="8466" max="8466" width="6.85546875" style="2" customWidth="1"/>
    <col min="8467" max="8467" width="0" style="2" hidden="1" customWidth="1"/>
    <col min="8468" max="8469" width="6.28515625" style="2" customWidth="1"/>
    <col min="8470" max="8470" width="13.85546875" style="2" customWidth="1"/>
    <col min="8471" max="8471" width="10.85546875" style="2" customWidth="1"/>
    <col min="8472" max="8472" width="14.7109375" style="2" customWidth="1"/>
    <col min="8473" max="8473" width="0" style="2" hidden="1" customWidth="1"/>
    <col min="8474" max="8474" width="13" style="2" customWidth="1"/>
    <col min="8475" max="8475" width="12.7109375" style="2" customWidth="1"/>
    <col min="8476" max="8476" width="13.140625" style="2" customWidth="1"/>
    <col min="8477" max="8477" width="14" style="2" customWidth="1"/>
    <col min="8478" max="8478" width="8.140625" style="2" customWidth="1"/>
    <col min="8479" max="8479" width="11.5703125" style="2" customWidth="1"/>
    <col min="8480" max="8480" width="24.7109375" style="2" customWidth="1"/>
    <col min="8481" max="8481" width="12" style="2" customWidth="1"/>
    <col min="8482" max="8483" width="0.28515625" style="2" customWidth="1"/>
    <col min="8484" max="8484" width="1.42578125" style="2" customWidth="1"/>
    <col min="8485" max="8485" width="0" style="2" hidden="1" customWidth="1"/>
    <col min="8486" max="8704" width="11.42578125" style="2"/>
    <col min="8705" max="8705" width="8" style="2" customWidth="1"/>
    <col min="8706" max="8706" width="13.42578125" style="2" customWidth="1"/>
    <col min="8707" max="8707" width="4.28515625" style="2" customWidth="1"/>
    <col min="8708" max="8708" width="4" style="2" customWidth="1"/>
    <col min="8709" max="8709" width="17" style="2" customWidth="1"/>
    <col min="8710" max="8710" width="4.140625" style="2" customWidth="1"/>
    <col min="8711" max="8711" width="11.28515625" style="2" customWidth="1"/>
    <col min="8712" max="8712" width="11" style="2" customWidth="1"/>
    <col min="8713" max="8714" width="2.140625" style="2" customWidth="1"/>
    <col min="8715" max="8715" width="3.28515625" style="2" customWidth="1"/>
    <col min="8716" max="8717" width="0" style="2" hidden="1" customWidth="1"/>
    <col min="8718" max="8718" width="2.85546875" style="2" customWidth="1"/>
    <col min="8719" max="8719" width="3.28515625" style="2" customWidth="1"/>
    <col min="8720" max="8720" width="1.5703125" style="2" customWidth="1"/>
    <col min="8721" max="8721" width="0" style="2" hidden="1" customWidth="1"/>
    <col min="8722" max="8722" width="6.85546875" style="2" customWidth="1"/>
    <col min="8723" max="8723" width="0" style="2" hidden="1" customWidth="1"/>
    <col min="8724" max="8725" width="6.28515625" style="2" customWidth="1"/>
    <col min="8726" max="8726" width="13.85546875" style="2" customWidth="1"/>
    <col min="8727" max="8727" width="10.85546875" style="2" customWidth="1"/>
    <col min="8728" max="8728" width="14.7109375" style="2" customWidth="1"/>
    <col min="8729" max="8729" width="0" style="2" hidden="1" customWidth="1"/>
    <col min="8730" max="8730" width="13" style="2" customWidth="1"/>
    <col min="8731" max="8731" width="12.7109375" style="2" customWidth="1"/>
    <col min="8732" max="8732" width="13.140625" style="2" customWidth="1"/>
    <col min="8733" max="8733" width="14" style="2" customWidth="1"/>
    <col min="8734" max="8734" width="8.140625" style="2" customWidth="1"/>
    <col min="8735" max="8735" width="11.5703125" style="2" customWidth="1"/>
    <col min="8736" max="8736" width="24.7109375" style="2" customWidth="1"/>
    <col min="8737" max="8737" width="12" style="2" customWidth="1"/>
    <col min="8738" max="8739" width="0.28515625" style="2" customWidth="1"/>
    <col min="8740" max="8740" width="1.42578125" style="2" customWidth="1"/>
    <col min="8741" max="8741" width="0" style="2" hidden="1" customWidth="1"/>
    <col min="8742" max="8960" width="11.42578125" style="2"/>
    <col min="8961" max="8961" width="8" style="2" customWidth="1"/>
    <col min="8962" max="8962" width="13.42578125" style="2" customWidth="1"/>
    <col min="8963" max="8963" width="4.28515625" style="2" customWidth="1"/>
    <col min="8964" max="8964" width="4" style="2" customWidth="1"/>
    <col min="8965" max="8965" width="17" style="2" customWidth="1"/>
    <col min="8966" max="8966" width="4.140625" style="2" customWidth="1"/>
    <col min="8967" max="8967" width="11.28515625" style="2" customWidth="1"/>
    <col min="8968" max="8968" width="11" style="2" customWidth="1"/>
    <col min="8969" max="8970" width="2.140625" style="2" customWidth="1"/>
    <col min="8971" max="8971" width="3.28515625" style="2" customWidth="1"/>
    <col min="8972" max="8973" width="0" style="2" hidden="1" customWidth="1"/>
    <col min="8974" max="8974" width="2.85546875" style="2" customWidth="1"/>
    <col min="8975" max="8975" width="3.28515625" style="2" customWidth="1"/>
    <col min="8976" max="8976" width="1.5703125" style="2" customWidth="1"/>
    <col min="8977" max="8977" width="0" style="2" hidden="1" customWidth="1"/>
    <col min="8978" max="8978" width="6.85546875" style="2" customWidth="1"/>
    <col min="8979" max="8979" width="0" style="2" hidden="1" customWidth="1"/>
    <col min="8980" max="8981" width="6.28515625" style="2" customWidth="1"/>
    <col min="8982" max="8982" width="13.85546875" style="2" customWidth="1"/>
    <col min="8983" max="8983" width="10.85546875" style="2" customWidth="1"/>
    <col min="8984" max="8984" width="14.7109375" style="2" customWidth="1"/>
    <col min="8985" max="8985" width="0" style="2" hidden="1" customWidth="1"/>
    <col min="8986" max="8986" width="13" style="2" customWidth="1"/>
    <col min="8987" max="8987" width="12.7109375" style="2" customWidth="1"/>
    <col min="8988" max="8988" width="13.140625" style="2" customWidth="1"/>
    <col min="8989" max="8989" width="14" style="2" customWidth="1"/>
    <col min="8990" max="8990" width="8.140625" style="2" customWidth="1"/>
    <col min="8991" max="8991" width="11.5703125" style="2" customWidth="1"/>
    <col min="8992" max="8992" width="24.7109375" style="2" customWidth="1"/>
    <col min="8993" max="8993" width="12" style="2" customWidth="1"/>
    <col min="8994" max="8995" width="0.28515625" style="2" customWidth="1"/>
    <col min="8996" max="8996" width="1.42578125" style="2" customWidth="1"/>
    <col min="8997" max="8997" width="0" style="2" hidden="1" customWidth="1"/>
    <col min="8998" max="9216" width="11.42578125" style="2"/>
    <col min="9217" max="9217" width="8" style="2" customWidth="1"/>
    <col min="9218" max="9218" width="13.42578125" style="2" customWidth="1"/>
    <col min="9219" max="9219" width="4.28515625" style="2" customWidth="1"/>
    <col min="9220" max="9220" width="4" style="2" customWidth="1"/>
    <col min="9221" max="9221" width="17" style="2" customWidth="1"/>
    <col min="9222" max="9222" width="4.140625" style="2" customWidth="1"/>
    <col min="9223" max="9223" width="11.28515625" style="2" customWidth="1"/>
    <col min="9224" max="9224" width="11" style="2" customWidth="1"/>
    <col min="9225" max="9226" width="2.140625" style="2" customWidth="1"/>
    <col min="9227" max="9227" width="3.28515625" style="2" customWidth="1"/>
    <col min="9228" max="9229" width="0" style="2" hidden="1" customWidth="1"/>
    <col min="9230" max="9230" width="2.85546875" style="2" customWidth="1"/>
    <col min="9231" max="9231" width="3.28515625" style="2" customWidth="1"/>
    <col min="9232" max="9232" width="1.5703125" style="2" customWidth="1"/>
    <col min="9233" max="9233" width="0" style="2" hidden="1" customWidth="1"/>
    <col min="9234" max="9234" width="6.85546875" style="2" customWidth="1"/>
    <col min="9235" max="9235" width="0" style="2" hidden="1" customWidth="1"/>
    <col min="9236" max="9237" width="6.28515625" style="2" customWidth="1"/>
    <col min="9238" max="9238" width="13.85546875" style="2" customWidth="1"/>
    <col min="9239" max="9239" width="10.85546875" style="2" customWidth="1"/>
    <col min="9240" max="9240" width="14.7109375" style="2" customWidth="1"/>
    <col min="9241" max="9241" width="0" style="2" hidden="1" customWidth="1"/>
    <col min="9242" max="9242" width="13" style="2" customWidth="1"/>
    <col min="9243" max="9243" width="12.7109375" style="2" customWidth="1"/>
    <col min="9244" max="9244" width="13.140625" style="2" customWidth="1"/>
    <col min="9245" max="9245" width="14" style="2" customWidth="1"/>
    <col min="9246" max="9246" width="8.140625" style="2" customWidth="1"/>
    <col min="9247" max="9247" width="11.5703125" style="2" customWidth="1"/>
    <col min="9248" max="9248" width="24.7109375" style="2" customWidth="1"/>
    <col min="9249" max="9249" width="12" style="2" customWidth="1"/>
    <col min="9250" max="9251" width="0.28515625" style="2" customWidth="1"/>
    <col min="9252" max="9252" width="1.42578125" style="2" customWidth="1"/>
    <col min="9253" max="9253" width="0" style="2" hidden="1" customWidth="1"/>
    <col min="9254" max="9472" width="11.42578125" style="2"/>
    <col min="9473" max="9473" width="8" style="2" customWidth="1"/>
    <col min="9474" max="9474" width="13.42578125" style="2" customWidth="1"/>
    <col min="9475" max="9475" width="4.28515625" style="2" customWidth="1"/>
    <col min="9476" max="9476" width="4" style="2" customWidth="1"/>
    <col min="9477" max="9477" width="17" style="2" customWidth="1"/>
    <col min="9478" max="9478" width="4.140625" style="2" customWidth="1"/>
    <col min="9479" max="9479" width="11.28515625" style="2" customWidth="1"/>
    <col min="9480" max="9480" width="11" style="2" customWidth="1"/>
    <col min="9481" max="9482" width="2.140625" style="2" customWidth="1"/>
    <col min="9483" max="9483" width="3.28515625" style="2" customWidth="1"/>
    <col min="9484" max="9485" width="0" style="2" hidden="1" customWidth="1"/>
    <col min="9486" max="9486" width="2.85546875" style="2" customWidth="1"/>
    <col min="9487" max="9487" width="3.28515625" style="2" customWidth="1"/>
    <col min="9488" max="9488" width="1.5703125" style="2" customWidth="1"/>
    <col min="9489" max="9489" width="0" style="2" hidden="1" customWidth="1"/>
    <col min="9490" max="9490" width="6.85546875" style="2" customWidth="1"/>
    <col min="9491" max="9491" width="0" style="2" hidden="1" customWidth="1"/>
    <col min="9492" max="9493" width="6.28515625" style="2" customWidth="1"/>
    <col min="9494" max="9494" width="13.85546875" style="2" customWidth="1"/>
    <col min="9495" max="9495" width="10.85546875" style="2" customWidth="1"/>
    <col min="9496" max="9496" width="14.7109375" style="2" customWidth="1"/>
    <col min="9497" max="9497" width="0" style="2" hidden="1" customWidth="1"/>
    <col min="9498" max="9498" width="13" style="2" customWidth="1"/>
    <col min="9499" max="9499" width="12.7109375" style="2" customWidth="1"/>
    <col min="9500" max="9500" width="13.140625" style="2" customWidth="1"/>
    <col min="9501" max="9501" width="14" style="2" customWidth="1"/>
    <col min="9502" max="9502" width="8.140625" style="2" customWidth="1"/>
    <col min="9503" max="9503" width="11.5703125" style="2" customWidth="1"/>
    <col min="9504" max="9504" width="24.7109375" style="2" customWidth="1"/>
    <col min="9505" max="9505" width="12" style="2" customWidth="1"/>
    <col min="9506" max="9507" width="0.28515625" style="2" customWidth="1"/>
    <col min="9508" max="9508" width="1.42578125" style="2" customWidth="1"/>
    <col min="9509" max="9509" width="0" style="2" hidden="1" customWidth="1"/>
    <col min="9510" max="9728" width="11.42578125" style="2"/>
    <col min="9729" max="9729" width="8" style="2" customWidth="1"/>
    <col min="9730" max="9730" width="13.42578125" style="2" customWidth="1"/>
    <col min="9731" max="9731" width="4.28515625" style="2" customWidth="1"/>
    <col min="9732" max="9732" width="4" style="2" customWidth="1"/>
    <col min="9733" max="9733" width="17" style="2" customWidth="1"/>
    <col min="9734" max="9734" width="4.140625" style="2" customWidth="1"/>
    <col min="9735" max="9735" width="11.28515625" style="2" customWidth="1"/>
    <col min="9736" max="9736" width="11" style="2" customWidth="1"/>
    <col min="9737" max="9738" width="2.140625" style="2" customWidth="1"/>
    <col min="9739" max="9739" width="3.28515625" style="2" customWidth="1"/>
    <col min="9740" max="9741" width="0" style="2" hidden="1" customWidth="1"/>
    <col min="9742" max="9742" width="2.85546875" style="2" customWidth="1"/>
    <col min="9743" max="9743" width="3.28515625" style="2" customWidth="1"/>
    <col min="9744" max="9744" width="1.5703125" style="2" customWidth="1"/>
    <col min="9745" max="9745" width="0" style="2" hidden="1" customWidth="1"/>
    <col min="9746" max="9746" width="6.85546875" style="2" customWidth="1"/>
    <col min="9747" max="9747" width="0" style="2" hidden="1" customWidth="1"/>
    <col min="9748" max="9749" width="6.28515625" style="2" customWidth="1"/>
    <col min="9750" max="9750" width="13.85546875" style="2" customWidth="1"/>
    <col min="9751" max="9751" width="10.85546875" style="2" customWidth="1"/>
    <col min="9752" max="9752" width="14.7109375" style="2" customWidth="1"/>
    <col min="9753" max="9753" width="0" style="2" hidden="1" customWidth="1"/>
    <col min="9754" max="9754" width="13" style="2" customWidth="1"/>
    <col min="9755" max="9755" width="12.7109375" style="2" customWidth="1"/>
    <col min="9756" max="9756" width="13.140625" style="2" customWidth="1"/>
    <col min="9757" max="9757" width="14" style="2" customWidth="1"/>
    <col min="9758" max="9758" width="8.140625" style="2" customWidth="1"/>
    <col min="9759" max="9759" width="11.5703125" style="2" customWidth="1"/>
    <col min="9760" max="9760" width="24.7109375" style="2" customWidth="1"/>
    <col min="9761" max="9761" width="12" style="2" customWidth="1"/>
    <col min="9762" max="9763" width="0.28515625" style="2" customWidth="1"/>
    <col min="9764" max="9764" width="1.42578125" style="2" customWidth="1"/>
    <col min="9765" max="9765" width="0" style="2" hidden="1" customWidth="1"/>
    <col min="9766" max="9984" width="11.42578125" style="2"/>
    <col min="9985" max="9985" width="8" style="2" customWidth="1"/>
    <col min="9986" max="9986" width="13.42578125" style="2" customWidth="1"/>
    <col min="9987" max="9987" width="4.28515625" style="2" customWidth="1"/>
    <col min="9988" max="9988" width="4" style="2" customWidth="1"/>
    <col min="9989" max="9989" width="17" style="2" customWidth="1"/>
    <col min="9990" max="9990" width="4.140625" style="2" customWidth="1"/>
    <col min="9991" max="9991" width="11.28515625" style="2" customWidth="1"/>
    <col min="9992" max="9992" width="11" style="2" customWidth="1"/>
    <col min="9993" max="9994" width="2.140625" style="2" customWidth="1"/>
    <col min="9995" max="9995" width="3.28515625" style="2" customWidth="1"/>
    <col min="9996" max="9997" width="0" style="2" hidden="1" customWidth="1"/>
    <col min="9998" max="9998" width="2.85546875" style="2" customWidth="1"/>
    <col min="9999" max="9999" width="3.28515625" style="2" customWidth="1"/>
    <col min="10000" max="10000" width="1.5703125" style="2" customWidth="1"/>
    <col min="10001" max="10001" width="0" style="2" hidden="1" customWidth="1"/>
    <col min="10002" max="10002" width="6.85546875" style="2" customWidth="1"/>
    <col min="10003" max="10003" width="0" style="2" hidden="1" customWidth="1"/>
    <col min="10004" max="10005" width="6.28515625" style="2" customWidth="1"/>
    <col min="10006" max="10006" width="13.85546875" style="2" customWidth="1"/>
    <col min="10007" max="10007" width="10.85546875" style="2" customWidth="1"/>
    <col min="10008" max="10008" width="14.7109375" style="2" customWidth="1"/>
    <col min="10009" max="10009" width="0" style="2" hidden="1" customWidth="1"/>
    <col min="10010" max="10010" width="13" style="2" customWidth="1"/>
    <col min="10011" max="10011" width="12.7109375" style="2" customWidth="1"/>
    <col min="10012" max="10012" width="13.140625" style="2" customWidth="1"/>
    <col min="10013" max="10013" width="14" style="2" customWidth="1"/>
    <col min="10014" max="10014" width="8.140625" style="2" customWidth="1"/>
    <col min="10015" max="10015" width="11.5703125" style="2" customWidth="1"/>
    <col min="10016" max="10016" width="24.7109375" style="2" customWidth="1"/>
    <col min="10017" max="10017" width="12" style="2" customWidth="1"/>
    <col min="10018" max="10019" width="0.28515625" style="2" customWidth="1"/>
    <col min="10020" max="10020" width="1.42578125" style="2" customWidth="1"/>
    <col min="10021" max="10021" width="0" style="2" hidden="1" customWidth="1"/>
    <col min="10022" max="10240" width="11.42578125" style="2"/>
    <col min="10241" max="10241" width="8" style="2" customWidth="1"/>
    <col min="10242" max="10242" width="13.42578125" style="2" customWidth="1"/>
    <col min="10243" max="10243" width="4.28515625" style="2" customWidth="1"/>
    <col min="10244" max="10244" width="4" style="2" customWidth="1"/>
    <col min="10245" max="10245" width="17" style="2" customWidth="1"/>
    <col min="10246" max="10246" width="4.140625" style="2" customWidth="1"/>
    <col min="10247" max="10247" width="11.28515625" style="2" customWidth="1"/>
    <col min="10248" max="10248" width="11" style="2" customWidth="1"/>
    <col min="10249" max="10250" width="2.140625" style="2" customWidth="1"/>
    <col min="10251" max="10251" width="3.28515625" style="2" customWidth="1"/>
    <col min="10252" max="10253" width="0" style="2" hidden="1" customWidth="1"/>
    <col min="10254" max="10254" width="2.85546875" style="2" customWidth="1"/>
    <col min="10255" max="10255" width="3.28515625" style="2" customWidth="1"/>
    <col min="10256" max="10256" width="1.5703125" style="2" customWidth="1"/>
    <col min="10257" max="10257" width="0" style="2" hidden="1" customWidth="1"/>
    <col min="10258" max="10258" width="6.85546875" style="2" customWidth="1"/>
    <col min="10259" max="10259" width="0" style="2" hidden="1" customWidth="1"/>
    <col min="10260" max="10261" width="6.28515625" style="2" customWidth="1"/>
    <col min="10262" max="10262" width="13.85546875" style="2" customWidth="1"/>
    <col min="10263" max="10263" width="10.85546875" style="2" customWidth="1"/>
    <col min="10264" max="10264" width="14.7109375" style="2" customWidth="1"/>
    <col min="10265" max="10265" width="0" style="2" hidden="1" customWidth="1"/>
    <col min="10266" max="10266" width="13" style="2" customWidth="1"/>
    <col min="10267" max="10267" width="12.7109375" style="2" customWidth="1"/>
    <col min="10268" max="10268" width="13.140625" style="2" customWidth="1"/>
    <col min="10269" max="10269" width="14" style="2" customWidth="1"/>
    <col min="10270" max="10270" width="8.140625" style="2" customWidth="1"/>
    <col min="10271" max="10271" width="11.5703125" style="2" customWidth="1"/>
    <col min="10272" max="10272" width="24.7109375" style="2" customWidth="1"/>
    <col min="10273" max="10273" width="12" style="2" customWidth="1"/>
    <col min="10274" max="10275" width="0.28515625" style="2" customWidth="1"/>
    <col min="10276" max="10276" width="1.42578125" style="2" customWidth="1"/>
    <col min="10277" max="10277" width="0" style="2" hidden="1" customWidth="1"/>
    <col min="10278" max="10496" width="11.42578125" style="2"/>
    <col min="10497" max="10497" width="8" style="2" customWidth="1"/>
    <col min="10498" max="10498" width="13.42578125" style="2" customWidth="1"/>
    <col min="10499" max="10499" width="4.28515625" style="2" customWidth="1"/>
    <col min="10500" max="10500" width="4" style="2" customWidth="1"/>
    <col min="10501" max="10501" width="17" style="2" customWidth="1"/>
    <col min="10502" max="10502" width="4.140625" style="2" customWidth="1"/>
    <col min="10503" max="10503" width="11.28515625" style="2" customWidth="1"/>
    <col min="10504" max="10504" width="11" style="2" customWidth="1"/>
    <col min="10505" max="10506" width="2.140625" style="2" customWidth="1"/>
    <col min="10507" max="10507" width="3.28515625" style="2" customWidth="1"/>
    <col min="10508" max="10509" width="0" style="2" hidden="1" customWidth="1"/>
    <col min="10510" max="10510" width="2.85546875" style="2" customWidth="1"/>
    <col min="10511" max="10511" width="3.28515625" style="2" customWidth="1"/>
    <col min="10512" max="10512" width="1.5703125" style="2" customWidth="1"/>
    <col min="10513" max="10513" width="0" style="2" hidden="1" customWidth="1"/>
    <col min="10514" max="10514" width="6.85546875" style="2" customWidth="1"/>
    <col min="10515" max="10515" width="0" style="2" hidden="1" customWidth="1"/>
    <col min="10516" max="10517" width="6.28515625" style="2" customWidth="1"/>
    <col min="10518" max="10518" width="13.85546875" style="2" customWidth="1"/>
    <col min="10519" max="10519" width="10.85546875" style="2" customWidth="1"/>
    <col min="10520" max="10520" width="14.7109375" style="2" customWidth="1"/>
    <col min="10521" max="10521" width="0" style="2" hidden="1" customWidth="1"/>
    <col min="10522" max="10522" width="13" style="2" customWidth="1"/>
    <col min="10523" max="10523" width="12.7109375" style="2" customWidth="1"/>
    <col min="10524" max="10524" width="13.140625" style="2" customWidth="1"/>
    <col min="10525" max="10525" width="14" style="2" customWidth="1"/>
    <col min="10526" max="10526" width="8.140625" style="2" customWidth="1"/>
    <col min="10527" max="10527" width="11.5703125" style="2" customWidth="1"/>
    <col min="10528" max="10528" width="24.7109375" style="2" customWidth="1"/>
    <col min="10529" max="10529" width="12" style="2" customWidth="1"/>
    <col min="10530" max="10531" width="0.28515625" style="2" customWidth="1"/>
    <col min="10532" max="10532" width="1.42578125" style="2" customWidth="1"/>
    <col min="10533" max="10533" width="0" style="2" hidden="1" customWidth="1"/>
    <col min="10534" max="10752" width="11.42578125" style="2"/>
    <col min="10753" max="10753" width="8" style="2" customWidth="1"/>
    <col min="10754" max="10754" width="13.42578125" style="2" customWidth="1"/>
    <col min="10755" max="10755" width="4.28515625" style="2" customWidth="1"/>
    <col min="10756" max="10756" width="4" style="2" customWidth="1"/>
    <col min="10757" max="10757" width="17" style="2" customWidth="1"/>
    <col min="10758" max="10758" width="4.140625" style="2" customWidth="1"/>
    <col min="10759" max="10759" width="11.28515625" style="2" customWidth="1"/>
    <col min="10760" max="10760" width="11" style="2" customWidth="1"/>
    <col min="10761" max="10762" width="2.140625" style="2" customWidth="1"/>
    <col min="10763" max="10763" width="3.28515625" style="2" customWidth="1"/>
    <col min="10764" max="10765" width="0" style="2" hidden="1" customWidth="1"/>
    <col min="10766" max="10766" width="2.85546875" style="2" customWidth="1"/>
    <col min="10767" max="10767" width="3.28515625" style="2" customWidth="1"/>
    <col min="10768" max="10768" width="1.5703125" style="2" customWidth="1"/>
    <col min="10769" max="10769" width="0" style="2" hidden="1" customWidth="1"/>
    <col min="10770" max="10770" width="6.85546875" style="2" customWidth="1"/>
    <col min="10771" max="10771" width="0" style="2" hidden="1" customWidth="1"/>
    <col min="10772" max="10773" width="6.28515625" style="2" customWidth="1"/>
    <col min="10774" max="10774" width="13.85546875" style="2" customWidth="1"/>
    <col min="10775" max="10775" width="10.85546875" style="2" customWidth="1"/>
    <col min="10776" max="10776" width="14.7109375" style="2" customWidth="1"/>
    <col min="10777" max="10777" width="0" style="2" hidden="1" customWidth="1"/>
    <col min="10778" max="10778" width="13" style="2" customWidth="1"/>
    <col min="10779" max="10779" width="12.7109375" style="2" customWidth="1"/>
    <col min="10780" max="10780" width="13.140625" style="2" customWidth="1"/>
    <col min="10781" max="10781" width="14" style="2" customWidth="1"/>
    <col min="10782" max="10782" width="8.140625" style="2" customWidth="1"/>
    <col min="10783" max="10783" width="11.5703125" style="2" customWidth="1"/>
    <col min="10784" max="10784" width="24.7109375" style="2" customWidth="1"/>
    <col min="10785" max="10785" width="12" style="2" customWidth="1"/>
    <col min="10786" max="10787" width="0.28515625" style="2" customWidth="1"/>
    <col min="10788" max="10788" width="1.42578125" style="2" customWidth="1"/>
    <col min="10789" max="10789" width="0" style="2" hidden="1" customWidth="1"/>
    <col min="10790" max="11008" width="11.42578125" style="2"/>
    <col min="11009" max="11009" width="8" style="2" customWidth="1"/>
    <col min="11010" max="11010" width="13.42578125" style="2" customWidth="1"/>
    <col min="11011" max="11011" width="4.28515625" style="2" customWidth="1"/>
    <col min="11012" max="11012" width="4" style="2" customWidth="1"/>
    <col min="11013" max="11013" width="17" style="2" customWidth="1"/>
    <col min="11014" max="11014" width="4.140625" style="2" customWidth="1"/>
    <col min="11015" max="11015" width="11.28515625" style="2" customWidth="1"/>
    <col min="11016" max="11016" width="11" style="2" customWidth="1"/>
    <col min="11017" max="11018" width="2.140625" style="2" customWidth="1"/>
    <col min="11019" max="11019" width="3.28515625" style="2" customWidth="1"/>
    <col min="11020" max="11021" width="0" style="2" hidden="1" customWidth="1"/>
    <col min="11022" max="11022" width="2.85546875" style="2" customWidth="1"/>
    <col min="11023" max="11023" width="3.28515625" style="2" customWidth="1"/>
    <col min="11024" max="11024" width="1.5703125" style="2" customWidth="1"/>
    <col min="11025" max="11025" width="0" style="2" hidden="1" customWidth="1"/>
    <col min="11026" max="11026" width="6.85546875" style="2" customWidth="1"/>
    <col min="11027" max="11027" width="0" style="2" hidden="1" customWidth="1"/>
    <col min="11028" max="11029" width="6.28515625" style="2" customWidth="1"/>
    <col min="11030" max="11030" width="13.85546875" style="2" customWidth="1"/>
    <col min="11031" max="11031" width="10.85546875" style="2" customWidth="1"/>
    <col min="11032" max="11032" width="14.7109375" style="2" customWidth="1"/>
    <col min="11033" max="11033" width="0" style="2" hidden="1" customWidth="1"/>
    <col min="11034" max="11034" width="13" style="2" customWidth="1"/>
    <col min="11035" max="11035" width="12.7109375" style="2" customWidth="1"/>
    <col min="11036" max="11036" width="13.140625" style="2" customWidth="1"/>
    <col min="11037" max="11037" width="14" style="2" customWidth="1"/>
    <col min="11038" max="11038" width="8.140625" style="2" customWidth="1"/>
    <col min="11039" max="11039" width="11.5703125" style="2" customWidth="1"/>
    <col min="11040" max="11040" width="24.7109375" style="2" customWidth="1"/>
    <col min="11041" max="11041" width="12" style="2" customWidth="1"/>
    <col min="11042" max="11043" width="0.28515625" style="2" customWidth="1"/>
    <col min="11044" max="11044" width="1.42578125" style="2" customWidth="1"/>
    <col min="11045" max="11045" width="0" style="2" hidden="1" customWidth="1"/>
    <col min="11046" max="11264" width="11.42578125" style="2"/>
    <col min="11265" max="11265" width="8" style="2" customWidth="1"/>
    <col min="11266" max="11266" width="13.42578125" style="2" customWidth="1"/>
    <col min="11267" max="11267" width="4.28515625" style="2" customWidth="1"/>
    <col min="11268" max="11268" width="4" style="2" customWidth="1"/>
    <col min="11269" max="11269" width="17" style="2" customWidth="1"/>
    <col min="11270" max="11270" width="4.140625" style="2" customWidth="1"/>
    <col min="11271" max="11271" width="11.28515625" style="2" customWidth="1"/>
    <col min="11272" max="11272" width="11" style="2" customWidth="1"/>
    <col min="11273" max="11274" width="2.140625" style="2" customWidth="1"/>
    <col min="11275" max="11275" width="3.28515625" style="2" customWidth="1"/>
    <col min="11276" max="11277" width="0" style="2" hidden="1" customWidth="1"/>
    <col min="11278" max="11278" width="2.85546875" style="2" customWidth="1"/>
    <col min="11279" max="11279" width="3.28515625" style="2" customWidth="1"/>
    <col min="11280" max="11280" width="1.5703125" style="2" customWidth="1"/>
    <col min="11281" max="11281" width="0" style="2" hidden="1" customWidth="1"/>
    <col min="11282" max="11282" width="6.85546875" style="2" customWidth="1"/>
    <col min="11283" max="11283" width="0" style="2" hidden="1" customWidth="1"/>
    <col min="11284" max="11285" width="6.28515625" style="2" customWidth="1"/>
    <col min="11286" max="11286" width="13.85546875" style="2" customWidth="1"/>
    <col min="11287" max="11287" width="10.85546875" style="2" customWidth="1"/>
    <col min="11288" max="11288" width="14.7109375" style="2" customWidth="1"/>
    <col min="11289" max="11289" width="0" style="2" hidden="1" customWidth="1"/>
    <col min="11290" max="11290" width="13" style="2" customWidth="1"/>
    <col min="11291" max="11291" width="12.7109375" style="2" customWidth="1"/>
    <col min="11292" max="11292" width="13.140625" style="2" customWidth="1"/>
    <col min="11293" max="11293" width="14" style="2" customWidth="1"/>
    <col min="11294" max="11294" width="8.140625" style="2" customWidth="1"/>
    <col min="11295" max="11295" width="11.5703125" style="2" customWidth="1"/>
    <col min="11296" max="11296" width="24.7109375" style="2" customWidth="1"/>
    <col min="11297" max="11297" width="12" style="2" customWidth="1"/>
    <col min="11298" max="11299" width="0.28515625" style="2" customWidth="1"/>
    <col min="11300" max="11300" width="1.42578125" style="2" customWidth="1"/>
    <col min="11301" max="11301" width="0" style="2" hidden="1" customWidth="1"/>
    <col min="11302" max="11520" width="11.42578125" style="2"/>
    <col min="11521" max="11521" width="8" style="2" customWidth="1"/>
    <col min="11522" max="11522" width="13.42578125" style="2" customWidth="1"/>
    <col min="11523" max="11523" width="4.28515625" style="2" customWidth="1"/>
    <col min="11524" max="11524" width="4" style="2" customWidth="1"/>
    <col min="11525" max="11525" width="17" style="2" customWidth="1"/>
    <col min="11526" max="11526" width="4.140625" style="2" customWidth="1"/>
    <col min="11527" max="11527" width="11.28515625" style="2" customWidth="1"/>
    <col min="11528" max="11528" width="11" style="2" customWidth="1"/>
    <col min="11529" max="11530" width="2.140625" style="2" customWidth="1"/>
    <col min="11531" max="11531" width="3.28515625" style="2" customWidth="1"/>
    <col min="11532" max="11533" width="0" style="2" hidden="1" customWidth="1"/>
    <col min="11534" max="11534" width="2.85546875" style="2" customWidth="1"/>
    <col min="11535" max="11535" width="3.28515625" style="2" customWidth="1"/>
    <col min="11536" max="11536" width="1.5703125" style="2" customWidth="1"/>
    <col min="11537" max="11537" width="0" style="2" hidden="1" customWidth="1"/>
    <col min="11538" max="11538" width="6.85546875" style="2" customWidth="1"/>
    <col min="11539" max="11539" width="0" style="2" hidden="1" customWidth="1"/>
    <col min="11540" max="11541" width="6.28515625" style="2" customWidth="1"/>
    <col min="11542" max="11542" width="13.85546875" style="2" customWidth="1"/>
    <col min="11543" max="11543" width="10.85546875" style="2" customWidth="1"/>
    <col min="11544" max="11544" width="14.7109375" style="2" customWidth="1"/>
    <col min="11545" max="11545" width="0" style="2" hidden="1" customWidth="1"/>
    <col min="11546" max="11546" width="13" style="2" customWidth="1"/>
    <col min="11547" max="11547" width="12.7109375" style="2" customWidth="1"/>
    <col min="11548" max="11548" width="13.140625" style="2" customWidth="1"/>
    <col min="11549" max="11549" width="14" style="2" customWidth="1"/>
    <col min="11550" max="11550" width="8.140625" style="2" customWidth="1"/>
    <col min="11551" max="11551" width="11.5703125" style="2" customWidth="1"/>
    <col min="11552" max="11552" width="24.7109375" style="2" customWidth="1"/>
    <col min="11553" max="11553" width="12" style="2" customWidth="1"/>
    <col min="11554" max="11555" width="0.28515625" style="2" customWidth="1"/>
    <col min="11556" max="11556" width="1.42578125" style="2" customWidth="1"/>
    <col min="11557" max="11557" width="0" style="2" hidden="1" customWidth="1"/>
    <col min="11558" max="11776" width="11.42578125" style="2"/>
    <col min="11777" max="11777" width="8" style="2" customWidth="1"/>
    <col min="11778" max="11778" width="13.42578125" style="2" customWidth="1"/>
    <col min="11779" max="11779" width="4.28515625" style="2" customWidth="1"/>
    <col min="11780" max="11780" width="4" style="2" customWidth="1"/>
    <col min="11781" max="11781" width="17" style="2" customWidth="1"/>
    <col min="11782" max="11782" width="4.140625" style="2" customWidth="1"/>
    <col min="11783" max="11783" width="11.28515625" style="2" customWidth="1"/>
    <col min="11784" max="11784" width="11" style="2" customWidth="1"/>
    <col min="11785" max="11786" width="2.140625" style="2" customWidth="1"/>
    <col min="11787" max="11787" width="3.28515625" style="2" customWidth="1"/>
    <col min="11788" max="11789" width="0" style="2" hidden="1" customWidth="1"/>
    <col min="11790" max="11790" width="2.85546875" style="2" customWidth="1"/>
    <col min="11791" max="11791" width="3.28515625" style="2" customWidth="1"/>
    <col min="11792" max="11792" width="1.5703125" style="2" customWidth="1"/>
    <col min="11793" max="11793" width="0" style="2" hidden="1" customWidth="1"/>
    <col min="11794" max="11794" width="6.85546875" style="2" customWidth="1"/>
    <col min="11795" max="11795" width="0" style="2" hidden="1" customWidth="1"/>
    <col min="11796" max="11797" width="6.28515625" style="2" customWidth="1"/>
    <col min="11798" max="11798" width="13.85546875" style="2" customWidth="1"/>
    <col min="11799" max="11799" width="10.85546875" style="2" customWidth="1"/>
    <col min="11800" max="11800" width="14.7109375" style="2" customWidth="1"/>
    <col min="11801" max="11801" width="0" style="2" hidden="1" customWidth="1"/>
    <col min="11802" max="11802" width="13" style="2" customWidth="1"/>
    <col min="11803" max="11803" width="12.7109375" style="2" customWidth="1"/>
    <col min="11804" max="11804" width="13.140625" style="2" customWidth="1"/>
    <col min="11805" max="11805" width="14" style="2" customWidth="1"/>
    <col min="11806" max="11806" width="8.140625" style="2" customWidth="1"/>
    <col min="11807" max="11807" width="11.5703125" style="2" customWidth="1"/>
    <col min="11808" max="11808" width="24.7109375" style="2" customWidth="1"/>
    <col min="11809" max="11809" width="12" style="2" customWidth="1"/>
    <col min="11810" max="11811" width="0.28515625" style="2" customWidth="1"/>
    <col min="11812" max="11812" width="1.42578125" style="2" customWidth="1"/>
    <col min="11813" max="11813" width="0" style="2" hidden="1" customWidth="1"/>
    <col min="11814" max="12032" width="11.42578125" style="2"/>
    <col min="12033" max="12033" width="8" style="2" customWidth="1"/>
    <col min="12034" max="12034" width="13.42578125" style="2" customWidth="1"/>
    <col min="12035" max="12035" width="4.28515625" style="2" customWidth="1"/>
    <col min="12036" max="12036" width="4" style="2" customWidth="1"/>
    <col min="12037" max="12037" width="17" style="2" customWidth="1"/>
    <col min="12038" max="12038" width="4.140625" style="2" customWidth="1"/>
    <col min="12039" max="12039" width="11.28515625" style="2" customWidth="1"/>
    <col min="12040" max="12040" width="11" style="2" customWidth="1"/>
    <col min="12041" max="12042" width="2.140625" style="2" customWidth="1"/>
    <col min="12043" max="12043" width="3.28515625" style="2" customWidth="1"/>
    <col min="12044" max="12045" width="0" style="2" hidden="1" customWidth="1"/>
    <col min="12046" max="12046" width="2.85546875" style="2" customWidth="1"/>
    <col min="12047" max="12047" width="3.28515625" style="2" customWidth="1"/>
    <col min="12048" max="12048" width="1.5703125" style="2" customWidth="1"/>
    <col min="12049" max="12049" width="0" style="2" hidden="1" customWidth="1"/>
    <col min="12050" max="12050" width="6.85546875" style="2" customWidth="1"/>
    <col min="12051" max="12051" width="0" style="2" hidden="1" customWidth="1"/>
    <col min="12052" max="12053" width="6.28515625" style="2" customWidth="1"/>
    <col min="12054" max="12054" width="13.85546875" style="2" customWidth="1"/>
    <col min="12055" max="12055" width="10.85546875" style="2" customWidth="1"/>
    <col min="12056" max="12056" width="14.7109375" style="2" customWidth="1"/>
    <col min="12057" max="12057" width="0" style="2" hidden="1" customWidth="1"/>
    <col min="12058" max="12058" width="13" style="2" customWidth="1"/>
    <col min="12059" max="12059" width="12.7109375" style="2" customWidth="1"/>
    <col min="12060" max="12060" width="13.140625" style="2" customWidth="1"/>
    <col min="12061" max="12061" width="14" style="2" customWidth="1"/>
    <col min="12062" max="12062" width="8.140625" style="2" customWidth="1"/>
    <col min="12063" max="12063" width="11.5703125" style="2" customWidth="1"/>
    <col min="12064" max="12064" width="24.7109375" style="2" customWidth="1"/>
    <col min="12065" max="12065" width="12" style="2" customWidth="1"/>
    <col min="12066" max="12067" width="0.28515625" style="2" customWidth="1"/>
    <col min="12068" max="12068" width="1.42578125" style="2" customWidth="1"/>
    <col min="12069" max="12069" width="0" style="2" hidden="1" customWidth="1"/>
    <col min="12070" max="12288" width="11.42578125" style="2"/>
    <col min="12289" max="12289" width="8" style="2" customWidth="1"/>
    <col min="12290" max="12290" width="13.42578125" style="2" customWidth="1"/>
    <col min="12291" max="12291" width="4.28515625" style="2" customWidth="1"/>
    <col min="12292" max="12292" width="4" style="2" customWidth="1"/>
    <col min="12293" max="12293" width="17" style="2" customWidth="1"/>
    <col min="12294" max="12294" width="4.140625" style="2" customWidth="1"/>
    <col min="12295" max="12295" width="11.28515625" style="2" customWidth="1"/>
    <col min="12296" max="12296" width="11" style="2" customWidth="1"/>
    <col min="12297" max="12298" width="2.140625" style="2" customWidth="1"/>
    <col min="12299" max="12299" width="3.28515625" style="2" customWidth="1"/>
    <col min="12300" max="12301" width="0" style="2" hidden="1" customWidth="1"/>
    <col min="12302" max="12302" width="2.85546875" style="2" customWidth="1"/>
    <col min="12303" max="12303" width="3.28515625" style="2" customWidth="1"/>
    <col min="12304" max="12304" width="1.5703125" style="2" customWidth="1"/>
    <col min="12305" max="12305" width="0" style="2" hidden="1" customWidth="1"/>
    <col min="12306" max="12306" width="6.85546875" style="2" customWidth="1"/>
    <col min="12307" max="12307" width="0" style="2" hidden="1" customWidth="1"/>
    <col min="12308" max="12309" width="6.28515625" style="2" customWidth="1"/>
    <col min="12310" max="12310" width="13.85546875" style="2" customWidth="1"/>
    <col min="12311" max="12311" width="10.85546875" style="2" customWidth="1"/>
    <col min="12312" max="12312" width="14.7109375" style="2" customWidth="1"/>
    <col min="12313" max="12313" width="0" style="2" hidden="1" customWidth="1"/>
    <col min="12314" max="12314" width="13" style="2" customWidth="1"/>
    <col min="12315" max="12315" width="12.7109375" style="2" customWidth="1"/>
    <col min="12316" max="12316" width="13.140625" style="2" customWidth="1"/>
    <col min="12317" max="12317" width="14" style="2" customWidth="1"/>
    <col min="12318" max="12318" width="8.140625" style="2" customWidth="1"/>
    <col min="12319" max="12319" width="11.5703125" style="2" customWidth="1"/>
    <col min="12320" max="12320" width="24.7109375" style="2" customWidth="1"/>
    <col min="12321" max="12321" width="12" style="2" customWidth="1"/>
    <col min="12322" max="12323" width="0.28515625" style="2" customWidth="1"/>
    <col min="12324" max="12324" width="1.42578125" style="2" customWidth="1"/>
    <col min="12325" max="12325" width="0" style="2" hidden="1" customWidth="1"/>
    <col min="12326" max="12544" width="11.42578125" style="2"/>
    <col min="12545" max="12545" width="8" style="2" customWidth="1"/>
    <col min="12546" max="12546" width="13.42578125" style="2" customWidth="1"/>
    <col min="12547" max="12547" width="4.28515625" style="2" customWidth="1"/>
    <col min="12548" max="12548" width="4" style="2" customWidth="1"/>
    <col min="12549" max="12549" width="17" style="2" customWidth="1"/>
    <col min="12550" max="12550" width="4.140625" style="2" customWidth="1"/>
    <col min="12551" max="12551" width="11.28515625" style="2" customWidth="1"/>
    <col min="12552" max="12552" width="11" style="2" customWidth="1"/>
    <col min="12553" max="12554" width="2.140625" style="2" customWidth="1"/>
    <col min="12555" max="12555" width="3.28515625" style="2" customWidth="1"/>
    <col min="12556" max="12557" width="0" style="2" hidden="1" customWidth="1"/>
    <col min="12558" max="12558" width="2.85546875" style="2" customWidth="1"/>
    <col min="12559" max="12559" width="3.28515625" style="2" customWidth="1"/>
    <col min="12560" max="12560" width="1.5703125" style="2" customWidth="1"/>
    <col min="12561" max="12561" width="0" style="2" hidden="1" customWidth="1"/>
    <col min="12562" max="12562" width="6.85546875" style="2" customWidth="1"/>
    <col min="12563" max="12563" width="0" style="2" hidden="1" customWidth="1"/>
    <col min="12564" max="12565" width="6.28515625" style="2" customWidth="1"/>
    <col min="12566" max="12566" width="13.85546875" style="2" customWidth="1"/>
    <col min="12567" max="12567" width="10.85546875" style="2" customWidth="1"/>
    <col min="12568" max="12568" width="14.7109375" style="2" customWidth="1"/>
    <col min="12569" max="12569" width="0" style="2" hidden="1" customWidth="1"/>
    <col min="12570" max="12570" width="13" style="2" customWidth="1"/>
    <col min="12571" max="12571" width="12.7109375" style="2" customWidth="1"/>
    <col min="12572" max="12572" width="13.140625" style="2" customWidth="1"/>
    <col min="12573" max="12573" width="14" style="2" customWidth="1"/>
    <col min="12574" max="12574" width="8.140625" style="2" customWidth="1"/>
    <col min="12575" max="12575" width="11.5703125" style="2" customWidth="1"/>
    <col min="12576" max="12576" width="24.7109375" style="2" customWidth="1"/>
    <col min="12577" max="12577" width="12" style="2" customWidth="1"/>
    <col min="12578" max="12579" width="0.28515625" style="2" customWidth="1"/>
    <col min="12580" max="12580" width="1.42578125" style="2" customWidth="1"/>
    <col min="12581" max="12581" width="0" style="2" hidden="1" customWidth="1"/>
    <col min="12582" max="12800" width="11.42578125" style="2"/>
    <col min="12801" max="12801" width="8" style="2" customWidth="1"/>
    <col min="12802" max="12802" width="13.42578125" style="2" customWidth="1"/>
    <col min="12803" max="12803" width="4.28515625" style="2" customWidth="1"/>
    <col min="12804" max="12804" width="4" style="2" customWidth="1"/>
    <col min="12805" max="12805" width="17" style="2" customWidth="1"/>
    <col min="12806" max="12806" width="4.140625" style="2" customWidth="1"/>
    <col min="12807" max="12807" width="11.28515625" style="2" customWidth="1"/>
    <col min="12808" max="12808" width="11" style="2" customWidth="1"/>
    <col min="12809" max="12810" width="2.140625" style="2" customWidth="1"/>
    <col min="12811" max="12811" width="3.28515625" style="2" customWidth="1"/>
    <col min="12812" max="12813" width="0" style="2" hidden="1" customWidth="1"/>
    <col min="12814" max="12814" width="2.85546875" style="2" customWidth="1"/>
    <col min="12815" max="12815" width="3.28515625" style="2" customWidth="1"/>
    <col min="12816" max="12816" width="1.5703125" style="2" customWidth="1"/>
    <col min="12817" max="12817" width="0" style="2" hidden="1" customWidth="1"/>
    <col min="12818" max="12818" width="6.85546875" style="2" customWidth="1"/>
    <col min="12819" max="12819" width="0" style="2" hidden="1" customWidth="1"/>
    <col min="12820" max="12821" width="6.28515625" style="2" customWidth="1"/>
    <col min="12822" max="12822" width="13.85546875" style="2" customWidth="1"/>
    <col min="12823" max="12823" width="10.85546875" style="2" customWidth="1"/>
    <col min="12824" max="12824" width="14.7109375" style="2" customWidth="1"/>
    <col min="12825" max="12825" width="0" style="2" hidden="1" customWidth="1"/>
    <col min="12826" max="12826" width="13" style="2" customWidth="1"/>
    <col min="12827" max="12827" width="12.7109375" style="2" customWidth="1"/>
    <col min="12828" max="12828" width="13.140625" style="2" customWidth="1"/>
    <col min="12829" max="12829" width="14" style="2" customWidth="1"/>
    <col min="12830" max="12830" width="8.140625" style="2" customWidth="1"/>
    <col min="12831" max="12831" width="11.5703125" style="2" customWidth="1"/>
    <col min="12832" max="12832" width="24.7109375" style="2" customWidth="1"/>
    <col min="12833" max="12833" width="12" style="2" customWidth="1"/>
    <col min="12834" max="12835" width="0.28515625" style="2" customWidth="1"/>
    <col min="12836" max="12836" width="1.42578125" style="2" customWidth="1"/>
    <col min="12837" max="12837" width="0" style="2" hidden="1" customWidth="1"/>
    <col min="12838" max="13056" width="11.42578125" style="2"/>
    <col min="13057" max="13057" width="8" style="2" customWidth="1"/>
    <col min="13058" max="13058" width="13.42578125" style="2" customWidth="1"/>
    <col min="13059" max="13059" width="4.28515625" style="2" customWidth="1"/>
    <col min="13060" max="13060" width="4" style="2" customWidth="1"/>
    <col min="13061" max="13061" width="17" style="2" customWidth="1"/>
    <col min="13062" max="13062" width="4.140625" style="2" customWidth="1"/>
    <col min="13063" max="13063" width="11.28515625" style="2" customWidth="1"/>
    <col min="13064" max="13064" width="11" style="2" customWidth="1"/>
    <col min="13065" max="13066" width="2.140625" style="2" customWidth="1"/>
    <col min="13067" max="13067" width="3.28515625" style="2" customWidth="1"/>
    <col min="13068" max="13069" width="0" style="2" hidden="1" customWidth="1"/>
    <col min="13070" max="13070" width="2.85546875" style="2" customWidth="1"/>
    <col min="13071" max="13071" width="3.28515625" style="2" customWidth="1"/>
    <col min="13072" max="13072" width="1.5703125" style="2" customWidth="1"/>
    <col min="13073" max="13073" width="0" style="2" hidden="1" customWidth="1"/>
    <col min="13074" max="13074" width="6.85546875" style="2" customWidth="1"/>
    <col min="13075" max="13075" width="0" style="2" hidden="1" customWidth="1"/>
    <col min="13076" max="13077" width="6.28515625" style="2" customWidth="1"/>
    <col min="13078" max="13078" width="13.85546875" style="2" customWidth="1"/>
    <col min="13079" max="13079" width="10.85546875" style="2" customWidth="1"/>
    <col min="13080" max="13080" width="14.7109375" style="2" customWidth="1"/>
    <col min="13081" max="13081" width="0" style="2" hidden="1" customWidth="1"/>
    <col min="13082" max="13082" width="13" style="2" customWidth="1"/>
    <col min="13083" max="13083" width="12.7109375" style="2" customWidth="1"/>
    <col min="13084" max="13084" width="13.140625" style="2" customWidth="1"/>
    <col min="13085" max="13085" width="14" style="2" customWidth="1"/>
    <col min="13086" max="13086" width="8.140625" style="2" customWidth="1"/>
    <col min="13087" max="13087" width="11.5703125" style="2" customWidth="1"/>
    <col min="13088" max="13088" width="24.7109375" style="2" customWidth="1"/>
    <col min="13089" max="13089" width="12" style="2" customWidth="1"/>
    <col min="13090" max="13091" width="0.28515625" style="2" customWidth="1"/>
    <col min="13092" max="13092" width="1.42578125" style="2" customWidth="1"/>
    <col min="13093" max="13093" width="0" style="2" hidden="1" customWidth="1"/>
    <col min="13094" max="13312" width="11.42578125" style="2"/>
    <col min="13313" max="13313" width="8" style="2" customWidth="1"/>
    <col min="13314" max="13314" width="13.42578125" style="2" customWidth="1"/>
    <col min="13315" max="13315" width="4.28515625" style="2" customWidth="1"/>
    <col min="13316" max="13316" width="4" style="2" customWidth="1"/>
    <col min="13317" max="13317" width="17" style="2" customWidth="1"/>
    <col min="13318" max="13318" width="4.140625" style="2" customWidth="1"/>
    <col min="13319" max="13319" width="11.28515625" style="2" customWidth="1"/>
    <col min="13320" max="13320" width="11" style="2" customWidth="1"/>
    <col min="13321" max="13322" width="2.140625" style="2" customWidth="1"/>
    <col min="13323" max="13323" width="3.28515625" style="2" customWidth="1"/>
    <col min="13324" max="13325" width="0" style="2" hidden="1" customWidth="1"/>
    <col min="13326" max="13326" width="2.85546875" style="2" customWidth="1"/>
    <col min="13327" max="13327" width="3.28515625" style="2" customWidth="1"/>
    <col min="13328" max="13328" width="1.5703125" style="2" customWidth="1"/>
    <col min="13329" max="13329" width="0" style="2" hidden="1" customWidth="1"/>
    <col min="13330" max="13330" width="6.85546875" style="2" customWidth="1"/>
    <col min="13331" max="13331" width="0" style="2" hidden="1" customWidth="1"/>
    <col min="13332" max="13333" width="6.28515625" style="2" customWidth="1"/>
    <col min="13334" max="13334" width="13.85546875" style="2" customWidth="1"/>
    <col min="13335" max="13335" width="10.85546875" style="2" customWidth="1"/>
    <col min="13336" max="13336" width="14.7109375" style="2" customWidth="1"/>
    <col min="13337" max="13337" width="0" style="2" hidden="1" customWidth="1"/>
    <col min="13338" max="13338" width="13" style="2" customWidth="1"/>
    <col min="13339" max="13339" width="12.7109375" style="2" customWidth="1"/>
    <col min="13340" max="13340" width="13.140625" style="2" customWidth="1"/>
    <col min="13341" max="13341" width="14" style="2" customWidth="1"/>
    <col min="13342" max="13342" width="8.140625" style="2" customWidth="1"/>
    <col min="13343" max="13343" width="11.5703125" style="2" customWidth="1"/>
    <col min="13344" max="13344" width="24.7109375" style="2" customWidth="1"/>
    <col min="13345" max="13345" width="12" style="2" customWidth="1"/>
    <col min="13346" max="13347" width="0.28515625" style="2" customWidth="1"/>
    <col min="13348" max="13348" width="1.42578125" style="2" customWidth="1"/>
    <col min="13349" max="13349" width="0" style="2" hidden="1" customWidth="1"/>
    <col min="13350" max="13568" width="11.42578125" style="2"/>
    <col min="13569" max="13569" width="8" style="2" customWidth="1"/>
    <col min="13570" max="13570" width="13.42578125" style="2" customWidth="1"/>
    <col min="13571" max="13571" width="4.28515625" style="2" customWidth="1"/>
    <col min="13572" max="13572" width="4" style="2" customWidth="1"/>
    <col min="13573" max="13573" width="17" style="2" customWidth="1"/>
    <col min="13574" max="13574" width="4.140625" style="2" customWidth="1"/>
    <col min="13575" max="13575" width="11.28515625" style="2" customWidth="1"/>
    <col min="13576" max="13576" width="11" style="2" customWidth="1"/>
    <col min="13577" max="13578" width="2.140625" style="2" customWidth="1"/>
    <col min="13579" max="13579" width="3.28515625" style="2" customWidth="1"/>
    <col min="13580" max="13581" width="0" style="2" hidden="1" customWidth="1"/>
    <col min="13582" max="13582" width="2.85546875" style="2" customWidth="1"/>
    <col min="13583" max="13583" width="3.28515625" style="2" customWidth="1"/>
    <col min="13584" max="13584" width="1.5703125" style="2" customWidth="1"/>
    <col min="13585" max="13585" width="0" style="2" hidden="1" customWidth="1"/>
    <col min="13586" max="13586" width="6.85546875" style="2" customWidth="1"/>
    <col min="13587" max="13587" width="0" style="2" hidden="1" customWidth="1"/>
    <col min="13588" max="13589" width="6.28515625" style="2" customWidth="1"/>
    <col min="13590" max="13590" width="13.85546875" style="2" customWidth="1"/>
    <col min="13591" max="13591" width="10.85546875" style="2" customWidth="1"/>
    <col min="13592" max="13592" width="14.7109375" style="2" customWidth="1"/>
    <col min="13593" max="13593" width="0" style="2" hidden="1" customWidth="1"/>
    <col min="13594" max="13594" width="13" style="2" customWidth="1"/>
    <col min="13595" max="13595" width="12.7109375" style="2" customWidth="1"/>
    <col min="13596" max="13596" width="13.140625" style="2" customWidth="1"/>
    <col min="13597" max="13597" width="14" style="2" customWidth="1"/>
    <col min="13598" max="13598" width="8.140625" style="2" customWidth="1"/>
    <col min="13599" max="13599" width="11.5703125" style="2" customWidth="1"/>
    <col min="13600" max="13600" width="24.7109375" style="2" customWidth="1"/>
    <col min="13601" max="13601" width="12" style="2" customWidth="1"/>
    <col min="13602" max="13603" width="0.28515625" style="2" customWidth="1"/>
    <col min="13604" max="13604" width="1.42578125" style="2" customWidth="1"/>
    <col min="13605" max="13605" width="0" style="2" hidden="1" customWidth="1"/>
    <col min="13606" max="13824" width="11.42578125" style="2"/>
    <col min="13825" max="13825" width="8" style="2" customWidth="1"/>
    <col min="13826" max="13826" width="13.42578125" style="2" customWidth="1"/>
    <col min="13827" max="13827" width="4.28515625" style="2" customWidth="1"/>
    <col min="13828" max="13828" width="4" style="2" customWidth="1"/>
    <col min="13829" max="13829" width="17" style="2" customWidth="1"/>
    <col min="13830" max="13830" width="4.140625" style="2" customWidth="1"/>
    <col min="13831" max="13831" width="11.28515625" style="2" customWidth="1"/>
    <col min="13832" max="13832" width="11" style="2" customWidth="1"/>
    <col min="13833" max="13834" width="2.140625" style="2" customWidth="1"/>
    <col min="13835" max="13835" width="3.28515625" style="2" customWidth="1"/>
    <col min="13836" max="13837" width="0" style="2" hidden="1" customWidth="1"/>
    <col min="13838" max="13838" width="2.85546875" style="2" customWidth="1"/>
    <col min="13839" max="13839" width="3.28515625" style="2" customWidth="1"/>
    <col min="13840" max="13840" width="1.5703125" style="2" customWidth="1"/>
    <col min="13841" max="13841" width="0" style="2" hidden="1" customWidth="1"/>
    <col min="13842" max="13842" width="6.85546875" style="2" customWidth="1"/>
    <col min="13843" max="13843" width="0" style="2" hidden="1" customWidth="1"/>
    <col min="13844" max="13845" width="6.28515625" style="2" customWidth="1"/>
    <col min="13846" max="13846" width="13.85546875" style="2" customWidth="1"/>
    <col min="13847" max="13847" width="10.85546875" style="2" customWidth="1"/>
    <col min="13848" max="13848" width="14.7109375" style="2" customWidth="1"/>
    <col min="13849" max="13849" width="0" style="2" hidden="1" customWidth="1"/>
    <col min="13850" max="13850" width="13" style="2" customWidth="1"/>
    <col min="13851" max="13851" width="12.7109375" style="2" customWidth="1"/>
    <col min="13852" max="13852" width="13.140625" style="2" customWidth="1"/>
    <col min="13853" max="13853" width="14" style="2" customWidth="1"/>
    <col min="13854" max="13854" width="8.140625" style="2" customWidth="1"/>
    <col min="13855" max="13855" width="11.5703125" style="2" customWidth="1"/>
    <col min="13856" max="13856" width="24.7109375" style="2" customWidth="1"/>
    <col min="13857" max="13857" width="12" style="2" customWidth="1"/>
    <col min="13858" max="13859" width="0.28515625" style="2" customWidth="1"/>
    <col min="13860" max="13860" width="1.42578125" style="2" customWidth="1"/>
    <col min="13861" max="13861" width="0" style="2" hidden="1" customWidth="1"/>
    <col min="13862" max="14080" width="11.42578125" style="2"/>
    <col min="14081" max="14081" width="8" style="2" customWidth="1"/>
    <col min="14082" max="14082" width="13.42578125" style="2" customWidth="1"/>
    <col min="14083" max="14083" width="4.28515625" style="2" customWidth="1"/>
    <col min="14084" max="14084" width="4" style="2" customWidth="1"/>
    <col min="14085" max="14085" width="17" style="2" customWidth="1"/>
    <col min="14086" max="14086" width="4.140625" style="2" customWidth="1"/>
    <col min="14087" max="14087" width="11.28515625" style="2" customWidth="1"/>
    <col min="14088" max="14088" width="11" style="2" customWidth="1"/>
    <col min="14089" max="14090" width="2.140625" style="2" customWidth="1"/>
    <col min="14091" max="14091" width="3.28515625" style="2" customWidth="1"/>
    <col min="14092" max="14093" width="0" style="2" hidden="1" customWidth="1"/>
    <col min="14094" max="14094" width="2.85546875" style="2" customWidth="1"/>
    <col min="14095" max="14095" width="3.28515625" style="2" customWidth="1"/>
    <col min="14096" max="14096" width="1.5703125" style="2" customWidth="1"/>
    <col min="14097" max="14097" width="0" style="2" hidden="1" customWidth="1"/>
    <col min="14098" max="14098" width="6.85546875" style="2" customWidth="1"/>
    <col min="14099" max="14099" width="0" style="2" hidden="1" customWidth="1"/>
    <col min="14100" max="14101" width="6.28515625" style="2" customWidth="1"/>
    <col min="14102" max="14102" width="13.85546875" style="2" customWidth="1"/>
    <col min="14103" max="14103" width="10.85546875" style="2" customWidth="1"/>
    <col min="14104" max="14104" width="14.7109375" style="2" customWidth="1"/>
    <col min="14105" max="14105" width="0" style="2" hidden="1" customWidth="1"/>
    <col min="14106" max="14106" width="13" style="2" customWidth="1"/>
    <col min="14107" max="14107" width="12.7109375" style="2" customWidth="1"/>
    <col min="14108" max="14108" width="13.140625" style="2" customWidth="1"/>
    <col min="14109" max="14109" width="14" style="2" customWidth="1"/>
    <col min="14110" max="14110" width="8.140625" style="2" customWidth="1"/>
    <col min="14111" max="14111" width="11.5703125" style="2" customWidth="1"/>
    <col min="14112" max="14112" width="24.7109375" style="2" customWidth="1"/>
    <col min="14113" max="14113" width="12" style="2" customWidth="1"/>
    <col min="14114" max="14115" width="0.28515625" style="2" customWidth="1"/>
    <col min="14116" max="14116" width="1.42578125" style="2" customWidth="1"/>
    <col min="14117" max="14117" width="0" style="2" hidden="1" customWidth="1"/>
    <col min="14118" max="14336" width="11.42578125" style="2"/>
    <col min="14337" max="14337" width="8" style="2" customWidth="1"/>
    <col min="14338" max="14338" width="13.42578125" style="2" customWidth="1"/>
    <col min="14339" max="14339" width="4.28515625" style="2" customWidth="1"/>
    <col min="14340" max="14340" width="4" style="2" customWidth="1"/>
    <col min="14341" max="14341" width="17" style="2" customWidth="1"/>
    <col min="14342" max="14342" width="4.140625" style="2" customWidth="1"/>
    <col min="14343" max="14343" width="11.28515625" style="2" customWidth="1"/>
    <col min="14344" max="14344" width="11" style="2" customWidth="1"/>
    <col min="14345" max="14346" width="2.140625" style="2" customWidth="1"/>
    <col min="14347" max="14347" width="3.28515625" style="2" customWidth="1"/>
    <col min="14348" max="14349" width="0" style="2" hidden="1" customWidth="1"/>
    <col min="14350" max="14350" width="2.85546875" style="2" customWidth="1"/>
    <col min="14351" max="14351" width="3.28515625" style="2" customWidth="1"/>
    <col min="14352" max="14352" width="1.5703125" style="2" customWidth="1"/>
    <col min="14353" max="14353" width="0" style="2" hidden="1" customWidth="1"/>
    <col min="14354" max="14354" width="6.85546875" style="2" customWidth="1"/>
    <col min="14355" max="14355" width="0" style="2" hidden="1" customWidth="1"/>
    <col min="14356" max="14357" width="6.28515625" style="2" customWidth="1"/>
    <col min="14358" max="14358" width="13.85546875" style="2" customWidth="1"/>
    <col min="14359" max="14359" width="10.85546875" style="2" customWidth="1"/>
    <col min="14360" max="14360" width="14.7109375" style="2" customWidth="1"/>
    <col min="14361" max="14361" width="0" style="2" hidden="1" customWidth="1"/>
    <col min="14362" max="14362" width="13" style="2" customWidth="1"/>
    <col min="14363" max="14363" width="12.7109375" style="2" customWidth="1"/>
    <col min="14364" max="14364" width="13.140625" style="2" customWidth="1"/>
    <col min="14365" max="14365" width="14" style="2" customWidth="1"/>
    <col min="14366" max="14366" width="8.140625" style="2" customWidth="1"/>
    <col min="14367" max="14367" width="11.5703125" style="2" customWidth="1"/>
    <col min="14368" max="14368" width="24.7109375" style="2" customWidth="1"/>
    <col min="14369" max="14369" width="12" style="2" customWidth="1"/>
    <col min="14370" max="14371" width="0.28515625" style="2" customWidth="1"/>
    <col min="14372" max="14372" width="1.42578125" style="2" customWidth="1"/>
    <col min="14373" max="14373" width="0" style="2" hidden="1" customWidth="1"/>
    <col min="14374" max="14592" width="11.42578125" style="2"/>
    <col min="14593" max="14593" width="8" style="2" customWidth="1"/>
    <col min="14594" max="14594" width="13.42578125" style="2" customWidth="1"/>
    <col min="14595" max="14595" width="4.28515625" style="2" customWidth="1"/>
    <col min="14596" max="14596" width="4" style="2" customWidth="1"/>
    <col min="14597" max="14597" width="17" style="2" customWidth="1"/>
    <col min="14598" max="14598" width="4.140625" style="2" customWidth="1"/>
    <col min="14599" max="14599" width="11.28515625" style="2" customWidth="1"/>
    <col min="14600" max="14600" width="11" style="2" customWidth="1"/>
    <col min="14601" max="14602" width="2.140625" style="2" customWidth="1"/>
    <col min="14603" max="14603" width="3.28515625" style="2" customWidth="1"/>
    <col min="14604" max="14605" width="0" style="2" hidden="1" customWidth="1"/>
    <col min="14606" max="14606" width="2.85546875" style="2" customWidth="1"/>
    <col min="14607" max="14607" width="3.28515625" style="2" customWidth="1"/>
    <col min="14608" max="14608" width="1.5703125" style="2" customWidth="1"/>
    <col min="14609" max="14609" width="0" style="2" hidden="1" customWidth="1"/>
    <col min="14610" max="14610" width="6.85546875" style="2" customWidth="1"/>
    <col min="14611" max="14611" width="0" style="2" hidden="1" customWidth="1"/>
    <col min="14612" max="14613" width="6.28515625" style="2" customWidth="1"/>
    <col min="14614" max="14614" width="13.85546875" style="2" customWidth="1"/>
    <col min="14615" max="14615" width="10.85546875" style="2" customWidth="1"/>
    <col min="14616" max="14616" width="14.7109375" style="2" customWidth="1"/>
    <col min="14617" max="14617" width="0" style="2" hidden="1" customWidth="1"/>
    <col min="14618" max="14618" width="13" style="2" customWidth="1"/>
    <col min="14619" max="14619" width="12.7109375" style="2" customWidth="1"/>
    <col min="14620" max="14620" width="13.140625" style="2" customWidth="1"/>
    <col min="14621" max="14621" width="14" style="2" customWidth="1"/>
    <col min="14622" max="14622" width="8.140625" style="2" customWidth="1"/>
    <col min="14623" max="14623" width="11.5703125" style="2" customWidth="1"/>
    <col min="14624" max="14624" width="24.7109375" style="2" customWidth="1"/>
    <col min="14625" max="14625" width="12" style="2" customWidth="1"/>
    <col min="14626" max="14627" width="0.28515625" style="2" customWidth="1"/>
    <col min="14628" max="14628" width="1.42578125" style="2" customWidth="1"/>
    <col min="14629" max="14629" width="0" style="2" hidden="1" customWidth="1"/>
    <col min="14630" max="14848" width="11.42578125" style="2"/>
    <col min="14849" max="14849" width="8" style="2" customWidth="1"/>
    <col min="14850" max="14850" width="13.42578125" style="2" customWidth="1"/>
    <col min="14851" max="14851" width="4.28515625" style="2" customWidth="1"/>
    <col min="14852" max="14852" width="4" style="2" customWidth="1"/>
    <col min="14853" max="14853" width="17" style="2" customWidth="1"/>
    <col min="14854" max="14854" width="4.140625" style="2" customWidth="1"/>
    <col min="14855" max="14855" width="11.28515625" style="2" customWidth="1"/>
    <col min="14856" max="14856" width="11" style="2" customWidth="1"/>
    <col min="14857" max="14858" width="2.140625" style="2" customWidth="1"/>
    <col min="14859" max="14859" width="3.28515625" style="2" customWidth="1"/>
    <col min="14860" max="14861" width="0" style="2" hidden="1" customWidth="1"/>
    <col min="14862" max="14862" width="2.85546875" style="2" customWidth="1"/>
    <col min="14863" max="14863" width="3.28515625" style="2" customWidth="1"/>
    <col min="14864" max="14864" width="1.5703125" style="2" customWidth="1"/>
    <col min="14865" max="14865" width="0" style="2" hidden="1" customWidth="1"/>
    <col min="14866" max="14866" width="6.85546875" style="2" customWidth="1"/>
    <col min="14867" max="14867" width="0" style="2" hidden="1" customWidth="1"/>
    <col min="14868" max="14869" width="6.28515625" style="2" customWidth="1"/>
    <col min="14870" max="14870" width="13.85546875" style="2" customWidth="1"/>
    <col min="14871" max="14871" width="10.85546875" style="2" customWidth="1"/>
    <col min="14872" max="14872" width="14.7109375" style="2" customWidth="1"/>
    <col min="14873" max="14873" width="0" style="2" hidden="1" customWidth="1"/>
    <col min="14874" max="14874" width="13" style="2" customWidth="1"/>
    <col min="14875" max="14875" width="12.7109375" style="2" customWidth="1"/>
    <col min="14876" max="14876" width="13.140625" style="2" customWidth="1"/>
    <col min="14877" max="14877" width="14" style="2" customWidth="1"/>
    <col min="14878" max="14878" width="8.140625" style="2" customWidth="1"/>
    <col min="14879" max="14879" width="11.5703125" style="2" customWidth="1"/>
    <col min="14880" max="14880" width="24.7109375" style="2" customWidth="1"/>
    <col min="14881" max="14881" width="12" style="2" customWidth="1"/>
    <col min="14882" max="14883" width="0.28515625" style="2" customWidth="1"/>
    <col min="14884" max="14884" width="1.42578125" style="2" customWidth="1"/>
    <col min="14885" max="14885" width="0" style="2" hidden="1" customWidth="1"/>
    <col min="14886" max="15104" width="11.42578125" style="2"/>
    <col min="15105" max="15105" width="8" style="2" customWidth="1"/>
    <col min="15106" max="15106" width="13.42578125" style="2" customWidth="1"/>
    <col min="15107" max="15107" width="4.28515625" style="2" customWidth="1"/>
    <col min="15108" max="15108" width="4" style="2" customWidth="1"/>
    <col min="15109" max="15109" width="17" style="2" customWidth="1"/>
    <col min="15110" max="15110" width="4.140625" style="2" customWidth="1"/>
    <col min="15111" max="15111" width="11.28515625" style="2" customWidth="1"/>
    <col min="15112" max="15112" width="11" style="2" customWidth="1"/>
    <col min="15113" max="15114" width="2.140625" style="2" customWidth="1"/>
    <col min="15115" max="15115" width="3.28515625" style="2" customWidth="1"/>
    <col min="15116" max="15117" width="0" style="2" hidden="1" customWidth="1"/>
    <col min="15118" max="15118" width="2.85546875" style="2" customWidth="1"/>
    <col min="15119" max="15119" width="3.28515625" style="2" customWidth="1"/>
    <col min="15120" max="15120" width="1.5703125" style="2" customWidth="1"/>
    <col min="15121" max="15121" width="0" style="2" hidden="1" customWidth="1"/>
    <col min="15122" max="15122" width="6.85546875" style="2" customWidth="1"/>
    <col min="15123" max="15123" width="0" style="2" hidden="1" customWidth="1"/>
    <col min="15124" max="15125" width="6.28515625" style="2" customWidth="1"/>
    <col min="15126" max="15126" width="13.85546875" style="2" customWidth="1"/>
    <col min="15127" max="15127" width="10.85546875" style="2" customWidth="1"/>
    <col min="15128" max="15128" width="14.7109375" style="2" customWidth="1"/>
    <col min="15129" max="15129" width="0" style="2" hidden="1" customWidth="1"/>
    <col min="15130" max="15130" width="13" style="2" customWidth="1"/>
    <col min="15131" max="15131" width="12.7109375" style="2" customWidth="1"/>
    <col min="15132" max="15132" width="13.140625" style="2" customWidth="1"/>
    <col min="15133" max="15133" width="14" style="2" customWidth="1"/>
    <col min="15134" max="15134" width="8.140625" style="2" customWidth="1"/>
    <col min="15135" max="15135" width="11.5703125" style="2" customWidth="1"/>
    <col min="15136" max="15136" width="24.7109375" style="2" customWidth="1"/>
    <col min="15137" max="15137" width="12" style="2" customWidth="1"/>
    <col min="15138" max="15139" width="0.28515625" style="2" customWidth="1"/>
    <col min="15140" max="15140" width="1.42578125" style="2" customWidth="1"/>
    <col min="15141" max="15141" width="0" style="2" hidden="1" customWidth="1"/>
    <col min="15142" max="15360" width="11.42578125" style="2"/>
    <col min="15361" max="15361" width="8" style="2" customWidth="1"/>
    <col min="15362" max="15362" width="13.42578125" style="2" customWidth="1"/>
    <col min="15363" max="15363" width="4.28515625" style="2" customWidth="1"/>
    <col min="15364" max="15364" width="4" style="2" customWidth="1"/>
    <col min="15365" max="15365" width="17" style="2" customWidth="1"/>
    <col min="15366" max="15366" width="4.140625" style="2" customWidth="1"/>
    <col min="15367" max="15367" width="11.28515625" style="2" customWidth="1"/>
    <col min="15368" max="15368" width="11" style="2" customWidth="1"/>
    <col min="15369" max="15370" width="2.140625" style="2" customWidth="1"/>
    <col min="15371" max="15371" width="3.28515625" style="2" customWidth="1"/>
    <col min="15372" max="15373" width="0" style="2" hidden="1" customWidth="1"/>
    <col min="15374" max="15374" width="2.85546875" style="2" customWidth="1"/>
    <col min="15375" max="15375" width="3.28515625" style="2" customWidth="1"/>
    <col min="15376" max="15376" width="1.5703125" style="2" customWidth="1"/>
    <col min="15377" max="15377" width="0" style="2" hidden="1" customWidth="1"/>
    <col min="15378" max="15378" width="6.85546875" style="2" customWidth="1"/>
    <col min="15379" max="15379" width="0" style="2" hidden="1" customWidth="1"/>
    <col min="15380" max="15381" width="6.28515625" style="2" customWidth="1"/>
    <col min="15382" max="15382" width="13.85546875" style="2" customWidth="1"/>
    <col min="15383" max="15383" width="10.85546875" style="2" customWidth="1"/>
    <col min="15384" max="15384" width="14.7109375" style="2" customWidth="1"/>
    <col min="15385" max="15385" width="0" style="2" hidden="1" customWidth="1"/>
    <col min="15386" max="15386" width="13" style="2" customWidth="1"/>
    <col min="15387" max="15387" width="12.7109375" style="2" customWidth="1"/>
    <col min="15388" max="15388" width="13.140625" style="2" customWidth="1"/>
    <col min="15389" max="15389" width="14" style="2" customWidth="1"/>
    <col min="15390" max="15390" width="8.140625" style="2" customWidth="1"/>
    <col min="15391" max="15391" width="11.5703125" style="2" customWidth="1"/>
    <col min="15392" max="15392" width="24.7109375" style="2" customWidth="1"/>
    <col min="15393" max="15393" width="12" style="2" customWidth="1"/>
    <col min="15394" max="15395" width="0.28515625" style="2" customWidth="1"/>
    <col min="15396" max="15396" width="1.42578125" style="2" customWidth="1"/>
    <col min="15397" max="15397" width="0" style="2" hidden="1" customWidth="1"/>
    <col min="15398" max="15616" width="11.42578125" style="2"/>
    <col min="15617" max="15617" width="8" style="2" customWidth="1"/>
    <col min="15618" max="15618" width="13.42578125" style="2" customWidth="1"/>
    <col min="15619" max="15619" width="4.28515625" style="2" customWidth="1"/>
    <col min="15620" max="15620" width="4" style="2" customWidth="1"/>
    <col min="15621" max="15621" width="17" style="2" customWidth="1"/>
    <col min="15622" max="15622" width="4.140625" style="2" customWidth="1"/>
    <col min="15623" max="15623" width="11.28515625" style="2" customWidth="1"/>
    <col min="15624" max="15624" width="11" style="2" customWidth="1"/>
    <col min="15625" max="15626" width="2.140625" style="2" customWidth="1"/>
    <col min="15627" max="15627" width="3.28515625" style="2" customWidth="1"/>
    <col min="15628" max="15629" width="0" style="2" hidden="1" customWidth="1"/>
    <col min="15630" max="15630" width="2.85546875" style="2" customWidth="1"/>
    <col min="15631" max="15631" width="3.28515625" style="2" customWidth="1"/>
    <col min="15632" max="15632" width="1.5703125" style="2" customWidth="1"/>
    <col min="15633" max="15633" width="0" style="2" hidden="1" customWidth="1"/>
    <col min="15634" max="15634" width="6.85546875" style="2" customWidth="1"/>
    <col min="15635" max="15635" width="0" style="2" hidden="1" customWidth="1"/>
    <col min="15636" max="15637" width="6.28515625" style="2" customWidth="1"/>
    <col min="15638" max="15638" width="13.85546875" style="2" customWidth="1"/>
    <col min="15639" max="15639" width="10.85546875" style="2" customWidth="1"/>
    <col min="15640" max="15640" width="14.7109375" style="2" customWidth="1"/>
    <col min="15641" max="15641" width="0" style="2" hidden="1" customWidth="1"/>
    <col min="15642" max="15642" width="13" style="2" customWidth="1"/>
    <col min="15643" max="15643" width="12.7109375" style="2" customWidth="1"/>
    <col min="15644" max="15644" width="13.140625" style="2" customWidth="1"/>
    <col min="15645" max="15645" width="14" style="2" customWidth="1"/>
    <col min="15646" max="15646" width="8.140625" style="2" customWidth="1"/>
    <col min="15647" max="15647" width="11.5703125" style="2" customWidth="1"/>
    <col min="15648" max="15648" width="24.7109375" style="2" customWidth="1"/>
    <col min="15649" max="15649" width="12" style="2" customWidth="1"/>
    <col min="15650" max="15651" width="0.28515625" style="2" customWidth="1"/>
    <col min="15652" max="15652" width="1.42578125" style="2" customWidth="1"/>
    <col min="15653" max="15653" width="0" style="2" hidden="1" customWidth="1"/>
    <col min="15654" max="15872" width="11.42578125" style="2"/>
    <col min="15873" max="15873" width="8" style="2" customWidth="1"/>
    <col min="15874" max="15874" width="13.42578125" style="2" customWidth="1"/>
    <col min="15875" max="15875" width="4.28515625" style="2" customWidth="1"/>
    <col min="15876" max="15876" width="4" style="2" customWidth="1"/>
    <col min="15877" max="15877" width="17" style="2" customWidth="1"/>
    <col min="15878" max="15878" width="4.140625" style="2" customWidth="1"/>
    <col min="15879" max="15879" width="11.28515625" style="2" customWidth="1"/>
    <col min="15880" max="15880" width="11" style="2" customWidth="1"/>
    <col min="15881" max="15882" width="2.140625" style="2" customWidth="1"/>
    <col min="15883" max="15883" width="3.28515625" style="2" customWidth="1"/>
    <col min="15884" max="15885" width="0" style="2" hidden="1" customWidth="1"/>
    <col min="15886" max="15886" width="2.85546875" style="2" customWidth="1"/>
    <col min="15887" max="15887" width="3.28515625" style="2" customWidth="1"/>
    <col min="15888" max="15888" width="1.5703125" style="2" customWidth="1"/>
    <col min="15889" max="15889" width="0" style="2" hidden="1" customWidth="1"/>
    <col min="15890" max="15890" width="6.85546875" style="2" customWidth="1"/>
    <col min="15891" max="15891" width="0" style="2" hidden="1" customWidth="1"/>
    <col min="15892" max="15893" width="6.28515625" style="2" customWidth="1"/>
    <col min="15894" max="15894" width="13.85546875" style="2" customWidth="1"/>
    <col min="15895" max="15895" width="10.85546875" style="2" customWidth="1"/>
    <col min="15896" max="15896" width="14.7109375" style="2" customWidth="1"/>
    <col min="15897" max="15897" width="0" style="2" hidden="1" customWidth="1"/>
    <col min="15898" max="15898" width="13" style="2" customWidth="1"/>
    <col min="15899" max="15899" width="12.7109375" style="2" customWidth="1"/>
    <col min="15900" max="15900" width="13.140625" style="2" customWidth="1"/>
    <col min="15901" max="15901" width="14" style="2" customWidth="1"/>
    <col min="15902" max="15902" width="8.140625" style="2" customWidth="1"/>
    <col min="15903" max="15903" width="11.5703125" style="2" customWidth="1"/>
    <col min="15904" max="15904" width="24.7109375" style="2" customWidth="1"/>
    <col min="15905" max="15905" width="12" style="2" customWidth="1"/>
    <col min="15906" max="15907" width="0.28515625" style="2" customWidth="1"/>
    <col min="15908" max="15908" width="1.42578125" style="2" customWidth="1"/>
    <col min="15909" max="15909" width="0" style="2" hidden="1" customWidth="1"/>
    <col min="15910" max="16128" width="11.42578125" style="2"/>
    <col min="16129" max="16129" width="8" style="2" customWidth="1"/>
    <col min="16130" max="16130" width="13.42578125" style="2" customWidth="1"/>
    <col min="16131" max="16131" width="4.28515625" style="2" customWidth="1"/>
    <col min="16132" max="16132" width="4" style="2" customWidth="1"/>
    <col min="16133" max="16133" width="17" style="2" customWidth="1"/>
    <col min="16134" max="16134" width="4.140625" style="2" customWidth="1"/>
    <col min="16135" max="16135" width="11.28515625" style="2" customWidth="1"/>
    <col min="16136" max="16136" width="11" style="2" customWidth="1"/>
    <col min="16137" max="16138" width="2.140625" style="2" customWidth="1"/>
    <col min="16139" max="16139" width="3.28515625" style="2" customWidth="1"/>
    <col min="16140" max="16141" width="0" style="2" hidden="1" customWidth="1"/>
    <col min="16142" max="16142" width="2.85546875" style="2" customWidth="1"/>
    <col min="16143" max="16143" width="3.28515625" style="2" customWidth="1"/>
    <col min="16144" max="16144" width="1.5703125" style="2" customWidth="1"/>
    <col min="16145" max="16145" width="0" style="2" hidden="1" customWidth="1"/>
    <col min="16146" max="16146" width="6.85546875" style="2" customWidth="1"/>
    <col min="16147" max="16147" width="0" style="2" hidden="1" customWidth="1"/>
    <col min="16148" max="16149" width="6.28515625" style="2" customWidth="1"/>
    <col min="16150" max="16150" width="13.85546875" style="2" customWidth="1"/>
    <col min="16151" max="16151" width="10.85546875" style="2" customWidth="1"/>
    <col min="16152" max="16152" width="14.7109375" style="2" customWidth="1"/>
    <col min="16153" max="16153" width="0" style="2" hidden="1" customWidth="1"/>
    <col min="16154" max="16154" width="13" style="2" customWidth="1"/>
    <col min="16155" max="16155" width="12.7109375" style="2" customWidth="1"/>
    <col min="16156" max="16156" width="13.140625" style="2" customWidth="1"/>
    <col min="16157" max="16157" width="14" style="2" customWidth="1"/>
    <col min="16158" max="16158" width="8.140625" style="2" customWidth="1"/>
    <col min="16159" max="16159" width="11.5703125" style="2" customWidth="1"/>
    <col min="16160" max="16160" width="24.7109375" style="2" customWidth="1"/>
    <col min="16161" max="16161" width="12" style="2" customWidth="1"/>
    <col min="16162" max="16163" width="0.28515625" style="2" customWidth="1"/>
    <col min="16164" max="16164" width="1.42578125" style="2" customWidth="1"/>
    <col min="16165" max="16165" width="0" style="2" hidden="1" customWidth="1"/>
    <col min="16166" max="16384" width="11.42578125" style="2"/>
  </cols>
  <sheetData>
    <row r="1" spans="1:38" ht="45" customHeight="1">
      <c r="A1" s="600"/>
      <c r="B1" s="600"/>
      <c r="C1" s="601" t="s">
        <v>0</v>
      </c>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2" t="s">
        <v>95</v>
      </c>
      <c r="AH1" s="3" t="s">
        <v>17</v>
      </c>
      <c r="AI1" s="6" t="s">
        <v>23</v>
      </c>
    </row>
    <row r="2" spans="1:38" ht="45" customHeight="1">
      <c r="A2" s="600"/>
      <c r="B2" s="600"/>
      <c r="C2" s="603" t="s">
        <v>37</v>
      </c>
      <c r="D2" s="603"/>
      <c r="E2" s="603"/>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2"/>
      <c r="AH2" s="2" t="s">
        <v>18</v>
      </c>
      <c r="AI2" s="7" t="s">
        <v>24</v>
      </c>
    </row>
    <row r="3" spans="1:38"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H3" s="3" t="s">
        <v>16</v>
      </c>
      <c r="AI3" s="6" t="s">
        <v>25</v>
      </c>
    </row>
    <row r="4" spans="1:38" ht="30.75" customHeight="1">
      <c r="A4" s="597" t="s">
        <v>5</v>
      </c>
      <c r="B4" s="597"/>
      <c r="C4" s="597"/>
      <c r="D4" s="597"/>
      <c r="E4" s="598" t="s">
        <v>582</v>
      </c>
      <c r="F4" s="598"/>
      <c r="G4" s="598"/>
      <c r="H4" s="598"/>
      <c r="I4" s="598"/>
      <c r="J4" s="598"/>
      <c r="K4" s="598"/>
      <c r="L4" s="598"/>
      <c r="M4" s="598"/>
      <c r="N4" s="598"/>
      <c r="O4" s="598"/>
      <c r="P4" s="598"/>
      <c r="Q4" s="598"/>
      <c r="R4" s="598"/>
      <c r="S4" s="598"/>
      <c r="T4" s="598"/>
      <c r="U4" s="598"/>
      <c r="V4" s="599" t="s">
        <v>20</v>
      </c>
      <c r="W4" s="599"/>
      <c r="X4" s="598" t="s">
        <v>583</v>
      </c>
      <c r="Y4" s="598"/>
      <c r="Z4" s="598"/>
      <c r="AA4" s="598"/>
      <c r="AB4" s="598"/>
      <c r="AC4" s="598"/>
      <c r="AD4" s="599" t="s">
        <v>98</v>
      </c>
      <c r="AE4" s="599"/>
      <c r="AF4" s="45" t="s">
        <v>99</v>
      </c>
      <c r="AH4" s="6" t="s">
        <v>19</v>
      </c>
    </row>
    <row r="5" spans="1:38" ht="4.5" customHeight="1" thickBo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row>
    <row r="6" spans="1:38" ht="57" customHeight="1">
      <c r="A6" s="605" t="s">
        <v>39</v>
      </c>
      <c r="B6" s="606"/>
      <c r="C6" s="599" t="s">
        <v>1</v>
      </c>
      <c r="D6" s="599" t="s">
        <v>100</v>
      </c>
      <c r="E6" s="599"/>
      <c r="F6" s="608" t="s">
        <v>6</v>
      </c>
      <c r="G6" s="599" t="s">
        <v>9</v>
      </c>
      <c r="H6" s="599" t="s">
        <v>2</v>
      </c>
      <c r="I6" s="599" t="s">
        <v>21</v>
      </c>
      <c r="J6" s="599"/>
      <c r="K6" s="599"/>
      <c r="L6" s="599"/>
      <c r="M6" s="599"/>
      <c r="N6" s="599"/>
      <c r="O6" s="599"/>
      <c r="P6" s="599"/>
      <c r="Q6" s="599"/>
      <c r="R6" s="599"/>
      <c r="S6" s="599"/>
      <c r="T6" s="599"/>
      <c r="U6" s="599"/>
      <c r="V6" s="599" t="s">
        <v>101</v>
      </c>
      <c r="W6" s="599" t="s">
        <v>3</v>
      </c>
      <c r="X6" s="599"/>
      <c r="Y6" s="599"/>
      <c r="Z6" s="610" t="s">
        <v>102</v>
      </c>
      <c r="AA6" s="610" t="s">
        <v>103</v>
      </c>
      <c r="AB6" s="610" t="s">
        <v>4</v>
      </c>
      <c r="AC6" s="610"/>
      <c r="AD6" s="599" t="s">
        <v>104</v>
      </c>
      <c r="AE6" s="599" t="s">
        <v>105</v>
      </c>
      <c r="AF6" s="599" t="s">
        <v>106</v>
      </c>
    </row>
    <row r="7" spans="1:38" ht="37.5" customHeight="1" thickBot="1">
      <c r="A7" s="97" t="s">
        <v>40</v>
      </c>
      <c r="B7" s="98" t="s">
        <v>41</v>
      </c>
      <c r="C7" s="607"/>
      <c r="D7" s="607"/>
      <c r="E7" s="607"/>
      <c r="F7" s="609"/>
      <c r="G7" s="607"/>
      <c r="H7" s="607"/>
      <c r="I7" s="607" t="s">
        <v>11</v>
      </c>
      <c r="J7" s="607"/>
      <c r="K7" s="607"/>
      <c r="L7" s="607"/>
      <c r="M7" s="607"/>
      <c r="N7" s="607"/>
      <c r="O7" s="615" t="s">
        <v>12</v>
      </c>
      <c r="P7" s="615"/>
      <c r="Q7" s="615"/>
      <c r="R7" s="615"/>
      <c r="S7" s="615"/>
      <c r="T7" s="615" t="s">
        <v>13</v>
      </c>
      <c r="U7" s="615"/>
      <c r="V7" s="607"/>
      <c r="W7" s="607"/>
      <c r="X7" s="607"/>
      <c r="Y7" s="607"/>
      <c r="Z7" s="611"/>
      <c r="AA7" s="611"/>
      <c r="AB7" s="88" t="s">
        <v>14</v>
      </c>
      <c r="AC7" s="90" t="s">
        <v>15</v>
      </c>
      <c r="AD7" s="607"/>
      <c r="AE7" s="607"/>
      <c r="AF7" s="607"/>
    </row>
    <row r="8" spans="1:38" ht="89.25" customHeight="1">
      <c r="A8" s="629"/>
      <c r="B8" s="632"/>
      <c r="C8" s="632">
        <v>1</v>
      </c>
      <c r="D8" s="635" t="s">
        <v>584</v>
      </c>
      <c r="E8" s="635"/>
      <c r="F8" s="638">
        <v>43678</v>
      </c>
      <c r="G8" s="612" t="s">
        <v>38</v>
      </c>
      <c r="H8" s="620" t="s">
        <v>23</v>
      </c>
      <c r="I8" s="623" t="s">
        <v>162</v>
      </c>
      <c r="J8" s="623"/>
      <c r="K8" s="623"/>
      <c r="L8" s="623"/>
      <c r="M8" s="623"/>
      <c r="N8" s="623"/>
      <c r="O8" s="623" t="s">
        <v>162</v>
      </c>
      <c r="P8" s="623"/>
      <c r="Q8" s="623"/>
      <c r="R8" s="623"/>
      <c r="S8" s="99"/>
      <c r="T8" s="623" t="s">
        <v>162</v>
      </c>
      <c r="U8" s="623"/>
      <c r="V8" s="626" t="s">
        <v>585</v>
      </c>
      <c r="W8" s="616" t="s">
        <v>586</v>
      </c>
      <c r="X8" s="616"/>
      <c r="Y8" s="616"/>
      <c r="Z8" s="100">
        <v>1</v>
      </c>
      <c r="AA8" s="100" t="s">
        <v>587</v>
      </c>
      <c r="AB8" s="101">
        <v>43709</v>
      </c>
      <c r="AC8" s="101">
        <v>43770</v>
      </c>
      <c r="AD8" s="102">
        <v>1</v>
      </c>
      <c r="AE8" s="103" t="s">
        <v>17</v>
      </c>
      <c r="AF8" s="138" t="s">
        <v>588</v>
      </c>
      <c r="AG8" s="105"/>
      <c r="AH8" s="105"/>
      <c r="AI8" s="92"/>
      <c r="AJ8" s="92"/>
      <c r="AK8" s="92"/>
      <c r="AL8" s="92"/>
    </row>
    <row r="9" spans="1:38" ht="69" customHeight="1">
      <c r="A9" s="630"/>
      <c r="B9" s="633"/>
      <c r="C9" s="633"/>
      <c r="D9" s="636"/>
      <c r="E9" s="636"/>
      <c r="F9" s="639"/>
      <c r="G9" s="613"/>
      <c r="H9" s="621"/>
      <c r="I9" s="624"/>
      <c r="J9" s="624"/>
      <c r="K9" s="624"/>
      <c r="L9" s="624"/>
      <c r="M9" s="624"/>
      <c r="N9" s="624"/>
      <c r="O9" s="624"/>
      <c r="P9" s="624"/>
      <c r="Q9" s="624"/>
      <c r="R9" s="624"/>
      <c r="S9" s="172"/>
      <c r="T9" s="624"/>
      <c r="U9" s="624"/>
      <c r="V9" s="627"/>
      <c r="W9" s="617" t="s">
        <v>589</v>
      </c>
      <c r="X9" s="617"/>
      <c r="Y9" s="617"/>
      <c r="Z9" s="313">
        <v>1</v>
      </c>
      <c r="AA9" s="107" t="s">
        <v>590</v>
      </c>
      <c r="AB9" s="108">
        <v>43771</v>
      </c>
      <c r="AC9" s="108">
        <v>43799</v>
      </c>
      <c r="AD9" s="233">
        <v>1</v>
      </c>
      <c r="AE9" s="87" t="s">
        <v>17</v>
      </c>
      <c r="AF9" s="165" t="s">
        <v>591</v>
      </c>
      <c r="AG9" s="105"/>
      <c r="AH9" s="105"/>
      <c r="AI9" s="92"/>
      <c r="AJ9" s="92"/>
      <c r="AK9" s="92"/>
      <c r="AL9" s="92"/>
    </row>
    <row r="10" spans="1:38" ht="136.5" customHeight="1">
      <c r="A10" s="630"/>
      <c r="B10" s="633"/>
      <c r="C10" s="633"/>
      <c r="D10" s="636"/>
      <c r="E10" s="636"/>
      <c r="F10" s="639"/>
      <c r="G10" s="613"/>
      <c r="H10" s="621"/>
      <c r="I10" s="624"/>
      <c r="J10" s="624"/>
      <c r="K10" s="624"/>
      <c r="L10" s="624"/>
      <c r="M10" s="624"/>
      <c r="N10" s="624"/>
      <c r="O10" s="624"/>
      <c r="P10" s="624"/>
      <c r="Q10" s="624"/>
      <c r="R10" s="624"/>
      <c r="S10" s="172"/>
      <c r="T10" s="624"/>
      <c r="U10" s="624"/>
      <c r="V10" s="627"/>
      <c r="W10" s="618" t="s">
        <v>592</v>
      </c>
      <c r="X10" s="618"/>
      <c r="Y10" s="618"/>
      <c r="Z10" s="107">
        <v>1</v>
      </c>
      <c r="AA10" s="107" t="s">
        <v>593</v>
      </c>
      <c r="AB10" s="108">
        <v>43709</v>
      </c>
      <c r="AC10" s="204">
        <v>43770</v>
      </c>
      <c r="AD10" s="233">
        <v>1</v>
      </c>
      <c r="AE10" s="87" t="s">
        <v>17</v>
      </c>
      <c r="AF10" s="165" t="s">
        <v>594</v>
      </c>
      <c r="AG10" s="105"/>
      <c r="AH10" s="105"/>
      <c r="AI10" s="92"/>
      <c r="AJ10" s="92"/>
      <c r="AK10" s="92"/>
      <c r="AL10" s="92"/>
    </row>
    <row r="11" spans="1:38" ht="69.75" customHeight="1">
      <c r="A11" s="630"/>
      <c r="B11" s="633"/>
      <c r="C11" s="633"/>
      <c r="D11" s="636"/>
      <c r="E11" s="636"/>
      <c r="F11" s="639"/>
      <c r="G11" s="613"/>
      <c r="H11" s="621"/>
      <c r="I11" s="624"/>
      <c r="J11" s="624"/>
      <c r="K11" s="624"/>
      <c r="L11" s="624"/>
      <c r="M11" s="624"/>
      <c r="N11" s="624"/>
      <c r="O11" s="624"/>
      <c r="P11" s="624"/>
      <c r="Q11" s="624"/>
      <c r="R11" s="624"/>
      <c r="S11" s="172"/>
      <c r="T11" s="624"/>
      <c r="U11" s="624"/>
      <c r="V11" s="627"/>
      <c r="W11" s="618" t="s">
        <v>595</v>
      </c>
      <c r="X11" s="618"/>
      <c r="Y11" s="618"/>
      <c r="Z11" s="313">
        <v>1</v>
      </c>
      <c r="AA11" s="107" t="s">
        <v>596</v>
      </c>
      <c r="AB11" s="108">
        <v>43709</v>
      </c>
      <c r="AC11" s="204">
        <v>44013</v>
      </c>
      <c r="AD11" s="233">
        <v>1</v>
      </c>
      <c r="AE11" s="87" t="s">
        <v>17</v>
      </c>
      <c r="AF11" s="165" t="s">
        <v>597</v>
      </c>
      <c r="AG11" s="105"/>
      <c r="AH11" s="105"/>
      <c r="AI11" s="92"/>
      <c r="AJ11" s="92"/>
      <c r="AK11" s="92"/>
      <c r="AL11" s="92"/>
    </row>
    <row r="12" spans="1:38" ht="85.5" customHeight="1" thickBot="1">
      <c r="A12" s="631"/>
      <c r="B12" s="634"/>
      <c r="C12" s="634"/>
      <c r="D12" s="637"/>
      <c r="E12" s="637"/>
      <c r="F12" s="640"/>
      <c r="G12" s="614"/>
      <c r="H12" s="622"/>
      <c r="I12" s="625"/>
      <c r="J12" s="625"/>
      <c r="K12" s="625"/>
      <c r="L12" s="625"/>
      <c r="M12" s="625"/>
      <c r="N12" s="625"/>
      <c r="O12" s="625"/>
      <c r="P12" s="625"/>
      <c r="Q12" s="625"/>
      <c r="R12" s="625"/>
      <c r="S12" s="170"/>
      <c r="T12" s="625"/>
      <c r="U12" s="625"/>
      <c r="V12" s="628"/>
      <c r="W12" s="619" t="s">
        <v>598</v>
      </c>
      <c r="X12" s="619"/>
      <c r="Y12" s="619"/>
      <c r="Z12" s="112">
        <v>1</v>
      </c>
      <c r="AA12" s="112" t="s">
        <v>599</v>
      </c>
      <c r="AB12" s="113">
        <v>44014</v>
      </c>
      <c r="AC12" s="113">
        <v>44045</v>
      </c>
      <c r="AD12" s="114">
        <v>0.5</v>
      </c>
      <c r="AE12" s="169" t="s">
        <v>17</v>
      </c>
      <c r="AF12" s="196" t="s">
        <v>600</v>
      </c>
      <c r="AG12" s="105"/>
      <c r="AH12" s="105"/>
      <c r="AI12" s="92"/>
      <c r="AJ12" s="92"/>
      <c r="AK12" s="92"/>
      <c r="AL12" s="92"/>
    </row>
    <row r="13" spans="1:38" ht="6" customHeight="1">
      <c r="A13" s="643"/>
      <c r="B13" s="643"/>
      <c r="C13" s="643"/>
      <c r="D13" s="643"/>
      <c r="E13" s="643"/>
      <c r="F13" s="643"/>
      <c r="G13" s="643"/>
      <c r="H13" s="643"/>
      <c r="I13" s="643"/>
      <c r="J13" s="643"/>
      <c r="K13" s="643"/>
      <c r="L13" s="643"/>
      <c r="M13" s="643"/>
      <c r="N13" s="643"/>
      <c r="O13" s="643"/>
      <c r="P13" s="643"/>
      <c r="Q13" s="643"/>
      <c r="R13" s="643"/>
      <c r="S13" s="643"/>
      <c r="T13" s="643"/>
      <c r="U13" s="643"/>
      <c r="V13" s="643"/>
      <c r="W13" s="643"/>
      <c r="X13" s="643"/>
      <c r="Y13" s="643"/>
      <c r="Z13" s="643"/>
      <c r="AA13" s="643"/>
      <c r="AB13" s="643"/>
      <c r="AC13" s="643"/>
      <c r="AD13" s="643"/>
      <c r="AE13" s="643"/>
      <c r="AF13" s="643"/>
    </row>
    <row r="14" spans="1:38" ht="12.75" customHeight="1">
      <c r="A14" s="644" t="s">
        <v>22</v>
      </c>
      <c r="B14" s="644"/>
      <c r="C14" s="644"/>
      <c r="D14" s="644"/>
      <c r="E14" s="644"/>
      <c r="F14" s="644"/>
      <c r="G14" s="644"/>
      <c r="H14" s="644"/>
      <c r="I14" s="644"/>
      <c r="J14" s="644"/>
      <c r="K14" s="644"/>
      <c r="L14" s="4"/>
      <c r="M14" s="4"/>
      <c r="N14" s="645" t="s">
        <v>34</v>
      </c>
      <c r="O14" s="645"/>
      <c r="P14" s="645"/>
      <c r="Q14" s="645"/>
      <c r="R14" s="645"/>
      <c r="S14" s="645"/>
      <c r="T14" s="645"/>
      <c r="U14" s="645"/>
      <c r="V14" s="645"/>
      <c r="W14" s="645"/>
      <c r="X14" s="645"/>
      <c r="Y14" s="645"/>
      <c r="Z14" s="645"/>
      <c r="AA14" s="645"/>
      <c r="AB14" s="645"/>
      <c r="AC14" s="646" t="s">
        <v>35</v>
      </c>
      <c r="AD14" s="646"/>
      <c r="AE14" s="646"/>
      <c r="AF14" s="646"/>
    </row>
    <row r="15" spans="1:38">
      <c r="A15" s="644"/>
      <c r="B15" s="644"/>
      <c r="C15" s="644"/>
      <c r="D15" s="644"/>
      <c r="E15" s="644"/>
      <c r="F15" s="644"/>
      <c r="G15" s="644"/>
      <c r="H15" s="644"/>
      <c r="I15" s="644"/>
      <c r="J15" s="644"/>
      <c r="K15" s="644"/>
      <c r="L15" s="4"/>
      <c r="M15" s="4"/>
      <c r="N15" s="645"/>
      <c r="O15" s="645"/>
      <c r="P15" s="645"/>
      <c r="Q15" s="645"/>
      <c r="R15" s="645"/>
      <c r="S15" s="645"/>
      <c r="T15" s="645"/>
      <c r="U15" s="645"/>
      <c r="V15" s="645"/>
      <c r="W15" s="645"/>
      <c r="X15" s="645"/>
      <c r="Y15" s="645"/>
      <c r="Z15" s="645"/>
      <c r="AA15" s="645"/>
      <c r="AB15" s="645"/>
      <c r="AC15" s="646"/>
      <c r="AD15" s="646"/>
      <c r="AE15" s="646"/>
      <c r="AF15" s="646"/>
    </row>
    <row r="16" spans="1:38" ht="38.25" customHeight="1">
      <c r="A16" s="647" t="s">
        <v>601</v>
      </c>
      <c r="B16" s="648"/>
      <c r="C16" s="648"/>
      <c r="D16" s="648"/>
      <c r="E16" s="648"/>
      <c r="F16" s="648"/>
      <c r="G16" s="648"/>
      <c r="H16" s="648"/>
      <c r="I16" s="648"/>
      <c r="J16" s="648"/>
      <c r="K16" s="648"/>
      <c r="L16" s="4"/>
      <c r="M16" s="4"/>
      <c r="N16" s="649" t="s">
        <v>602</v>
      </c>
      <c r="O16" s="650"/>
      <c r="P16" s="650"/>
      <c r="Q16" s="650"/>
      <c r="R16" s="650"/>
      <c r="S16" s="650"/>
      <c r="T16" s="650"/>
      <c r="U16" s="650"/>
      <c r="V16" s="650"/>
      <c r="W16" s="650"/>
      <c r="X16" s="650"/>
      <c r="Y16" s="650"/>
      <c r="Z16" s="650"/>
      <c r="AA16" s="650"/>
      <c r="AB16" s="650"/>
      <c r="AC16" s="651" t="s">
        <v>603</v>
      </c>
      <c r="AD16" s="651"/>
      <c r="AE16" s="651"/>
      <c r="AF16" s="651"/>
    </row>
    <row r="17" spans="1:35" ht="15" customHeight="1">
      <c r="A17" s="641" t="s">
        <v>36</v>
      </c>
      <c r="B17" s="641"/>
      <c r="C17" s="641"/>
      <c r="D17" s="641"/>
      <c r="E17" s="641"/>
      <c r="F17" s="641"/>
      <c r="G17" s="641"/>
      <c r="H17" s="641"/>
      <c r="I17" s="641"/>
      <c r="J17" s="641"/>
      <c r="K17" s="641"/>
      <c r="L17" s="641"/>
      <c r="M17" s="641"/>
      <c r="N17" s="641"/>
      <c r="O17" s="641"/>
      <c r="P17" s="641"/>
      <c r="Q17" s="641"/>
      <c r="R17" s="641"/>
      <c r="S17" s="641"/>
      <c r="T17" s="641"/>
      <c r="U17" s="641"/>
      <c r="V17" s="641"/>
      <c r="W17" s="641"/>
      <c r="X17" s="641"/>
      <c r="Y17" s="641"/>
      <c r="Z17" s="641"/>
      <c r="AA17" s="641"/>
      <c r="AB17" s="641"/>
      <c r="AC17" s="641"/>
      <c r="AD17" s="641"/>
      <c r="AE17" s="641"/>
      <c r="AF17" s="641"/>
    </row>
    <row r="18" spans="1:35" ht="15.75" customHeight="1">
      <c r="A18" s="642"/>
      <c r="B18" s="642"/>
      <c r="C18" s="642"/>
      <c r="D18" s="642"/>
      <c r="E18" s="642"/>
      <c r="F18" s="642"/>
      <c r="G18" s="642"/>
      <c r="H18" s="642"/>
      <c r="I18" s="642"/>
      <c r="J18" s="642"/>
      <c r="K18" s="642"/>
      <c r="L18" s="642"/>
      <c r="M18" s="642"/>
      <c r="N18" s="642"/>
      <c r="O18" s="642"/>
      <c r="P18" s="642"/>
      <c r="Q18" s="642"/>
      <c r="R18" s="642"/>
      <c r="S18" s="642"/>
      <c r="T18" s="642"/>
      <c r="U18" s="642"/>
      <c r="V18" s="642"/>
      <c r="W18" s="642"/>
      <c r="X18" s="642"/>
      <c r="Y18" s="642"/>
      <c r="Z18" s="642"/>
      <c r="AA18" s="642"/>
      <c r="AB18" s="642"/>
      <c r="AC18" s="642"/>
      <c r="AD18" s="642"/>
      <c r="AE18" s="642"/>
      <c r="AF18" s="642"/>
      <c r="AG18" s="642"/>
    </row>
    <row r="19" spans="1:35" ht="22.5" customHeight="1">
      <c r="A19" s="642"/>
      <c r="B19" s="642"/>
      <c r="C19" s="642"/>
      <c r="D19" s="642"/>
      <c r="E19" s="642"/>
      <c r="F19" s="642"/>
      <c r="G19" s="642"/>
      <c r="H19" s="642"/>
      <c r="I19" s="642"/>
      <c r="J19" s="642"/>
      <c r="K19" s="642"/>
      <c r="L19" s="642"/>
      <c r="M19" s="642"/>
      <c r="N19" s="642"/>
      <c r="O19" s="642"/>
      <c r="P19" s="642"/>
      <c r="Q19" s="642"/>
      <c r="R19" s="642"/>
      <c r="S19" s="642"/>
      <c r="T19" s="642"/>
      <c r="U19" s="642"/>
      <c r="V19" s="642"/>
      <c r="W19" s="642"/>
      <c r="X19" s="642"/>
      <c r="Y19" s="642"/>
      <c r="Z19" s="642"/>
      <c r="AA19" s="642"/>
      <c r="AB19" s="642"/>
      <c r="AC19" s="642"/>
      <c r="AD19" s="642"/>
      <c r="AE19" s="642"/>
      <c r="AF19" s="642"/>
      <c r="AG19" s="8"/>
      <c r="AH19" s="8"/>
    </row>
    <row r="22" spans="1:35" ht="24.75" customHeight="1">
      <c r="AI22" s="6" t="s">
        <v>38</v>
      </c>
    </row>
    <row r="23" spans="1:35" ht="24.75" customHeight="1">
      <c r="AI23" s="6" t="s">
        <v>10</v>
      </c>
    </row>
    <row r="24" spans="1:35" ht="24.75" customHeight="1">
      <c r="AI24" s="6" t="s">
        <v>42</v>
      </c>
    </row>
    <row r="25" spans="1:35" ht="24.75" customHeight="1">
      <c r="AI25" s="6" t="s">
        <v>43</v>
      </c>
    </row>
    <row r="26" spans="1:35" ht="24.75" customHeight="1">
      <c r="AI26" s="6" t="s">
        <v>44</v>
      </c>
    </row>
    <row r="27" spans="1:35" ht="24.75" customHeight="1">
      <c r="AI27" s="6" t="s">
        <v>26</v>
      </c>
    </row>
    <row r="28" spans="1:35" ht="24.75" customHeight="1">
      <c r="AI28" s="6" t="s">
        <v>27</v>
      </c>
    </row>
    <row r="29" spans="1:35" ht="24.75" customHeight="1">
      <c r="AI29" s="6" t="s">
        <v>28</v>
      </c>
    </row>
    <row r="30" spans="1:35" ht="24.75" customHeight="1">
      <c r="AI30" s="6" t="s">
        <v>30</v>
      </c>
    </row>
    <row r="31" spans="1:35" ht="24.75" customHeight="1">
      <c r="AI31" s="6" t="s">
        <v>29</v>
      </c>
    </row>
    <row r="32" spans="1:35" ht="24.75" customHeight="1">
      <c r="AI32" s="6" t="s">
        <v>31</v>
      </c>
    </row>
    <row r="33" spans="35:35" ht="24.75" customHeight="1">
      <c r="AI33" s="6" t="s">
        <v>32</v>
      </c>
    </row>
    <row r="34" spans="35:35" ht="51">
      <c r="AI34" s="6" t="s">
        <v>33</v>
      </c>
    </row>
  </sheetData>
  <mergeCells count="55">
    <mergeCell ref="A17:AF17"/>
    <mergeCell ref="A18:AG18"/>
    <mergeCell ref="A19:AF19"/>
    <mergeCell ref="A13:AF13"/>
    <mergeCell ref="A14:K15"/>
    <mergeCell ref="N14:AB15"/>
    <mergeCell ref="AC14:AF15"/>
    <mergeCell ref="A16:K16"/>
    <mergeCell ref="N16:AB16"/>
    <mergeCell ref="AC16:AF16"/>
    <mergeCell ref="A8:A12"/>
    <mergeCell ref="B8:B12"/>
    <mergeCell ref="C8:C12"/>
    <mergeCell ref="D8:E12"/>
    <mergeCell ref="F8:F12"/>
    <mergeCell ref="G8:G12"/>
    <mergeCell ref="I7:N7"/>
    <mergeCell ref="O7:S7"/>
    <mergeCell ref="T7:U7"/>
    <mergeCell ref="Z6:Z7"/>
    <mergeCell ref="W8:Y8"/>
    <mergeCell ref="W9:Y9"/>
    <mergeCell ref="W10:Y10"/>
    <mergeCell ref="W11:Y11"/>
    <mergeCell ref="W12:Y12"/>
    <mergeCell ref="H8:H12"/>
    <mergeCell ref="I8:N12"/>
    <mergeCell ref="O8:R12"/>
    <mergeCell ref="T8:U12"/>
    <mergeCell ref="V8:V12"/>
    <mergeCell ref="A5:AF5"/>
    <mergeCell ref="A6:B6"/>
    <mergeCell ref="C6:C7"/>
    <mergeCell ref="D6:E7"/>
    <mergeCell ref="F6:F7"/>
    <mergeCell ref="G6:G7"/>
    <mergeCell ref="H6:H7"/>
    <mergeCell ref="I6:U6"/>
    <mergeCell ref="V6:V7"/>
    <mergeCell ref="W6:Y7"/>
    <mergeCell ref="AA6:AA7"/>
    <mergeCell ref="AB6:AC6"/>
    <mergeCell ref="AD6:AD7"/>
    <mergeCell ref="AE6:AE7"/>
    <mergeCell ref="AF6:AF7"/>
    <mergeCell ref="A1:B2"/>
    <mergeCell ref="C1:AE1"/>
    <mergeCell ref="AF1:AF2"/>
    <mergeCell ref="C2:AE2"/>
    <mergeCell ref="A3:AF3"/>
    <mergeCell ref="A4:D4"/>
    <mergeCell ref="E4:U4"/>
    <mergeCell ref="V4:W4"/>
    <mergeCell ref="X4:AC4"/>
    <mergeCell ref="AD4:AE4"/>
  </mergeCells>
  <conditionalFormatting sqref="AD8:AD12">
    <cfRule type="cellIs" dxfId="499" priority="11" operator="between">
      <formula>0.001</formula>
      <formula>0.99</formula>
    </cfRule>
    <cfRule type="cellIs" dxfId="498" priority="12" operator="equal">
      <formula>1</formula>
    </cfRule>
    <cfRule type="cellIs" dxfId="497" priority="13" operator="equal">
      <formula>0</formula>
    </cfRule>
  </conditionalFormatting>
  <conditionalFormatting sqref="AD8:AD12">
    <cfRule type="cellIs" dxfId="496" priority="14" operator="between">
      <formula>0.01</formula>
      <formula>0.99</formula>
    </cfRule>
    <cfRule type="cellIs" dxfId="495" priority="15" operator="equal">
      <formula>1</formula>
    </cfRule>
    <cfRule type="cellIs" dxfId="494" priority="16" operator="equal">
      <formula>0</formula>
    </cfRule>
  </conditionalFormatting>
  <conditionalFormatting sqref="AA8:AA12">
    <cfRule type="cellIs" dxfId="493" priority="9" stopIfTrue="1" operator="greaterThan">
      <formula>#REF!</formula>
    </cfRule>
    <cfRule type="cellIs" dxfId="492" priority="10" stopIfTrue="1" operator="lessThan">
      <formula>#REF!</formula>
    </cfRule>
  </conditionalFormatting>
  <dataValidations count="4">
    <dataValidation type="list" allowBlank="1" showInputMessage="1" showErrorMessage="1" sqref="G65542:G65548 G8:G12 WLS983046:WLS983052 WBW983046:WBW983052 VSA983046:VSA983052 VIE983046:VIE983052 UYI983046:UYI983052 UOM983046:UOM983052 UEQ983046:UEQ983052 TUU983046:TUU983052 TKY983046:TKY983052 TBC983046:TBC983052 SRG983046:SRG983052 SHK983046:SHK983052 RXO983046:RXO983052 RNS983046:RNS983052 RDW983046:RDW983052 QUA983046:QUA983052 QKE983046:QKE983052 QAI983046:QAI983052 PQM983046:PQM983052 PGQ983046:PGQ983052 OWU983046:OWU983052 OMY983046:OMY983052 ODC983046:ODC983052 NTG983046:NTG983052 NJK983046:NJK983052 MZO983046:MZO983052 MPS983046:MPS983052 MFW983046:MFW983052 LWA983046:LWA983052 LME983046:LME983052 LCI983046:LCI983052 KSM983046:KSM983052 KIQ983046:KIQ983052 JYU983046:JYU983052 JOY983046:JOY983052 JFC983046:JFC983052 IVG983046:IVG983052 ILK983046:ILK983052 IBO983046:IBO983052 HRS983046:HRS983052 HHW983046:HHW983052 GYA983046:GYA983052 GOE983046:GOE983052 GEI983046:GEI983052 FUM983046:FUM983052 FKQ983046:FKQ983052 FAU983046:FAU983052 EQY983046:EQY983052 EHC983046:EHC983052 DXG983046:DXG983052 DNK983046:DNK983052 DDO983046:DDO983052 CTS983046:CTS983052 CJW983046:CJW983052 CAA983046:CAA983052 BQE983046:BQE983052 BGI983046:BGI983052 AWM983046:AWM983052 AMQ983046:AMQ983052 ACU983046:ACU983052 SY983046:SY983052 JC983046:JC983052 G983046:G983052 WVO917510:WVO917516 WLS917510:WLS917516 WBW917510:WBW917516 VSA917510:VSA917516 VIE917510:VIE917516 UYI917510:UYI917516 UOM917510:UOM917516 UEQ917510:UEQ917516 TUU917510:TUU917516 TKY917510:TKY917516 TBC917510:TBC917516 SRG917510:SRG917516 SHK917510:SHK917516 RXO917510:RXO917516 RNS917510:RNS917516 RDW917510:RDW917516 QUA917510:QUA917516 QKE917510:QKE917516 QAI917510:QAI917516 PQM917510:PQM917516 PGQ917510:PGQ917516 OWU917510:OWU917516 OMY917510:OMY917516 ODC917510:ODC917516 NTG917510:NTG917516 NJK917510:NJK917516 MZO917510:MZO917516 MPS917510:MPS917516 MFW917510:MFW917516 LWA917510:LWA917516 LME917510:LME917516 LCI917510:LCI917516 KSM917510:KSM917516 KIQ917510:KIQ917516 JYU917510:JYU917516 JOY917510:JOY917516 JFC917510:JFC917516 IVG917510:IVG917516 ILK917510:ILK917516 IBO917510:IBO917516 HRS917510:HRS917516 HHW917510:HHW917516 GYA917510:GYA917516 GOE917510:GOE917516 GEI917510:GEI917516 FUM917510:FUM917516 FKQ917510:FKQ917516 FAU917510:FAU917516 EQY917510:EQY917516 EHC917510:EHC917516 DXG917510:DXG917516 DNK917510:DNK917516 DDO917510:DDO917516 CTS917510:CTS917516 CJW917510:CJW917516 CAA917510:CAA917516 BQE917510:BQE917516 BGI917510:BGI917516 AWM917510:AWM917516 AMQ917510:AMQ917516 ACU917510:ACU917516 SY917510:SY917516 JC917510:JC917516 G917510:G917516 WVO851974:WVO851980 WLS851974:WLS851980 WBW851974:WBW851980 VSA851974:VSA851980 VIE851974:VIE851980 UYI851974:UYI851980 UOM851974:UOM851980 UEQ851974:UEQ851980 TUU851974:TUU851980 TKY851974:TKY851980 TBC851974:TBC851980 SRG851974:SRG851980 SHK851974:SHK851980 RXO851974:RXO851980 RNS851974:RNS851980 RDW851974:RDW851980 QUA851974:QUA851980 QKE851974:QKE851980 QAI851974:QAI851980 PQM851974:PQM851980 PGQ851974:PGQ851980 OWU851974:OWU851980 OMY851974:OMY851980 ODC851974:ODC851980 NTG851974:NTG851980 NJK851974:NJK851980 MZO851974:MZO851980 MPS851974:MPS851980 MFW851974:MFW851980 LWA851974:LWA851980 LME851974:LME851980 LCI851974:LCI851980 KSM851974:KSM851980 KIQ851974:KIQ851980 JYU851974:JYU851980 JOY851974:JOY851980 JFC851974:JFC851980 IVG851974:IVG851980 ILK851974:ILK851980 IBO851974:IBO851980 HRS851974:HRS851980 HHW851974:HHW851980 GYA851974:GYA851980 GOE851974:GOE851980 GEI851974:GEI851980 FUM851974:FUM851980 FKQ851974:FKQ851980 FAU851974:FAU851980 EQY851974:EQY851980 EHC851974:EHC851980 DXG851974:DXG851980 DNK851974:DNK851980 DDO851974:DDO851980 CTS851974:CTS851980 CJW851974:CJW851980 CAA851974:CAA851980 BQE851974:BQE851980 BGI851974:BGI851980 AWM851974:AWM851980 AMQ851974:AMQ851980 ACU851974:ACU851980 SY851974:SY851980 JC851974:JC851980 G851974:G851980 WVO786438:WVO786444 WLS786438:WLS786444 WBW786438:WBW786444 VSA786438:VSA786444 VIE786438:VIE786444 UYI786438:UYI786444 UOM786438:UOM786444 UEQ786438:UEQ786444 TUU786438:TUU786444 TKY786438:TKY786444 TBC786438:TBC786444 SRG786438:SRG786444 SHK786438:SHK786444 RXO786438:RXO786444 RNS786438:RNS786444 RDW786438:RDW786444 QUA786438:QUA786444 QKE786438:QKE786444 QAI786438:QAI786444 PQM786438:PQM786444 PGQ786438:PGQ786444 OWU786438:OWU786444 OMY786438:OMY786444 ODC786438:ODC786444 NTG786438:NTG786444 NJK786438:NJK786444 MZO786438:MZO786444 MPS786438:MPS786444 MFW786438:MFW786444 LWA786438:LWA786444 LME786438:LME786444 LCI786438:LCI786444 KSM786438:KSM786444 KIQ786438:KIQ786444 JYU786438:JYU786444 JOY786438:JOY786444 JFC786438:JFC786444 IVG786438:IVG786444 ILK786438:ILK786444 IBO786438:IBO786444 HRS786438:HRS786444 HHW786438:HHW786444 GYA786438:GYA786444 GOE786438:GOE786444 GEI786438:GEI786444 FUM786438:FUM786444 FKQ786438:FKQ786444 FAU786438:FAU786444 EQY786438:EQY786444 EHC786438:EHC786444 DXG786438:DXG786444 DNK786438:DNK786444 DDO786438:DDO786444 CTS786438:CTS786444 CJW786438:CJW786444 CAA786438:CAA786444 BQE786438:BQE786444 BGI786438:BGI786444 AWM786438:AWM786444 AMQ786438:AMQ786444 ACU786438:ACU786444 SY786438:SY786444 JC786438:JC786444 G786438:G786444 WVO720902:WVO720908 WLS720902:WLS720908 WBW720902:WBW720908 VSA720902:VSA720908 VIE720902:VIE720908 UYI720902:UYI720908 UOM720902:UOM720908 UEQ720902:UEQ720908 TUU720902:TUU720908 TKY720902:TKY720908 TBC720902:TBC720908 SRG720902:SRG720908 SHK720902:SHK720908 RXO720902:RXO720908 RNS720902:RNS720908 RDW720902:RDW720908 QUA720902:QUA720908 QKE720902:QKE720908 QAI720902:QAI720908 PQM720902:PQM720908 PGQ720902:PGQ720908 OWU720902:OWU720908 OMY720902:OMY720908 ODC720902:ODC720908 NTG720902:NTG720908 NJK720902:NJK720908 MZO720902:MZO720908 MPS720902:MPS720908 MFW720902:MFW720908 LWA720902:LWA720908 LME720902:LME720908 LCI720902:LCI720908 KSM720902:KSM720908 KIQ720902:KIQ720908 JYU720902:JYU720908 JOY720902:JOY720908 JFC720902:JFC720908 IVG720902:IVG720908 ILK720902:ILK720908 IBO720902:IBO720908 HRS720902:HRS720908 HHW720902:HHW720908 GYA720902:GYA720908 GOE720902:GOE720908 GEI720902:GEI720908 FUM720902:FUM720908 FKQ720902:FKQ720908 FAU720902:FAU720908 EQY720902:EQY720908 EHC720902:EHC720908 DXG720902:DXG720908 DNK720902:DNK720908 DDO720902:DDO720908 CTS720902:CTS720908 CJW720902:CJW720908 CAA720902:CAA720908 BQE720902:BQE720908 BGI720902:BGI720908 AWM720902:AWM720908 AMQ720902:AMQ720908 ACU720902:ACU720908 SY720902:SY720908 JC720902:JC720908 G720902:G720908 WVO655366:WVO655372 WLS655366:WLS655372 WBW655366:WBW655372 VSA655366:VSA655372 VIE655366:VIE655372 UYI655366:UYI655372 UOM655366:UOM655372 UEQ655366:UEQ655372 TUU655366:TUU655372 TKY655366:TKY655372 TBC655366:TBC655372 SRG655366:SRG655372 SHK655366:SHK655372 RXO655366:RXO655372 RNS655366:RNS655372 RDW655366:RDW655372 QUA655366:QUA655372 QKE655366:QKE655372 QAI655366:QAI655372 PQM655366:PQM655372 PGQ655366:PGQ655372 OWU655366:OWU655372 OMY655366:OMY655372 ODC655366:ODC655372 NTG655366:NTG655372 NJK655366:NJK655372 MZO655366:MZO655372 MPS655366:MPS655372 MFW655366:MFW655372 LWA655366:LWA655372 LME655366:LME655372 LCI655366:LCI655372 KSM655366:KSM655372 KIQ655366:KIQ655372 JYU655366:JYU655372 JOY655366:JOY655372 JFC655366:JFC655372 IVG655366:IVG655372 ILK655366:ILK655372 IBO655366:IBO655372 HRS655366:HRS655372 HHW655366:HHW655372 GYA655366:GYA655372 GOE655366:GOE655372 GEI655366:GEI655372 FUM655366:FUM655372 FKQ655366:FKQ655372 FAU655366:FAU655372 EQY655366:EQY655372 EHC655366:EHC655372 DXG655366:DXG655372 DNK655366:DNK655372 DDO655366:DDO655372 CTS655366:CTS655372 CJW655366:CJW655372 CAA655366:CAA655372 BQE655366:BQE655372 BGI655366:BGI655372 AWM655366:AWM655372 AMQ655366:AMQ655372 ACU655366:ACU655372 SY655366:SY655372 JC655366:JC655372 G655366:G655372 WVO589830:WVO589836 WLS589830:WLS589836 WBW589830:WBW589836 VSA589830:VSA589836 VIE589830:VIE589836 UYI589830:UYI589836 UOM589830:UOM589836 UEQ589830:UEQ589836 TUU589830:TUU589836 TKY589830:TKY589836 TBC589830:TBC589836 SRG589830:SRG589836 SHK589830:SHK589836 RXO589830:RXO589836 RNS589830:RNS589836 RDW589830:RDW589836 QUA589830:QUA589836 QKE589830:QKE589836 QAI589830:QAI589836 PQM589830:PQM589836 PGQ589830:PGQ589836 OWU589830:OWU589836 OMY589830:OMY589836 ODC589830:ODC589836 NTG589830:NTG589836 NJK589830:NJK589836 MZO589830:MZO589836 MPS589830:MPS589836 MFW589830:MFW589836 LWA589830:LWA589836 LME589830:LME589836 LCI589830:LCI589836 KSM589830:KSM589836 KIQ589830:KIQ589836 JYU589830:JYU589836 JOY589830:JOY589836 JFC589830:JFC589836 IVG589830:IVG589836 ILK589830:ILK589836 IBO589830:IBO589836 HRS589830:HRS589836 HHW589830:HHW589836 GYA589830:GYA589836 GOE589830:GOE589836 GEI589830:GEI589836 FUM589830:FUM589836 FKQ589830:FKQ589836 FAU589830:FAU589836 EQY589830:EQY589836 EHC589830:EHC589836 DXG589830:DXG589836 DNK589830:DNK589836 DDO589830:DDO589836 CTS589830:CTS589836 CJW589830:CJW589836 CAA589830:CAA589836 BQE589830:BQE589836 BGI589830:BGI589836 AWM589830:AWM589836 AMQ589830:AMQ589836 ACU589830:ACU589836 SY589830:SY589836 JC589830:JC589836 G589830:G589836 WVO524294:WVO524300 WLS524294:WLS524300 WBW524294:WBW524300 VSA524294:VSA524300 VIE524294:VIE524300 UYI524294:UYI524300 UOM524294:UOM524300 UEQ524294:UEQ524300 TUU524294:TUU524300 TKY524294:TKY524300 TBC524294:TBC524300 SRG524294:SRG524300 SHK524294:SHK524300 RXO524294:RXO524300 RNS524294:RNS524300 RDW524294:RDW524300 QUA524294:QUA524300 QKE524294:QKE524300 QAI524294:QAI524300 PQM524294:PQM524300 PGQ524294:PGQ524300 OWU524294:OWU524300 OMY524294:OMY524300 ODC524294:ODC524300 NTG524294:NTG524300 NJK524294:NJK524300 MZO524294:MZO524300 MPS524294:MPS524300 MFW524294:MFW524300 LWA524294:LWA524300 LME524294:LME524300 LCI524294:LCI524300 KSM524294:KSM524300 KIQ524294:KIQ524300 JYU524294:JYU524300 JOY524294:JOY524300 JFC524294:JFC524300 IVG524294:IVG524300 ILK524294:ILK524300 IBO524294:IBO524300 HRS524294:HRS524300 HHW524294:HHW524300 GYA524294:GYA524300 GOE524294:GOE524300 GEI524294:GEI524300 FUM524294:FUM524300 FKQ524294:FKQ524300 FAU524294:FAU524300 EQY524294:EQY524300 EHC524294:EHC524300 DXG524294:DXG524300 DNK524294:DNK524300 DDO524294:DDO524300 CTS524294:CTS524300 CJW524294:CJW524300 CAA524294:CAA524300 BQE524294:BQE524300 BGI524294:BGI524300 AWM524294:AWM524300 AMQ524294:AMQ524300 ACU524294:ACU524300 SY524294:SY524300 JC524294:JC524300 G524294:G524300 WVO458758:WVO458764 WLS458758:WLS458764 WBW458758:WBW458764 VSA458758:VSA458764 VIE458758:VIE458764 UYI458758:UYI458764 UOM458758:UOM458764 UEQ458758:UEQ458764 TUU458758:TUU458764 TKY458758:TKY458764 TBC458758:TBC458764 SRG458758:SRG458764 SHK458758:SHK458764 RXO458758:RXO458764 RNS458758:RNS458764 RDW458758:RDW458764 QUA458758:QUA458764 QKE458758:QKE458764 QAI458758:QAI458764 PQM458758:PQM458764 PGQ458758:PGQ458764 OWU458758:OWU458764 OMY458758:OMY458764 ODC458758:ODC458764 NTG458758:NTG458764 NJK458758:NJK458764 MZO458758:MZO458764 MPS458758:MPS458764 MFW458758:MFW458764 LWA458758:LWA458764 LME458758:LME458764 LCI458758:LCI458764 KSM458758:KSM458764 KIQ458758:KIQ458764 JYU458758:JYU458764 JOY458758:JOY458764 JFC458758:JFC458764 IVG458758:IVG458764 ILK458758:ILK458764 IBO458758:IBO458764 HRS458758:HRS458764 HHW458758:HHW458764 GYA458758:GYA458764 GOE458758:GOE458764 GEI458758:GEI458764 FUM458758:FUM458764 FKQ458758:FKQ458764 FAU458758:FAU458764 EQY458758:EQY458764 EHC458758:EHC458764 DXG458758:DXG458764 DNK458758:DNK458764 DDO458758:DDO458764 CTS458758:CTS458764 CJW458758:CJW458764 CAA458758:CAA458764 BQE458758:BQE458764 BGI458758:BGI458764 AWM458758:AWM458764 AMQ458758:AMQ458764 ACU458758:ACU458764 SY458758:SY458764 JC458758:JC458764 G458758:G458764 WVO393222:WVO393228 WLS393222:WLS393228 WBW393222:WBW393228 VSA393222:VSA393228 VIE393222:VIE393228 UYI393222:UYI393228 UOM393222:UOM393228 UEQ393222:UEQ393228 TUU393222:TUU393228 TKY393222:TKY393228 TBC393222:TBC393228 SRG393222:SRG393228 SHK393222:SHK393228 RXO393222:RXO393228 RNS393222:RNS393228 RDW393222:RDW393228 QUA393222:QUA393228 QKE393222:QKE393228 QAI393222:QAI393228 PQM393222:PQM393228 PGQ393222:PGQ393228 OWU393222:OWU393228 OMY393222:OMY393228 ODC393222:ODC393228 NTG393222:NTG393228 NJK393222:NJK393228 MZO393222:MZO393228 MPS393222:MPS393228 MFW393222:MFW393228 LWA393222:LWA393228 LME393222:LME393228 LCI393222:LCI393228 KSM393222:KSM393228 KIQ393222:KIQ393228 JYU393222:JYU393228 JOY393222:JOY393228 JFC393222:JFC393228 IVG393222:IVG393228 ILK393222:ILK393228 IBO393222:IBO393228 HRS393222:HRS393228 HHW393222:HHW393228 GYA393222:GYA393228 GOE393222:GOE393228 GEI393222:GEI393228 FUM393222:FUM393228 FKQ393222:FKQ393228 FAU393222:FAU393228 EQY393222:EQY393228 EHC393222:EHC393228 DXG393222:DXG393228 DNK393222:DNK393228 DDO393222:DDO393228 CTS393222:CTS393228 CJW393222:CJW393228 CAA393222:CAA393228 BQE393222:BQE393228 BGI393222:BGI393228 AWM393222:AWM393228 AMQ393222:AMQ393228 ACU393222:ACU393228 SY393222:SY393228 JC393222:JC393228 G393222:G393228 WVO327686:WVO327692 WLS327686:WLS327692 WBW327686:WBW327692 VSA327686:VSA327692 VIE327686:VIE327692 UYI327686:UYI327692 UOM327686:UOM327692 UEQ327686:UEQ327692 TUU327686:TUU327692 TKY327686:TKY327692 TBC327686:TBC327692 SRG327686:SRG327692 SHK327686:SHK327692 RXO327686:RXO327692 RNS327686:RNS327692 RDW327686:RDW327692 QUA327686:QUA327692 QKE327686:QKE327692 QAI327686:QAI327692 PQM327686:PQM327692 PGQ327686:PGQ327692 OWU327686:OWU327692 OMY327686:OMY327692 ODC327686:ODC327692 NTG327686:NTG327692 NJK327686:NJK327692 MZO327686:MZO327692 MPS327686:MPS327692 MFW327686:MFW327692 LWA327686:LWA327692 LME327686:LME327692 LCI327686:LCI327692 KSM327686:KSM327692 KIQ327686:KIQ327692 JYU327686:JYU327692 JOY327686:JOY327692 JFC327686:JFC327692 IVG327686:IVG327692 ILK327686:ILK327692 IBO327686:IBO327692 HRS327686:HRS327692 HHW327686:HHW327692 GYA327686:GYA327692 GOE327686:GOE327692 GEI327686:GEI327692 FUM327686:FUM327692 FKQ327686:FKQ327692 FAU327686:FAU327692 EQY327686:EQY327692 EHC327686:EHC327692 DXG327686:DXG327692 DNK327686:DNK327692 DDO327686:DDO327692 CTS327686:CTS327692 CJW327686:CJW327692 CAA327686:CAA327692 BQE327686:BQE327692 BGI327686:BGI327692 AWM327686:AWM327692 AMQ327686:AMQ327692 ACU327686:ACU327692 SY327686:SY327692 JC327686:JC327692 G327686:G327692 WVO262150:WVO262156 WLS262150:WLS262156 WBW262150:WBW262156 VSA262150:VSA262156 VIE262150:VIE262156 UYI262150:UYI262156 UOM262150:UOM262156 UEQ262150:UEQ262156 TUU262150:TUU262156 TKY262150:TKY262156 TBC262150:TBC262156 SRG262150:SRG262156 SHK262150:SHK262156 RXO262150:RXO262156 RNS262150:RNS262156 RDW262150:RDW262156 QUA262150:QUA262156 QKE262150:QKE262156 QAI262150:QAI262156 PQM262150:PQM262156 PGQ262150:PGQ262156 OWU262150:OWU262156 OMY262150:OMY262156 ODC262150:ODC262156 NTG262150:NTG262156 NJK262150:NJK262156 MZO262150:MZO262156 MPS262150:MPS262156 MFW262150:MFW262156 LWA262150:LWA262156 LME262150:LME262156 LCI262150:LCI262156 KSM262150:KSM262156 KIQ262150:KIQ262156 JYU262150:JYU262156 JOY262150:JOY262156 JFC262150:JFC262156 IVG262150:IVG262156 ILK262150:ILK262156 IBO262150:IBO262156 HRS262150:HRS262156 HHW262150:HHW262156 GYA262150:GYA262156 GOE262150:GOE262156 GEI262150:GEI262156 FUM262150:FUM262156 FKQ262150:FKQ262156 FAU262150:FAU262156 EQY262150:EQY262156 EHC262150:EHC262156 DXG262150:DXG262156 DNK262150:DNK262156 DDO262150:DDO262156 CTS262150:CTS262156 CJW262150:CJW262156 CAA262150:CAA262156 BQE262150:BQE262156 BGI262150:BGI262156 AWM262150:AWM262156 AMQ262150:AMQ262156 ACU262150:ACU262156 SY262150:SY262156 JC262150:JC262156 G262150:G262156 WVO196614:WVO196620 WLS196614:WLS196620 WBW196614:WBW196620 VSA196614:VSA196620 VIE196614:VIE196620 UYI196614:UYI196620 UOM196614:UOM196620 UEQ196614:UEQ196620 TUU196614:TUU196620 TKY196614:TKY196620 TBC196614:TBC196620 SRG196614:SRG196620 SHK196614:SHK196620 RXO196614:RXO196620 RNS196614:RNS196620 RDW196614:RDW196620 QUA196614:QUA196620 QKE196614:QKE196620 QAI196614:QAI196620 PQM196614:PQM196620 PGQ196614:PGQ196620 OWU196614:OWU196620 OMY196614:OMY196620 ODC196614:ODC196620 NTG196614:NTG196620 NJK196614:NJK196620 MZO196614:MZO196620 MPS196614:MPS196620 MFW196614:MFW196620 LWA196614:LWA196620 LME196614:LME196620 LCI196614:LCI196620 KSM196614:KSM196620 KIQ196614:KIQ196620 JYU196614:JYU196620 JOY196614:JOY196620 JFC196614:JFC196620 IVG196614:IVG196620 ILK196614:ILK196620 IBO196614:IBO196620 HRS196614:HRS196620 HHW196614:HHW196620 GYA196614:GYA196620 GOE196614:GOE196620 GEI196614:GEI196620 FUM196614:FUM196620 FKQ196614:FKQ196620 FAU196614:FAU196620 EQY196614:EQY196620 EHC196614:EHC196620 DXG196614:DXG196620 DNK196614:DNK196620 DDO196614:DDO196620 CTS196614:CTS196620 CJW196614:CJW196620 CAA196614:CAA196620 BQE196614:BQE196620 BGI196614:BGI196620 AWM196614:AWM196620 AMQ196614:AMQ196620 ACU196614:ACU196620 SY196614:SY196620 JC196614:JC196620 G196614:G196620 WVO131078:WVO131084 WLS131078:WLS131084 WBW131078:WBW131084 VSA131078:VSA131084 VIE131078:VIE131084 UYI131078:UYI131084 UOM131078:UOM131084 UEQ131078:UEQ131084 TUU131078:TUU131084 TKY131078:TKY131084 TBC131078:TBC131084 SRG131078:SRG131084 SHK131078:SHK131084 RXO131078:RXO131084 RNS131078:RNS131084 RDW131078:RDW131084 QUA131078:QUA131084 QKE131078:QKE131084 QAI131078:QAI131084 PQM131078:PQM131084 PGQ131078:PGQ131084 OWU131078:OWU131084 OMY131078:OMY131084 ODC131078:ODC131084 NTG131078:NTG131084 NJK131078:NJK131084 MZO131078:MZO131084 MPS131078:MPS131084 MFW131078:MFW131084 LWA131078:LWA131084 LME131078:LME131084 LCI131078:LCI131084 KSM131078:KSM131084 KIQ131078:KIQ131084 JYU131078:JYU131084 JOY131078:JOY131084 JFC131078:JFC131084 IVG131078:IVG131084 ILK131078:ILK131084 IBO131078:IBO131084 HRS131078:HRS131084 HHW131078:HHW131084 GYA131078:GYA131084 GOE131078:GOE131084 GEI131078:GEI131084 FUM131078:FUM131084 FKQ131078:FKQ131084 FAU131078:FAU131084 EQY131078:EQY131084 EHC131078:EHC131084 DXG131078:DXG131084 DNK131078:DNK131084 DDO131078:DDO131084 CTS131078:CTS131084 CJW131078:CJW131084 CAA131078:CAA131084 BQE131078:BQE131084 BGI131078:BGI131084 AWM131078:AWM131084 AMQ131078:AMQ131084 ACU131078:ACU131084 SY131078:SY131084 JC131078:JC131084 G131078:G131084 WVO65542:WVO65548 WLS65542:WLS65548 WBW65542:WBW65548 VSA65542:VSA65548 VIE65542:VIE65548 UYI65542:UYI65548 UOM65542:UOM65548 UEQ65542:UEQ65548 TUU65542:TUU65548 TKY65542:TKY65548 TBC65542:TBC65548 SRG65542:SRG65548 SHK65542:SHK65548 RXO65542:RXO65548 RNS65542:RNS65548 RDW65542:RDW65548 QUA65542:QUA65548 QKE65542:QKE65548 QAI65542:QAI65548 PQM65542:PQM65548 PGQ65542:PGQ65548 OWU65542:OWU65548 OMY65542:OMY65548 ODC65542:ODC65548 NTG65542:NTG65548 NJK65542:NJK65548 MZO65542:MZO65548 MPS65542:MPS65548 MFW65542:MFW65548 LWA65542:LWA65548 LME65542:LME65548 LCI65542:LCI65548 KSM65542:KSM65548 KIQ65542:KIQ65548 JYU65542:JYU65548 JOY65542:JOY65548 JFC65542:JFC65548 IVG65542:IVG65548 ILK65542:ILK65548 IBO65542:IBO65548 HRS65542:HRS65548 HHW65542:HHW65548 GYA65542:GYA65548 GOE65542:GOE65548 GEI65542:GEI65548 FUM65542:FUM65548 FKQ65542:FKQ65548 FAU65542:FAU65548 EQY65542:EQY65548 EHC65542:EHC65548 DXG65542:DXG65548 DNK65542:DNK65548 DDO65542:DDO65548 CTS65542:CTS65548 CJW65542:CJW65548 CAA65542:CAA65548 BQE65542:BQE65548 BGI65542:BGI65548 AWM65542:AWM65548 AMQ65542:AMQ65548 ACU65542:ACU65548 SY65542:SY65548 JC65542:JC65548 WVO983046:WVO983052 WVO8:WVO12 WLS8:WLS12 WBW8:WBW12 VSA8:VSA12 VIE8:VIE12 UYI8:UYI12 UOM8:UOM12 UEQ8:UEQ12 TUU8:TUU12 TKY8:TKY12 TBC8:TBC12 SRG8:SRG12 SHK8:SHK12 RXO8:RXO12 RNS8:RNS12 RDW8:RDW12 QUA8:QUA12 QKE8:QKE12 QAI8:QAI12 PQM8:PQM12 PGQ8:PGQ12 OWU8:OWU12 OMY8:OMY12 ODC8:ODC12 NTG8:NTG12 NJK8:NJK12 MZO8:MZO12 MPS8:MPS12 MFW8:MFW12 LWA8:LWA12 LME8:LME12 LCI8:LCI12 KSM8:KSM12 KIQ8:KIQ12 JYU8:JYU12 JOY8:JOY12 JFC8:JFC12 IVG8:IVG12 ILK8:ILK12 IBO8:IBO12 HRS8:HRS12 HHW8:HHW12 GYA8:GYA12 GOE8:GOE12 GEI8:GEI12 FUM8:FUM12 FKQ8:FKQ12 FAU8:FAU12 EQY8:EQY12 EHC8:EHC12 DXG8:DXG12 DNK8:DNK12 DDO8:DDO12 CTS8:CTS12 CJW8:CJW12 CAA8:CAA12 BQE8:BQE12 BGI8:BGI12 AWM8:AWM12 AMQ8:AMQ12 ACU8:ACU12 SY8:SY12 JC8:JC12">
      <formula1>$AI$22:$AI$34</formula1>
    </dataValidation>
    <dataValidation type="list" allowBlank="1" showInputMessage="1" showErrorMessage="1" sqref="H65542:H65548 JD65542:JD65548 SZ65542:SZ65548 ACV65542:ACV65548 AMR65542:AMR65548 AWN65542:AWN65548 BGJ65542:BGJ65548 BQF65542:BQF65548 CAB65542:CAB65548 CJX65542:CJX65548 CTT65542:CTT65548 DDP65542:DDP65548 DNL65542:DNL65548 DXH65542:DXH65548 EHD65542:EHD65548 EQZ65542:EQZ65548 FAV65542:FAV65548 FKR65542:FKR65548 FUN65542:FUN65548 GEJ65542:GEJ65548 GOF65542:GOF65548 GYB65542:GYB65548 HHX65542:HHX65548 HRT65542:HRT65548 IBP65542:IBP65548 ILL65542:ILL65548 IVH65542:IVH65548 JFD65542:JFD65548 JOZ65542:JOZ65548 JYV65542:JYV65548 KIR65542:KIR65548 KSN65542:KSN65548 LCJ65542:LCJ65548 LMF65542:LMF65548 LWB65542:LWB65548 MFX65542:MFX65548 MPT65542:MPT65548 MZP65542:MZP65548 NJL65542:NJL65548 NTH65542:NTH65548 ODD65542:ODD65548 OMZ65542:OMZ65548 OWV65542:OWV65548 PGR65542:PGR65548 PQN65542:PQN65548 QAJ65542:QAJ65548 QKF65542:QKF65548 QUB65542:QUB65548 RDX65542:RDX65548 RNT65542:RNT65548 RXP65542:RXP65548 SHL65542:SHL65548 SRH65542:SRH65548 TBD65542:TBD65548 TKZ65542:TKZ65548 TUV65542:TUV65548 UER65542:UER65548 UON65542:UON65548 UYJ65542:UYJ65548 VIF65542:VIF65548 VSB65542:VSB65548 WBX65542:WBX65548 WLT65542:WLT65548 WVP65542:WVP65548 H131078:H131084 JD131078:JD131084 SZ131078:SZ131084 ACV131078:ACV131084 AMR131078:AMR131084 AWN131078:AWN131084 BGJ131078:BGJ131084 BQF131078:BQF131084 CAB131078:CAB131084 CJX131078:CJX131084 CTT131078:CTT131084 DDP131078:DDP131084 DNL131078:DNL131084 DXH131078:DXH131084 EHD131078:EHD131084 EQZ131078:EQZ131084 FAV131078:FAV131084 FKR131078:FKR131084 FUN131078:FUN131084 GEJ131078:GEJ131084 GOF131078:GOF131084 GYB131078:GYB131084 HHX131078:HHX131084 HRT131078:HRT131084 IBP131078:IBP131084 ILL131078:ILL131084 IVH131078:IVH131084 JFD131078:JFD131084 JOZ131078:JOZ131084 JYV131078:JYV131084 KIR131078:KIR131084 KSN131078:KSN131084 LCJ131078:LCJ131084 LMF131078:LMF131084 LWB131078:LWB131084 MFX131078:MFX131084 MPT131078:MPT131084 MZP131078:MZP131084 NJL131078:NJL131084 NTH131078:NTH131084 ODD131078:ODD131084 OMZ131078:OMZ131084 OWV131078:OWV131084 PGR131078:PGR131084 PQN131078:PQN131084 QAJ131078:QAJ131084 QKF131078:QKF131084 QUB131078:QUB131084 RDX131078:RDX131084 RNT131078:RNT131084 RXP131078:RXP131084 SHL131078:SHL131084 SRH131078:SRH131084 TBD131078:TBD131084 TKZ131078:TKZ131084 TUV131078:TUV131084 UER131078:UER131084 UON131078:UON131084 UYJ131078:UYJ131084 VIF131078:VIF131084 VSB131078:VSB131084 WBX131078:WBX131084 WLT131078:WLT131084 WVP131078:WVP131084 H196614:H196620 JD196614:JD196620 SZ196614:SZ196620 ACV196614:ACV196620 AMR196614:AMR196620 AWN196614:AWN196620 BGJ196614:BGJ196620 BQF196614:BQF196620 CAB196614:CAB196620 CJX196614:CJX196620 CTT196614:CTT196620 DDP196614:DDP196620 DNL196614:DNL196620 DXH196614:DXH196620 EHD196614:EHD196620 EQZ196614:EQZ196620 FAV196614:FAV196620 FKR196614:FKR196620 FUN196614:FUN196620 GEJ196614:GEJ196620 GOF196614:GOF196620 GYB196614:GYB196620 HHX196614:HHX196620 HRT196614:HRT196620 IBP196614:IBP196620 ILL196614:ILL196620 IVH196614:IVH196620 JFD196614:JFD196620 JOZ196614:JOZ196620 JYV196614:JYV196620 KIR196614:KIR196620 KSN196614:KSN196620 LCJ196614:LCJ196620 LMF196614:LMF196620 LWB196614:LWB196620 MFX196614:MFX196620 MPT196614:MPT196620 MZP196614:MZP196620 NJL196614:NJL196620 NTH196614:NTH196620 ODD196614:ODD196620 OMZ196614:OMZ196620 OWV196614:OWV196620 PGR196614:PGR196620 PQN196614:PQN196620 QAJ196614:QAJ196620 QKF196614:QKF196620 QUB196614:QUB196620 RDX196614:RDX196620 RNT196614:RNT196620 RXP196614:RXP196620 SHL196614:SHL196620 SRH196614:SRH196620 TBD196614:TBD196620 TKZ196614:TKZ196620 TUV196614:TUV196620 UER196614:UER196620 UON196614:UON196620 UYJ196614:UYJ196620 VIF196614:VIF196620 VSB196614:VSB196620 WBX196614:WBX196620 WLT196614:WLT196620 WVP196614:WVP196620 H262150:H262156 JD262150:JD262156 SZ262150:SZ262156 ACV262150:ACV262156 AMR262150:AMR262156 AWN262150:AWN262156 BGJ262150:BGJ262156 BQF262150:BQF262156 CAB262150:CAB262156 CJX262150:CJX262156 CTT262150:CTT262156 DDP262150:DDP262156 DNL262150:DNL262156 DXH262150:DXH262156 EHD262150:EHD262156 EQZ262150:EQZ262156 FAV262150:FAV262156 FKR262150:FKR262156 FUN262150:FUN262156 GEJ262150:GEJ262156 GOF262150:GOF262156 GYB262150:GYB262156 HHX262150:HHX262156 HRT262150:HRT262156 IBP262150:IBP262156 ILL262150:ILL262156 IVH262150:IVH262156 JFD262150:JFD262156 JOZ262150:JOZ262156 JYV262150:JYV262156 KIR262150:KIR262156 KSN262150:KSN262156 LCJ262150:LCJ262156 LMF262150:LMF262156 LWB262150:LWB262156 MFX262150:MFX262156 MPT262150:MPT262156 MZP262150:MZP262156 NJL262150:NJL262156 NTH262150:NTH262156 ODD262150:ODD262156 OMZ262150:OMZ262156 OWV262150:OWV262156 PGR262150:PGR262156 PQN262150:PQN262156 QAJ262150:QAJ262156 QKF262150:QKF262156 QUB262150:QUB262156 RDX262150:RDX262156 RNT262150:RNT262156 RXP262150:RXP262156 SHL262150:SHL262156 SRH262150:SRH262156 TBD262150:TBD262156 TKZ262150:TKZ262156 TUV262150:TUV262156 UER262150:UER262156 UON262150:UON262156 UYJ262150:UYJ262156 VIF262150:VIF262156 VSB262150:VSB262156 WBX262150:WBX262156 WLT262150:WLT262156 WVP262150:WVP262156 H327686:H327692 JD327686:JD327692 SZ327686:SZ327692 ACV327686:ACV327692 AMR327686:AMR327692 AWN327686:AWN327692 BGJ327686:BGJ327692 BQF327686:BQF327692 CAB327686:CAB327692 CJX327686:CJX327692 CTT327686:CTT327692 DDP327686:DDP327692 DNL327686:DNL327692 DXH327686:DXH327692 EHD327686:EHD327692 EQZ327686:EQZ327692 FAV327686:FAV327692 FKR327686:FKR327692 FUN327686:FUN327692 GEJ327686:GEJ327692 GOF327686:GOF327692 GYB327686:GYB327692 HHX327686:HHX327692 HRT327686:HRT327692 IBP327686:IBP327692 ILL327686:ILL327692 IVH327686:IVH327692 JFD327686:JFD327692 JOZ327686:JOZ327692 JYV327686:JYV327692 KIR327686:KIR327692 KSN327686:KSN327692 LCJ327686:LCJ327692 LMF327686:LMF327692 LWB327686:LWB327692 MFX327686:MFX327692 MPT327686:MPT327692 MZP327686:MZP327692 NJL327686:NJL327692 NTH327686:NTH327692 ODD327686:ODD327692 OMZ327686:OMZ327692 OWV327686:OWV327692 PGR327686:PGR327692 PQN327686:PQN327692 QAJ327686:QAJ327692 QKF327686:QKF327692 QUB327686:QUB327692 RDX327686:RDX327692 RNT327686:RNT327692 RXP327686:RXP327692 SHL327686:SHL327692 SRH327686:SRH327692 TBD327686:TBD327692 TKZ327686:TKZ327692 TUV327686:TUV327692 UER327686:UER327692 UON327686:UON327692 UYJ327686:UYJ327692 VIF327686:VIF327692 VSB327686:VSB327692 WBX327686:WBX327692 WLT327686:WLT327692 WVP327686:WVP327692 H393222:H393228 JD393222:JD393228 SZ393222:SZ393228 ACV393222:ACV393228 AMR393222:AMR393228 AWN393222:AWN393228 BGJ393222:BGJ393228 BQF393222:BQF393228 CAB393222:CAB393228 CJX393222:CJX393228 CTT393222:CTT393228 DDP393222:DDP393228 DNL393222:DNL393228 DXH393222:DXH393228 EHD393222:EHD393228 EQZ393222:EQZ393228 FAV393222:FAV393228 FKR393222:FKR393228 FUN393222:FUN393228 GEJ393222:GEJ393228 GOF393222:GOF393228 GYB393222:GYB393228 HHX393222:HHX393228 HRT393222:HRT393228 IBP393222:IBP393228 ILL393222:ILL393228 IVH393222:IVH393228 JFD393222:JFD393228 JOZ393222:JOZ393228 JYV393222:JYV393228 KIR393222:KIR393228 KSN393222:KSN393228 LCJ393222:LCJ393228 LMF393222:LMF393228 LWB393222:LWB393228 MFX393222:MFX393228 MPT393222:MPT393228 MZP393222:MZP393228 NJL393222:NJL393228 NTH393222:NTH393228 ODD393222:ODD393228 OMZ393222:OMZ393228 OWV393222:OWV393228 PGR393222:PGR393228 PQN393222:PQN393228 QAJ393222:QAJ393228 QKF393222:QKF393228 QUB393222:QUB393228 RDX393222:RDX393228 RNT393222:RNT393228 RXP393222:RXP393228 SHL393222:SHL393228 SRH393222:SRH393228 TBD393222:TBD393228 TKZ393222:TKZ393228 TUV393222:TUV393228 UER393222:UER393228 UON393222:UON393228 UYJ393222:UYJ393228 VIF393222:VIF393228 VSB393222:VSB393228 WBX393222:WBX393228 WLT393222:WLT393228 WVP393222:WVP393228 H458758:H458764 JD458758:JD458764 SZ458758:SZ458764 ACV458758:ACV458764 AMR458758:AMR458764 AWN458758:AWN458764 BGJ458758:BGJ458764 BQF458758:BQF458764 CAB458758:CAB458764 CJX458758:CJX458764 CTT458758:CTT458764 DDP458758:DDP458764 DNL458758:DNL458764 DXH458758:DXH458764 EHD458758:EHD458764 EQZ458758:EQZ458764 FAV458758:FAV458764 FKR458758:FKR458764 FUN458758:FUN458764 GEJ458758:GEJ458764 GOF458758:GOF458764 GYB458758:GYB458764 HHX458758:HHX458764 HRT458758:HRT458764 IBP458758:IBP458764 ILL458758:ILL458764 IVH458758:IVH458764 JFD458758:JFD458764 JOZ458758:JOZ458764 JYV458758:JYV458764 KIR458758:KIR458764 KSN458758:KSN458764 LCJ458758:LCJ458764 LMF458758:LMF458764 LWB458758:LWB458764 MFX458758:MFX458764 MPT458758:MPT458764 MZP458758:MZP458764 NJL458758:NJL458764 NTH458758:NTH458764 ODD458758:ODD458764 OMZ458758:OMZ458764 OWV458758:OWV458764 PGR458758:PGR458764 PQN458758:PQN458764 QAJ458758:QAJ458764 QKF458758:QKF458764 QUB458758:QUB458764 RDX458758:RDX458764 RNT458758:RNT458764 RXP458758:RXP458764 SHL458758:SHL458764 SRH458758:SRH458764 TBD458758:TBD458764 TKZ458758:TKZ458764 TUV458758:TUV458764 UER458758:UER458764 UON458758:UON458764 UYJ458758:UYJ458764 VIF458758:VIF458764 VSB458758:VSB458764 WBX458758:WBX458764 WLT458758:WLT458764 WVP458758:WVP458764 H524294:H524300 JD524294:JD524300 SZ524294:SZ524300 ACV524294:ACV524300 AMR524294:AMR524300 AWN524294:AWN524300 BGJ524294:BGJ524300 BQF524294:BQF524300 CAB524294:CAB524300 CJX524294:CJX524300 CTT524294:CTT524300 DDP524294:DDP524300 DNL524294:DNL524300 DXH524294:DXH524300 EHD524294:EHD524300 EQZ524294:EQZ524300 FAV524294:FAV524300 FKR524294:FKR524300 FUN524294:FUN524300 GEJ524294:GEJ524300 GOF524294:GOF524300 GYB524294:GYB524300 HHX524294:HHX524300 HRT524294:HRT524300 IBP524294:IBP524300 ILL524294:ILL524300 IVH524294:IVH524300 JFD524294:JFD524300 JOZ524294:JOZ524300 JYV524294:JYV524300 KIR524294:KIR524300 KSN524294:KSN524300 LCJ524294:LCJ524300 LMF524294:LMF524300 LWB524294:LWB524300 MFX524294:MFX524300 MPT524294:MPT524300 MZP524294:MZP524300 NJL524294:NJL524300 NTH524294:NTH524300 ODD524294:ODD524300 OMZ524294:OMZ524300 OWV524294:OWV524300 PGR524294:PGR524300 PQN524294:PQN524300 QAJ524294:QAJ524300 QKF524294:QKF524300 QUB524294:QUB524300 RDX524294:RDX524300 RNT524294:RNT524300 RXP524294:RXP524300 SHL524294:SHL524300 SRH524294:SRH524300 TBD524294:TBD524300 TKZ524294:TKZ524300 TUV524294:TUV524300 UER524294:UER524300 UON524294:UON524300 UYJ524294:UYJ524300 VIF524294:VIF524300 VSB524294:VSB524300 WBX524294:WBX524300 WLT524294:WLT524300 WVP524294:WVP524300 H589830:H589836 JD589830:JD589836 SZ589830:SZ589836 ACV589830:ACV589836 AMR589830:AMR589836 AWN589830:AWN589836 BGJ589830:BGJ589836 BQF589830:BQF589836 CAB589830:CAB589836 CJX589830:CJX589836 CTT589830:CTT589836 DDP589830:DDP589836 DNL589830:DNL589836 DXH589830:DXH589836 EHD589830:EHD589836 EQZ589830:EQZ589836 FAV589830:FAV589836 FKR589830:FKR589836 FUN589830:FUN589836 GEJ589830:GEJ589836 GOF589830:GOF589836 GYB589830:GYB589836 HHX589830:HHX589836 HRT589830:HRT589836 IBP589830:IBP589836 ILL589830:ILL589836 IVH589830:IVH589836 JFD589830:JFD589836 JOZ589830:JOZ589836 JYV589830:JYV589836 KIR589830:KIR589836 KSN589830:KSN589836 LCJ589830:LCJ589836 LMF589830:LMF589836 LWB589830:LWB589836 MFX589830:MFX589836 MPT589830:MPT589836 MZP589830:MZP589836 NJL589830:NJL589836 NTH589830:NTH589836 ODD589830:ODD589836 OMZ589830:OMZ589836 OWV589830:OWV589836 PGR589830:PGR589836 PQN589830:PQN589836 QAJ589830:QAJ589836 QKF589830:QKF589836 QUB589830:QUB589836 RDX589830:RDX589836 RNT589830:RNT589836 RXP589830:RXP589836 SHL589830:SHL589836 SRH589830:SRH589836 TBD589830:TBD589836 TKZ589830:TKZ589836 TUV589830:TUV589836 UER589830:UER589836 UON589830:UON589836 UYJ589830:UYJ589836 VIF589830:VIF589836 VSB589830:VSB589836 WBX589830:WBX589836 WLT589830:WLT589836 WVP589830:WVP589836 H655366:H655372 JD655366:JD655372 SZ655366:SZ655372 ACV655366:ACV655372 AMR655366:AMR655372 AWN655366:AWN655372 BGJ655366:BGJ655372 BQF655366:BQF655372 CAB655366:CAB655372 CJX655366:CJX655372 CTT655366:CTT655372 DDP655366:DDP655372 DNL655366:DNL655372 DXH655366:DXH655372 EHD655366:EHD655372 EQZ655366:EQZ655372 FAV655366:FAV655372 FKR655366:FKR655372 FUN655366:FUN655372 GEJ655366:GEJ655372 GOF655366:GOF655372 GYB655366:GYB655372 HHX655366:HHX655372 HRT655366:HRT655372 IBP655366:IBP655372 ILL655366:ILL655372 IVH655366:IVH655372 JFD655366:JFD655372 JOZ655366:JOZ655372 JYV655366:JYV655372 KIR655366:KIR655372 KSN655366:KSN655372 LCJ655366:LCJ655372 LMF655366:LMF655372 LWB655366:LWB655372 MFX655366:MFX655372 MPT655366:MPT655372 MZP655366:MZP655372 NJL655366:NJL655372 NTH655366:NTH655372 ODD655366:ODD655372 OMZ655366:OMZ655372 OWV655366:OWV655372 PGR655366:PGR655372 PQN655366:PQN655372 QAJ655366:QAJ655372 QKF655366:QKF655372 QUB655366:QUB655372 RDX655366:RDX655372 RNT655366:RNT655372 RXP655366:RXP655372 SHL655366:SHL655372 SRH655366:SRH655372 TBD655366:TBD655372 TKZ655366:TKZ655372 TUV655366:TUV655372 UER655366:UER655372 UON655366:UON655372 UYJ655366:UYJ655372 VIF655366:VIF655372 VSB655366:VSB655372 WBX655366:WBX655372 WLT655366:WLT655372 WVP655366:WVP655372 H720902:H720908 JD720902:JD720908 SZ720902:SZ720908 ACV720902:ACV720908 AMR720902:AMR720908 AWN720902:AWN720908 BGJ720902:BGJ720908 BQF720902:BQF720908 CAB720902:CAB720908 CJX720902:CJX720908 CTT720902:CTT720908 DDP720902:DDP720908 DNL720902:DNL720908 DXH720902:DXH720908 EHD720902:EHD720908 EQZ720902:EQZ720908 FAV720902:FAV720908 FKR720902:FKR720908 FUN720902:FUN720908 GEJ720902:GEJ720908 GOF720902:GOF720908 GYB720902:GYB720908 HHX720902:HHX720908 HRT720902:HRT720908 IBP720902:IBP720908 ILL720902:ILL720908 IVH720902:IVH720908 JFD720902:JFD720908 JOZ720902:JOZ720908 JYV720902:JYV720908 KIR720902:KIR720908 KSN720902:KSN720908 LCJ720902:LCJ720908 LMF720902:LMF720908 LWB720902:LWB720908 MFX720902:MFX720908 MPT720902:MPT720908 MZP720902:MZP720908 NJL720902:NJL720908 NTH720902:NTH720908 ODD720902:ODD720908 OMZ720902:OMZ720908 OWV720902:OWV720908 PGR720902:PGR720908 PQN720902:PQN720908 QAJ720902:QAJ720908 QKF720902:QKF720908 QUB720902:QUB720908 RDX720902:RDX720908 RNT720902:RNT720908 RXP720902:RXP720908 SHL720902:SHL720908 SRH720902:SRH720908 TBD720902:TBD720908 TKZ720902:TKZ720908 TUV720902:TUV720908 UER720902:UER720908 UON720902:UON720908 UYJ720902:UYJ720908 VIF720902:VIF720908 VSB720902:VSB720908 WBX720902:WBX720908 WLT720902:WLT720908 WVP720902:WVP720908 H786438:H786444 JD786438:JD786444 SZ786438:SZ786444 ACV786438:ACV786444 AMR786438:AMR786444 AWN786438:AWN786444 BGJ786438:BGJ786444 BQF786438:BQF786444 CAB786438:CAB786444 CJX786438:CJX786444 CTT786438:CTT786444 DDP786438:DDP786444 DNL786438:DNL786444 DXH786438:DXH786444 EHD786438:EHD786444 EQZ786438:EQZ786444 FAV786438:FAV786444 FKR786438:FKR786444 FUN786438:FUN786444 GEJ786438:GEJ786444 GOF786438:GOF786444 GYB786438:GYB786444 HHX786438:HHX786444 HRT786438:HRT786444 IBP786438:IBP786444 ILL786438:ILL786444 IVH786438:IVH786444 JFD786438:JFD786444 JOZ786438:JOZ786444 JYV786438:JYV786444 KIR786438:KIR786444 KSN786438:KSN786444 LCJ786438:LCJ786444 LMF786438:LMF786444 LWB786438:LWB786444 MFX786438:MFX786444 MPT786438:MPT786444 MZP786438:MZP786444 NJL786438:NJL786444 NTH786438:NTH786444 ODD786438:ODD786444 OMZ786438:OMZ786444 OWV786438:OWV786444 PGR786438:PGR786444 PQN786438:PQN786444 QAJ786438:QAJ786444 QKF786438:QKF786444 QUB786438:QUB786444 RDX786438:RDX786444 RNT786438:RNT786444 RXP786438:RXP786444 SHL786438:SHL786444 SRH786438:SRH786444 TBD786438:TBD786444 TKZ786438:TKZ786444 TUV786438:TUV786444 UER786438:UER786444 UON786438:UON786444 UYJ786438:UYJ786444 VIF786438:VIF786444 VSB786438:VSB786444 WBX786438:WBX786444 WLT786438:WLT786444 WVP786438:WVP786444 H851974:H851980 JD851974:JD851980 SZ851974:SZ851980 ACV851974:ACV851980 AMR851974:AMR851980 AWN851974:AWN851980 BGJ851974:BGJ851980 BQF851974:BQF851980 CAB851974:CAB851980 CJX851974:CJX851980 CTT851974:CTT851980 DDP851974:DDP851980 DNL851974:DNL851980 DXH851974:DXH851980 EHD851974:EHD851980 EQZ851974:EQZ851980 FAV851974:FAV851980 FKR851974:FKR851980 FUN851974:FUN851980 GEJ851974:GEJ851980 GOF851974:GOF851980 GYB851974:GYB851980 HHX851974:HHX851980 HRT851974:HRT851980 IBP851974:IBP851980 ILL851974:ILL851980 IVH851974:IVH851980 JFD851974:JFD851980 JOZ851974:JOZ851980 JYV851974:JYV851980 KIR851974:KIR851980 KSN851974:KSN851980 LCJ851974:LCJ851980 LMF851974:LMF851980 LWB851974:LWB851980 MFX851974:MFX851980 MPT851974:MPT851980 MZP851974:MZP851980 NJL851974:NJL851980 NTH851974:NTH851980 ODD851974:ODD851980 OMZ851974:OMZ851980 OWV851974:OWV851980 PGR851974:PGR851980 PQN851974:PQN851980 QAJ851974:QAJ851980 QKF851974:QKF851980 QUB851974:QUB851980 RDX851974:RDX851980 RNT851974:RNT851980 RXP851974:RXP851980 SHL851974:SHL851980 SRH851974:SRH851980 TBD851974:TBD851980 TKZ851974:TKZ851980 TUV851974:TUV851980 UER851974:UER851980 UON851974:UON851980 UYJ851974:UYJ851980 VIF851974:VIF851980 VSB851974:VSB851980 WBX851974:WBX851980 WLT851974:WLT851980 WVP851974:WVP851980 H917510:H917516 JD917510:JD917516 SZ917510:SZ917516 ACV917510:ACV917516 AMR917510:AMR917516 AWN917510:AWN917516 BGJ917510:BGJ917516 BQF917510:BQF917516 CAB917510:CAB917516 CJX917510:CJX917516 CTT917510:CTT917516 DDP917510:DDP917516 DNL917510:DNL917516 DXH917510:DXH917516 EHD917510:EHD917516 EQZ917510:EQZ917516 FAV917510:FAV917516 FKR917510:FKR917516 FUN917510:FUN917516 GEJ917510:GEJ917516 GOF917510:GOF917516 GYB917510:GYB917516 HHX917510:HHX917516 HRT917510:HRT917516 IBP917510:IBP917516 ILL917510:ILL917516 IVH917510:IVH917516 JFD917510:JFD917516 JOZ917510:JOZ917516 JYV917510:JYV917516 KIR917510:KIR917516 KSN917510:KSN917516 LCJ917510:LCJ917516 LMF917510:LMF917516 LWB917510:LWB917516 MFX917510:MFX917516 MPT917510:MPT917516 MZP917510:MZP917516 NJL917510:NJL917516 NTH917510:NTH917516 ODD917510:ODD917516 OMZ917510:OMZ917516 OWV917510:OWV917516 PGR917510:PGR917516 PQN917510:PQN917516 QAJ917510:QAJ917516 QKF917510:QKF917516 QUB917510:QUB917516 RDX917510:RDX917516 RNT917510:RNT917516 RXP917510:RXP917516 SHL917510:SHL917516 SRH917510:SRH917516 TBD917510:TBD917516 TKZ917510:TKZ917516 TUV917510:TUV917516 UER917510:UER917516 UON917510:UON917516 UYJ917510:UYJ917516 VIF917510:VIF917516 VSB917510:VSB917516 WBX917510:WBX917516 WLT917510:WLT917516 WVP917510:WVP917516 H983046:H983052 JD983046:JD983052 SZ983046:SZ983052 ACV983046:ACV983052 AMR983046:AMR983052 AWN983046:AWN983052 BGJ983046:BGJ983052 BQF983046:BQF983052 CAB983046:CAB983052 CJX983046:CJX983052 CTT983046:CTT983052 DDP983046:DDP983052 DNL983046:DNL983052 DXH983046:DXH983052 EHD983046:EHD983052 EQZ983046:EQZ983052 FAV983046:FAV983052 FKR983046:FKR983052 FUN983046:FUN983052 GEJ983046:GEJ983052 GOF983046:GOF983052 GYB983046:GYB983052 HHX983046:HHX983052 HRT983046:HRT983052 IBP983046:IBP983052 ILL983046:ILL983052 IVH983046:IVH983052 JFD983046:JFD983052 JOZ983046:JOZ983052 JYV983046:JYV983052 KIR983046:KIR983052 KSN983046:KSN983052 LCJ983046:LCJ983052 LMF983046:LMF983052 LWB983046:LWB983052 MFX983046:MFX983052 MPT983046:MPT983052 MZP983046:MZP983052 NJL983046:NJL983052 NTH983046:NTH983052 ODD983046:ODD983052 OMZ983046:OMZ983052 OWV983046:OWV983052 PGR983046:PGR983052 PQN983046:PQN983052 QAJ983046:QAJ983052 QKF983046:QKF983052 QUB983046:QUB983052 RDX983046:RDX983052 RNT983046:RNT983052 RXP983046:RXP983052 SHL983046:SHL983052 SRH983046:SRH983052 TBD983046:TBD983052 TKZ983046:TKZ983052 TUV983046:TUV983052 UER983046:UER983052 UON983046:UON983052 UYJ983046:UYJ983052 VIF983046:VIF983052 VSB983046:VSB983052 WBX983046:WBX983052 WLT983046:WLT983052 WVP983046:WVP983052 SZ8:SZ12 JD8:JD12 H8:H12 WVP8:WVP12 WLT8:WLT12 WBX8:WBX12 VSB8:VSB12 VIF8:VIF12 UYJ8:UYJ12 UON8:UON12 UER8:UER12 TUV8:TUV12 TKZ8:TKZ12 TBD8:TBD12 SRH8:SRH12 SHL8:SHL12 RXP8:RXP12 RNT8:RNT12 RDX8:RDX12 QUB8:QUB12 QKF8:QKF12 QAJ8:QAJ12 PQN8:PQN12 PGR8:PGR12 OWV8:OWV12 OMZ8:OMZ12 ODD8:ODD12 NTH8:NTH12 NJL8:NJL12 MZP8:MZP12 MPT8:MPT12 MFX8:MFX12 LWB8:LWB12 LMF8:LMF12 LCJ8:LCJ12 KSN8:KSN12 KIR8:KIR12 JYV8:JYV12 JOZ8:JOZ12 JFD8:JFD12 IVH8:IVH12 ILL8:ILL12 IBP8:IBP12 HRT8:HRT12 HHX8:HHX12 GYB8:GYB12 GOF8:GOF12 GEJ8:GEJ12 FUN8:FUN12 FKR8:FKR12 FAV8:FAV12 EQZ8:EQZ12 EHD8:EHD12 DXH8:DXH12 DNL8:DNL12 DDP8:DDP12 CTT8:CTT12 CJX8:CJX12 CAB8:CAB12 BQF8:BQF12 BGJ8:BGJ12 AWN8:AWN12 AMR8:AMR12 ACV8:ACV12">
      <formula1>$AI$1:$AI$3</formula1>
    </dataValidation>
    <dataValidation type="list" allowBlank="1" showInputMessage="1" showErrorMessage="1" sqref="AE65542:AE65548 KA65542:KA65548 TW65542:TW65548 ADS65542:ADS65548 ANO65542:ANO65548 AXK65542:AXK65548 BHG65542:BHG65548 BRC65542:BRC65548 CAY65542:CAY65548 CKU65542:CKU65548 CUQ65542:CUQ65548 DEM65542:DEM65548 DOI65542:DOI65548 DYE65542:DYE65548 EIA65542:EIA65548 ERW65542:ERW65548 FBS65542:FBS65548 FLO65542:FLO65548 FVK65542:FVK65548 GFG65542:GFG65548 GPC65542:GPC65548 GYY65542:GYY65548 HIU65542:HIU65548 HSQ65542:HSQ65548 ICM65542:ICM65548 IMI65542:IMI65548 IWE65542:IWE65548 JGA65542:JGA65548 JPW65542:JPW65548 JZS65542:JZS65548 KJO65542:KJO65548 KTK65542:KTK65548 LDG65542:LDG65548 LNC65542:LNC65548 LWY65542:LWY65548 MGU65542:MGU65548 MQQ65542:MQQ65548 NAM65542:NAM65548 NKI65542:NKI65548 NUE65542:NUE65548 OEA65542:OEA65548 ONW65542:ONW65548 OXS65542:OXS65548 PHO65542:PHO65548 PRK65542:PRK65548 QBG65542:QBG65548 QLC65542:QLC65548 QUY65542:QUY65548 REU65542:REU65548 ROQ65542:ROQ65548 RYM65542:RYM65548 SII65542:SII65548 SSE65542:SSE65548 TCA65542:TCA65548 TLW65542:TLW65548 TVS65542:TVS65548 UFO65542:UFO65548 UPK65542:UPK65548 UZG65542:UZG65548 VJC65542:VJC65548 VSY65542:VSY65548 WCU65542:WCU65548 WMQ65542:WMQ65548 WWM65542:WWM65548 AE131078:AE131084 KA131078:KA131084 TW131078:TW131084 ADS131078:ADS131084 ANO131078:ANO131084 AXK131078:AXK131084 BHG131078:BHG131084 BRC131078:BRC131084 CAY131078:CAY131084 CKU131078:CKU131084 CUQ131078:CUQ131084 DEM131078:DEM131084 DOI131078:DOI131084 DYE131078:DYE131084 EIA131078:EIA131084 ERW131078:ERW131084 FBS131078:FBS131084 FLO131078:FLO131084 FVK131078:FVK131084 GFG131078:GFG131084 GPC131078:GPC131084 GYY131078:GYY131084 HIU131078:HIU131084 HSQ131078:HSQ131084 ICM131078:ICM131084 IMI131078:IMI131084 IWE131078:IWE131084 JGA131078:JGA131084 JPW131078:JPW131084 JZS131078:JZS131084 KJO131078:KJO131084 KTK131078:KTK131084 LDG131078:LDG131084 LNC131078:LNC131084 LWY131078:LWY131084 MGU131078:MGU131084 MQQ131078:MQQ131084 NAM131078:NAM131084 NKI131078:NKI131084 NUE131078:NUE131084 OEA131078:OEA131084 ONW131078:ONW131084 OXS131078:OXS131084 PHO131078:PHO131084 PRK131078:PRK131084 QBG131078:QBG131084 QLC131078:QLC131084 QUY131078:QUY131084 REU131078:REU131084 ROQ131078:ROQ131084 RYM131078:RYM131084 SII131078:SII131084 SSE131078:SSE131084 TCA131078:TCA131084 TLW131078:TLW131084 TVS131078:TVS131084 UFO131078:UFO131084 UPK131078:UPK131084 UZG131078:UZG131084 VJC131078:VJC131084 VSY131078:VSY131084 WCU131078:WCU131084 WMQ131078:WMQ131084 WWM131078:WWM131084 AE196614:AE196620 KA196614:KA196620 TW196614:TW196620 ADS196614:ADS196620 ANO196614:ANO196620 AXK196614:AXK196620 BHG196614:BHG196620 BRC196614:BRC196620 CAY196614:CAY196620 CKU196614:CKU196620 CUQ196614:CUQ196620 DEM196614:DEM196620 DOI196614:DOI196620 DYE196614:DYE196620 EIA196614:EIA196620 ERW196614:ERW196620 FBS196614:FBS196620 FLO196614:FLO196620 FVK196614:FVK196620 GFG196614:GFG196620 GPC196614:GPC196620 GYY196614:GYY196620 HIU196614:HIU196620 HSQ196614:HSQ196620 ICM196614:ICM196620 IMI196614:IMI196620 IWE196614:IWE196620 JGA196614:JGA196620 JPW196614:JPW196620 JZS196614:JZS196620 KJO196614:KJO196620 KTK196614:KTK196620 LDG196614:LDG196620 LNC196614:LNC196620 LWY196614:LWY196620 MGU196614:MGU196620 MQQ196614:MQQ196620 NAM196614:NAM196620 NKI196614:NKI196620 NUE196614:NUE196620 OEA196614:OEA196620 ONW196614:ONW196620 OXS196614:OXS196620 PHO196614:PHO196620 PRK196614:PRK196620 QBG196614:QBG196620 QLC196614:QLC196620 QUY196614:QUY196620 REU196614:REU196620 ROQ196614:ROQ196620 RYM196614:RYM196620 SII196614:SII196620 SSE196614:SSE196620 TCA196614:TCA196620 TLW196614:TLW196620 TVS196614:TVS196620 UFO196614:UFO196620 UPK196614:UPK196620 UZG196614:UZG196620 VJC196614:VJC196620 VSY196614:VSY196620 WCU196614:WCU196620 WMQ196614:WMQ196620 WWM196614:WWM196620 AE262150:AE262156 KA262150:KA262156 TW262150:TW262156 ADS262150:ADS262156 ANO262150:ANO262156 AXK262150:AXK262156 BHG262150:BHG262156 BRC262150:BRC262156 CAY262150:CAY262156 CKU262150:CKU262156 CUQ262150:CUQ262156 DEM262150:DEM262156 DOI262150:DOI262156 DYE262150:DYE262156 EIA262150:EIA262156 ERW262150:ERW262156 FBS262150:FBS262156 FLO262150:FLO262156 FVK262150:FVK262156 GFG262150:GFG262156 GPC262150:GPC262156 GYY262150:GYY262156 HIU262150:HIU262156 HSQ262150:HSQ262156 ICM262150:ICM262156 IMI262150:IMI262156 IWE262150:IWE262156 JGA262150:JGA262156 JPW262150:JPW262156 JZS262150:JZS262156 KJO262150:KJO262156 KTK262150:KTK262156 LDG262150:LDG262156 LNC262150:LNC262156 LWY262150:LWY262156 MGU262150:MGU262156 MQQ262150:MQQ262156 NAM262150:NAM262156 NKI262150:NKI262156 NUE262150:NUE262156 OEA262150:OEA262156 ONW262150:ONW262156 OXS262150:OXS262156 PHO262150:PHO262156 PRK262150:PRK262156 QBG262150:QBG262156 QLC262150:QLC262156 QUY262150:QUY262156 REU262150:REU262156 ROQ262150:ROQ262156 RYM262150:RYM262156 SII262150:SII262156 SSE262150:SSE262156 TCA262150:TCA262156 TLW262150:TLW262156 TVS262150:TVS262156 UFO262150:UFO262156 UPK262150:UPK262156 UZG262150:UZG262156 VJC262150:VJC262156 VSY262150:VSY262156 WCU262150:WCU262156 WMQ262150:WMQ262156 WWM262150:WWM262156 AE327686:AE327692 KA327686:KA327692 TW327686:TW327692 ADS327686:ADS327692 ANO327686:ANO327692 AXK327686:AXK327692 BHG327686:BHG327692 BRC327686:BRC327692 CAY327686:CAY327692 CKU327686:CKU327692 CUQ327686:CUQ327692 DEM327686:DEM327692 DOI327686:DOI327692 DYE327686:DYE327692 EIA327686:EIA327692 ERW327686:ERW327692 FBS327686:FBS327692 FLO327686:FLO327692 FVK327686:FVK327692 GFG327686:GFG327692 GPC327686:GPC327692 GYY327686:GYY327692 HIU327686:HIU327692 HSQ327686:HSQ327692 ICM327686:ICM327692 IMI327686:IMI327692 IWE327686:IWE327692 JGA327686:JGA327692 JPW327686:JPW327692 JZS327686:JZS327692 KJO327686:KJO327692 KTK327686:KTK327692 LDG327686:LDG327692 LNC327686:LNC327692 LWY327686:LWY327692 MGU327686:MGU327692 MQQ327686:MQQ327692 NAM327686:NAM327692 NKI327686:NKI327692 NUE327686:NUE327692 OEA327686:OEA327692 ONW327686:ONW327692 OXS327686:OXS327692 PHO327686:PHO327692 PRK327686:PRK327692 QBG327686:QBG327692 QLC327686:QLC327692 QUY327686:QUY327692 REU327686:REU327692 ROQ327686:ROQ327692 RYM327686:RYM327692 SII327686:SII327692 SSE327686:SSE327692 TCA327686:TCA327692 TLW327686:TLW327692 TVS327686:TVS327692 UFO327686:UFO327692 UPK327686:UPK327692 UZG327686:UZG327692 VJC327686:VJC327692 VSY327686:VSY327692 WCU327686:WCU327692 WMQ327686:WMQ327692 WWM327686:WWM327692 AE393222:AE393228 KA393222:KA393228 TW393222:TW393228 ADS393222:ADS393228 ANO393222:ANO393228 AXK393222:AXK393228 BHG393222:BHG393228 BRC393222:BRC393228 CAY393222:CAY393228 CKU393222:CKU393228 CUQ393222:CUQ393228 DEM393222:DEM393228 DOI393222:DOI393228 DYE393222:DYE393228 EIA393222:EIA393228 ERW393222:ERW393228 FBS393222:FBS393228 FLO393222:FLO393228 FVK393222:FVK393228 GFG393222:GFG393228 GPC393222:GPC393228 GYY393222:GYY393228 HIU393222:HIU393228 HSQ393222:HSQ393228 ICM393222:ICM393228 IMI393222:IMI393228 IWE393222:IWE393228 JGA393222:JGA393228 JPW393222:JPW393228 JZS393222:JZS393228 KJO393222:KJO393228 KTK393222:KTK393228 LDG393222:LDG393228 LNC393222:LNC393228 LWY393222:LWY393228 MGU393222:MGU393228 MQQ393222:MQQ393228 NAM393222:NAM393228 NKI393222:NKI393228 NUE393222:NUE393228 OEA393222:OEA393228 ONW393222:ONW393228 OXS393222:OXS393228 PHO393222:PHO393228 PRK393222:PRK393228 QBG393222:QBG393228 QLC393222:QLC393228 QUY393222:QUY393228 REU393222:REU393228 ROQ393222:ROQ393228 RYM393222:RYM393228 SII393222:SII393228 SSE393222:SSE393228 TCA393222:TCA393228 TLW393222:TLW393228 TVS393222:TVS393228 UFO393222:UFO393228 UPK393222:UPK393228 UZG393222:UZG393228 VJC393222:VJC393228 VSY393222:VSY393228 WCU393222:WCU393228 WMQ393222:WMQ393228 WWM393222:WWM393228 AE458758:AE458764 KA458758:KA458764 TW458758:TW458764 ADS458758:ADS458764 ANO458758:ANO458764 AXK458758:AXK458764 BHG458758:BHG458764 BRC458758:BRC458764 CAY458758:CAY458764 CKU458758:CKU458764 CUQ458758:CUQ458764 DEM458758:DEM458764 DOI458758:DOI458764 DYE458758:DYE458764 EIA458758:EIA458764 ERW458758:ERW458764 FBS458758:FBS458764 FLO458758:FLO458764 FVK458758:FVK458764 GFG458758:GFG458764 GPC458758:GPC458764 GYY458758:GYY458764 HIU458758:HIU458764 HSQ458758:HSQ458764 ICM458758:ICM458764 IMI458758:IMI458764 IWE458758:IWE458764 JGA458758:JGA458764 JPW458758:JPW458764 JZS458758:JZS458764 KJO458758:KJO458764 KTK458758:KTK458764 LDG458758:LDG458764 LNC458758:LNC458764 LWY458758:LWY458764 MGU458758:MGU458764 MQQ458758:MQQ458764 NAM458758:NAM458764 NKI458758:NKI458764 NUE458758:NUE458764 OEA458758:OEA458764 ONW458758:ONW458764 OXS458758:OXS458764 PHO458758:PHO458764 PRK458758:PRK458764 QBG458758:QBG458764 QLC458758:QLC458764 QUY458758:QUY458764 REU458758:REU458764 ROQ458758:ROQ458764 RYM458758:RYM458764 SII458758:SII458764 SSE458758:SSE458764 TCA458758:TCA458764 TLW458758:TLW458764 TVS458758:TVS458764 UFO458758:UFO458764 UPK458758:UPK458764 UZG458758:UZG458764 VJC458758:VJC458764 VSY458758:VSY458764 WCU458758:WCU458764 WMQ458758:WMQ458764 WWM458758:WWM458764 AE524294:AE524300 KA524294:KA524300 TW524294:TW524300 ADS524294:ADS524300 ANO524294:ANO524300 AXK524294:AXK524300 BHG524294:BHG524300 BRC524294:BRC524300 CAY524294:CAY524300 CKU524294:CKU524300 CUQ524294:CUQ524300 DEM524294:DEM524300 DOI524294:DOI524300 DYE524294:DYE524300 EIA524294:EIA524300 ERW524294:ERW524300 FBS524294:FBS524300 FLO524294:FLO524300 FVK524294:FVK524300 GFG524294:GFG524300 GPC524294:GPC524300 GYY524294:GYY524300 HIU524294:HIU524300 HSQ524294:HSQ524300 ICM524294:ICM524300 IMI524294:IMI524300 IWE524294:IWE524300 JGA524294:JGA524300 JPW524294:JPW524300 JZS524294:JZS524300 KJO524294:KJO524300 KTK524294:KTK524300 LDG524294:LDG524300 LNC524294:LNC524300 LWY524294:LWY524300 MGU524294:MGU524300 MQQ524294:MQQ524300 NAM524294:NAM524300 NKI524294:NKI524300 NUE524294:NUE524300 OEA524294:OEA524300 ONW524294:ONW524300 OXS524294:OXS524300 PHO524294:PHO524300 PRK524294:PRK524300 QBG524294:QBG524300 QLC524294:QLC524300 QUY524294:QUY524300 REU524294:REU524300 ROQ524294:ROQ524300 RYM524294:RYM524300 SII524294:SII524300 SSE524294:SSE524300 TCA524294:TCA524300 TLW524294:TLW524300 TVS524294:TVS524300 UFO524294:UFO524300 UPK524294:UPK524300 UZG524294:UZG524300 VJC524294:VJC524300 VSY524294:VSY524300 WCU524294:WCU524300 WMQ524294:WMQ524300 WWM524294:WWM524300 AE589830:AE589836 KA589830:KA589836 TW589830:TW589836 ADS589830:ADS589836 ANO589830:ANO589836 AXK589830:AXK589836 BHG589830:BHG589836 BRC589830:BRC589836 CAY589830:CAY589836 CKU589830:CKU589836 CUQ589830:CUQ589836 DEM589830:DEM589836 DOI589830:DOI589836 DYE589830:DYE589836 EIA589830:EIA589836 ERW589830:ERW589836 FBS589830:FBS589836 FLO589830:FLO589836 FVK589830:FVK589836 GFG589830:GFG589836 GPC589830:GPC589836 GYY589830:GYY589836 HIU589830:HIU589836 HSQ589830:HSQ589836 ICM589830:ICM589836 IMI589830:IMI589836 IWE589830:IWE589836 JGA589830:JGA589836 JPW589830:JPW589836 JZS589830:JZS589836 KJO589830:KJO589836 KTK589830:KTK589836 LDG589830:LDG589836 LNC589830:LNC589836 LWY589830:LWY589836 MGU589830:MGU589836 MQQ589830:MQQ589836 NAM589830:NAM589836 NKI589830:NKI589836 NUE589830:NUE589836 OEA589830:OEA589836 ONW589830:ONW589836 OXS589830:OXS589836 PHO589830:PHO589836 PRK589830:PRK589836 QBG589830:QBG589836 QLC589830:QLC589836 QUY589830:QUY589836 REU589830:REU589836 ROQ589830:ROQ589836 RYM589830:RYM589836 SII589830:SII589836 SSE589830:SSE589836 TCA589830:TCA589836 TLW589830:TLW589836 TVS589830:TVS589836 UFO589830:UFO589836 UPK589830:UPK589836 UZG589830:UZG589836 VJC589830:VJC589836 VSY589830:VSY589836 WCU589830:WCU589836 WMQ589830:WMQ589836 WWM589830:WWM589836 AE655366:AE655372 KA655366:KA655372 TW655366:TW655372 ADS655366:ADS655372 ANO655366:ANO655372 AXK655366:AXK655372 BHG655366:BHG655372 BRC655366:BRC655372 CAY655366:CAY655372 CKU655366:CKU655372 CUQ655366:CUQ655372 DEM655366:DEM655372 DOI655366:DOI655372 DYE655366:DYE655372 EIA655366:EIA655372 ERW655366:ERW655372 FBS655366:FBS655372 FLO655366:FLO655372 FVK655366:FVK655372 GFG655366:GFG655372 GPC655366:GPC655372 GYY655366:GYY655372 HIU655366:HIU655372 HSQ655366:HSQ655372 ICM655366:ICM655372 IMI655366:IMI655372 IWE655366:IWE655372 JGA655366:JGA655372 JPW655366:JPW655372 JZS655366:JZS655372 KJO655366:KJO655372 KTK655366:KTK655372 LDG655366:LDG655372 LNC655366:LNC655372 LWY655366:LWY655372 MGU655366:MGU655372 MQQ655366:MQQ655372 NAM655366:NAM655372 NKI655366:NKI655372 NUE655366:NUE655372 OEA655366:OEA655372 ONW655366:ONW655372 OXS655366:OXS655372 PHO655366:PHO655372 PRK655366:PRK655372 QBG655366:QBG655372 QLC655366:QLC655372 QUY655366:QUY655372 REU655366:REU655372 ROQ655366:ROQ655372 RYM655366:RYM655372 SII655366:SII655372 SSE655366:SSE655372 TCA655366:TCA655372 TLW655366:TLW655372 TVS655366:TVS655372 UFO655366:UFO655372 UPK655366:UPK655372 UZG655366:UZG655372 VJC655366:VJC655372 VSY655366:VSY655372 WCU655366:WCU655372 WMQ655366:WMQ655372 WWM655366:WWM655372 AE720902:AE720908 KA720902:KA720908 TW720902:TW720908 ADS720902:ADS720908 ANO720902:ANO720908 AXK720902:AXK720908 BHG720902:BHG720908 BRC720902:BRC720908 CAY720902:CAY720908 CKU720902:CKU720908 CUQ720902:CUQ720908 DEM720902:DEM720908 DOI720902:DOI720908 DYE720902:DYE720908 EIA720902:EIA720908 ERW720902:ERW720908 FBS720902:FBS720908 FLO720902:FLO720908 FVK720902:FVK720908 GFG720902:GFG720908 GPC720902:GPC720908 GYY720902:GYY720908 HIU720902:HIU720908 HSQ720902:HSQ720908 ICM720902:ICM720908 IMI720902:IMI720908 IWE720902:IWE720908 JGA720902:JGA720908 JPW720902:JPW720908 JZS720902:JZS720908 KJO720902:KJO720908 KTK720902:KTK720908 LDG720902:LDG720908 LNC720902:LNC720908 LWY720902:LWY720908 MGU720902:MGU720908 MQQ720902:MQQ720908 NAM720902:NAM720908 NKI720902:NKI720908 NUE720902:NUE720908 OEA720902:OEA720908 ONW720902:ONW720908 OXS720902:OXS720908 PHO720902:PHO720908 PRK720902:PRK720908 QBG720902:QBG720908 QLC720902:QLC720908 QUY720902:QUY720908 REU720902:REU720908 ROQ720902:ROQ720908 RYM720902:RYM720908 SII720902:SII720908 SSE720902:SSE720908 TCA720902:TCA720908 TLW720902:TLW720908 TVS720902:TVS720908 UFO720902:UFO720908 UPK720902:UPK720908 UZG720902:UZG720908 VJC720902:VJC720908 VSY720902:VSY720908 WCU720902:WCU720908 WMQ720902:WMQ720908 WWM720902:WWM720908 AE786438:AE786444 KA786438:KA786444 TW786438:TW786444 ADS786438:ADS786444 ANO786438:ANO786444 AXK786438:AXK786444 BHG786438:BHG786444 BRC786438:BRC786444 CAY786438:CAY786444 CKU786438:CKU786444 CUQ786438:CUQ786444 DEM786438:DEM786444 DOI786438:DOI786444 DYE786438:DYE786444 EIA786438:EIA786444 ERW786438:ERW786444 FBS786438:FBS786444 FLO786438:FLO786444 FVK786438:FVK786444 GFG786438:GFG786444 GPC786438:GPC786444 GYY786438:GYY786444 HIU786438:HIU786444 HSQ786438:HSQ786444 ICM786438:ICM786444 IMI786438:IMI786444 IWE786438:IWE786444 JGA786438:JGA786444 JPW786438:JPW786444 JZS786438:JZS786444 KJO786438:KJO786444 KTK786438:KTK786444 LDG786438:LDG786444 LNC786438:LNC786444 LWY786438:LWY786444 MGU786438:MGU786444 MQQ786438:MQQ786444 NAM786438:NAM786444 NKI786438:NKI786444 NUE786438:NUE786444 OEA786438:OEA786444 ONW786438:ONW786444 OXS786438:OXS786444 PHO786438:PHO786444 PRK786438:PRK786444 QBG786438:QBG786444 QLC786438:QLC786444 QUY786438:QUY786444 REU786438:REU786444 ROQ786438:ROQ786444 RYM786438:RYM786444 SII786438:SII786444 SSE786438:SSE786444 TCA786438:TCA786444 TLW786438:TLW786444 TVS786438:TVS786444 UFO786438:UFO786444 UPK786438:UPK786444 UZG786438:UZG786444 VJC786438:VJC786444 VSY786438:VSY786444 WCU786438:WCU786444 WMQ786438:WMQ786444 WWM786438:WWM786444 AE851974:AE851980 KA851974:KA851980 TW851974:TW851980 ADS851974:ADS851980 ANO851974:ANO851980 AXK851974:AXK851980 BHG851974:BHG851980 BRC851974:BRC851980 CAY851974:CAY851980 CKU851974:CKU851980 CUQ851974:CUQ851980 DEM851974:DEM851980 DOI851974:DOI851980 DYE851974:DYE851980 EIA851974:EIA851980 ERW851974:ERW851980 FBS851974:FBS851980 FLO851974:FLO851980 FVK851974:FVK851980 GFG851974:GFG851980 GPC851974:GPC851980 GYY851974:GYY851980 HIU851974:HIU851980 HSQ851974:HSQ851980 ICM851974:ICM851980 IMI851974:IMI851980 IWE851974:IWE851980 JGA851974:JGA851980 JPW851974:JPW851980 JZS851974:JZS851980 KJO851974:KJO851980 KTK851974:KTK851980 LDG851974:LDG851980 LNC851974:LNC851980 LWY851974:LWY851980 MGU851974:MGU851980 MQQ851974:MQQ851980 NAM851974:NAM851980 NKI851974:NKI851980 NUE851974:NUE851980 OEA851974:OEA851980 ONW851974:ONW851980 OXS851974:OXS851980 PHO851974:PHO851980 PRK851974:PRK851980 QBG851974:QBG851980 QLC851974:QLC851980 QUY851974:QUY851980 REU851974:REU851980 ROQ851974:ROQ851980 RYM851974:RYM851980 SII851974:SII851980 SSE851974:SSE851980 TCA851974:TCA851980 TLW851974:TLW851980 TVS851974:TVS851980 UFO851974:UFO851980 UPK851974:UPK851980 UZG851974:UZG851980 VJC851974:VJC851980 VSY851974:VSY851980 WCU851974:WCU851980 WMQ851974:WMQ851980 WWM851974:WWM851980 AE917510:AE917516 KA917510:KA917516 TW917510:TW917516 ADS917510:ADS917516 ANO917510:ANO917516 AXK917510:AXK917516 BHG917510:BHG917516 BRC917510:BRC917516 CAY917510:CAY917516 CKU917510:CKU917516 CUQ917510:CUQ917516 DEM917510:DEM917516 DOI917510:DOI917516 DYE917510:DYE917516 EIA917510:EIA917516 ERW917510:ERW917516 FBS917510:FBS917516 FLO917510:FLO917516 FVK917510:FVK917516 GFG917510:GFG917516 GPC917510:GPC917516 GYY917510:GYY917516 HIU917510:HIU917516 HSQ917510:HSQ917516 ICM917510:ICM917516 IMI917510:IMI917516 IWE917510:IWE917516 JGA917510:JGA917516 JPW917510:JPW917516 JZS917510:JZS917516 KJO917510:KJO917516 KTK917510:KTK917516 LDG917510:LDG917516 LNC917510:LNC917516 LWY917510:LWY917516 MGU917510:MGU917516 MQQ917510:MQQ917516 NAM917510:NAM917516 NKI917510:NKI917516 NUE917510:NUE917516 OEA917510:OEA917516 ONW917510:ONW917516 OXS917510:OXS917516 PHO917510:PHO917516 PRK917510:PRK917516 QBG917510:QBG917516 QLC917510:QLC917516 QUY917510:QUY917516 REU917510:REU917516 ROQ917510:ROQ917516 RYM917510:RYM917516 SII917510:SII917516 SSE917510:SSE917516 TCA917510:TCA917516 TLW917510:TLW917516 TVS917510:TVS917516 UFO917510:UFO917516 UPK917510:UPK917516 UZG917510:UZG917516 VJC917510:VJC917516 VSY917510:VSY917516 WCU917510:WCU917516 WMQ917510:WMQ917516 WWM917510:WWM917516 AE983046:AE983052 KA983046:KA983052 TW983046:TW983052 ADS983046:ADS983052 ANO983046:ANO983052 AXK983046:AXK983052 BHG983046:BHG983052 BRC983046:BRC983052 CAY983046:CAY983052 CKU983046:CKU983052 CUQ983046:CUQ983052 DEM983046:DEM983052 DOI983046:DOI983052 DYE983046:DYE983052 EIA983046:EIA983052 ERW983046:ERW983052 FBS983046:FBS983052 FLO983046:FLO983052 FVK983046:FVK983052 GFG983046:GFG983052 GPC983046:GPC983052 GYY983046:GYY983052 HIU983046:HIU983052 HSQ983046:HSQ983052 ICM983046:ICM983052 IMI983046:IMI983052 IWE983046:IWE983052 JGA983046:JGA983052 JPW983046:JPW983052 JZS983046:JZS983052 KJO983046:KJO983052 KTK983046:KTK983052 LDG983046:LDG983052 LNC983046:LNC983052 LWY983046:LWY983052 MGU983046:MGU983052 MQQ983046:MQQ983052 NAM983046:NAM983052 NKI983046:NKI983052 NUE983046:NUE983052 OEA983046:OEA983052 ONW983046:ONW983052 OXS983046:OXS983052 PHO983046:PHO983052 PRK983046:PRK983052 QBG983046:QBG983052 QLC983046:QLC983052 QUY983046:QUY983052 REU983046:REU983052 ROQ983046:ROQ983052 RYM983046:RYM983052 SII983046:SII983052 SSE983046:SSE983052 TCA983046:TCA983052 TLW983046:TLW983052 TVS983046:TVS983052 UFO983046:UFO983052 UPK983046:UPK983052 UZG983046:UZG983052 VJC983046:VJC983052 VSY983046:VSY983052 WCU983046:WCU983052 WMQ983046:WMQ983052 WWM983046:WWM983052 TW8:TW12 KA8:KA12 AE8:AE12 WWM8:WWM12 WMQ8:WMQ12 WCU8:WCU12 VSY8:VSY12 VJC8:VJC12 UZG8:UZG12 UPK8:UPK12 UFO8:UFO12 TVS8:TVS12 TLW8:TLW12 TCA8:TCA12 SSE8:SSE12 SII8:SII12 RYM8:RYM12 ROQ8:ROQ12 REU8:REU12 QUY8:QUY12 QLC8:QLC12 QBG8:QBG12 PRK8:PRK12 PHO8:PHO12 OXS8:OXS12 ONW8:ONW12 OEA8:OEA12 NUE8:NUE12 NKI8:NKI12 NAM8:NAM12 MQQ8:MQQ12 MGU8:MGU12 LWY8:LWY12 LNC8:LNC12 LDG8:LDG12 KTK8:KTK12 KJO8:KJO12 JZS8:JZS12 JPW8:JPW12 JGA8:JGA12 IWE8:IWE12 IMI8:IMI12 ICM8:ICM12 HSQ8:HSQ12 HIU8:HIU12 GYY8:GYY12 GPC8:GPC12 GFG8:GFG12 FVK8:FVK12 FLO8:FLO12 FBS8:FBS12 ERW8:ERW12 EIA8:EIA12 DYE8:DYE12 DOI8:DOI12 DEM8:DEM12 CUQ8:CUQ12 CKU8:CKU12 CAY8:CAY12 BRC8:BRC12 BHG8:BHG12 AXK8:AXK12 ANO8:ANO12 ADS8:ADS12">
      <formula1>$AH$1:$AH$4</formula1>
    </dataValidation>
    <dataValidation type="date" showInputMessage="1" showErrorMessage="1" error="Debe Digitar una Fecha Valida o Verificar la Fecha Inicial" sqref="AC65542 JY65542 TU65542 ADQ65542 ANM65542 AXI65542 BHE65542 BRA65542 CAW65542 CKS65542 CUO65542 DEK65542 DOG65542 DYC65542 EHY65542 ERU65542 FBQ65542 FLM65542 FVI65542 GFE65542 GPA65542 GYW65542 HIS65542 HSO65542 ICK65542 IMG65542 IWC65542 JFY65542 JPU65542 JZQ65542 KJM65542 KTI65542 LDE65542 LNA65542 LWW65542 MGS65542 MQO65542 NAK65542 NKG65542 NUC65542 ODY65542 ONU65542 OXQ65542 PHM65542 PRI65542 QBE65542 QLA65542 QUW65542 RES65542 ROO65542 RYK65542 SIG65542 SSC65542 TBY65542 TLU65542 TVQ65542 UFM65542 UPI65542 UZE65542 VJA65542 VSW65542 WCS65542 WMO65542 WWK65542 AC131078 JY131078 TU131078 ADQ131078 ANM131078 AXI131078 BHE131078 BRA131078 CAW131078 CKS131078 CUO131078 DEK131078 DOG131078 DYC131078 EHY131078 ERU131078 FBQ131078 FLM131078 FVI131078 GFE131078 GPA131078 GYW131078 HIS131078 HSO131078 ICK131078 IMG131078 IWC131078 JFY131078 JPU131078 JZQ131078 KJM131078 KTI131078 LDE131078 LNA131078 LWW131078 MGS131078 MQO131078 NAK131078 NKG131078 NUC131078 ODY131078 ONU131078 OXQ131078 PHM131078 PRI131078 QBE131078 QLA131078 QUW131078 RES131078 ROO131078 RYK131078 SIG131078 SSC131078 TBY131078 TLU131078 TVQ131078 UFM131078 UPI131078 UZE131078 VJA131078 VSW131078 WCS131078 WMO131078 WWK131078 AC196614 JY196614 TU196614 ADQ196614 ANM196614 AXI196614 BHE196614 BRA196614 CAW196614 CKS196614 CUO196614 DEK196614 DOG196614 DYC196614 EHY196614 ERU196614 FBQ196614 FLM196614 FVI196614 GFE196614 GPA196614 GYW196614 HIS196614 HSO196614 ICK196614 IMG196614 IWC196614 JFY196614 JPU196614 JZQ196614 KJM196614 KTI196614 LDE196614 LNA196614 LWW196614 MGS196614 MQO196614 NAK196614 NKG196614 NUC196614 ODY196614 ONU196614 OXQ196614 PHM196614 PRI196614 QBE196614 QLA196614 QUW196614 RES196614 ROO196614 RYK196614 SIG196614 SSC196614 TBY196614 TLU196614 TVQ196614 UFM196614 UPI196614 UZE196614 VJA196614 VSW196614 WCS196614 WMO196614 WWK196614 AC262150 JY262150 TU262150 ADQ262150 ANM262150 AXI262150 BHE262150 BRA262150 CAW262150 CKS262150 CUO262150 DEK262150 DOG262150 DYC262150 EHY262150 ERU262150 FBQ262150 FLM262150 FVI262150 GFE262150 GPA262150 GYW262150 HIS262150 HSO262150 ICK262150 IMG262150 IWC262150 JFY262150 JPU262150 JZQ262150 KJM262150 KTI262150 LDE262150 LNA262150 LWW262150 MGS262150 MQO262150 NAK262150 NKG262150 NUC262150 ODY262150 ONU262150 OXQ262150 PHM262150 PRI262150 QBE262150 QLA262150 QUW262150 RES262150 ROO262150 RYK262150 SIG262150 SSC262150 TBY262150 TLU262150 TVQ262150 UFM262150 UPI262150 UZE262150 VJA262150 VSW262150 WCS262150 WMO262150 WWK262150 AC327686 JY327686 TU327686 ADQ327686 ANM327686 AXI327686 BHE327686 BRA327686 CAW327686 CKS327686 CUO327686 DEK327686 DOG327686 DYC327686 EHY327686 ERU327686 FBQ327686 FLM327686 FVI327686 GFE327686 GPA327686 GYW327686 HIS327686 HSO327686 ICK327686 IMG327686 IWC327686 JFY327686 JPU327686 JZQ327686 KJM327686 KTI327686 LDE327686 LNA327686 LWW327686 MGS327686 MQO327686 NAK327686 NKG327686 NUC327686 ODY327686 ONU327686 OXQ327686 PHM327686 PRI327686 QBE327686 QLA327686 QUW327686 RES327686 ROO327686 RYK327686 SIG327686 SSC327686 TBY327686 TLU327686 TVQ327686 UFM327686 UPI327686 UZE327686 VJA327686 VSW327686 WCS327686 WMO327686 WWK327686 AC393222 JY393222 TU393222 ADQ393222 ANM393222 AXI393222 BHE393222 BRA393222 CAW393222 CKS393222 CUO393222 DEK393222 DOG393222 DYC393222 EHY393222 ERU393222 FBQ393222 FLM393222 FVI393222 GFE393222 GPA393222 GYW393222 HIS393222 HSO393222 ICK393222 IMG393222 IWC393222 JFY393222 JPU393222 JZQ393222 KJM393222 KTI393222 LDE393222 LNA393222 LWW393222 MGS393222 MQO393222 NAK393222 NKG393222 NUC393222 ODY393222 ONU393222 OXQ393222 PHM393222 PRI393222 QBE393222 QLA393222 QUW393222 RES393222 ROO393222 RYK393222 SIG393222 SSC393222 TBY393222 TLU393222 TVQ393222 UFM393222 UPI393222 UZE393222 VJA393222 VSW393222 WCS393222 WMO393222 WWK393222 AC458758 JY458758 TU458758 ADQ458758 ANM458758 AXI458758 BHE458758 BRA458758 CAW458758 CKS458758 CUO458758 DEK458758 DOG458758 DYC458758 EHY458758 ERU458758 FBQ458758 FLM458758 FVI458758 GFE458758 GPA458758 GYW458758 HIS458758 HSO458758 ICK458758 IMG458758 IWC458758 JFY458758 JPU458758 JZQ458758 KJM458758 KTI458758 LDE458758 LNA458758 LWW458758 MGS458758 MQO458758 NAK458758 NKG458758 NUC458758 ODY458758 ONU458758 OXQ458758 PHM458758 PRI458758 QBE458758 QLA458758 QUW458758 RES458758 ROO458758 RYK458758 SIG458758 SSC458758 TBY458758 TLU458758 TVQ458758 UFM458758 UPI458758 UZE458758 VJA458758 VSW458758 WCS458758 WMO458758 WWK458758 AC524294 JY524294 TU524294 ADQ524294 ANM524294 AXI524294 BHE524294 BRA524294 CAW524294 CKS524294 CUO524294 DEK524294 DOG524294 DYC524294 EHY524294 ERU524294 FBQ524294 FLM524294 FVI524294 GFE524294 GPA524294 GYW524294 HIS524294 HSO524294 ICK524294 IMG524294 IWC524294 JFY524294 JPU524294 JZQ524294 KJM524294 KTI524294 LDE524294 LNA524294 LWW524294 MGS524294 MQO524294 NAK524294 NKG524294 NUC524294 ODY524294 ONU524294 OXQ524294 PHM524294 PRI524294 QBE524294 QLA524294 QUW524294 RES524294 ROO524294 RYK524294 SIG524294 SSC524294 TBY524294 TLU524294 TVQ524294 UFM524294 UPI524294 UZE524294 VJA524294 VSW524294 WCS524294 WMO524294 WWK524294 AC589830 JY589830 TU589830 ADQ589830 ANM589830 AXI589830 BHE589830 BRA589830 CAW589830 CKS589830 CUO589830 DEK589830 DOG589830 DYC589830 EHY589830 ERU589830 FBQ589830 FLM589830 FVI589830 GFE589830 GPA589830 GYW589830 HIS589830 HSO589830 ICK589830 IMG589830 IWC589830 JFY589830 JPU589830 JZQ589830 KJM589830 KTI589830 LDE589830 LNA589830 LWW589830 MGS589830 MQO589830 NAK589830 NKG589830 NUC589830 ODY589830 ONU589830 OXQ589830 PHM589830 PRI589830 QBE589830 QLA589830 QUW589830 RES589830 ROO589830 RYK589830 SIG589830 SSC589830 TBY589830 TLU589830 TVQ589830 UFM589830 UPI589830 UZE589830 VJA589830 VSW589830 WCS589830 WMO589830 WWK589830 AC655366 JY655366 TU655366 ADQ655366 ANM655366 AXI655366 BHE655366 BRA655366 CAW655366 CKS655366 CUO655366 DEK655366 DOG655366 DYC655366 EHY655366 ERU655366 FBQ655366 FLM655366 FVI655366 GFE655366 GPA655366 GYW655366 HIS655366 HSO655366 ICK655366 IMG655366 IWC655366 JFY655366 JPU655366 JZQ655366 KJM655366 KTI655366 LDE655366 LNA655366 LWW655366 MGS655366 MQO655366 NAK655366 NKG655366 NUC655366 ODY655366 ONU655366 OXQ655366 PHM655366 PRI655366 QBE655366 QLA655366 QUW655366 RES655366 ROO655366 RYK655366 SIG655366 SSC655366 TBY655366 TLU655366 TVQ655366 UFM655366 UPI655366 UZE655366 VJA655366 VSW655366 WCS655366 WMO655366 WWK655366 AC720902 JY720902 TU720902 ADQ720902 ANM720902 AXI720902 BHE720902 BRA720902 CAW720902 CKS720902 CUO720902 DEK720902 DOG720902 DYC720902 EHY720902 ERU720902 FBQ720902 FLM720902 FVI720902 GFE720902 GPA720902 GYW720902 HIS720902 HSO720902 ICK720902 IMG720902 IWC720902 JFY720902 JPU720902 JZQ720902 KJM720902 KTI720902 LDE720902 LNA720902 LWW720902 MGS720902 MQO720902 NAK720902 NKG720902 NUC720902 ODY720902 ONU720902 OXQ720902 PHM720902 PRI720902 QBE720902 QLA720902 QUW720902 RES720902 ROO720902 RYK720902 SIG720902 SSC720902 TBY720902 TLU720902 TVQ720902 UFM720902 UPI720902 UZE720902 VJA720902 VSW720902 WCS720902 WMO720902 WWK720902 AC786438 JY786438 TU786438 ADQ786438 ANM786438 AXI786438 BHE786438 BRA786438 CAW786438 CKS786438 CUO786438 DEK786438 DOG786438 DYC786438 EHY786438 ERU786438 FBQ786438 FLM786438 FVI786438 GFE786438 GPA786438 GYW786438 HIS786438 HSO786438 ICK786438 IMG786438 IWC786438 JFY786438 JPU786438 JZQ786438 KJM786438 KTI786438 LDE786438 LNA786438 LWW786438 MGS786438 MQO786438 NAK786438 NKG786438 NUC786438 ODY786438 ONU786438 OXQ786438 PHM786438 PRI786438 QBE786438 QLA786438 QUW786438 RES786438 ROO786438 RYK786438 SIG786438 SSC786438 TBY786438 TLU786438 TVQ786438 UFM786438 UPI786438 UZE786438 VJA786438 VSW786438 WCS786438 WMO786438 WWK786438 AC851974 JY851974 TU851974 ADQ851974 ANM851974 AXI851974 BHE851974 BRA851974 CAW851974 CKS851974 CUO851974 DEK851974 DOG851974 DYC851974 EHY851974 ERU851974 FBQ851974 FLM851974 FVI851974 GFE851974 GPA851974 GYW851974 HIS851974 HSO851974 ICK851974 IMG851974 IWC851974 JFY851974 JPU851974 JZQ851974 KJM851974 KTI851974 LDE851974 LNA851974 LWW851974 MGS851974 MQO851974 NAK851974 NKG851974 NUC851974 ODY851974 ONU851974 OXQ851974 PHM851974 PRI851974 QBE851974 QLA851974 QUW851974 RES851974 ROO851974 RYK851974 SIG851974 SSC851974 TBY851974 TLU851974 TVQ851974 UFM851974 UPI851974 UZE851974 VJA851974 VSW851974 WCS851974 WMO851974 WWK851974 AC917510 JY917510 TU917510 ADQ917510 ANM917510 AXI917510 BHE917510 BRA917510 CAW917510 CKS917510 CUO917510 DEK917510 DOG917510 DYC917510 EHY917510 ERU917510 FBQ917510 FLM917510 FVI917510 GFE917510 GPA917510 GYW917510 HIS917510 HSO917510 ICK917510 IMG917510 IWC917510 JFY917510 JPU917510 JZQ917510 KJM917510 KTI917510 LDE917510 LNA917510 LWW917510 MGS917510 MQO917510 NAK917510 NKG917510 NUC917510 ODY917510 ONU917510 OXQ917510 PHM917510 PRI917510 QBE917510 QLA917510 QUW917510 RES917510 ROO917510 RYK917510 SIG917510 SSC917510 TBY917510 TLU917510 TVQ917510 UFM917510 UPI917510 UZE917510 VJA917510 VSW917510 WCS917510 WMO917510 WWK917510 AC983046 JY983046 TU983046 ADQ983046 ANM983046 AXI983046 BHE983046 BRA983046 CAW983046 CKS983046 CUO983046 DEK983046 DOG983046 DYC983046 EHY983046 ERU983046 FBQ983046 FLM983046 FVI983046 GFE983046 GPA983046 GYW983046 HIS983046 HSO983046 ICK983046 IMG983046 IWC983046 JFY983046 JPU983046 JZQ983046 KJM983046 KTI983046 LDE983046 LNA983046 LWW983046 MGS983046 MQO983046 NAK983046 NKG983046 NUC983046 ODY983046 ONU983046 OXQ983046 PHM983046 PRI983046 QBE983046 QLA983046 QUW983046 RES983046 ROO983046 RYK983046 SIG983046 SSC983046 TBY983046 TLU983046 TVQ983046 UFM983046 UPI983046 UZE983046 VJA983046 VSW983046 WCS983046 WMO983046 WWK983046 AC65544:AC65548 JY65544:JY65548 TU65544:TU65548 ADQ65544:ADQ65548 ANM65544:ANM65548 AXI65544:AXI65548 BHE65544:BHE65548 BRA65544:BRA65548 CAW65544:CAW65548 CKS65544:CKS65548 CUO65544:CUO65548 DEK65544:DEK65548 DOG65544:DOG65548 DYC65544:DYC65548 EHY65544:EHY65548 ERU65544:ERU65548 FBQ65544:FBQ65548 FLM65544:FLM65548 FVI65544:FVI65548 GFE65544:GFE65548 GPA65544:GPA65548 GYW65544:GYW65548 HIS65544:HIS65548 HSO65544:HSO65548 ICK65544:ICK65548 IMG65544:IMG65548 IWC65544:IWC65548 JFY65544:JFY65548 JPU65544:JPU65548 JZQ65544:JZQ65548 KJM65544:KJM65548 KTI65544:KTI65548 LDE65544:LDE65548 LNA65544:LNA65548 LWW65544:LWW65548 MGS65544:MGS65548 MQO65544:MQO65548 NAK65544:NAK65548 NKG65544:NKG65548 NUC65544:NUC65548 ODY65544:ODY65548 ONU65544:ONU65548 OXQ65544:OXQ65548 PHM65544:PHM65548 PRI65544:PRI65548 QBE65544:QBE65548 QLA65544:QLA65548 QUW65544:QUW65548 RES65544:RES65548 ROO65544:ROO65548 RYK65544:RYK65548 SIG65544:SIG65548 SSC65544:SSC65548 TBY65544:TBY65548 TLU65544:TLU65548 TVQ65544:TVQ65548 UFM65544:UFM65548 UPI65544:UPI65548 UZE65544:UZE65548 VJA65544:VJA65548 VSW65544:VSW65548 WCS65544:WCS65548 WMO65544:WMO65548 WWK65544:WWK65548 AC131080:AC131084 JY131080:JY131084 TU131080:TU131084 ADQ131080:ADQ131084 ANM131080:ANM131084 AXI131080:AXI131084 BHE131080:BHE131084 BRA131080:BRA131084 CAW131080:CAW131084 CKS131080:CKS131084 CUO131080:CUO131084 DEK131080:DEK131084 DOG131080:DOG131084 DYC131080:DYC131084 EHY131080:EHY131084 ERU131080:ERU131084 FBQ131080:FBQ131084 FLM131080:FLM131084 FVI131080:FVI131084 GFE131080:GFE131084 GPA131080:GPA131084 GYW131080:GYW131084 HIS131080:HIS131084 HSO131080:HSO131084 ICK131080:ICK131084 IMG131080:IMG131084 IWC131080:IWC131084 JFY131080:JFY131084 JPU131080:JPU131084 JZQ131080:JZQ131084 KJM131080:KJM131084 KTI131080:KTI131084 LDE131080:LDE131084 LNA131080:LNA131084 LWW131080:LWW131084 MGS131080:MGS131084 MQO131080:MQO131084 NAK131080:NAK131084 NKG131080:NKG131084 NUC131080:NUC131084 ODY131080:ODY131084 ONU131080:ONU131084 OXQ131080:OXQ131084 PHM131080:PHM131084 PRI131080:PRI131084 QBE131080:QBE131084 QLA131080:QLA131084 QUW131080:QUW131084 RES131080:RES131084 ROO131080:ROO131084 RYK131080:RYK131084 SIG131080:SIG131084 SSC131080:SSC131084 TBY131080:TBY131084 TLU131080:TLU131084 TVQ131080:TVQ131084 UFM131080:UFM131084 UPI131080:UPI131084 UZE131080:UZE131084 VJA131080:VJA131084 VSW131080:VSW131084 WCS131080:WCS131084 WMO131080:WMO131084 WWK131080:WWK131084 AC196616:AC196620 JY196616:JY196620 TU196616:TU196620 ADQ196616:ADQ196620 ANM196616:ANM196620 AXI196616:AXI196620 BHE196616:BHE196620 BRA196616:BRA196620 CAW196616:CAW196620 CKS196616:CKS196620 CUO196616:CUO196620 DEK196616:DEK196620 DOG196616:DOG196620 DYC196616:DYC196620 EHY196616:EHY196620 ERU196616:ERU196620 FBQ196616:FBQ196620 FLM196616:FLM196620 FVI196616:FVI196620 GFE196616:GFE196620 GPA196616:GPA196620 GYW196616:GYW196620 HIS196616:HIS196620 HSO196616:HSO196620 ICK196616:ICK196620 IMG196616:IMG196620 IWC196616:IWC196620 JFY196616:JFY196620 JPU196616:JPU196620 JZQ196616:JZQ196620 KJM196616:KJM196620 KTI196616:KTI196620 LDE196616:LDE196620 LNA196616:LNA196620 LWW196616:LWW196620 MGS196616:MGS196620 MQO196616:MQO196620 NAK196616:NAK196620 NKG196616:NKG196620 NUC196616:NUC196620 ODY196616:ODY196620 ONU196616:ONU196620 OXQ196616:OXQ196620 PHM196616:PHM196620 PRI196616:PRI196620 QBE196616:QBE196620 QLA196616:QLA196620 QUW196616:QUW196620 RES196616:RES196620 ROO196616:ROO196620 RYK196616:RYK196620 SIG196616:SIG196620 SSC196616:SSC196620 TBY196616:TBY196620 TLU196616:TLU196620 TVQ196616:TVQ196620 UFM196616:UFM196620 UPI196616:UPI196620 UZE196616:UZE196620 VJA196616:VJA196620 VSW196616:VSW196620 WCS196616:WCS196620 WMO196616:WMO196620 WWK196616:WWK196620 AC262152:AC262156 JY262152:JY262156 TU262152:TU262156 ADQ262152:ADQ262156 ANM262152:ANM262156 AXI262152:AXI262156 BHE262152:BHE262156 BRA262152:BRA262156 CAW262152:CAW262156 CKS262152:CKS262156 CUO262152:CUO262156 DEK262152:DEK262156 DOG262152:DOG262156 DYC262152:DYC262156 EHY262152:EHY262156 ERU262152:ERU262156 FBQ262152:FBQ262156 FLM262152:FLM262156 FVI262152:FVI262156 GFE262152:GFE262156 GPA262152:GPA262156 GYW262152:GYW262156 HIS262152:HIS262156 HSO262152:HSO262156 ICK262152:ICK262156 IMG262152:IMG262156 IWC262152:IWC262156 JFY262152:JFY262156 JPU262152:JPU262156 JZQ262152:JZQ262156 KJM262152:KJM262156 KTI262152:KTI262156 LDE262152:LDE262156 LNA262152:LNA262156 LWW262152:LWW262156 MGS262152:MGS262156 MQO262152:MQO262156 NAK262152:NAK262156 NKG262152:NKG262156 NUC262152:NUC262156 ODY262152:ODY262156 ONU262152:ONU262156 OXQ262152:OXQ262156 PHM262152:PHM262156 PRI262152:PRI262156 QBE262152:QBE262156 QLA262152:QLA262156 QUW262152:QUW262156 RES262152:RES262156 ROO262152:ROO262156 RYK262152:RYK262156 SIG262152:SIG262156 SSC262152:SSC262156 TBY262152:TBY262156 TLU262152:TLU262156 TVQ262152:TVQ262156 UFM262152:UFM262156 UPI262152:UPI262156 UZE262152:UZE262156 VJA262152:VJA262156 VSW262152:VSW262156 WCS262152:WCS262156 WMO262152:WMO262156 WWK262152:WWK262156 AC327688:AC327692 JY327688:JY327692 TU327688:TU327692 ADQ327688:ADQ327692 ANM327688:ANM327692 AXI327688:AXI327692 BHE327688:BHE327692 BRA327688:BRA327692 CAW327688:CAW327692 CKS327688:CKS327692 CUO327688:CUO327692 DEK327688:DEK327692 DOG327688:DOG327692 DYC327688:DYC327692 EHY327688:EHY327692 ERU327688:ERU327692 FBQ327688:FBQ327692 FLM327688:FLM327692 FVI327688:FVI327692 GFE327688:GFE327692 GPA327688:GPA327692 GYW327688:GYW327692 HIS327688:HIS327692 HSO327688:HSO327692 ICK327688:ICK327692 IMG327688:IMG327692 IWC327688:IWC327692 JFY327688:JFY327692 JPU327688:JPU327692 JZQ327688:JZQ327692 KJM327688:KJM327692 KTI327688:KTI327692 LDE327688:LDE327692 LNA327688:LNA327692 LWW327688:LWW327692 MGS327688:MGS327692 MQO327688:MQO327692 NAK327688:NAK327692 NKG327688:NKG327692 NUC327688:NUC327692 ODY327688:ODY327692 ONU327688:ONU327692 OXQ327688:OXQ327692 PHM327688:PHM327692 PRI327688:PRI327692 QBE327688:QBE327692 QLA327688:QLA327692 QUW327688:QUW327692 RES327688:RES327692 ROO327688:ROO327692 RYK327688:RYK327692 SIG327688:SIG327692 SSC327688:SSC327692 TBY327688:TBY327692 TLU327688:TLU327692 TVQ327688:TVQ327692 UFM327688:UFM327692 UPI327688:UPI327692 UZE327688:UZE327692 VJA327688:VJA327692 VSW327688:VSW327692 WCS327688:WCS327692 WMO327688:WMO327692 WWK327688:WWK327692 AC393224:AC393228 JY393224:JY393228 TU393224:TU393228 ADQ393224:ADQ393228 ANM393224:ANM393228 AXI393224:AXI393228 BHE393224:BHE393228 BRA393224:BRA393228 CAW393224:CAW393228 CKS393224:CKS393228 CUO393224:CUO393228 DEK393224:DEK393228 DOG393224:DOG393228 DYC393224:DYC393228 EHY393224:EHY393228 ERU393224:ERU393228 FBQ393224:FBQ393228 FLM393224:FLM393228 FVI393224:FVI393228 GFE393224:GFE393228 GPA393224:GPA393228 GYW393224:GYW393228 HIS393224:HIS393228 HSO393224:HSO393228 ICK393224:ICK393228 IMG393224:IMG393228 IWC393224:IWC393228 JFY393224:JFY393228 JPU393224:JPU393228 JZQ393224:JZQ393228 KJM393224:KJM393228 KTI393224:KTI393228 LDE393224:LDE393228 LNA393224:LNA393228 LWW393224:LWW393228 MGS393224:MGS393228 MQO393224:MQO393228 NAK393224:NAK393228 NKG393224:NKG393228 NUC393224:NUC393228 ODY393224:ODY393228 ONU393224:ONU393228 OXQ393224:OXQ393228 PHM393224:PHM393228 PRI393224:PRI393228 QBE393224:QBE393228 QLA393224:QLA393228 QUW393224:QUW393228 RES393224:RES393228 ROO393224:ROO393228 RYK393224:RYK393228 SIG393224:SIG393228 SSC393224:SSC393228 TBY393224:TBY393228 TLU393224:TLU393228 TVQ393224:TVQ393228 UFM393224:UFM393228 UPI393224:UPI393228 UZE393224:UZE393228 VJA393224:VJA393228 VSW393224:VSW393228 WCS393224:WCS393228 WMO393224:WMO393228 WWK393224:WWK393228 AC458760:AC458764 JY458760:JY458764 TU458760:TU458764 ADQ458760:ADQ458764 ANM458760:ANM458764 AXI458760:AXI458764 BHE458760:BHE458764 BRA458760:BRA458764 CAW458760:CAW458764 CKS458760:CKS458764 CUO458760:CUO458764 DEK458760:DEK458764 DOG458760:DOG458764 DYC458760:DYC458764 EHY458760:EHY458764 ERU458760:ERU458764 FBQ458760:FBQ458764 FLM458760:FLM458764 FVI458760:FVI458764 GFE458760:GFE458764 GPA458760:GPA458764 GYW458760:GYW458764 HIS458760:HIS458764 HSO458760:HSO458764 ICK458760:ICK458764 IMG458760:IMG458764 IWC458760:IWC458764 JFY458760:JFY458764 JPU458760:JPU458764 JZQ458760:JZQ458764 KJM458760:KJM458764 KTI458760:KTI458764 LDE458760:LDE458764 LNA458760:LNA458764 LWW458760:LWW458764 MGS458760:MGS458764 MQO458760:MQO458764 NAK458760:NAK458764 NKG458760:NKG458764 NUC458760:NUC458764 ODY458760:ODY458764 ONU458760:ONU458764 OXQ458760:OXQ458764 PHM458760:PHM458764 PRI458760:PRI458764 QBE458760:QBE458764 QLA458760:QLA458764 QUW458760:QUW458764 RES458760:RES458764 ROO458760:ROO458764 RYK458760:RYK458764 SIG458760:SIG458764 SSC458760:SSC458764 TBY458760:TBY458764 TLU458760:TLU458764 TVQ458760:TVQ458764 UFM458760:UFM458764 UPI458760:UPI458764 UZE458760:UZE458764 VJA458760:VJA458764 VSW458760:VSW458764 WCS458760:WCS458764 WMO458760:WMO458764 WWK458760:WWK458764 AC524296:AC524300 JY524296:JY524300 TU524296:TU524300 ADQ524296:ADQ524300 ANM524296:ANM524300 AXI524296:AXI524300 BHE524296:BHE524300 BRA524296:BRA524300 CAW524296:CAW524300 CKS524296:CKS524300 CUO524296:CUO524300 DEK524296:DEK524300 DOG524296:DOG524300 DYC524296:DYC524300 EHY524296:EHY524300 ERU524296:ERU524300 FBQ524296:FBQ524300 FLM524296:FLM524300 FVI524296:FVI524300 GFE524296:GFE524300 GPA524296:GPA524300 GYW524296:GYW524300 HIS524296:HIS524300 HSO524296:HSO524300 ICK524296:ICK524300 IMG524296:IMG524300 IWC524296:IWC524300 JFY524296:JFY524300 JPU524296:JPU524300 JZQ524296:JZQ524300 KJM524296:KJM524300 KTI524296:KTI524300 LDE524296:LDE524300 LNA524296:LNA524300 LWW524296:LWW524300 MGS524296:MGS524300 MQO524296:MQO524300 NAK524296:NAK524300 NKG524296:NKG524300 NUC524296:NUC524300 ODY524296:ODY524300 ONU524296:ONU524300 OXQ524296:OXQ524300 PHM524296:PHM524300 PRI524296:PRI524300 QBE524296:QBE524300 QLA524296:QLA524300 QUW524296:QUW524300 RES524296:RES524300 ROO524296:ROO524300 RYK524296:RYK524300 SIG524296:SIG524300 SSC524296:SSC524300 TBY524296:TBY524300 TLU524296:TLU524300 TVQ524296:TVQ524300 UFM524296:UFM524300 UPI524296:UPI524300 UZE524296:UZE524300 VJA524296:VJA524300 VSW524296:VSW524300 WCS524296:WCS524300 WMO524296:WMO524300 WWK524296:WWK524300 AC589832:AC589836 JY589832:JY589836 TU589832:TU589836 ADQ589832:ADQ589836 ANM589832:ANM589836 AXI589832:AXI589836 BHE589832:BHE589836 BRA589832:BRA589836 CAW589832:CAW589836 CKS589832:CKS589836 CUO589832:CUO589836 DEK589832:DEK589836 DOG589832:DOG589836 DYC589832:DYC589836 EHY589832:EHY589836 ERU589832:ERU589836 FBQ589832:FBQ589836 FLM589832:FLM589836 FVI589832:FVI589836 GFE589832:GFE589836 GPA589832:GPA589836 GYW589832:GYW589836 HIS589832:HIS589836 HSO589832:HSO589836 ICK589832:ICK589836 IMG589832:IMG589836 IWC589832:IWC589836 JFY589832:JFY589836 JPU589832:JPU589836 JZQ589832:JZQ589836 KJM589832:KJM589836 KTI589832:KTI589836 LDE589832:LDE589836 LNA589832:LNA589836 LWW589832:LWW589836 MGS589832:MGS589836 MQO589832:MQO589836 NAK589832:NAK589836 NKG589832:NKG589836 NUC589832:NUC589836 ODY589832:ODY589836 ONU589832:ONU589836 OXQ589832:OXQ589836 PHM589832:PHM589836 PRI589832:PRI589836 QBE589832:QBE589836 QLA589832:QLA589836 QUW589832:QUW589836 RES589832:RES589836 ROO589832:ROO589836 RYK589832:RYK589836 SIG589832:SIG589836 SSC589832:SSC589836 TBY589832:TBY589836 TLU589832:TLU589836 TVQ589832:TVQ589836 UFM589832:UFM589836 UPI589832:UPI589836 UZE589832:UZE589836 VJA589832:VJA589836 VSW589832:VSW589836 WCS589832:WCS589836 WMO589832:WMO589836 WWK589832:WWK589836 AC655368:AC655372 JY655368:JY655372 TU655368:TU655372 ADQ655368:ADQ655372 ANM655368:ANM655372 AXI655368:AXI655372 BHE655368:BHE655372 BRA655368:BRA655372 CAW655368:CAW655372 CKS655368:CKS655372 CUO655368:CUO655372 DEK655368:DEK655372 DOG655368:DOG655372 DYC655368:DYC655372 EHY655368:EHY655372 ERU655368:ERU655372 FBQ655368:FBQ655372 FLM655368:FLM655372 FVI655368:FVI655372 GFE655368:GFE655372 GPA655368:GPA655372 GYW655368:GYW655372 HIS655368:HIS655372 HSO655368:HSO655372 ICK655368:ICK655372 IMG655368:IMG655372 IWC655368:IWC655372 JFY655368:JFY655372 JPU655368:JPU655372 JZQ655368:JZQ655372 KJM655368:KJM655372 KTI655368:KTI655372 LDE655368:LDE655372 LNA655368:LNA655372 LWW655368:LWW655372 MGS655368:MGS655372 MQO655368:MQO655372 NAK655368:NAK655372 NKG655368:NKG655372 NUC655368:NUC655372 ODY655368:ODY655372 ONU655368:ONU655372 OXQ655368:OXQ655372 PHM655368:PHM655372 PRI655368:PRI655372 QBE655368:QBE655372 QLA655368:QLA655372 QUW655368:QUW655372 RES655368:RES655372 ROO655368:ROO655372 RYK655368:RYK655372 SIG655368:SIG655372 SSC655368:SSC655372 TBY655368:TBY655372 TLU655368:TLU655372 TVQ655368:TVQ655372 UFM655368:UFM655372 UPI655368:UPI655372 UZE655368:UZE655372 VJA655368:VJA655372 VSW655368:VSW655372 WCS655368:WCS655372 WMO655368:WMO655372 WWK655368:WWK655372 AC720904:AC720908 JY720904:JY720908 TU720904:TU720908 ADQ720904:ADQ720908 ANM720904:ANM720908 AXI720904:AXI720908 BHE720904:BHE720908 BRA720904:BRA720908 CAW720904:CAW720908 CKS720904:CKS720908 CUO720904:CUO720908 DEK720904:DEK720908 DOG720904:DOG720908 DYC720904:DYC720908 EHY720904:EHY720908 ERU720904:ERU720908 FBQ720904:FBQ720908 FLM720904:FLM720908 FVI720904:FVI720908 GFE720904:GFE720908 GPA720904:GPA720908 GYW720904:GYW720908 HIS720904:HIS720908 HSO720904:HSO720908 ICK720904:ICK720908 IMG720904:IMG720908 IWC720904:IWC720908 JFY720904:JFY720908 JPU720904:JPU720908 JZQ720904:JZQ720908 KJM720904:KJM720908 KTI720904:KTI720908 LDE720904:LDE720908 LNA720904:LNA720908 LWW720904:LWW720908 MGS720904:MGS720908 MQO720904:MQO720908 NAK720904:NAK720908 NKG720904:NKG720908 NUC720904:NUC720908 ODY720904:ODY720908 ONU720904:ONU720908 OXQ720904:OXQ720908 PHM720904:PHM720908 PRI720904:PRI720908 QBE720904:QBE720908 QLA720904:QLA720908 QUW720904:QUW720908 RES720904:RES720908 ROO720904:ROO720908 RYK720904:RYK720908 SIG720904:SIG720908 SSC720904:SSC720908 TBY720904:TBY720908 TLU720904:TLU720908 TVQ720904:TVQ720908 UFM720904:UFM720908 UPI720904:UPI720908 UZE720904:UZE720908 VJA720904:VJA720908 VSW720904:VSW720908 WCS720904:WCS720908 WMO720904:WMO720908 WWK720904:WWK720908 AC786440:AC786444 JY786440:JY786444 TU786440:TU786444 ADQ786440:ADQ786444 ANM786440:ANM786444 AXI786440:AXI786444 BHE786440:BHE786444 BRA786440:BRA786444 CAW786440:CAW786444 CKS786440:CKS786444 CUO786440:CUO786444 DEK786440:DEK786444 DOG786440:DOG786444 DYC786440:DYC786444 EHY786440:EHY786444 ERU786440:ERU786444 FBQ786440:FBQ786444 FLM786440:FLM786444 FVI786440:FVI786444 GFE786440:GFE786444 GPA786440:GPA786444 GYW786440:GYW786444 HIS786440:HIS786444 HSO786440:HSO786444 ICK786440:ICK786444 IMG786440:IMG786444 IWC786440:IWC786444 JFY786440:JFY786444 JPU786440:JPU786444 JZQ786440:JZQ786444 KJM786440:KJM786444 KTI786440:KTI786444 LDE786440:LDE786444 LNA786440:LNA786444 LWW786440:LWW786444 MGS786440:MGS786444 MQO786440:MQO786444 NAK786440:NAK786444 NKG786440:NKG786444 NUC786440:NUC786444 ODY786440:ODY786444 ONU786440:ONU786444 OXQ786440:OXQ786444 PHM786440:PHM786444 PRI786440:PRI786444 QBE786440:QBE786444 QLA786440:QLA786444 QUW786440:QUW786444 RES786440:RES786444 ROO786440:ROO786444 RYK786440:RYK786444 SIG786440:SIG786444 SSC786440:SSC786444 TBY786440:TBY786444 TLU786440:TLU786444 TVQ786440:TVQ786444 UFM786440:UFM786444 UPI786440:UPI786444 UZE786440:UZE786444 VJA786440:VJA786444 VSW786440:VSW786444 WCS786440:WCS786444 WMO786440:WMO786444 WWK786440:WWK786444 AC851976:AC851980 JY851976:JY851980 TU851976:TU851980 ADQ851976:ADQ851980 ANM851976:ANM851980 AXI851976:AXI851980 BHE851976:BHE851980 BRA851976:BRA851980 CAW851976:CAW851980 CKS851976:CKS851980 CUO851976:CUO851980 DEK851976:DEK851980 DOG851976:DOG851980 DYC851976:DYC851980 EHY851976:EHY851980 ERU851976:ERU851980 FBQ851976:FBQ851980 FLM851976:FLM851980 FVI851976:FVI851980 GFE851976:GFE851980 GPA851976:GPA851980 GYW851976:GYW851980 HIS851976:HIS851980 HSO851976:HSO851980 ICK851976:ICK851980 IMG851976:IMG851980 IWC851976:IWC851980 JFY851976:JFY851980 JPU851976:JPU851980 JZQ851976:JZQ851980 KJM851976:KJM851980 KTI851976:KTI851980 LDE851976:LDE851980 LNA851976:LNA851980 LWW851976:LWW851980 MGS851976:MGS851980 MQO851976:MQO851980 NAK851976:NAK851980 NKG851976:NKG851980 NUC851976:NUC851980 ODY851976:ODY851980 ONU851976:ONU851980 OXQ851976:OXQ851980 PHM851976:PHM851980 PRI851976:PRI851980 QBE851976:QBE851980 QLA851976:QLA851980 QUW851976:QUW851980 RES851976:RES851980 ROO851976:ROO851980 RYK851976:RYK851980 SIG851976:SIG851980 SSC851976:SSC851980 TBY851976:TBY851980 TLU851976:TLU851980 TVQ851976:TVQ851980 UFM851976:UFM851980 UPI851976:UPI851980 UZE851976:UZE851980 VJA851976:VJA851980 VSW851976:VSW851980 WCS851976:WCS851980 WMO851976:WMO851980 WWK851976:WWK851980 AC917512:AC917516 JY917512:JY917516 TU917512:TU917516 ADQ917512:ADQ917516 ANM917512:ANM917516 AXI917512:AXI917516 BHE917512:BHE917516 BRA917512:BRA917516 CAW917512:CAW917516 CKS917512:CKS917516 CUO917512:CUO917516 DEK917512:DEK917516 DOG917512:DOG917516 DYC917512:DYC917516 EHY917512:EHY917516 ERU917512:ERU917516 FBQ917512:FBQ917516 FLM917512:FLM917516 FVI917512:FVI917516 GFE917512:GFE917516 GPA917512:GPA917516 GYW917512:GYW917516 HIS917512:HIS917516 HSO917512:HSO917516 ICK917512:ICK917516 IMG917512:IMG917516 IWC917512:IWC917516 JFY917512:JFY917516 JPU917512:JPU917516 JZQ917512:JZQ917516 KJM917512:KJM917516 KTI917512:KTI917516 LDE917512:LDE917516 LNA917512:LNA917516 LWW917512:LWW917516 MGS917512:MGS917516 MQO917512:MQO917516 NAK917512:NAK917516 NKG917512:NKG917516 NUC917512:NUC917516 ODY917512:ODY917516 ONU917512:ONU917516 OXQ917512:OXQ917516 PHM917512:PHM917516 PRI917512:PRI917516 QBE917512:QBE917516 QLA917512:QLA917516 QUW917512:QUW917516 RES917512:RES917516 ROO917512:ROO917516 RYK917512:RYK917516 SIG917512:SIG917516 SSC917512:SSC917516 TBY917512:TBY917516 TLU917512:TLU917516 TVQ917512:TVQ917516 UFM917512:UFM917516 UPI917512:UPI917516 UZE917512:UZE917516 VJA917512:VJA917516 VSW917512:VSW917516 WCS917512:WCS917516 WMO917512:WMO917516 WWK917512:WWK917516 AC983048:AC983052 JY983048:JY983052 TU983048:TU983052 ADQ983048:ADQ983052 ANM983048:ANM983052 AXI983048:AXI983052 BHE983048:BHE983052 BRA983048:BRA983052 CAW983048:CAW983052 CKS983048:CKS983052 CUO983048:CUO983052 DEK983048:DEK983052 DOG983048:DOG983052 DYC983048:DYC983052 EHY983048:EHY983052 ERU983048:ERU983052 FBQ983048:FBQ983052 FLM983048:FLM983052 FVI983048:FVI983052 GFE983048:GFE983052 GPA983048:GPA983052 GYW983048:GYW983052 HIS983048:HIS983052 HSO983048:HSO983052 ICK983048:ICK983052 IMG983048:IMG983052 IWC983048:IWC983052 JFY983048:JFY983052 JPU983048:JPU983052 JZQ983048:JZQ983052 KJM983048:KJM983052 KTI983048:KTI983052 LDE983048:LDE983052 LNA983048:LNA983052 LWW983048:LWW983052 MGS983048:MGS983052 MQO983048:MQO983052 NAK983048:NAK983052 NKG983048:NKG983052 NUC983048:NUC983052 ODY983048:ODY983052 ONU983048:ONU983052 OXQ983048:OXQ983052 PHM983048:PHM983052 PRI983048:PRI983052 QBE983048:QBE983052 QLA983048:QLA983052 QUW983048:QUW983052 RES983048:RES983052 ROO983048:ROO983052 RYK983048:RYK983052 SIG983048:SIG983052 SSC983048:SSC983052 TBY983048:TBY983052 TLU983048:TLU983052 TVQ983048:TVQ983052 UFM983048:UFM983052 UPI983048:UPI983052 UZE983048:UZE983052 VJA983048:VJA983052 VSW983048:VSW983052 WCS983048:WCS983052 WMO983048:WMO983052 WWK983048:WWK983052 WMO8:WMO12 WCS8:WCS12 VSW8:VSW12 VJA8:VJA12 UZE8:UZE12 UPI8:UPI12 UFM8:UFM12 TVQ8:TVQ12 TLU8:TLU12 TBY8:TBY12 SSC8:SSC12 SIG8:SIG12 RYK8:RYK12 ROO8:ROO12 RES8:RES12 QUW8:QUW12 QLA8:QLA12 QBE8:QBE12 PRI8:PRI12 PHM8:PHM12 OXQ8:OXQ12 ONU8:ONU12 ODY8:ODY12 NUC8:NUC12 NKG8:NKG12 NAK8:NAK12 MQO8:MQO12 MGS8:MGS12 LWW8:LWW12 LNA8:LNA12 LDE8:LDE12 KTI8:KTI12 KJM8:KJM12 JZQ8:JZQ12 JPU8:JPU12 JFY8:JFY12 IWC8:IWC12 IMG8:IMG12 ICK8:ICK12 HSO8:HSO12 HIS8:HIS12 GYW8:GYW12 GPA8:GPA12 GFE8:GFE12 FVI8:FVI12 FLM8:FLM12 FBQ8:FBQ12 ERU8:ERU12 EHY8:EHY12 DYC8:DYC12 DOG8:DOG12 DEK8:DEK12 CUO8:CUO12 CKS8:CKS12 CAW8:CAW12 BRA8:BRA12 BHE8:BHE12 AXI8:AXI12 ANM8:ANM12 ADQ8:ADQ12 TU8:TU12 JY8:JY12 AC8:AC12 WWK8:WWK12">
      <formula1>AB8</formula1>
      <formula2>IF(AB8&lt;&gt;0,IF(AC8-AB8&gt;=0,AC8,),)</formula2>
    </dataValidation>
  </dataValidations>
  <printOptions horizontalCentered="1"/>
  <pageMargins left="0.14000000000000001" right="0.19685039370078741" top="0.59055118110236227" bottom="0.59055118110236227" header="0.31496062992125984" footer="0.31496062992125984"/>
  <pageSetup paperSize="5" scale="55" orientation="landscape" horizontalDpi="4294967293" r:id="rId1"/>
  <headerFooter>
    <oddFooter>&amp;C&amp;"Tahoma,Cursiva"&amp;K365F91Si usted ha accedido a este formato a través de un medio diferente al sitio http://www.unicordoba.edu.co/index.php/documentossigec/documentos-calidad asegúrese que ésta es la versión vigente</oddFooter>
  </headerFooter>
  <rowBreaks count="1" manualBreakCount="1">
    <brk id="18" max="3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AG30"/>
  <sheetViews>
    <sheetView view="pageBreakPreview" topLeftCell="G10" zoomScale="90" zoomScaleNormal="50" zoomScaleSheetLayoutView="90" workbookViewId="0">
      <selection activeCell="AD11" sqref="AD11"/>
    </sheetView>
  </sheetViews>
  <sheetFormatPr baseColWidth="10" defaultColWidth="11.42578125" defaultRowHeight="12.75"/>
  <cols>
    <col min="1" max="1" width="4.28515625" style="2" customWidth="1"/>
    <col min="2" max="2" width="10.140625" style="2" customWidth="1"/>
    <col min="3" max="3" width="15.140625" style="2" customWidth="1"/>
    <col min="4" max="4" width="4.85546875" style="2" customWidth="1"/>
    <col min="5" max="5" width="11.28515625" style="2" customWidth="1"/>
    <col min="6" max="6" width="11" style="2" customWidth="1"/>
    <col min="7" max="8" width="2.140625" style="7" customWidth="1"/>
    <col min="9" max="9" width="6.7109375" style="7" customWidth="1"/>
    <col min="10" max="10" width="0.28515625" style="7" hidden="1" customWidth="1"/>
    <col min="11" max="11" width="0.42578125" style="7" hidden="1" customWidth="1"/>
    <col min="12" max="12" width="6.42578125" style="7" customWidth="1"/>
    <col min="13" max="13" width="3.28515625" style="2" customWidth="1"/>
    <col min="14" max="14" width="1.42578125" style="2" customWidth="1"/>
    <col min="15" max="15" width="1.85546875" style="2" hidden="1" customWidth="1"/>
    <col min="16" max="16" width="6.85546875" style="2" customWidth="1"/>
    <col min="17" max="17" width="3" style="2" hidden="1" customWidth="1"/>
    <col min="18" max="19" width="6.28515625" style="2" customWidth="1"/>
    <col min="20" max="20" width="13.85546875" style="2" customWidth="1"/>
    <col min="21" max="21" width="10.85546875" style="2" customWidth="1"/>
    <col min="22" max="22" width="18.7109375" style="2" customWidth="1"/>
    <col min="23" max="23" width="0.42578125" style="2" hidden="1" customWidth="1"/>
    <col min="24" max="24" width="13.7109375" style="2" customWidth="1"/>
    <col min="25" max="25" width="15.140625" style="2" customWidth="1"/>
    <col min="26" max="26" width="13.140625" style="2" customWidth="1"/>
    <col min="27" max="27" width="14" style="2" customWidth="1"/>
    <col min="28" max="28" width="8.140625" style="2" customWidth="1"/>
    <col min="29" max="29" width="10.85546875" style="2" customWidth="1"/>
    <col min="30" max="30" width="39.42578125" style="2" customWidth="1"/>
    <col min="31" max="31" width="11.42578125" style="2"/>
    <col min="32" max="33" width="0" style="2" hidden="1" customWidth="1"/>
    <col min="34" max="16384" width="11.42578125" style="2"/>
  </cols>
  <sheetData>
    <row r="1" spans="1:33">
      <c r="A1" s="600"/>
      <c r="B1" s="600"/>
      <c r="C1" s="601" t="s">
        <v>0</v>
      </c>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2" t="s">
        <v>686</v>
      </c>
      <c r="AF1" s="3" t="s">
        <v>17</v>
      </c>
      <c r="AG1" s="3" t="s">
        <v>23</v>
      </c>
    </row>
    <row r="2" spans="1:33">
      <c r="A2" s="600"/>
      <c r="B2" s="600"/>
      <c r="C2" s="601"/>
      <c r="D2" s="601"/>
      <c r="E2" s="601"/>
      <c r="F2" s="601"/>
      <c r="G2" s="601"/>
      <c r="H2" s="601"/>
      <c r="I2" s="601"/>
      <c r="J2" s="601"/>
      <c r="K2" s="601"/>
      <c r="L2" s="601"/>
      <c r="M2" s="601"/>
      <c r="N2" s="601"/>
      <c r="O2" s="601"/>
      <c r="P2" s="601"/>
      <c r="Q2" s="601"/>
      <c r="R2" s="601"/>
      <c r="S2" s="601"/>
      <c r="T2" s="601"/>
      <c r="U2" s="601"/>
      <c r="V2" s="601"/>
      <c r="W2" s="601"/>
      <c r="X2" s="601"/>
      <c r="Y2" s="601"/>
      <c r="Z2" s="601"/>
      <c r="AA2" s="601"/>
      <c r="AB2" s="601"/>
      <c r="AC2" s="601"/>
      <c r="AD2" s="602"/>
      <c r="AF2" s="3" t="s">
        <v>18</v>
      </c>
      <c r="AG2" s="3" t="s">
        <v>24</v>
      </c>
    </row>
    <row r="3" spans="1:33">
      <c r="A3" s="600"/>
      <c r="B3" s="600"/>
      <c r="C3" s="603" t="s">
        <v>37</v>
      </c>
      <c r="D3" s="603"/>
      <c r="E3" s="603"/>
      <c r="F3" s="603"/>
      <c r="G3" s="603"/>
      <c r="H3" s="603"/>
      <c r="I3" s="603"/>
      <c r="J3" s="603"/>
      <c r="K3" s="603"/>
      <c r="L3" s="603"/>
      <c r="M3" s="603"/>
      <c r="N3" s="603"/>
      <c r="O3" s="603"/>
      <c r="P3" s="603"/>
      <c r="Q3" s="603"/>
      <c r="R3" s="603"/>
      <c r="S3" s="603"/>
      <c r="T3" s="603"/>
      <c r="U3" s="603"/>
      <c r="V3" s="603"/>
      <c r="W3" s="603"/>
      <c r="X3" s="603"/>
      <c r="Y3" s="603"/>
      <c r="Z3" s="603"/>
      <c r="AA3" s="603"/>
      <c r="AB3" s="603"/>
      <c r="AC3" s="603"/>
      <c r="AD3" s="602"/>
      <c r="AF3" s="3" t="s">
        <v>16</v>
      </c>
      <c r="AG3" s="3" t="s">
        <v>25</v>
      </c>
    </row>
    <row r="4" spans="1:33">
      <c r="A4" s="600"/>
      <c r="B4" s="600"/>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2"/>
      <c r="AF4" s="3" t="s">
        <v>19</v>
      </c>
    </row>
    <row r="5" spans="1:33" ht="6.75" customHeigh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row>
    <row r="6" spans="1:33" ht="30.75" customHeight="1">
      <c r="A6" s="597" t="s">
        <v>5</v>
      </c>
      <c r="B6" s="597"/>
      <c r="C6" s="598" t="s">
        <v>687</v>
      </c>
      <c r="D6" s="598"/>
      <c r="E6" s="598"/>
      <c r="F6" s="598"/>
      <c r="G6" s="598"/>
      <c r="H6" s="598"/>
      <c r="I6" s="598"/>
      <c r="J6" s="598"/>
      <c r="K6" s="598"/>
      <c r="L6" s="598"/>
      <c r="M6" s="598"/>
      <c r="N6" s="598"/>
      <c r="O6" s="598"/>
      <c r="P6" s="598"/>
      <c r="Q6" s="598"/>
      <c r="R6" s="598"/>
      <c r="S6" s="598"/>
      <c r="T6" s="599" t="s">
        <v>20</v>
      </c>
      <c r="U6" s="599"/>
      <c r="V6" s="598" t="s">
        <v>688</v>
      </c>
      <c r="W6" s="598"/>
      <c r="X6" s="598"/>
      <c r="Y6" s="598"/>
      <c r="Z6" s="598"/>
      <c r="AA6" s="598"/>
      <c r="AB6" s="599" t="s">
        <v>98</v>
      </c>
      <c r="AC6" s="599"/>
      <c r="AD6" s="45" t="s">
        <v>99</v>
      </c>
    </row>
    <row r="7" spans="1:33" ht="4.5" customHeight="1">
      <c r="A7" s="604"/>
      <c r="B7" s="604"/>
      <c r="C7" s="604"/>
      <c r="D7" s="604"/>
      <c r="E7" s="604"/>
      <c r="F7" s="604"/>
      <c r="G7" s="604"/>
      <c r="H7" s="604"/>
      <c r="I7" s="604"/>
      <c r="J7" s="604"/>
      <c r="K7" s="604"/>
      <c r="L7" s="604"/>
      <c r="M7" s="604"/>
      <c r="N7" s="604"/>
      <c r="O7" s="604"/>
      <c r="P7" s="604"/>
      <c r="Q7" s="604"/>
      <c r="R7" s="604"/>
      <c r="S7" s="604"/>
      <c r="T7" s="604"/>
      <c r="U7" s="604"/>
      <c r="V7" s="604"/>
      <c r="W7" s="604"/>
      <c r="X7" s="604"/>
      <c r="Y7" s="604"/>
      <c r="Z7" s="604"/>
      <c r="AA7" s="604"/>
      <c r="AB7" s="604"/>
      <c r="AC7" s="604"/>
      <c r="AD7" s="604"/>
    </row>
    <row r="8" spans="1:33" ht="30.75" customHeight="1">
      <c r="A8" s="599" t="s">
        <v>1</v>
      </c>
      <c r="B8" s="599" t="s">
        <v>689</v>
      </c>
      <c r="C8" s="599"/>
      <c r="D8" s="608" t="s">
        <v>6</v>
      </c>
      <c r="E8" s="599" t="s">
        <v>9</v>
      </c>
      <c r="F8" s="599" t="s">
        <v>2</v>
      </c>
      <c r="G8" s="599" t="s">
        <v>21</v>
      </c>
      <c r="H8" s="599"/>
      <c r="I8" s="599"/>
      <c r="J8" s="599"/>
      <c r="K8" s="599"/>
      <c r="L8" s="599"/>
      <c r="M8" s="599"/>
      <c r="N8" s="599"/>
      <c r="O8" s="599"/>
      <c r="P8" s="599"/>
      <c r="Q8" s="599"/>
      <c r="R8" s="599"/>
      <c r="S8" s="599"/>
      <c r="T8" s="599" t="s">
        <v>101</v>
      </c>
      <c r="U8" s="599" t="s">
        <v>3</v>
      </c>
      <c r="V8" s="599"/>
      <c r="W8" s="599"/>
      <c r="X8" s="610" t="s">
        <v>102</v>
      </c>
      <c r="Y8" s="610" t="s">
        <v>103</v>
      </c>
      <c r="Z8" s="610" t="s">
        <v>4</v>
      </c>
      <c r="AA8" s="610"/>
      <c r="AB8" s="599" t="s">
        <v>104</v>
      </c>
      <c r="AC8" s="599" t="s">
        <v>105</v>
      </c>
      <c r="AD8" s="599" t="s">
        <v>106</v>
      </c>
    </row>
    <row r="9" spans="1:33" ht="37.5" customHeight="1">
      <c r="A9" s="599"/>
      <c r="B9" s="599"/>
      <c r="C9" s="599"/>
      <c r="D9" s="608"/>
      <c r="E9" s="599"/>
      <c r="F9" s="599"/>
      <c r="G9" s="599" t="s">
        <v>11</v>
      </c>
      <c r="H9" s="599"/>
      <c r="I9" s="599"/>
      <c r="J9" s="599"/>
      <c r="K9" s="599"/>
      <c r="L9" s="599"/>
      <c r="M9" s="644" t="s">
        <v>12</v>
      </c>
      <c r="N9" s="644"/>
      <c r="O9" s="644"/>
      <c r="P9" s="644"/>
      <c r="Q9" s="644"/>
      <c r="R9" s="644" t="s">
        <v>13</v>
      </c>
      <c r="S9" s="644"/>
      <c r="T9" s="599"/>
      <c r="U9" s="599"/>
      <c r="V9" s="599"/>
      <c r="W9" s="599"/>
      <c r="X9" s="610"/>
      <c r="Y9" s="610"/>
      <c r="Z9" s="327" t="s">
        <v>14</v>
      </c>
      <c r="AA9" s="329" t="s">
        <v>15</v>
      </c>
      <c r="AB9" s="599"/>
      <c r="AC9" s="599"/>
      <c r="AD9" s="599"/>
    </row>
    <row r="10" spans="1:33" ht="74.25" customHeight="1">
      <c r="A10" s="598">
        <v>1</v>
      </c>
      <c r="B10" s="846" t="s">
        <v>690</v>
      </c>
      <c r="C10" s="846"/>
      <c r="D10" s="677" t="s">
        <v>691</v>
      </c>
      <c r="E10" s="932" t="s">
        <v>692</v>
      </c>
      <c r="F10" s="933" t="s">
        <v>23</v>
      </c>
      <c r="G10" s="848" t="s">
        <v>162</v>
      </c>
      <c r="H10" s="848"/>
      <c r="I10" s="848"/>
      <c r="J10" s="848"/>
      <c r="K10" s="848"/>
      <c r="L10" s="848"/>
      <c r="M10" s="848" t="s">
        <v>162</v>
      </c>
      <c r="N10" s="848"/>
      <c r="O10" s="848"/>
      <c r="P10" s="848"/>
      <c r="Q10" s="333"/>
      <c r="R10" s="934" t="s">
        <v>162</v>
      </c>
      <c r="S10" s="934"/>
      <c r="T10" s="846" t="s">
        <v>693</v>
      </c>
      <c r="U10" s="802" t="s">
        <v>694</v>
      </c>
      <c r="V10" s="802"/>
      <c r="W10" s="802"/>
      <c r="X10" s="332" t="s">
        <v>695</v>
      </c>
      <c r="Y10" s="332" t="s">
        <v>696</v>
      </c>
      <c r="Z10" s="188">
        <v>42704</v>
      </c>
      <c r="AA10" s="108">
        <v>42916</v>
      </c>
      <c r="AB10" s="5">
        <v>1</v>
      </c>
      <c r="AC10" s="326" t="s">
        <v>17</v>
      </c>
      <c r="AD10" s="364" t="s">
        <v>697</v>
      </c>
    </row>
    <row r="11" spans="1:33" ht="315" customHeight="1">
      <c r="A11" s="598"/>
      <c r="B11" s="846"/>
      <c r="C11" s="846"/>
      <c r="D11" s="677"/>
      <c r="E11" s="932"/>
      <c r="F11" s="933"/>
      <c r="G11" s="848" t="s">
        <v>162</v>
      </c>
      <c r="H11" s="848"/>
      <c r="I11" s="848"/>
      <c r="J11" s="848"/>
      <c r="K11" s="848"/>
      <c r="L11" s="848"/>
      <c r="M11" s="848" t="s">
        <v>162</v>
      </c>
      <c r="N11" s="848"/>
      <c r="O11" s="848"/>
      <c r="P11" s="848"/>
      <c r="Q11" s="333"/>
      <c r="R11" s="934" t="s">
        <v>162</v>
      </c>
      <c r="S11" s="934"/>
      <c r="T11" s="846"/>
      <c r="U11" s="802" t="s">
        <v>698</v>
      </c>
      <c r="V11" s="802"/>
      <c r="W11" s="802"/>
      <c r="X11" s="313" t="s">
        <v>699</v>
      </c>
      <c r="Y11" s="313" t="s">
        <v>700</v>
      </c>
      <c r="Z11" s="188">
        <v>42705</v>
      </c>
      <c r="AA11" s="108">
        <v>44113</v>
      </c>
      <c r="AB11" s="5">
        <v>0.9</v>
      </c>
      <c r="AC11" s="326" t="s">
        <v>16</v>
      </c>
      <c r="AD11" s="364" t="s">
        <v>928</v>
      </c>
    </row>
    <row r="12" spans="1:33" ht="6" customHeight="1">
      <c r="A12" s="604"/>
      <c r="B12" s="604"/>
      <c r="C12" s="604"/>
      <c r="D12" s="604"/>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row>
    <row r="13" spans="1:33" ht="12.75" customHeight="1">
      <c r="A13" s="644" t="s">
        <v>22</v>
      </c>
      <c r="B13" s="644"/>
      <c r="C13" s="644"/>
      <c r="D13" s="644"/>
      <c r="E13" s="644"/>
      <c r="F13" s="644"/>
      <c r="G13" s="644"/>
      <c r="H13" s="644"/>
      <c r="I13" s="644"/>
      <c r="J13" s="365"/>
      <c r="K13" s="365"/>
      <c r="L13" s="645" t="s">
        <v>34</v>
      </c>
      <c r="M13" s="645"/>
      <c r="N13" s="645"/>
      <c r="O13" s="645"/>
      <c r="P13" s="645"/>
      <c r="Q13" s="645"/>
      <c r="R13" s="645"/>
      <c r="S13" s="645"/>
      <c r="T13" s="645"/>
      <c r="U13" s="645"/>
      <c r="V13" s="645"/>
      <c r="W13" s="645"/>
      <c r="X13" s="645"/>
      <c r="Y13" s="645"/>
      <c r="Z13" s="645"/>
      <c r="AA13" s="646" t="s">
        <v>35</v>
      </c>
      <c r="AB13" s="646"/>
      <c r="AC13" s="646"/>
      <c r="AD13" s="646"/>
    </row>
    <row r="14" spans="1:33">
      <c r="A14" s="644"/>
      <c r="B14" s="644"/>
      <c r="C14" s="644"/>
      <c r="D14" s="644"/>
      <c r="E14" s="644"/>
      <c r="F14" s="644"/>
      <c r="G14" s="644"/>
      <c r="H14" s="644"/>
      <c r="I14" s="644"/>
      <c r="J14" s="365"/>
      <c r="K14" s="365"/>
      <c r="L14" s="645"/>
      <c r="M14" s="645"/>
      <c r="N14" s="645"/>
      <c r="O14" s="645"/>
      <c r="P14" s="645"/>
      <c r="Q14" s="645"/>
      <c r="R14" s="645"/>
      <c r="S14" s="645"/>
      <c r="T14" s="645"/>
      <c r="U14" s="645"/>
      <c r="V14" s="645"/>
      <c r="W14" s="645"/>
      <c r="X14" s="645"/>
      <c r="Y14" s="645"/>
      <c r="Z14" s="645"/>
      <c r="AA14" s="646"/>
      <c r="AB14" s="646"/>
      <c r="AC14" s="646"/>
      <c r="AD14" s="646"/>
    </row>
    <row r="15" spans="1:33" ht="27" customHeight="1">
      <c r="A15" s="854" t="s">
        <v>701</v>
      </c>
      <c r="B15" s="694"/>
      <c r="C15" s="694"/>
      <c r="D15" s="694"/>
      <c r="E15" s="694"/>
      <c r="F15" s="694"/>
      <c r="G15" s="694"/>
      <c r="H15" s="694"/>
      <c r="I15" s="694"/>
      <c r="J15" s="694"/>
      <c r="K15" s="694"/>
      <c r="L15" s="852" t="s">
        <v>702</v>
      </c>
      <c r="M15" s="852"/>
      <c r="N15" s="852"/>
      <c r="O15" s="852"/>
      <c r="P15" s="852"/>
      <c r="Q15" s="852"/>
      <c r="R15" s="852"/>
      <c r="S15" s="852"/>
      <c r="T15" s="852"/>
      <c r="U15" s="852"/>
      <c r="V15" s="852"/>
      <c r="W15" s="852"/>
      <c r="X15" s="852"/>
      <c r="Y15" s="852"/>
      <c r="Z15" s="852"/>
      <c r="AA15" s="853" t="s">
        <v>460</v>
      </c>
      <c r="AB15" s="853"/>
      <c r="AC15" s="853"/>
      <c r="AD15" s="853"/>
    </row>
    <row r="16" spans="1:33">
      <c r="A16" s="931" t="s">
        <v>36</v>
      </c>
      <c r="B16" s="931"/>
      <c r="C16" s="931"/>
      <c r="D16" s="931"/>
      <c r="E16" s="931"/>
      <c r="F16" s="931"/>
      <c r="G16" s="931"/>
      <c r="H16" s="931"/>
      <c r="I16" s="931"/>
      <c r="J16" s="931"/>
      <c r="K16" s="931"/>
      <c r="L16" s="931"/>
      <c r="M16" s="931"/>
      <c r="N16" s="931"/>
      <c r="O16" s="931"/>
      <c r="P16" s="931"/>
      <c r="Q16" s="931"/>
      <c r="R16" s="931"/>
      <c r="S16" s="931"/>
      <c r="T16" s="931"/>
      <c r="U16" s="931"/>
      <c r="V16" s="931"/>
      <c r="W16" s="931"/>
      <c r="X16" s="931"/>
      <c r="Y16" s="931"/>
      <c r="Z16" s="931"/>
      <c r="AA16" s="931"/>
      <c r="AB16" s="931"/>
      <c r="AC16" s="931"/>
      <c r="AD16" s="931"/>
    </row>
    <row r="19" spans="21:33">
      <c r="U19" s="366"/>
    </row>
    <row r="21" spans="21:33">
      <c r="AG21" s="3" t="s">
        <v>692</v>
      </c>
    </row>
    <row r="22" spans="21:33">
      <c r="AG22" s="3" t="s">
        <v>10</v>
      </c>
    </row>
    <row r="23" spans="21:33">
      <c r="AG23" s="3" t="s">
        <v>26</v>
      </c>
    </row>
    <row r="24" spans="21:33">
      <c r="AG24" s="3" t="s">
        <v>27</v>
      </c>
    </row>
    <row r="25" spans="21:33">
      <c r="AG25" s="3" t="s">
        <v>28</v>
      </c>
    </row>
    <row r="26" spans="21:33">
      <c r="AG26" s="3" t="s">
        <v>30</v>
      </c>
    </row>
    <row r="27" spans="21:33">
      <c r="AG27" s="3" t="s">
        <v>29</v>
      </c>
    </row>
    <row r="28" spans="21:33">
      <c r="AG28" s="3" t="s">
        <v>31</v>
      </c>
    </row>
    <row r="29" spans="21:33">
      <c r="AG29" s="3" t="s">
        <v>32</v>
      </c>
    </row>
    <row r="30" spans="21:33">
      <c r="AG30" s="3" t="s">
        <v>33</v>
      </c>
    </row>
  </sheetData>
  <mergeCells count="50">
    <mergeCell ref="A6:B6"/>
    <mergeCell ref="C6:S6"/>
    <mergeCell ref="T6:U6"/>
    <mergeCell ref="V6:AA6"/>
    <mergeCell ref="AB6:AC6"/>
    <mergeCell ref="A1:B4"/>
    <mergeCell ref="C1:AC2"/>
    <mergeCell ref="AD1:AD4"/>
    <mergeCell ref="C3:AC4"/>
    <mergeCell ref="A5:AD5"/>
    <mergeCell ref="G9:L9"/>
    <mergeCell ref="M9:Q9"/>
    <mergeCell ref="R9:S9"/>
    <mergeCell ref="A7:AD7"/>
    <mergeCell ref="A8:A9"/>
    <mergeCell ref="B8:C9"/>
    <mergeCell ref="D8:D9"/>
    <mergeCell ref="E8:E9"/>
    <mergeCell ref="F8:F9"/>
    <mergeCell ref="G8:S8"/>
    <mergeCell ref="T8:T9"/>
    <mergeCell ref="U8:W9"/>
    <mergeCell ref="X8:X9"/>
    <mergeCell ref="Y8:Y9"/>
    <mergeCell ref="Z8:AA8"/>
    <mergeCell ref="AB8:AB9"/>
    <mergeCell ref="AC8:AC9"/>
    <mergeCell ref="AD8:AD9"/>
    <mergeCell ref="A10:A11"/>
    <mergeCell ref="B10:C11"/>
    <mergeCell ref="D10:D11"/>
    <mergeCell ref="E10:E11"/>
    <mergeCell ref="F10:F11"/>
    <mergeCell ref="M10:P10"/>
    <mergeCell ref="R10:S10"/>
    <mergeCell ref="T10:T11"/>
    <mergeCell ref="U10:W10"/>
    <mergeCell ref="G11:L11"/>
    <mergeCell ref="M11:P11"/>
    <mergeCell ref="R11:S11"/>
    <mergeCell ref="U11:W11"/>
    <mergeCell ref="G10:L10"/>
    <mergeCell ref="A16:AD16"/>
    <mergeCell ref="A12:AD12"/>
    <mergeCell ref="A13:I14"/>
    <mergeCell ref="L13:Z14"/>
    <mergeCell ref="AA13:AD14"/>
    <mergeCell ref="A15:K15"/>
    <mergeCell ref="L15:Z15"/>
    <mergeCell ref="AA15:AD15"/>
  </mergeCells>
  <conditionalFormatting sqref="AB10:AB11">
    <cfRule type="cellIs" dxfId="281" priority="3" operator="between">
      <formula>0.001</formula>
      <formula>0.99</formula>
    </cfRule>
    <cfRule type="cellIs" dxfId="280" priority="4" operator="equal">
      <formula>1</formula>
    </cfRule>
    <cfRule type="cellIs" dxfId="279" priority="5" operator="equal">
      <formula>0</formula>
    </cfRule>
  </conditionalFormatting>
  <conditionalFormatting sqref="AB10:AB11">
    <cfRule type="cellIs" dxfId="278" priority="6" operator="between">
      <formula>0.01</formula>
      <formula>0.99</formula>
    </cfRule>
    <cfRule type="cellIs" dxfId="277" priority="7" operator="equal">
      <formula>1</formula>
    </cfRule>
    <cfRule type="cellIs" dxfId="276" priority="8" operator="equal">
      <formula>0</formula>
    </cfRule>
  </conditionalFormatting>
  <conditionalFormatting sqref="Y10:Y11">
    <cfRule type="cellIs" dxfId="275" priority="1" stopIfTrue="1" operator="greaterThan">
      <formula>#REF!</formula>
    </cfRule>
    <cfRule type="cellIs" dxfId="274" priority="2" stopIfTrue="1" operator="lessThan">
      <formula>#REF!</formula>
    </cfRule>
  </conditionalFormatting>
  <dataValidations count="4">
    <dataValidation type="date" showInputMessage="1" showErrorMessage="1" error="Debe Digitar una Fecha Valida o Verificar la Fecha Inicial" sqref="AA10:AA11">
      <formula1>Z10</formula1>
      <formula2>IF(Z10&lt;&gt;0,IF(AA10-Z10&gt;=0,AA10,),)</formula2>
    </dataValidation>
    <dataValidation type="list" allowBlank="1" showInputMessage="1" showErrorMessage="1" sqref="AC10:AC11">
      <formula1>$AF$1:$AF$4</formula1>
    </dataValidation>
    <dataValidation type="list" allowBlank="1" showInputMessage="1" showErrorMessage="1" sqref="E10">
      <formula1>$AG$21:$AG$30</formula1>
    </dataValidation>
    <dataValidation type="list" allowBlank="1" showInputMessage="1" showErrorMessage="1" sqref="F10">
      <formula1>$AG$1:$AG$3</formula1>
    </dataValidation>
  </dataValidations>
  <printOptions horizontalCentered="1" verticalCentered="1"/>
  <pageMargins left="0.11811023622047245" right="0.39370078740157483" top="0.23622047244094491" bottom="1.6141732283464567" header="0.31496062992125984" footer="0.31496062992125984"/>
  <pageSetup paperSize="345" scale="49" orientation="landscape"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AK64"/>
  <sheetViews>
    <sheetView view="pageBreakPreview" topLeftCell="H40" zoomScale="80" zoomScaleNormal="59" zoomScaleSheetLayoutView="80" workbookViewId="0">
      <selection activeCell="AF43" sqref="AF43"/>
    </sheetView>
  </sheetViews>
  <sheetFormatPr baseColWidth="10" defaultRowHeight="12.75"/>
  <cols>
    <col min="1" max="1" width="8" style="2" customWidth="1"/>
    <col min="2" max="2" width="13.42578125" style="2" customWidth="1"/>
    <col min="3" max="3" width="4.28515625" style="2" customWidth="1"/>
    <col min="4" max="4" width="4" style="2" customWidth="1"/>
    <col min="5" max="5" width="26.42578125" style="2" customWidth="1"/>
    <col min="6" max="6" width="4.140625" style="2" customWidth="1"/>
    <col min="7" max="7" width="11.28515625" style="2" customWidth="1"/>
    <col min="8" max="8" width="11" style="2" customWidth="1"/>
    <col min="9" max="9" width="2.42578125" style="2" customWidth="1"/>
    <col min="10" max="10" width="2.140625" style="2" customWidth="1"/>
    <col min="11" max="11" width="3.85546875" style="2" customWidth="1"/>
    <col min="12" max="12" width="0.28515625" style="2" hidden="1" customWidth="1"/>
    <col min="13" max="13" width="0.42578125" style="2" hidden="1" customWidth="1"/>
    <col min="14" max="14" width="10.28515625" style="2" customWidth="1"/>
    <col min="15" max="15" width="3.28515625" style="2" customWidth="1"/>
    <col min="16" max="16" width="1.42578125" style="2" customWidth="1"/>
    <col min="17" max="17" width="1.85546875" style="2" hidden="1" customWidth="1"/>
    <col min="18" max="18" width="6.85546875" style="2" customWidth="1"/>
    <col min="19" max="19" width="3" style="2" hidden="1" customWidth="1"/>
    <col min="20" max="21" width="6.28515625" style="2" customWidth="1"/>
    <col min="22" max="22" width="11.7109375" style="2" customWidth="1"/>
    <col min="23" max="23" width="13" style="2" customWidth="1"/>
    <col min="24" max="24" width="18" style="2" customWidth="1"/>
    <col min="25" max="25" width="0.42578125" style="2" hidden="1" customWidth="1"/>
    <col min="26" max="26" width="18.85546875" style="2" customWidth="1"/>
    <col min="27" max="27" width="20" style="2" customWidth="1"/>
    <col min="28" max="28" width="12.42578125" style="2" customWidth="1"/>
    <col min="29" max="29" width="12.7109375" style="2" customWidth="1"/>
    <col min="30" max="30" width="8.140625" style="2" customWidth="1"/>
    <col min="31" max="31" width="11.42578125" style="2" customWidth="1"/>
    <col min="32" max="32" width="51.85546875" style="2" customWidth="1"/>
    <col min="33" max="33" width="12" style="2" customWidth="1"/>
    <col min="34" max="35" width="0.28515625" style="2" customWidth="1"/>
    <col min="36" max="36" width="1.42578125" style="2" customWidth="1"/>
    <col min="37" max="37" width="1.28515625" style="2" hidden="1" customWidth="1"/>
    <col min="38" max="256" width="11.42578125" style="2"/>
    <col min="257" max="257" width="8" style="2" customWidth="1"/>
    <col min="258" max="258" width="13.42578125" style="2" customWidth="1"/>
    <col min="259" max="259" width="4.28515625" style="2" customWidth="1"/>
    <col min="260" max="260" width="4" style="2" customWidth="1"/>
    <col min="261" max="261" width="15" style="2" customWidth="1"/>
    <col min="262" max="262" width="4.140625" style="2" customWidth="1"/>
    <col min="263" max="263" width="11.28515625" style="2" customWidth="1"/>
    <col min="264" max="264" width="11" style="2" customWidth="1"/>
    <col min="265" max="266" width="2.140625" style="2" customWidth="1"/>
    <col min="267" max="267" width="3.28515625" style="2" customWidth="1"/>
    <col min="268" max="269" width="0" style="2" hidden="1" customWidth="1"/>
    <col min="270" max="270" width="2.85546875" style="2" customWidth="1"/>
    <col min="271" max="271" width="3.28515625" style="2" customWidth="1"/>
    <col min="272" max="272" width="1.42578125" style="2" customWidth="1"/>
    <col min="273" max="273" width="0" style="2" hidden="1" customWidth="1"/>
    <col min="274" max="274" width="6.85546875" style="2" customWidth="1"/>
    <col min="275" max="275" width="0" style="2" hidden="1" customWidth="1"/>
    <col min="276" max="277" width="6.28515625" style="2" customWidth="1"/>
    <col min="278" max="278" width="13.85546875" style="2" customWidth="1"/>
    <col min="279" max="279" width="10.85546875" style="2" customWidth="1"/>
    <col min="280" max="280" width="14.140625" style="2" customWidth="1"/>
    <col min="281" max="281" width="0" style="2" hidden="1" customWidth="1"/>
    <col min="282" max="282" width="13" style="2" customWidth="1"/>
    <col min="283" max="283" width="12.7109375" style="2" customWidth="1"/>
    <col min="284" max="284" width="13.140625" style="2" customWidth="1"/>
    <col min="285" max="285" width="14" style="2" customWidth="1"/>
    <col min="286" max="286" width="8.140625" style="2" customWidth="1"/>
    <col min="287" max="287" width="11.42578125" style="2" customWidth="1"/>
    <col min="288" max="288" width="23.7109375" style="2" customWidth="1"/>
    <col min="289" max="289" width="12" style="2" customWidth="1"/>
    <col min="290" max="291" width="0.28515625" style="2" customWidth="1"/>
    <col min="292" max="292" width="1.42578125" style="2" customWidth="1"/>
    <col min="293" max="293" width="0" style="2" hidden="1" customWidth="1"/>
    <col min="294" max="512" width="11.42578125" style="2"/>
    <col min="513" max="513" width="8" style="2" customWidth="1"/>
    <col min="514" max="514" width="13.42578125" style="2" customWidth="1"/>
    <col min="515" max="515" width="4.28515625" style="2" customWidth="1"/>
    <col min="516" max="516" width="4" style="2" customWidth="1"/>
    <col min="517" max="517" width="15" style="2" customWidth="1"/>
    <col min="518" max="518" width="4.140625" style="2" customWidth="1"/>
    <col min="519" max="519" width="11.28515625" style="2" customWidth="1"/>
    <col min="520" max="520" width="11" style="2" customWidth="1"/>
    <col min="521" max="522" width="2.140625" style="2" customWidth="1"/>
    <col min="523" max="523" width="3.28515625" style="2" customWidth="1"/>
    <col min="524" max="525" width="0" style="2" hidden="1" customWidth="1"/>
    <col min="526" max="526" width="2.85546875" style="2" customWidth="1"/>
    <col min="527" max="527" width="3.28515625" style="2" customWidth="1"/>
    <col min="528" max="528" width="1.42578125" style="2" customWidth="1"/>
    <col min="529" max="529" width="0" style="2" hidden="1" customWidth="1"/>
    <col min="530" max="530" width="6.85546875" style="2" customWidth="1"/>
    <col min="531" max="531" width="0" style="2" hidden="1" customWidth="1"/>
    <col min="532" max="533" width="6.28515625" style="2" customWidth="1"/>
    <col min="534" max="534" width="13.85546875" style="2" customWidth="1"/>
    <col min="535" max="535" width="10.85546875" style="2" customWidth="1"/>
    <col min="536" max="536" width="14.140625" style="2" customWidth="1"/>
    <col min="537" max="537" width="0" style="2" hidden="1" customWidth="1"/>
    <col min="538" max="538" width="13" style="2" customWidth="1"/>
    <col min="539" max="539" width="12.7109375" style="2" customWidth="1"/>
    <col min="540" max="540" width="13.140625" style="2" customWidth="1"/>
    <col min="541" max="541" width="14" style="2" customWidth="1"/>
    <col min="542" max="542" width="8.140625" style="2" customWidth="1"/>
    <col min="543" max="543" width="11.42578125" style="2" customWidth="1"/>
    <col min="544" max="544" width="23.7109375" style="2" customWidth="1"/>
    <col min="545" max="545" width="12" style="2" customWidth="1"/>
    <col min="546" max="547" width="0.28515625" style="2" customWidth="1"/>
    <col min="548" max="548" width="1.42578125" style="2" customWidth="1"/>
    <col min="549" max="549" width="0" style="2" hidden="1" customWidth="1"/>
    <col min="550" max="768" width="11.42578125" style="2"/>
    <col min="769" max="769" width="8" style="2" customWidth="1"/>
    <col min="770" max="770" width="13.42578125" style="2" customWidth="1"/>
    <col min="771" max="771" width="4.28515625" style="2" customWidth="1"/>
    <col min="772" max="772" width="4" style="2" customWidth="1"/>
    <col min="773" max="773" width="15" style="2" customWidth="1"/>
    <col min="774" max="774" width="4.140625" style="2" customWidth="1"/>
    <col min="775" max="775" width="11.28515625" style="2" customWidth="1"/>
    <col min="776" max="776" width="11" style="2" customWidth="1"/>
    <col min="777" max="778" width="2.140625" style="2" customWidth="1"/>
    <col min="779" max="779" width="3.28515625" style="2" customWidth="1"/>
    <col min="780" max="781" width="0" style="2" hidden="1" customWidth="1"/>
    <col min="782" max="782" width="2.85546875" style="2" customWidth="1"/>
    <col min="783" max="783" width="3.28515625" style="2" customWidth="1"/>
    <col min="784" max="784" width="1.42578125" style="2" customWidth="1"/>
    <col min="785" max="785" width="0" style="2" hidden="1" customWidth="1"/>
    <col min="786" max="786" width="6.85546875" style="2" customWidth="1"/>
    <col min="787" max="787" width="0" style="2" hidden="1" customWidth="1"/>
    <col min="788" max="789" width="6.28515625" style="2" customWidth="1"/>
    <col min="790" max="790" width="13.85546875" style="2" customWidth="1"/>
    <col min="791" max="791" width="10.85546875" style="2" customWidth="1"/>
    <col min="792" max="792" width="14.140625" style="2" customWidth="1"/>
    <col min="793" max="793" width="0" style="2" hidden="1" customWidth="1"/>
    <col min="794" max="794" width="13" style="2" customWidth="1"/>
    <col min="795" max="795" width="12.7109375" style="2" customWidth="1"/>
    <col min="796" max="796" width="13.140625" style="2" customWidth="1"/>
    <col min="797" max="797" width="14" style="2" customWidth="1"/>
    <col min="798" max="798" width="8.140625" style="2" customWidth="1"/>
    <col min="799" max="799" width="11.42578125" style="2" customWidth="1"/>
    <col min="800" max="800" width="23.7109375" style="2" customWidth="1"/>
    <col min="801" max="801" width="12" style="2" customWidth="1"/>
    <col min="802" max="803" width="0.28515625" style="2" customWidth="1"/>
    <col min="804" max="804" width="1.42578125" style="2" customWidth="1"/>
    <col min="805" max="805" width="0" style="2" hidden="1" customWidth="1"/>
    <col min="806" max="1024" width="11.42578125" style="2"/>
    <col min="1025" max="1025" width="8" style="2" customWidth="1"/>
    <col min="1026" max="1026" width="13.42578125" style="2" customWidth="1"/>
    <col min="1027" max="1027" width="4.28515625" style="2" customWidth="1"/>
    <col min="1028" max="1028" width="4" style="2" customWidth="1"/>
    <col min="1029" max="1029" width="15" style="2" customWidth="1"/>
    <col min="1030" max="1030" width="4.140625" style="2" customWidth="1"/>
    <col min="1031" max="1031" width="11.28515625" style="2" customWidth="1"/>
    <col min="1032" max="1032" width="11" style="2" customWidth="1"/>
    <col min="1033" max="1034" width="2.140625" style="2" customWidth="1"/>
    <col min="1035" max="1035" width="3.28515625" style="2" customWidth="1"/>
    <col min="1036" max="1037" width="0" style="2" hidden="1" customWidth="1"/>
    <col min="1038" max="1038" width="2.85546875" style="2" customWidth="1"/>
    <col min="1039" max="1039" width="3.28515625" style="2" customWidth="1"/>
    <col min="1040" max="1040" width="1.42578125" style="2" customWidth="1"/>
    <col min="1041" max="1041" width="0" style="2" hidden="1" customWidth="1"/>
    <col min="1042" max="1042" width="6.85546875" style="2" customWidth="1"/>
    <col min="1043" max="1043" width="0" style="2" hidden="1" customWidth="1"/>
    <col min="1044" max="1045" width="6.28515625" style="2" customWidth="1"/>
    <col min="1046" max="1046" width="13.85546875" style="2" customWidth="1"/>
    <col min="1047" max="1047" width="10.85546875" style="2" customWidth="1"/>
    <col min="1048" max="1048" width="14.140625" style="2" customWidth="1"/>
    <col min="1049" max="1049" width="0" style="2" hidden="1" customWidth="1"/>
    <col min="1050" max="1050" width="13" style="2" customWidth="1"/>
    <col min="1051" max="1051" width="12.7109375" style="2" customWidth="1"/>
    <col min="1052" max="1052" width="13.140625" style="2" customWidth="1"/>
    <col min="1053" max="1053" width="14" style="2" customWidth="1"/>
    <col min="1054" max="1054" width="8.140625" style="2" customWidth="1"/>
    <col min="1055" max="1055" width="11.42578125" style="2" customWidth="1"/>
    <col min="1056" max="1056" width="23.7109375" style="2" customWidth="1"/>
    <col min="1057" max="1057" width="12" style="2" customWidth="1"/>
    <col min="1058" max="1059" width="0.28515625" style="2" customWidth="1"/>
    <col min="1060" max="1060" width="1.42578125" style="2" customWidth="1"/>
    <col min="1061" max="1061" width="0" style="2" hidden="1" customWidth="1"/>
    <col min="1062" max="1280" width="11.42578125" style="2"/>
    <col min="1281" max="1281" width="8" style="2" customWidth="1"/>
    <col min="1282" max="1282" width="13.42578125" style="2" customWidth="1"/>
    <col min="1283" max="1283" width="4.28515625" style="2" customWidth="1"/>
    <col min="1284" max="1284" width="4" style="2" customWidth="1"/>
    <col min="1285" max="1285" width="15" style="2" customWidth="1"/>
    <col min="1286" max="1286" width="4.140625" style="2" customWidth="1"/>
    <col min="1287" max="1287" width="11.28515625" style="2" customWidth="1"/>
    <col min="1288" max="1288" width="11" style="2" customWidth="1"/>
    <col min="1289" max="1290" width="2.140625" style="2" customWidth="1"/>
    <col min="1291" max="1291" width="3.28515625" style="2" customWidth="1"/>
    <col min="1292" max="1293" width="0" style="2" hidden="1" customWidth="1"/>
    <col min="1294" max="1294" width="2.85546875" style="2" customWidth="1"/>
    <col min="1295" max="1295" width="3.28515625" style="2" customWidth="1"/>
    <col min="1296" max="1296" width="1.42578125" style="2" customWidth="1"/>
    <col min="1297" max="1297" width="0" style="2" hidden="1" customWidth="1"/>
    <col min="1298" max="1298" width="6.85546875" style="2" customWidth="1"/>
    <col min="1299" max="1299" width="0" style="2" hidden="1" customWidth="1"/>
    <col min="1300" max="1301" width="6.28515625" style="2" customWidth="1"/>
    <col min="1302" max="1302" width="13.85546875" style="2" customWidth="1"/>
    <col min="1303" max="1303" width="10.85546875" style="2" customWidth="1"/>
    <col min="1304" max="1304" width="14.140625" style="2" customWidth="1"/>
    <col min="1305" max="1305" width="0" style="2" hidden="1" customWidth="1"/>
    <col min="1306" max="1306" width="13" style="2" customWidth="1"/>
    <col min="1307" max="1307" width="12.7109375" style="2" customWidth="1"/>
    <col min="1308" max="1308" width="13.140625" style="2" customWidth="1"/>
    <col min="1309" max="1309" width="14" style="2" customWidth="1"/>
    <col min="1310" max="1310" width="8.140625" style="2" customWidth="1"/>
    <col min="1311" max="1311" width="11.42578125" style="2" customWidth="1"/>
    <col min="1312" max="1312" width="23.7109375" style="2" customWidth="1"/>
    <col min="1313" max="1313" width="12" style="2" customWidth="1"/>
    <col min="1314" max="1315" width="0.28515625" style="2" customWidth="1"/>
    <col min="1316" max="1316" width="1.42578125" style="2" customWidth="1"/>
    <col min="1317" max="1317" width="0" style="2" hidden="1" customWidth="1"/>
    <col min="1318" max="1536" width="11.42578125" style="2"/>
    <col min="1537" max="1537" width="8" style="2" customWidth="1"/>
    <col min="1538" max="1538" width="13.42578125" style="2" customWidth="1"/>
    <col min="1539" max="1539" width="4.28515625" style="2" customWidth="1"/>
    <col min="1540" max="1540" width="4" style="2" customWidth="1"/>
    <col min="1541" max="1541" width="15" style="2" customWidth="1"/>
    <col min="1542" max="1542" width="4.140625" style="2" customWidth="1"/>
    <col min="1543" max="1543" width="11.28515625" style="2" customWidth="1"/>
    <col min="1544" max="1544" width="11" style="2" customWidth="1"/>
    <col min="1545" max="1546" width="2.140625" style="2" customWidth="1"/>
    <col min="1547" max="1547" width="3.28515625" style="2" customWidth="1"/>
    <col min="1548" max="1549" width="0" style="2" hidden="1" customWidth="1"/>
    <col min="1550" max="1550" width="2.85546875" style="2" customWidth="1"/>
    <col min="1551" max="1551" width="3.28515625" style="2" customWidth="1"/>
    <col min="1552" max="1552" width="1.42578125" style="2" customWidth="1"/>
    <col min="1553" max="1553" width="0" style="2" hidden="1" customWidth="1"/>
    <col min="1554" max="1554" width="6.85546875" style="2" customWidth="1"/>
    <col min="1555" max="1555" width="0" style="2" hidden="1" customWidth="1"/>
    <col min="1556" max="1557" width="6.28515625" style="2" customWidth="1"/>
    <col min="1558" max="1558" width="13.85546875" style="2" customWidth="1"/>
    <col min="1559" max="1559" width="10.85546875" style="2" customWidth="1"/>
    <col min="1560" max="1560" width="14.140625" style="2" customWidth="1"/>
    <col min="1561" max="1561" width="0" style="2" hidden="1" customWidth="1"/>
    <col min="1562" max="1562" width="13" style="2" customWidth="1"/>
    <col min="1563" max="1563" width="12.7109375" style="2" customWidth="1"/>
    <col min="1564" max="1564" width="13.140625" style="2" customWidth="1"/>
    <col min="1565" max="1565" width="14" style="2" customWidth="1"/>
    <col min="1566" max="1566" width="8.140625" style="2" customWidth="1"/>
    <col min="1567" max="1567" width="11.42578125" style="2" customWidth="1"/>
    <col min="1568" max="1568" width="23.7109375" style="2" customWidth="1"/>
    <col min="1569" max="1569" width="12" style="2" customWidth="1"/>
    <col min="1570" max="1571" width="0.28515625" style="2" customWidth="1"/>
    <col min="1572" max="1572" width="1.42578125" style="2" customWidth="1"/>
    <col min="1573" max="1573" width="0" style="2" hidden="1" customWidth="1"/>
    <col min="1574" max="1792" width="11.42578125" style="2"/>
    <col min="1793" max="1793" width="8" style="2" customWidth="1"/>
    <col min="1794" max="1794" width="13.42578125" style="2" customWidth="1"/>
    <col min="1795" max="1795" width="4.28515625" style="2" customWidth="1"/>
    <col min="1796" max="1796" width="4" style="2" customWidth="1"/>
    <col min="1797" max="1797" width="15" style="2" customWidth="1"/>
    <col min="1798" max="1798" width="4.140625" style="2" customWidth="1"/>
    <col min="1799" max="1799" width="11.28515625" style="2" customWidth="1"/>
    <col min="1800" max="1800" width="11" style="2" customWidth="1"/>
    <col min="1801" max="1802" width="2.140625" style="2" customWidth="1"/>
    <col min="1803" max="1803" width="3.28515625" style="2" customWidth="1"/>
    <col min="1804" max="1805" width="0" style="2" hidden="1" customWidth="1"/>
    <col min="1806" max="1806" width="2.85546875" style="2" customWidth="1"/>
    <col min="1807" max="1807" width="3.28515625" style="2" customWidth="1"/>
    <col min="1808" max="1808" width="1.42578125" style="2" customWidth="1"/>
    <col min="1809" max="1809" width="0" style="2" hidden="1" customWidth="1"/>
    <col min="1810" max="1810" width="6.85546875" style="2" customWidth="1"/>
    <col min="1811" max="1811" width="0" style="2" hidden="1" customWidth="1"/>
    <col min="1812" max="1813" width="6.28515625" style="2" customWidth="1"/>
    <col min="1814" max="1814" width="13.85546875" style="2" customWidth="1"/>
    <col min="1815" max="1815" width="10.85546875" style="2" customWidth="1"/>
    <col min="1816" max="1816" width="14.140625" style="2" customWidth="1"/>
    <col min="1817" max="1817" width="0" style="2" hidden="1" customWidth="1"/>
    <col min="1818" max="1818" width="13" style="2" customWidth="1"/>
    <col min="1819" max="1819" width="12.7109375" style="2" customWidth="1"/>
    <col min="1820" max="1820" width="13.140625" style="2" customWidth="1"/>
    <col min="1821" max="1821" width="14" style="2" customWidth="1"/>
    <col min="1822" max="1822" width="8.140625" style="2" customWidth="1"/>
    <col min="1823" max="1823" width="11.42578125" style="2" customWidth="1"/>
    <col min="1824" max="1824" width="23.7109375" style="2" customWidth="1"/>
    <col min="1825" max="1825" width="12" style="2" customWidth="1"/>
    <col min="1826" max="1827" width="0.28515625" style="2" customWidth="1"/>
    <col min="1828" max="1828" width="1.42578125" style="2" customWidth="1"/>
    <col min="1829" max="1829" width="0" style="2" hidden="1" customWidth="1"/>
    <col min="1830" max="2048" width="11.42578125" style="2"/>
    <col min="2049" max="2049" width="8" style="2" customWidth="1"/>
    <col min="2050" max="2050" width="13.42578125" style="2" customWidth="1"/>
    <col min="2051" max="2051" width="4.28515625" style="2" customWidth="1"/>
    <col min="2052" max="2052" width="4" style="2" customWidth="1"/>
    <col min="2053" max="2053" width="15" style="2" customWidth="1"/>
    <col min="2054" max="2054" width="4.140625" style="2" customWidth="1"/>
    <col min="2055" max="2055" width="11.28515625" style="2" customWidth="1"/>
    <col min="2056" max="2056" width="11" style="2" customWidth="1"/>
    <col min="2057" max="2058" width="2.140625" style="2" customWidth="1"/>
    <col min="2059" max="2059" width="3.28515625" style="2" customWidth="1"/>
    <col min="2060" max="2061" width="0" style="2" hidden="1" customWidth="1"/>
    <col min="2062" max="2062" width="2.85546875" style="2" customWidth="1"/>
    <col min="2063" max="2063" width="3.28515625" style="2" customWidth="1"/>
    <col min="2064" max="2064" width="1.42578125" style="2" customWidth="1"/>
    <col min="2065" max="2065" width="0" style="2" hidden="1" customWidth="1"/>
    <col min="2066" max="2066" width="6.85546875" style="2" customWidth="1"/>
    <col min="2067" max="2067" width="0" style="2" hidden="1" customWidth="1"/>
    <col min="2068" max="2069" width="6.28515625" style="2" customWidth="1"/>
    <col min="2070" max="2070" width="13.85546875" style="2" customWidth="1"/>
    <col min="2071" max="2071" width="10.85546875" style="2" customWidth="1"/>
    <col min="2072" max="2072" width="14.140625" style="2" customWidth="1"/>
    <col min="2073" max="2073" width="0" style="2" hidden="1" customWidth="1"/>
    <col min="2074" max="2074" width="13" style="2" customWidth="1"/>
    <col min="2075" max="2075" width="12.7109375" style="2" customWidth="1"/>
    <col min="2076" max="2076" width="13.140625" style="2" customWidth="1"/>
    <col min="2077" max="2077" width="14" style="2" customWidth="1"/>
    <col min="2078" max="2078" width="8.140625" style="2" customWidth="1"/>
    <col min="2079" max="2079" width="11.42578125" style="2" customWidth="1"/>
    <col min="2080" max="2080" width="23.7109375" style="2" customWidth="1"/>
    <col min="2081" max="2081" width="12" style="2" customWidth="1"/>
    <col min="2082" max="2083" width="0.28515625" style="2" customWidth="1"/>
    <col min="2084" max="2084" width="1.42578125" style="2" customWidth="1"/>
    <col min="2085" max="2085" width="0" style="2" hidden="1" customWidth="1"/>
    <col min="2086" max="2304" width="11.42578125" style="2"/>
    <col min="2305" max="2305" width="8" style="2" customWidth="1"/>
    <col min="2306" max="2306" width="13.42578125" style="2" customWidth="1"/>
    <col min="2307" max="2307" width="4.28515625" style="2" customWidth="1"/>
    <col min="2308" max="2308" width="4" style="2" customWidth="1"/>
    <col min="2309" max="2309" width="15" style="2" customWidth="1"/>
    <col min="2310" max="2310" width="4.140625" style="2" customWidth="1"/>
    <col min="2311" max="2311" width="11.28515625" style="2" customWidth="1"/>
    <col min="2312" max="2312" width="11" style="2" customWidth="1"/>
    <col min="2313" max="2314" width="2.140625" style="2" customWidth="1"/>
    <col min="2315" max="2315" width="3.28515625" style="2" customWidth="1"/>
    <col min="2316" max="2317" width="0" style="2" hidden="1" customWidth="1"/>
    <col min="2318" max="2318" width="2.85546875" style="2" customWidth="1"/>
    <col min="2319" max="2319" width="3.28515625" style="2" customWidth="1"/>
    <col min="2320" max="2320" width="1.42578125" style="2" customWidth="1"/>
    <col min="2321" max="2321" width="0" style="2" hidden="1" customWidth="1"/>
    <col min="2322" max="2322" width="6.85546875" style="2" customWidth="1"/>
    <col min="2323" max="2323" width="0" style="2" hidden="1" customWidth="1"/>
    <col min="2324" max="2325" width="6.28515625" style="2" customWidth="1"/>
    <col min="2326" max="2326" width="13.85546875" style="2" customWidth="1"/>
    <col min="2327" max="2327" width="10.85546875" style="2" customWidth="1"/>
    <col min="2328" max="2328" width="14.140625" style="2" customWidth="1"/>
    <col min="2329" max="2329" width="0" style="2" hidden="1" customWidth="1"/>
    <col min="2330" max="2330" width="13" style="2" customWidth="1"/>
    <col min="2331" max="2331" width="12.7109375" style="2" customWidth="1"/>
    <col min="2332" max="2332" width="13.140625" style="2" customWidth="1"/>
    <col min="2333" max="2333" width="14" style="2" customWidth="1"/>
    <col min="2334" max="2334" width="8.140625" style="2" customWidth="1"/>
    <col min="2335" max="2335" width="11.42578125" style="2" customWidth="1"/>
    <col min="2336" max="2336" width="23.7109375" style="2" customWidth="1"/>
    <col min="2337" max="2337" width="12" style="2" customWidth="1"/>
    <col min="2338" max="2339" width="0.28515625" style="2" customWidth="1"/>
    <col min="2340" max="2340" width="1.42578125" style="2" customWidth="1"/>
    <col min="2341" max="2341" width="0" style="2" hidden="1" customWidth="1"/>
    <col min="2342" max="2560" width="11.42578125" style="2"/>
    <col min="2561" max="2561" width="8" style="2" customWidth="1"/>
    <col min="2562" max="2562" width="13.42578125" style="2" customWidth="1"/>
    <col min="2563" max="2563" width="4.28515625" style="2" customWidth="1"/>
    <col min="2564" max="2564" width="4" style="2" customWidth="1"/>
    <col min="2565" max="2565" width="15" style="2" customWidth="1"/>
    <col min="2566" max="2566" width="4.140625" style="2" customWidth="1"/>
    <col min="2567" max="2567" width="11.28515625" style="2" customWidth="1"/>
    <col min="2568" max="2568" width="11" style="2" customWidth="1"/>
    <col min="2569" max="2570" width="2.140625" style="2" customWidth="1"/>
    <col min="2571" max="2571" width="3.28515625" style="2" customWidth="1"/>
    <col min="2572" max="2573" width="0" style="2" hidden="1" customWidth="1"/>
    <col min="2574" max="2574" width="2.85546875" style="2" customWidth="1"/>
    <col min="2575" max="2575" width="3.28515625" style="2" customWidth="1"/>
    <col min="2576" max="2576" width="1.42578125" style="2" customWidth="1"/>
    <col min="2577" max="2577" width="0" style="2" hidden="1" customWidth="1"/>
    <col min="2578" max="2578" width="6.85546875" style="2" customWidth="1"/>
    <col min="2579" max="2579" width="0" style="2" hidden="1" customWidth="1"/>
    <col min="2580" max="2581" width="6.28515625" style="2" customWidth="1"/>
    <col min="2582" max="2582" width="13.85546875" style="2" customWidth="1"/>
    <col min="2583" max="2583" width="10.85546875" style="2" customWidth="1"/>
    <col min="2584" max="2584" width="14.140625" style="2" customWidth="1"/>
    <col min="2585" max="2585" width="0" style="2" hidden="1" customWidth="1"/>
    <col min="2586" max="2586" width="13" style="2" customWidth="1"/>
    <col min="2587" max="2587" width="12.7109375" style="2" customWidth="1"/>
    <col min="2588" max="2588" width="13.140625" style="2" customWidth="1"/>
    <col min="2589" max="2589" width="14" style="2" customWidth="1"/>
    <col min="2590" max="2590" width="8.140625" style="2" customWidth="1"/>
    <col min="2591" max="2591" width="11.42578125" style="2" customWidth="1"/>
    <col min="2592" max="2592" width="23.7109375" style="2" customWidth="1"/>
    <col min="2593" max="2593" width="12" style="2" customWidth="1"/>
    <col min="2594" max="2595" width="0.28515625" style="2" customWidth="1"/>
    <col min="2596" max="2596" width="1.42578125" style="2" customWidth="1"/>
    <col min="2597" max="2597" width="0" style="2" hidden="1" customWidth="1"/>
    <col min="2598" max="2816" width="11.42578125" style="2"/>
    <col min="2817" max="2817" width="8" style="2" customWidth="1"/>
    <col min="2818" max="2818" width="13.42578125" style="2" customWidth="1"/>
    <col min="2819" max="2819" width="4.28515625" style="2" customWidth="1"/>
    <col min="2820" max="2820" width="4" style="2" customWidth="1"/>
    <col min="2821" max="2821" width="15" style="2" customWidth="1"/>
    <col min="2822" max="2822" width="4.140625" style="2" customWidth="1"/>
    <col min="2823" max="2823" width="11.28515625" style="2" customWidth="1"/>
    <col min="2824" max="2824" width="11" style="2" customWidth="1"/>
    <col min="2825" max="2826" width="2.140625" style="2" customWidth="1"/>
    <col min="2827" max="2827" width="3.28515625" style="2" customWidth="1"/>
    <col min="2828" max="2829" width="0" style="2" hidden="1" customWidth="1"/>
    <col min="2830" max="2830" width="2.85546875" style="2" customWidth="1"/>
    <col min="2831" max="2831" width="3.28515625" style="2" customWidth="1"/>
    <col min="2832" max="2832" width="1.42578125" style="2" customWidth="1"/>
    <col min="2833" max="2833" width="0" style="2" hidden="1" customWidth="1"/>
    <col min="2834" max="2834" width="6.85546875" style="2" customWidth="1"/>
    <col min="2835" max="2835" width="0" style="2" hidden="1" customWidth="1"/>
    <col min="2836" max="2837" width="6.28515625" style="2" customWidth="1"/>
    <col min="2838" max="2838" width="13.85546875" style="2" customWidth="1"/>
    <col min="2839" max="2839" width="10.85546875" style="2" customWidth="1"/>
    <col min="2840" max="2840" width="14.140625" style="2" customWidth="1"/>
    <col min="2841" max="2841" width="0" style="2" hidden="1" customWidth="1"/>
    <col min="2842" max="2842" width="13" style="2" customWidth="1"/>
    <col min="2843" max="2843" width="12.7109375" style="2" customWidth="1"/>
    <col min="2844" max="2844" width="13.140625" style="2" customWidth="1"/>
    <col min="2845" max="2845" width="14" style="2" customWidth="1"/>
    <col min="2846" max="2846" width="8.140625" style="2" customWidth="1"/>
    <col min="2847" max="2847" width="11.42578125" style="2" customWidth="1"/>
    <col min="2848" max="2848" width="23.7109375" style="2" customWidth="1"/>
    <col min="2849" max="2849" width="12" style="2" customWidth="1"/>
    <col min="2850" max="2851" width="0.28515625" style="2" customWidth="1"/>
    <col min="2852" max="2852" width="1.42578125" style="2" customWidth="1"/>
    <col min="2853" max="2853" width="0" style="2" hidden="1" customWidth="1"/>
    <col min="2854" max="3072" width="11.42578125" style="2"/>
    <col min="3073" max="3073" width="8" style="2" customWidth="1"/>
    <col min="3074" max="3074" width="13.42578125" style="2" customWidth="1"/>
    <col min="3075" max="3075" width="4.28515625" style="2" customWidth="1"/>
    <col min="3076" max="3076" width="4" style="2" customWidth="1"/>
    <col min="3077" max="3077" width="15" style="2" customWidth="1"/>
    <col min="3078" max="3078" width="4.140625" style="2" customWidth="1"/>
    <col min="3079" max="3079" width="11.28515625" style="2" customWidth="1"/>
    <col min="3080" max="3080" width="11" style="2" customWidth="1"/>
    <col min="3081" max="3082" width="2.140625" style="2" customWidth="1"/>
    <col min="3083" max="3083" width="3.28515625" style="2" customWidth="1"/>
    <col min="3084" max="3085" width="0" style="2" hidden="1" customWidth="1"/>
    <col min="3086" max="3086" width="2.85546875" style="2" customWidth="1"/>
    <col min="3087" max="3087" width="3.28515625" style="2" customWidth="1"/>
    <col min="3088" max="3088" width="1.42578125" style="2" customWidth="1"/>
    <col min="3089" max="3089" width="0" style="2" hidden="1" customWidth="1"/>
    <col min="3090" max="3090" width="6.85546875" style="2" customWidth="1"/>
    <col min="3091" max="3091" width="0" style="2" hidden="1" customWidth="1"/>
    <col min="3092" max="3093" width="6.28515625" style="2" customWidth="1"/>
    <col min="3094" max="3094" width="13.85546875" style="2" customWidth="1"/>
    <col min="3095" max="3095" width="10.85546875" style="2" customWidth="1"/>
    <col min="3096" max="3096" width="14.140625" style="2" customWidth="1"/>
    <col min="3097" max="3097" width="0" style="2" hidden="1" customWidth="1"/>
    <col min="3098" max="3098" width="13" style="2" customWidth="1"/>
    <col min="3099" max="3099" width="12.7109375" style="2" customWidth="1"/>
    <col min="3100" max="3100" width="13.140625" style="2" customWidth="1"/>
    <col min="3101" max="3101" width="14" style="2" customWidth="1"/>
    <col min="3102" max="3102" width="8.140625" style="2" customWidth="1"/>
    <col min="3103" max="3103" width="11.42578125" style="2" customWidth="1"/>
    <col min="3104" max="3104" width="23.7109375" style="2" customWidth="1"/>
    <col min="3105" max="3105" width="12" style="2" customWidth="1"/>
    <col min="3106" max="3107" width="0.28515625" style="2" customWidth="1"/>
    <col min="3108" max="3108" width="1.42578125" style="2" customWidth="1"/>
    <col min="3109" max="3109" width="0" style="2" hidden="1" customWidth="1"/>
    <col min="3110" max="3328" width="11.42578125" style="2"/>
    <col min="3329" max="3329" width="8" style="2" customWidth="1"/>
    <col min="3330" max="3330" width="13.42578125" style="2" customWidth="1"/>
    <col min="3331" max="3331" width="4.28515625" style="2" customWidth="1"/>
    <col min="3332" max="3332" width="4" style="2" customWidth="1"/>
    <col min="3333" max="3333" width="15" style="2" customWidth="1"/>
    <col min="3334" max="3334" width="4.140625" style="2" customWidth="1"/>
    <col min="3335" max="3335" width="11.28515625" style="2" customWidth="1"/>
    <col min="3336" max="3336" width="11" style="2" customWidth="1"/>
    <col min="3337" max="3338" width="2.140625" style="2" customWidth="1"/>
    <col min="3339" max="3339" width="3.28515625" style="2" customWidth="1"/>
    <col min="3340" max="3341" width="0" style="2" hidden="1" customWidth="1"/>
    <col min="3342" max="3342" width="2.85546875" style="2" customWidth="1"/>
    <col min="3343" max="3343" width="3.28515625" style="2" customWidth="1"/>
    <col min="3344" max="3344" width="1.42578125" style="2" customWidth="1"/>
    <col min="3345" max="3345" width="0" style="2" hidden="1" customWidth="1"/>
    <col min="3346" max="3346" width="6.85546875" style="2" customWidth="1"/>
    <col min="3347" max="3347" width="0" style="2" hidden="1" customWidth="1"/>
    <col min="3348" max="3349" width="6.28515625" style="2" customWidth="1"/>
    <col min="3350" max="3350" width="13.85546875" style="2" customWidth="1"/>
    <col min="3351" max="3351" width="10.85546875" style="2" customWidth="1"/>
    <col min="3352" max="3352" width="14.140625" style="2" customWidth="1"/>
    <col min="3353" max="3353" width="0" style="2" hidden="1" customWidth="1"/>
    <col min="3354" max="3354" width="13" style="2" customWidth="1"/>
    <col min="3355" max="3355" width="12.7109375" style="2" customWidth="1"/>
    <col min="3356" max="3356" width="13.140625" style="2" customWidth="1"/>
    <col min="3357" max="3357" width="14" style="2" customWidth="1"/>
    <col min="3358" max="3358" width="8.140625" style="2" customWidth="1"/>
    <col min="3359" max="3359" width="11.42578125" style="2" customWidth="1"/>
    <col min="3360" max="3360" width="23.7109375" style="2" customWidth="1"/>
    <col min="3361" max="3361" width="12" style="2" customWidth="1"/>
    <col min="3362" max="3363" width="0.28515625" style="2" customWidth="1"/>
    <col min="3364" max="3364" width="1.42578125" style="2" customWidth="1"/>
    <col min="3365" max="3365" width="0" style="2" hidden="1" customWidth="1"/>
    <col min="3366" max="3584" width="11.42578125" style="2"/>
    <col min="3585" max="3585" width="8" style="2" customWidth="1"/>
    <col min="3586" max="3586" width="13.42578125" style="2" customWidth="1"/>
    <col min="3587" max="3587" width="4.28515625" style="2" customWidth="1"/>
    <col min="3588" max="3588" width="4" style="2" customWidth="1"/>
    <col min="3589" max="3589" width="15" style="2" customWidth="1"/>
    <col min="3590" max="3590" width="4.140625" style="2" customWidth="1"/>
    <col min="3591" max="3591" width="11.28515625" style="2" customWidth="1"/>
    <col min="3592" max="3592" width="11" style="2" customWidth="1"/>
    <col min="3593" max="3594" width="2.140625" style="2" customWidth="1"/>
    <col min="3595" max="3595" width="3.28515625" style="2" customWidth="1"/>
    <col min="3596" max="3597" width="0" style="2" hidden="1" customWidth="1"/>
    <col min="3598" max="3598" width="2.85546875" style="2" customWidth="1"/>
    <col min="3599" max="3599" width="3.28515625" style="2" customWidth="1"/>
    <col min="3600" max="3600" width="1.42578125" style="2" customWidth="1"/>
    <col min="3601" max="3601" width="0" style="2" hidden="1" customWidth="1"/>
    <col min="3602" max="3602" width="6.85546875" style="2" customWidth="1"/>
    <col min="3603" max="3603" width="0" style="2" hidden="1" customWidth="1"/>
    <col min="3604" max="3605" width="6.28515625" style="2" customWidth="1"/>
    <col min="3606" max="3606" width="13.85546875" style="2" customWidth="1"/>
    <col min="3607" max="3607" width="10.85546875" style="2" customWidth="1"/>
    <col min="3608" max="3608" width="14.140625" style="2" customWidth="1"/>
    <col min="3609" max="3609" width="0" style="2" hidden="1" customWidth="1"/>
    <col min="3610" max="3610" width="13" style="2" customWidth="1"/>
    <col min="3611" max="3611" width="12.7109375" style="2" customWidth="1"/>
    <col min="3612" max="3612" width="13.140625" style="2" customWidth="1"/>
    <col min="3613" max="3613" width="14" style="2" customWidth="1"/>
    <col min="3614" max="3614" width="8.140625" style="2" customWidth="1"/>
    <col min="3615" max="3615" width="11.42578125" style="2" customWidth="1"/>
    <col min="3616" max="3616" width="23.7109375" style="2" customWidth="1"/>
    <col min="3617" max="3617" width="12" style="2" customWidth="1"/>
    <col min="3618" max="3619" width="0.28515625" style="2" customWidth="1"/>
    <col min="3620" max="3620" width="1.42578125" style="2" customWidth="1"/>
    <col min="3621" max="3621" width="0" style="2" hidden="1" customWidth="1"/>
    <col min="3622" max="3840" width="11.42578125" style="2"/>
    <col min="3841" max="3841" width="8" style="2" customWidth="1"/>
    <col min="3842" max="3842" width="13.42578125" style="2" customWidth="1"/>
    <col min="3843" max="3843" width="4.28515625" style="2" customWidth="1"/>
    <col min="3844" max="3844" width="4" style="2" customWidth="1"/>
    <col min="3845" max="3845" width="15" style="2" customWidth="1"/>
    <col min="3846" max="3846" width="4.140625" style="2" customWidth="1"/>
    <col min="3847" max="3847" width="11.28515625" style="2" customWidth="1"/>
    <col min="3848" max="3848" width="11" style="2" customWidth="1"/>
    <col min="3849" max="3850" width="2.140625" style="2" customWidth="1"/>
    <col min="3851" max="3851" width="3.28515625" style="2" customWidth="1"/>
    <col min="3852" max="3853" width="0" style="2" hidden="1" customWidth="1"/>
    <col min="3854" max="3854" width="2.85546875" style="2" customWidth="1"/>
    <col min="3855" max="3855" width="3.28515625" style="2" customWidth="1"/>
    <col min="3856" max="3856" width="1.42578125" style="2" customWidth="1"/>
    <col min="3857" max="3857" width="0" style="2" hidden="1" customWidth="1"/>
    <col min="3858" max="3858" width="6.85546875" style="2" customWidth="1"/>
    <col min="3859" max="3859" width="0" style="2" hidden="1" customWidth="1"/>
    <col min="3860" max="3861" width="6.28515625" style="2" customWidth="1"/>
    <col min="3862" max="3862" width="13.85546875" style="2" customWidth="1"/>
    <col min="3863" max="3863" width="10.85546875" style="2" customWidth="1"/>
    <col min="3864" max="3864" width="14.140625" style="2" customWidth="1"/>
    <col min="3865" max="3865" width="0" style="2" hidden="1" customWidth="1"/>
    <col min="3866" max="3866" width="13" style="2" customWidth="1"/>
    <col min="3867" max="3867" width="12.7109375" style="2" customWidth="1"/>
    <col min="3868" max="3868" width="13.140625" style="2" customWidth="1"/>
    <col min="3869" max="3869" width="14" style="2" customWidth="1"/>
    <col min="3870" max="3870" width="8.140625" style="2" customWidth="1"/>
    <col min="3871" max="3871" width="11.42578125" style="2" customWidth="1"/>
    <col min="3872" max="3872" width="23.7109375" style="2" customWidth="1"/>
    <col min="3873" max="3873" width="12" style="2" customWidth="1"/>
    <col min="3874" max="3875" width="0.28515625" style="2" customWidth="1"/>
    <col min="3876" max="3876" width="1.42578125" style="2" customWidth="1"/>
    <col min="3877" max="3877" width="0" style="2" hidden="1" customWidth="1"/>
    <col min="3878" max="4096" width="11.42578125" style="2"/>
    <col min="4097" max="4097" width="8" style="2" customWidth="1"/>
    <col min="4098" max="4098" width="13.42578125" style="2" customWidth="1"/>
    <col min="4099" max="4099" width="4.28515625" style="2" customWidth="1"/>
    <col min="4100" max="4100" width="4" style="2" customWidth="1"/>
    <col min="4101" max="4101" width="15" style="2" customWidth="1"/>
    <col min="4102" max="4102" width="4.140625" style="2" customWidth="1"/>
    <col min="4103" max="4103" width="11.28515625" style="2" customWidth="1"/>
    <col min="4104" max="4104" width="11" style="2" customWidth="1"/>
    <col min="4105" max="4106" width="2.140625" style="2" customWidth="1"/>
    <col min="4107" max="4107" width="3.28515625" style="2" customWidth="1"/>
    <col min="4108" max="4109" width="0" style="2" hidden="1" customWidth="1"/>
    <col min="4110" max="4110" width="2.85546875" style="2" customWidth="1"/>
    <col min="4111" max="4111" width="3.28515625" style="2" customWidth="1"/>
    <col min="4112" max="4112" width="1.42578125" style="2" customWidth="1"/>
    <col min="4113" max="4113" width="0" style="2" hidden="1" customWidth="1"/>
    <col min="4114" max="4114" width="6.85546875" style="2" customWidth="1"/>
    <col min="4115" max="4115" width="0" style="2" hidden="1" customWidth="1"/>
    <col min="4116" max="4117" width="6.28515625" style="2" customWidth="1"/>
    <col min="4118" max="4118" width="13.85546875" style="2" customWidth="1"/>
    <col min="4119" max="4119" width="10.85546875" style="2" customWidth="1"/>
    <col min="4120" max="4120" width="14.140625" style="2" customWidth="1"/>
    <col min="4121" max="4121" width="0" style="2" hidden="1" customWidth="1"/>
    <col min="4122" max="4122" width="13" style="2" customWidth="1"/>
    <col min="4123" max="4123" width="12.7109375" style="2" customWidth="1"/>
    <col min="4124" max="4124" width="13.140625" style="2" customWidth="1"/>
    <col min="4125" max="4125" width="14" style="2" customWidth="1"/>
    <col min="4126" max="4126" width="8.140625" style="2" customWidth="1"/>
    <col min="4127" max="4127" width="11.42578125" style="2" customWidth="1"/>
    <col min="4128" max="4128" width="23.7109375" style="2" customWidth="1"/>
    <col min="4129" max="4129" width="12" style="2" customWidth="1"/>
    <col min="4130" max="4131" width="0.28515625" style="2" customWidth="1"/>
    <col min="4132" max="4132" width="1.42578125" style="2" customWidth="1"/>
    <col min="4133" max="4133" width="0" style="2" hidden="1" customWidth="1"/>
    <col min="4134" max="4352" width="11.42578125" style="2"/>
    <col min="4353" max="4353" width="8" style="2" customWidth="1"/>
    <col min="4354" max="4354" width="13.42578125" style="2" customWidth="1"/>
    <col min="4355" max="4355" width="4.28515625" style="2" customWidth="1"/>
    <col min="4356" max="4356" width="4" style="2" customWidth="1"/>
    <col min="4357" max="4357" width="15" style="2" customWidth="1"/>
    <col min="4358" max="4358" width="4.140625" style="2" customWidth="1"/>
    <col min="4359" max="4359" width="11.28515625" style="2" customWidth="1"/>
    <col min="4360" max="4360" width="11" style="2" customWidth="1"/>
    <col min="4361" max="4362" width="2.140625" style="2" customWidth="1"/>
    <col min="4363" max="4363" width="3.28515625" style="2" customWidth="1"/>
    <col min="4364" max="4365" width="0" style="2" hidden="1" customWidth="1"/>
    <col min="4366" max="4366" width="2.85546875" style="2" customWidth="1"/>
    <col min="4367" max="4367" width="3.28515625" style="2" customWidth="1"/>
    <col min="4368" max="4368" width="1.42578125" style="2" customWidth="1"/>
    <col min="4369" max="4369" width="0" style="2" hidden="1" customWidth="1"/>
    <col min="4370" max="4370" width="6.85546875" style="2" customWidth="1"/>
    <col min="4371" max="4371" width="0" style="2" hidden="1" customWidth="1"/>
    <col min="4372" max="4373" width="6.28515625" style="2" customWidth="1"/>
    <col min="4374" max="4374" width="13.85546875" style="2" customWidth="1"/>
    <col min="4375" max="4375" width="10.85546875" style="2" customWidth="1"/>
    <col min="4376" max="4376" width="14.140625" style="2" customWidth="1"/>
    <col min="4377" max="4377" width="0" style="2" hidden="1" customWidth="1"/>
    <col min="4378" max="4378" width="13" style="2" customWidth="1"/>
    <col min="4379" max="4379" width="12.7109375" style="2" customWidth="1"/>
    <col min="4380" max="4380" width="13.140625" style="2" customWidth="1"/>
    <col min="4381" max="4381" width="14" style="2" customWidth="1"/>
    <col min="4382" max="4382" width="8.140625" style="2" customWidth="1"/>
    <col min="4383" max="4383" width="11.42578125" style="2" customWidth="1"/>
    <col min="4384" max="4384" width="23.7109375" style="2" customWidth="1"/>
    <col min="4385" max="4385" width="12" style="2" customWidth="1"/>
    <col min="4386" max="4387" width="0.28515625" style="2" customWidth="1"/>
    <col min="4388" max="4388" width="1.42578125" style="2" customWidth="1"/>
    <col min="4389" max="4389" width="0" style="2" hidden="1" customWidth="1"/>
    <col min="4390" max="4608" width="11.42578125" style="2"/>
    <col min="4609" max="4609" width="8" style="2" customWidth="1"/>
    <col min="4610" max="4610" width="13.42578125" style="2" customWidth="1"/>
    <col min="4611" max="4611" width="4.28515625" style="2" customWidth="1"/>
    <col min="4612" max="4612" width="4" style="2" customWidth="1"/>
    <col min="4613" max="4613" width="15" style="2" customWidth="1"/>
    <col min="4614" max="4614" width="4.140625" style="2" customWidth="1"/>
    <col min="4615" max="4615" width="11.28515625" style="2" customWidth="1"/>
    <col min="4616" max="4616" width="11" style="2" customWidth="1"/>
    <col min="4617" max="4618" width="2.140625" style="2" customWidth="1"/>
    <col min="4619" max="4619" width="3.28515625" style="2" customWidth="1"/>
    <col min="4620" max="4621" width="0" style="2" hidden="1" customWidth="1"/>
    <col min="4622" max="4622" width="2.85546875" style="2" customWidth="1"/>
    <col min="4623" max="4623" width="3.28515625" style="2" customWidth="1"/>
    <col min="4624" max="4624" width="1.42578125" style="2" customWidth="1"/>
    <col min="4625" max="4625" width="0" style="2" hidden="1" customWidth="1"/>
    <col min="4626" max="4626" width="6.85546875" style="2" customWidth="1"/>
    <col min="4627" max="4627" width="0" style="2" hidden="1" customWidth="1"/>
    <col min="4628" max="4629" width="6.28515625" style="2" customWidth="1"/>
    <col min="4630" max="4630" width="13.85546875" style="2" customWidth="1"/>
    <col min="4631" max="4631" width="10.85546875" style="2" customWidth="1"/>
    <col min="4632" max="4632" width="14.140625" style="2" customWidth="1"/>
    <col min="4633" max="4633" width="0" style="2" hidden="1" customWidth="1"/>
    <col min="4634" max="4634" width="13" style="2" customWidth="1"/>
    <col min="4635" max="4635" width="12.7109375" style="2" customWidth="1"/>
    <col min="4636" max="4636" width="13.140625" style="2" customWidth="1"/>
    <col min="4637" max="4637" width="14" style="2" customWidth="1"/>
    <col min="4638" max="4638" width="8.140625" style="2" customWidth="1"/>
    <col min="4639" max="4639" width="11.42578125" style="2" customWidth="1"/>
    <col min="4640" max="4640" width="23.7109375" style="2" customWidth="1"/>
    <col min="4641" max="4641" width="12" style="2" customWidth="1"/>
    <col min="4642" max="4643" width="0.28515625" style="2" customWidth="1"/>
    <col min="4644" max="4644" width="1.42578125" style="2" customWidth="1"/>
    <col min="4645" max="4645" width="0" style="2" hidden="1" customWidth="1"/>
    <col min="4646" max="4864" width="11.42578125" style="2"/>
    <col min="4865" max="4865" width="8" style="2" customWidth="1"/>
    <col min="4866" max="4866" width="13.42578125" style="2" customWidth="1"/>
    <col min="4867" max="4867" width="4.28515625" style="2" customWidth="1"/>
    <col min="4868" max="4868" width="4" style="2" customWidth="1"/>
    <col min="4869" max="4869" width="15" style="2" customWidth="1"/>
    <col min="4870" max="4870" width="4.140625" style="2" customWidth="1"/>
    <col min="4871" max="4871" width="11.28515625" style="2" customWidth="1"/>
    <col min="4872" max="4872" width="11" style="2" customWidth="1"/>
    <col min="4873" max="4874" width="2.140625" style="2" customWidth="1"/>
    <col min="4875" max="4875" width="3.28515625" style="2" customWidth="1"/>
    <col min="4876" max="4877" width="0" style="2" hidden="1" customWidth="1"/>
    <col min="4878" max="4878" width="2.85546875" style="2" customWidth="1"/>
    <col min="4879" max="4879" width="3.28515625" style="2" customWidth="1"/>
    <col min="4880" max="4880" width="1.42578125" style="2" customWidth="1"/>
    <col min="4881" max="4881" width="0" style="2" hidden="1" customWidth="1"/>
    <col min="4882" max="4882" width="6.85546875" style="2" customWidth="1"/>
    <col min="4883" max="4883" width="0" style="2" hidden="1" customWidth="1"/>
    <col min="4884" max="4885" width="6.28515625" style="2" customWidth="1"/>
    <col min="4886" max="4886" width="13.85546875" style="2" customWidth="1"/>
    <col min="4887" max="4887" width="10.85546875" style="2" customWidth="1"/>
    <col min="4888" max="4888" width="14.140625" style="2" customWidth="1"/>
    <col min="4889" max="4889" width="0" style="2" hidden="1" customWidth="1"/>
    <col min="4890" max="4890" width="13" style="2" customWidth="1"/>
    <col min="4891" max="4891" width="12.7109375" style="2" customWidth="1"/>
    <col min="4892" max="4892" width="13.140625" style="2" customWidth="1"/>
    <col min="4893" max="4893" width="14" style="2" customWidth="1"/>
    <col min="4894" max="4894" width="8.140625" style="2" customWidth="1"/>
    <col min="4895" max="4895" width="11.42578125" style="2" customWidth="1"/>
    <col min="4896" max="4896" width="23.7109375" style="2" customWidth="1"/>
    <col min="4897" max="4897" width="12" style="2" customWidth="1"/>
    <col min="4898" max="4899" width="0.28515625" style="2" customWidth="1"/>
    <col min="4900" max="4900" width="1.42578125" style="2" customWidth="1"/>
    <col min="4901" max="4901" width="0" style="2" hidden="1" customWidth="1"/>
    <col min="4902" max="5120" width="11.42578125" style="2"/>
    <col min="5121" max="5121" width="8" style="2" customWidth="1"/>
    <col min="5122" max="5122" width="13.42578125" style="2" customWidth="1"/>
    <col min="5123" max="5123" width="4.28515625" style="2" customWidth="1"/>
    <col min="5124" max="5124" width="4" style="2" customWidth="1"/>
    <col min="5125" max="5125" width="15" style="2" customWidth="1"/>
    <col min="5126" max="5126" width="4.140625" style="2" customWidth="1"/>
    <col min="5127" max="5127" width="11.28515625" style="2" customWidth="1"/>
    <col min="5128" max="5128" width="11" style="2" customWidth="1"/>
    <col min="5129" max="5130" width="2.140625" style="2" customWidth="1"/>
    <col min="5131" max="5131" width="3.28515625" style="2" customWidth="1"/>
    <col min="5132" max="5133" width="0" style="2" hidden="1" customWidth="1"/>
    <col min="5134" max="5134" width="2.85546875" style="2" customWidth="1"/>
    <col min="5135" max="5135" width="3.28515625" style="2" customWidth="1"/>
    <col min="5136" max="5136" width="1.42578125" style="2" customWidth="1"/>
    <col min="5137" max="5137" width="0" style="2" hidden="1" customWidth="1"/>
    <col min="5138" max="5138" width="6.85546875" style="2" customWidth="1"/>
    <col min="5139" max="5139" width="0" style="2" hidden="1" customWidth="1"/>
    <col min="5140" max="5141" width="6.28515625" style="2" customWidth="1"/>
    <col min="5142" max="5142" width="13.85546875" style="2" customWidth="1"/>
    <col min="5143" max="5143" width="10.85546875" style="2" customWidth="1"/>
    <col min="5144" max="5144" width="14.140625" style="2" customWidth="1"/>
    <col min="5145" max="5145" width="0" style="2" hidden="1" customWidth="1"/>
    <col min="5146" max="5146" width="13" style="2" customWidth="1"/>
    <col min="5147" max="5147" width="12.7109375" style="2" customWidth="1"/>
    <col min="5148" max="5148" width="13.140625" style="2" customWidth="1"/>
    <col min="5149" max="5149" width="14" style="2" customWidth="1"/>
    <col min="5150" max="5150" width="8.140625" style="2" customWidth="1"/>
    <col min="5151" max="5151" width="11.42578125" style="2" customWidth="1"/>
    <col min="5152" max="5152" width="23.7109375" style="2" customWidth="1"/>
    <col min="5153" max="5153" width="12" style="2" customWidth="1"/>
    <col min="5154" max="5155" width="0.28515625" style="2" customWidth="1"/>
    <col min="5156" max="5156" width="1.42578125" style="2" customWidth="1"/>
    <col min="5157" max="5157" width="0" style="2" hidden="1" customWidth="1"/>
    <col min="5158" max="5376" width="11.42578125" style="2"/>
    <col min="5377" max="5377" width="8" style="2" customWidth="1"/>
    <col min="5378" max="5378" width="13.42578125" style="2" customWidth="1"/>
    <col min="5379" max="5379" width="4.28515625" style="2" customWidth="1"/>
    <col min="5380" max="5380" width="4" style="2" customWidth="1"/>
    <col min="5381" max="5381" width="15" style="2" customWidth="1"/>
    <col min="5382" max="5382" width="4.140625" style="2" customWidth="1"/>
    <col min="5383" max="5383" width="11.28515625" style="2" customWidth="1"/>
    <col min="5384" max="5384" width="11" style="2" customWidth="1"/>
    <col min="5385" max="5386" width="2.140625" style="2" customWidth="1"/>
    <col min="5387" max="5387" width="3.28515625" style="2" customWidth="1"/>
    <col min="5388" max="5389" width="0" style="2" hidden="1" customWidth="1"/>
    <col min="5390" max="5390" width="2.85546875" style="2" customWidth="1"/>
    <col min="5391" max="5391" width="3.28515625" style="2" customWidth="1"/>
    <col min="5392" max="5392" width="1.42578125" style="2" customWidth="1"/>
    <col min="5393" max="5393" width="0" style="2" hidden="1" customWidth="1"/>
    <col min="5394" max="5394" width="6.85546875" style="2" customWidth="1"/>
    <col min="5395" max="5395" width="0" style="2" hidden="1" customWidth="1"/>
    <col min="5396" max="5397" width="6.28515625" style="2" customWidth="1"/>
    <col min="5398" max="5398" width="13.85546875" style="2" customWidth="1"/>
    <col min="5399" max="5399" width="10.85546875" style="2" customWidth="1"/>
    <col min="5400" max="5400" width="14.140625" style="2" customWidth="1"/>
    <col min="5401" max="5401" width="0" style="2" hidden="1" customWidth="1"/>
    <col min="5402" max="5402" width="13" style="2" customWidth="1"/>
    <col min="5403" max="5403" width="12.7109375" style="2" customWidth="1"/>
    <col min="5404" max="5404" width="13.140625" style="2" customWidth="1"/>
    <col min="5405" max="5405" width="14" style="2" customWidth="1"/>
    <col min="5406" max="5406" width="8.140625" style="2" customWidth="1"/>
    <col min="5407" max="5407" width="11.42578125" style="2" customWidth="1"/>
    <col min="5408" max="5408" width="23.7109375" style="2" customWidth="1"/>
    <col min="5409" max="5409" width="12" style="2" customWidth="1"/>
    <col min="5410" max="5411" width="0.28515625" style="2" customWidth="1"/>
    <col min="5412" max="5412" width="1.42578125" style="2" customWidth="1"/>
    <col min="5413" max="5413" width="0" style="2" hidden="1" customWidth="1"/>
    <col min="5414" max="5632" width="11.42578125" style="2"/>
    <col min="5633" max="5633" width="8" style="2" customWidth="1"/>
    <col min="5634" max="5634" width="13.42578125" style="2" customWidth="1"/>
    <col min="5635" max="5635" width="4.28515625" style="2" customWidth="1"/>
    <col min="5636" max="5636" width="4" style="2" customWidth="1"/>
    <col min="5637" max="5637" width="15" style="2" customWidth="1"/>
    <col min="5638" max="5638" width="4.140625" style="2" customWidth="1"/>
    <col min="5639" max="5639" width="11.28515625" style="2" customWidth="1"/>
    <col min="5640" max="5640" width="11" style="2" customWidth="1"/>
    <col min="5641" max="5642" width="2.140625" style="2" customWidth="1"/>
    <col min="5643" max="5643" width="3.28515625" style="2" customWidth="1"/>
    <col min="5644" max="5645" width="0" style="2" hidden="1" customWidth="1"/>
    <col min="5646" max="5646" width="2.85546875" style="2" customWidth="1"/>
    <col min="5647" max="5647" width="3.28515625" style="2" customWidth="1"/>
    <col min="5648" max="5648" width="1.42578125" style="2" customWidth="1"/>
    <col min="5649" max="5649" width="0" style="2" hidden="1" customWidth="1"/>
    <col min="5650" max="5650" width="6.85546875" style="2" customWidth="1"/>
    <col min="5651" max="5651" width="0" style="2" hidden="1" customWidth="1"/>
    <col min="5652" max="5653" width="6.28515625" style="2" customWidth="1"/>
    <col min="5654" max="5654" width="13.85546875" style="2" customWidth="1"/>
    <col min="5655" max="5655" width="10.85546875" style="2" customWidth="1"/>
    <col min="5656" max="5656" width="14.140625" style="2" customWidth="1"/>
    <col min="5657" max="5657" width="0" style="2" hidden="1" customWidth="1"/>
    <col min="5658" max="5658" width="13" style="2" customWidth="1"/>
    <col min="5659" max="5659" width="12.7109375" style="2" customWidth="1"/>
    <col min="5660" max="5660" width="13.140625" style="2" customWidth="1"/>
    <col min="5661" max="5661" width="14" style="2" customWidth="1"/>
    <col min="5662" max="5662" width="8.140625" style="2" customWidth="1"/>
    <col min="5663" max="5663" width="11.42578125" style="2" customWidth="1"/>
    <col min="5664" max="5664" width="23.7109375" style="2" customWidth="1"/>
    <col min="5665" max="5665" width="12" style="2" customWidth="1"/>
    <col min="5666" max="5667" width="0.28515625" style="2" customWidth="1"/>
    <col min="5668" max="5668" width="1.42578125" style="2" customWidth="1"/>
    <col min="5669" max="5669" width="0" style="2" hidden="1" customWidth="1"/>
    <col min="5670" max="5888" width="11.42578125" style="2"/>
    <col min="5889" max="5889" width="8" style="2" customWidth="1"/>
    <col min="5890" max="5890" width="13.42578125" style="2" customWidth="1"/>
    <col min="5891" max="5891" width="4.28515625" style="2" customWidth="1"/>
    <col min="5892" max="5892" width="4" style="2" customWidth="1"/>
    <col min="5893" max="5893" width="15" style="2" customWidth="1"/>
    <col min="5894" max="5894" width="4.140625" style="2" customWidth="1"/>
    <col min="5895" max="5895" width="11.28515625" style="2" customWidth="1"/>
    <col min="5896" max="5896" width="11" style="2" customWidth="1"/>
    <col min="5897" max="5898" width="2.140625" style="2" customWidth="1"/>
    <col min="5899" max="5899" width="3.28515625" style="2" customWidth="1"/>
    <col min="5900" max="5901" width="0" style="2" hidden="1" customWidth="1"/>
    <col min="5902" max="5902" width="2.85546875" style="2" customWidth="1"/>
    <col min="5903" max="5903" width="3.28515625" style="2" customWidth="1"/>
    <col min="5904" max="5904" width="1.42578125" style="2" customWidth="1"/>
    <col min="5905" max="5905" width="0" style="2" hidden="1" customWidth="1"/>
    <col min="5906" max="5906" width="6.85546875" style="2" customWidth="1"/>
    <col min="5907" max="5907" width="0" style="2" hidden="1" customWidth="1"/>
    <col min="5908" max="5909" width="6.28515625" style="2" customWidth="1"/>
    <col min="5910" max="5910" width="13.85546875" style="2" customWidth="1"/>
    <col min="5911" max="5911" width="10.85546875" style="2" customWidth="1"/>
    <col min="5912" max="5912" width="14.140625" style="2" customWidth="1"/>
    <col min="5913" max="5913" width="0" style="2" hidden="1" customWidth="1"/>
    <col min="5914" max="5914" width="13" style="2" customWidth="1"/>
    <col min="5915" max="5915" width="12.7109375" style="2" customWidth="1"/>
    <col min="5916" max="5916" width="13.140625" style="2" customWidth="1"/>
    <col min="5917" max="5917" width="14" style="2" customWidth="1"/>
    <col min="5918" max="5918" width="8.140625" style="2" customWidth="1"/>
    <col min="5919" max="5919" width="11.42578125" style="2" customWidth="1"/>
    <col min="5920" max="5920" width="23.7109375" style="2" customWidth="1"/>
    <col min="5921" max="5921" width="12" style="2" customWidth="1"/>
    <col min="5922" max="5923" width="0.28515625" style="2" customWidth="1"/>
    <col min="5924" max="5924" width="1.42578125" style="2" customWidth="1"/>
    <col min="5925" max="5925" width="0" style="2" hidden="1" customWidth="1"/>
    <col min="5926" max="6144" width="11.42578125" style="2"/>
    <col min="6145" max="6145" width="8" style="2" customWidth="1"/>
    <col min="6146" max="6146" width="13.42578125" style="2" customWidth="1"/>
    <col min="6147" max="6147" width="4.28515625" style="2" customWidth="1"/>
    <col min="6148" max="6148" width="4" style="2" customWidth="1"/>
    <col min="6149" max="6149" width="15" style="2" customWidth="1"/>
    <col min="6150" max="6150" width="4.140625" style="2" customWidth="1"/>
    <col min="6151" max="6151" width="11.28515625" style="2" customWidth="1"/>
    <col min="6152" max="6152" width="11" style="2" customWidth="1"/>
    <col min="6153" max="6154" width="2.140625" style="2" customWidth="1"/>
    <col min="6155" max="6155" width="3.28515625" style="2" customWidth="1"/>
    <col min="6156" max="6157" width="0" style="2" hidden="1" customWidth="1"/>
    <col min="6158" max="6158" width="2.85546875" style="2" customWidth="1"/>
    <col min="6159" max="6159" width="3.28515625" style="2" customWidth="1"/>
    <col min="6160" max="6160" width="1.42578125" style="2" customWidth="1"/>
    <col min="6161" max="6161" width="0" style="2" hidden="1" customWidth="1"/>
    <col min="6162" max="6162" width="6.85546875" style="2" customWidth="1"/>
    <col min="6163" max="6163" width="0" style="2" hidden="1" customWidth="1"/>
    <col min="6164" max="6165" width="6.28515625" style="2" customWidth="1"/>
    <col min="6166" max="6166" width="13.85546875" style="2" customWidth="1"/>
    <col min="6167" max="6167" width="10.85546875" style="2" customWidth="1"/>
    <col min="6168" max="6168" width="14.140625" style="2" customWidth="1"/>
    <col min="6169" max="6169" width="0" style="2" hidden="1" customWidth="1"/>
    <col min="6170" max="6170" width="13" style="2" customWidth="1"/>
    <col min="6171" max="6171" width="12.7109375" style="2" customWidth="1"/>
    <col min="6172" max="6172" width="13.140625" style="2" customWidth="1"/>
    <col min="6173" max="6173" width="14" style="2" customWidth="1"/>
    <col min="6174" max="6174" width="8.140625" style="2" customWidth="1"/>
    <col min="6175" max="6175" width="11.42578125" style="2" customWidth="1"/>
    <col min="6176" max="6176" width="23.7109375" style="2" customWidth="1"/>
    <col min="6177" max="6177" width="12" style="2" customWidth="1"/>
    <col min="6178" max="6179" width="0.28515625" style="2" customWidth="1"/>
    <col min="6180" max="6180" width="1.42578125" style="2" customWidth="1"/>
    <col min="6181" max="6181" width="0" style="2" hidden="1" customWidth="1"/>
    <col min="6182" max="6400" width="11.42578125" style="2"/>
    <col min="6401" max="6401" width="8" style="2" customWidth="1"/>
    <col min="6402" max="6402" width="13.42578125" style="2" customWidth="1"/>
    <col min="6403" max="6403" width="4.28515625" style="2" customWidth="1"/>
    <col min="6404" max="6404" width="4" style="2" customWidth="1"/>
    <col min="6405" max="6405" width="15" style="2" customWidth="1"/>
    <col min="6406" max="6406" width="4.140625" style="2" customWidth="1"/>
    <col min="6407" max="6407" width="11.28515625" style="2" customWidth="1"/>
    <col min="6408" max="6408" width="11" style="2" customWidth="1"/>
    <col min="6409" max="6410" width="2.140625" style="2" customWidth="1"/>
    <col min="6411" max="6411" width="3.28515625" style="2" customWidth="1"/>
    <col min="6412" max="6413" width="0" style="2" hidden="1" customWidth="1"/>
    <col min="6414" max="6414" width="2.85546875" style="2" customWidth="1"/>
    <col min="6415" max="6415" width="3.28515625" style="2" customWidth="1"/>
    <col min="6416" max="6416" width="1.42578125" style="2" customWidth="1"/>
    <col min="6417" max="6417" width="0" style="2" hidden="1" customWidth="1"/>
    <col min="6418" max="6418" width="6.85546875" style="2" customWidth="1"/>
    <col min="6419" max="6419" width="0" style="2" hidden="1" customWidth="1"/>
    <col min="6420" max="6421" width="6.28515625" style="2" customWidth="1"/>
    <col min="6422" max="6422" width="13.85546875" style="2" customWidth="1"/>
    <col min="6423" max="6423" width="10.85546875" style="2" customWidth="1"/>
    <col min="6424" max="6424" width="14.140625" style="2" customWidth="1"/>
    <col min="6425" max="6425" width="0" style="2" hidden="1" customWidth="1"/>
    <col min="6426" max="6426" width="13" style="2" customWidth="1"/>
    <col min="6427" max="6427" width="12.7109375" style="2" customWidth="1"/>
    <col min="6428" max="6428" width="13.140625" style="2" customWidth="1"/>
    <col min="6429" max="6429" width="14" style="2" customWidth="1"/>
    <col min="6430" max="6430" width="8.140625" style="2" customWidth="1"/>
    <col min="6431" max="6431" width="11.42578125" style="2" customWidth="1"/>
    <col min="6432" max="6432" width="23.7109375" style="2" customWidth="1"/>
    <col min="6433" max="6433" width="12" style="2" customWidth="1"/>
    <col min="6434" max="6435" width="0.28515625" style="2" customWidth="1"/>
    <col min="6436" max="6436" width="1.42578125" style="2" customWidth="1"/>
    <col min="6437" max="6437" width="0" style="2" hidden="1" customWidth="1"/>
    <col min="6438" max="6656" width="11.42578125" style="2"/>
    <col min="6657" max="6657" width="8" style="2" customWidth="1"/>
    <col min="6658" max="6658" width="13.42578125" style="2" customWidth="1"/>
    <col min="6659" max="6659" width="4.28515625" style="2" customWidth="1"/>
    <col min="6660" max="6660" width="4" style="2" customWidth="1"/>
    <col min="6661" max="6661" width="15" style="2" customWidth="1"/>
    <col min="6662" max="6662" width="4.140625" style="2" customWidth="1"/>
    <col min="6663" max="6663" width="11.28515625" style="2" customWidth="1"/>
    <col min="6664" max="6664" width="11" style="2" customWidth="1"/>
    <col min="6665" max="6666" width="2.140625" style="2" customWidth="1"/>
    <col min="6667" max="6667" width="3.28515625" style="2" customWidth="1"/>
    <col min="6668" max="6669" width="0" style="2" hidden="1" customWidth="1"/>
    <col min="6670" max="6670" width="2.85546875" style="2" customWidth="1"/>
    <col min="6671" max="6671" width="3.28515625" style="2" customWidth="1"/>
    <col min="6672" max="6672" width="1.42578125" style="2" customWidth="1"/>
    <col min="6673" max="6673" width="0" style="2" hidden="1" customWidth="1"/>
    <col min="6674" max="6674" width="6.85546875" style="2" customWidth="1"/>
    <col min="6675" max="6675" width="0" style="2" hidden="1" customWidth="1"/>
    <col min="6676" max="6677" width="6.28515625" style="2" customWidth="1"/>
    <col min="6678" max="6678" width="13.85546875" style="2" customWidth="1"/>
    <col min="6679" max="6679" width="10.85546875" style="2" customWidth="1"/>
    <col min="6680" max="6680" width="14.140625" style="2" customWidth="1"/>
    <col min="6681" max="6681" width="0" style="2" hidden="1" customWidth="1"/>
    <col min="6682" max="6682" width="13" style="2" customWidth="1"/>
    <col min="6683" max="6683" width="12.7109375" style="2" customWidth="1"/>
    <col min="6684" max="6684" width="13.140625" style="2" customWidth="1"/>
    <col min="6685" max="6685" width="14" style="2" customWidth="1"/>
    <col min="6686" max="6686" width="8.140625" style="2" customWidth="1"/>
    <col min="6687" max="6687" width="11.42578125" style="2" customWidth="1"/>
    <col min="6688" max="6688" width="23.7109375" style="2" customWidth="1"/>
    <col min="6689" max="6689" width="12" style="2" customWidth="1"/>
    <col min="6690" max="6691" width="0.28515625" style="2" customWidth="1"/>
    <col min="6692" max="6692" width="1.42578125" style="2" customWidth="1"/>
    <col min="6693" max="6693" width="0" style="2" hidden="1" customWidth="1"/>
    <col min="6694" max="6912" width="11.42578125" style="2"/>
    <col min="6913" max="6913" width="8" style="2" customWidth="1"/>
    <col min="6914" max="6914" width="13.42578125" style="2" customWidth="1"/>
    <col min="6915" max="6915" width="4.28515625" style="2" customWidth="1"/>
    <col min="6916" max="6916" width="4" style="2" customWidth="1"/>
    <col min="6917" max="6917" width="15" style="2" customWidth="1"/>
    <col min="6918" max="6918" width="4.140625" style="2" customWidth="1"/>
    <col min="6919" max="6919" width="11.28515625" style="2" customWidth="1"/>
    <col min="6920" max="6920" width="11" style="2" customWidth="1"/>
    <col min="6921" max="6922" width="2.140625" style="2" customWidth="1"/>
    <col min="6923" max="6923" width="3.28515625" style="2" customWidth="1"/>
    <col min="6924" max="6925" width="0" style="2" hidden="1" customWidth="1"/>
    <col min="6926" max="6926" width="2.85546875" style="2" customWidth="1"/>
    <col min="6927" max="6927" width="3.28515625" style="2" customWidth="1"/>
    <col min="6928" max="6928" width="1.42578125" style="2" customWidth="1"/>
    <col min="6929" max="6929" width="0" style="2" hidden="1" customWidth="1"/>
    <col min="6930" max="6930" width="6.85546875" style="2" customWidth="1"/>
    <col min="6931" max="6931" width="0" style="2" hidden="1" customWidth="1"/>
    <col min="6932" max="6933" width="6.28515625" style="2" customWidth="1"/>
    <col min="6934" max="6934" width="13.85546875" style="2" customWidth="1"/>
    <col min="6935" max="6935" width="10.85546875" style="2" customWidth="1"/>
    <col min="6936" max="6936" width="14.140625" style="2" customWidth="1"/>
    <col min="6937" max="6937" width="0" style="2" hidden="1" customWidth="1"/>
    <col min="6938" max="6938" width="13" style="2" customWidth="1"/>
    <col min="6939" max="6939" width="12.7109375" style="2" customWidth="1"/>
    <col min="6940" max="6940" width="13.140625" style="2" customWidth="1"/>
    <col min="6941" max="6941" width="14" style="2" customWidth="1"/>
    <col min="6942" max="6942" width="8.140625" style="2" customWidth="1"/>
    <col min="6943" max="6943" width="11.42578125" style="2" customWidth="1"/>
    <col min="6944" max="6944" width="23.7109375" style="2" customWidth="1"/>
    <col min="6945" max="6945" width="12" style="2" customWidth="1"/>
    <col min="6946" max="6947" width="0.28515625" style="2" customWidth="1"/>
    <col min="6948" max="6948" width="1.42578125" style="2" customWidth="1"/>
    <col min="6949" max="6949" width="0" style="2" hidden="1" customWidth="1"/>
    <col min="6950" max="7168" width="11.42578125" style="2"/>
    <col min="7169" max="7169" width="8" style="2" customWidth="1"/>
    <col min="7170" max="7170" width="13.42578125" style="2" customWidth="1"/>
    <col min="7171" max="7171" width="4.28515625" style="2" customWidth="1"/>
    <col min="7172" max="7172" width="4" style="2" customWidth="1"/>
    <col min="7173" max="7173" width="15" style="2" customWidth="1"/>
    <col min="7174" max="7174" width="4.140625" style="2" customWidth="1"/>
    <col min="7175" max="7175" width="11.28515625" style="2" customWidth="1"/>
    <col min="7176" max="7176" width="11" style="2" customWidth="1"/>
    <col min="7177" max="7178" width="2.140625" style="2" customWidth="1"/>
    <col min="7179" max="7179" width="3.28515625" style="2" customWidth="1"/>
    <col min="7180" max="7181" width="0" style="2" hidden="1" customWidth="1"/>
    <col min="7182" max="7182" width="2.85546875" style="2" customWidth="1"/>
    <col min="7183" max="7183" width="3.28515625" style="2" customWidth="1"/>
    <col min="7184" max="7184" width="1.42578125" style="2" customWidth="1"/>
    <col min="7185" max="7185" width="0" style="2" hidden="1" customWidth="1"/>
    <col min="7186" max="7186" width="6.85546875" style="2" customWidth="1"/>
    <col min="7187" max="7187" width="0" style="2" hidden="1" customWidth="1"/>
    <col min="7188" max="7189" width="6.28515625" style="2" customWidth="1"/>
    <col min="7190" max="7190" width="13.85546875" style="2" customWidth="1"/>
    <col min="7191" max="7191" width="10.85546875" style="2" customWidth="1"/>
    <col min="7192" max="7192" width="14.140625" style="2" customWidth="1"/>
    <col min="7193" max="7193" width="0" style="2" hidden="1" customWidth="1"/>
    <col min="7194" max="7194" width="13" style="2" customWidth="1"/>
    <col min="7195" max="7195" width="12.7109375" style="2" customWidth="1"/>
    <col min="7196" max="7196" width="13.140625" style="2" customWidth="1"/>
    <col min="7197" max="7197" width="14" style="2" customWidth="1"/>
    <col min="7198" max="7198" width="8.140625" style="2" customWidth="1"/>
    <col min="7199" max="7199" width="11.42578125" style="2" customWidth="1"/>
    <col min="7200" max="7200" width="23.7109375" style="2" customWidth="1"/>
    <col min="7201" max="7201" width="12" style="2" customWidth="1"/>
    <col min="7202" max="7203" width="0.28515625" style="2" customWidth="1"/>
    <col min="7204" max="7204" width="1.42578125" style="2" customWidth="1"/>
    <col min="7205" max="7205" width="0" style="2" hidden="1" customWidth="1"/>
    <col min="7206" max="7424" width="11.42578125" style="2"/>
    <col min="7425" max="7425" width="8" style="2" customWidth="1"/>
    <col min="7426" max="7426" width="13.42578125" style="2" customWidth="1"/>
    <col min="7427" max="7427" width="4.28515625" style="2" customWidth="1"/>
    <col min="7428" max="7428" width="4" style="2" customWidth="1"/>
    <col min="7429" max="7429" width="15" style="2" customWidth="1"/>
    <col min="7430" max="7430" width="4.140625" style="2" customWidth="1"/>
    <col min="7431" max="7431" width="11.28515625" style="2" customWidth="1"/>
    <col min="7432" max="7432" width="11" style="2" customWidth="1"/>
    <col min="7433" max="7434" width="2.140625" style="2" customWidth="1"/>
    <col min="7435" max="7435" width="3.28515625" style="2" customWidth="1"/>
    <col min="7436" max="7437" width="0" style="2" hidden="1" customWidth="1"/>
    <col min="7438" max="7438" width="2.85546875" style="2" customWidth="1"/>
    <col min="7439" max="7439" width="3.28515625" style="2" customWidth="1"/>
    <col min="7440" max="7440" width="1.42578125" style="2" customWidth="1"/>
    <col min="7441" max="7441" width="0" style="2" hidden="1" customWidth="1"/>
    <col min="7442" max="7442" width="6.85546875" style="2" customWidth="1"/>
    <col min="7443" max="7443" width="0" style="2" hidden="1" customWidth="1"/>
    <col min="7444" max="7445" width="6.28515625" style="2" customWidth="1"/>
    <col min="7446" max="7446" width="13.85546875" style="2" customWidth="1"/>
    <col min="7447" max="7447" width="10.85546875" style="2" customWidth="1"/>
    <col min="7448" max="7448" width="14.140625" style="2" customWidth="1"/>
    <col min="7449" max="7449" width="0" style="2" hidden="1" customWidth="1"/>
    <col min="7450" max="7450" width="13" style="2" customWidth="1"/>
    <col min="7451" max="7451" width="12.7109375" style="2" customWidth="1"/>
    <col min="7452" max="7452" width="13.140625" style="2" customWidth="1"/>
    <col min="7453" max="7453" width="14" style="2" customWidth="1"/>
    <col min="7454" max="7454" width="8.140625" style="2" customWidth="1"/>
    <col min="7455" max="7455" width="11.42578125" style="2" customWidth="1"/>
    <col min="7456" max="7456" width="23.7109375" style="2" customWidth="1"/>
    <col min="7457" max="7457" width="12" style="2" customWidth="1"/>
    <col min="7458" max="7459" width="0.28515625" style="2" customWidth="1"/>
    <col min="7460" max="7460" width="1.42578125" style="2" customWidth="1"/>
    <col min="7461" max="7461" width="0" style="2" hidden="1" customWidth="1"/>
    <col min="7462" max="7680" width="11.42578125" style="2"/>
    <col min="7681" max="7681" width="8" style="2" customWidth="1"/>
    <col min="7682" max="7682" width="13.42578125" style="2" customWidth="1"/>
    <col min="7683" max="7683" width="4.28515625" style="2" customWidth="1"/>
    <col min="7684" max="7684" width="4" style="2" customWidth="1"/>
    <col min="7685" max="7685" width="15" style="2" customWidth="1"/>
    <col min="7686" max="7686" width="4.140625" style="2" customWidth="1"/>
    <col min="7687" max="7687" width="11.28515625" style="2" customWidth="1"/>
    <col min="7688" max="7688" width="11" style="2" customWidth="1"/>
    <col min="7689" max="7690" width="2.140625" style="2" customWidth="1"/>
    <col min="7691" max="7691" width="3.28515625" style="2" customWidth="1"/>
    <col min="7692" max="7693" width="0" style="2" hidden="1" customWidth="1"/>
    <col min="7694" max="7694" width="2.85546875" style="2" customWidth="1"/>
    <col min="7695" max="7695" width="3.28515625" style="2" customWidth="1"/>
    <col min="7696" max="7696" width="1.42578125" style="2" customWidth="1"/>
    <col min="7697" max="7697" width="0" style="2" hidden="1" customWidth="1"/>
    <col min="7698" max="7698" width="6.85546875" style="2" customWidth="1"/>
    <col min="7699" max="7699" width="0" style="2" hidden="1" customWidth="1"/>
    <col min="7700" max="7701" width="6.28515625" style="2" customWidth="1"/>
    <col min="7702" max="7702" width="13.85546875" style="2" customWidth="1"/>
    <col min="7703" max="7703" width="10.85546875" style="2" customWidth="1"/>
    <col min="7704" max="7704" width="14.140625" style="2" customWidth="1"/>
    <col min="7705" max="7705" width="0" style="2" hidden="1" customWidth="1"/>
    <col min="7706" max="7706" width="13" style="2" customWidth="1"/>
    <col min="7707" max="7707" width="12.7109375" style="2" customWidth="1"/>
    <col min="7708" max="7708" width="13.140625" style="2" customWidth="1"/>
    <col min="7709" max="7709" width="14" style="2" customWidth="1"/>
    <col min="7710" max="7710" width="8.140625" style="2" customWidth="1"/>
    <col min="7711" max="7711" width="11.42578125" style="2" customWidth="1"/>
    <col min="7712" max="7712" width="23.7109375" style="2" customWidth="1"/>
    <col min="7713" max="7713" width="12" style="2" customWidth="1"/>
    <col min="7714" max="7715" width="0.28515625" style="2" customWidth="1"/>
    <col min="7716" max="7716" width="1.42578125" style="2" customWidth="1"/>
    <col min="7717" max="7717" width="0" style="2" hidden="1" customWidth="1"/>
    <col min="7718" max="7936" width="11.42578125" style="2"/>
    <col min="7937" max="7937" width="8" style="2" customWidth="1"/>
    <col min="7938" max="7938" width="13.42578125" style="2" customWidth="1"/>
    <col min="7939" max="7939" width="4.28515625" style="2" customWidth="1"/>
    <col min="7940" max="7940" width="4" style="2" customWidth="1"/>
    <col min="7941" max="7941" width="15" style="2" customWidth="1"/>
    <col min="7942" max="7942" width="4.140625" style="2" customWidth="1"/>
    <col min="7943" max="7943" width="11.28515625" style="2" customWidth="1"/>
    <col min="7944" max="7944" width="11" style="2" customWidth="1"/>
    <col min="7945" max="7946" width="2.140625" style="2" customWidth="1"/>
    <col min="7947" max="7947" width="3.28515625" style="2" customWidth="1"/>
    <col min="7948" max="7949" width="0" style="2" hidden="1" customWidth="1"/>
    <col min="7950" max="7950" width="2.85546875" style="2" customWidth="1"/>
    <col min="7951" max="7951" width="3.28515625" style="2" customWidth="1"/>
    <col min="7952" max="7952" width="1.42578125" style="2" customWidth="1"/>
    <col min="7953" max="7953" width="0" style="2" hidden="1" customWidth="1"/>
    <col min="7954" max="7954" width="6.85546875" style="2" customWidth="1"/>
    <col min="7955" max="7955" width="0" style="2" hidden="1" customWidth="1"/>
    <col min="7956" max="7957" width="6.28515625" style="2" customWidth="1"/>
    <col min="7958" max="7958" width="13.85546875" style="2" customWidth="1"/>
    <col min="7959" max="7959" width="10.85546875" style="2" customWidth="1"/>
    <col min="7960" max="7960" width="14.140625" style="2" customWidth="1"/>
    <col min="7961" max="7961" width="0" style="2" hidden="1" customWidth="1"/>
    <col min="7962" max="7962" width="13" style="2" customWidth="1"/>
    <col min="7963" max="7963" width="12.7109375" style="2" customWidth="1"/>
    <col min="7964" max="7964" width="13.140625" style="2" customWidth="1"/>
    <col min="7965" max="7965" width="14" style="2" customWidth="1"/>
    <col min="7966" max="7966" width="8.140625" style="2" customWidth="1"/>
    <col min="7967" max="7967" width="11.42578125" style="2" customWidth="1"/>
    <col min="7968" max="7968" width="23.7109375" style="2" customWidth="1"/>
    <col min="7969" max="7969" width="12" style="2" customWidth="1"/>
    <col min="7970" max="7971" width="0.28515625" style="2" customWidth="1"/>
    <col min="7972" max="7972" width="1.42578125" style="2" customWidth="1"/>
    <col min="7973" max="7973" width="0" style="2" hidden="1" customWidth="1"/>
    <col min="7974" max="8192" width="11.42578125" style="2"/>
    <col min="8193" max="8193" width="8" style="2" customWidth="1"/>
    <col min="8194" max="8194" width="13.42578125" style="2" customWidth="1"/>
    <col min="8195" max="8195" width="4.28515625" style="2" customWidth="1"/>
    <col min="8196" max="8196" width="4" style="2" customWidth="1"/>
    <col min="8197" max="8197" width="15" style="2" customWidth="1"/>
    <col min="8198" max="8198" width="4.140625" style="2" customWidth="1"/>
    <col min="8199" max="8199" width="11.28515625" style="2" customWidth="1"/>
    <col min="8200" max="8200" width="11" style="2" customWidth="1"/>
    <col min="8201" max="8202" width="2.140625" style="2" customWidth="1"/>
    <col min="8203" max="8203" width="3.28515625" style="2" customWidth="1"/>
    <col min="8204" max="8205" width="0" style="2" hidden="1" customWidth="1"/>
    <col min="8206" max="8206" width="2.85546875" style="2" customWidth="1"/>
    <col min="8207" max="8207" width="3.28515625" style="2" customWidth="1"/>
    <col min="8208" max="8208" width="1.42578125" style="2" customWidth="1"/>
    <col min="8209" max="8209" width="0" style="2" hidden="1" customWidth="1"/>
    <col min="8210" max="8210" width="6.85546875" style="2" customWidth="1"/>
    <col min="8211" max="8211" width="0" style="2" hidden="1" customWidth="1"/>
    <col min="8212" max="8213" width="6.28515625" style="2" customWidth="1"/>
    <col min="8214" max="8214" width="13.85546875" style="2" customWidth="1"/>
    <col min="8215" max="8215" width="10.85546875" style="2" customWidth="1"/>
    <col min="8216" max="8216" width="14.140625" style="2" customWidth="1"/>
    <col min="8217" max="8217" width="0" style="2" hidden="1" customWidth="1"/>
    <col min="8218" max="8218" width="13" style="2" customWidth="1"/>
    <col min="8219" max="8219" width="12.7109375" style="2" customWidth="1"/>
    <col min="8220" max="8220" width="13.140625" style="2" customWidth="1"/>
    <col min="8221" max="8221" width="14" style="2" customWidth="1"/>
    <col min="8222" max="8222" width="8.140625" style="2" customWidth="1"/>
    <col min="8223" max="8223" width="11.42578125" style="2" customWidth="1"/>
    <col min="8224" max="8224" width="23.7109375" style="2" customWidth="1"/>
    <col min="8225" max="8225" width="12" style="2" customWidth="1"/>
    <col min="8226" max="8227" width="0.28515625" style="2" customWidth="1"/>
    <col min="8228" max="8228" width="1.42578125" style="2" customWidth="1"/>
    <col min="8229" max="8229" width="0" style="2" hidden="1" customWidth="1"/>
    <col min="8230" max="8448" width="11.42578125" style="2"/>
    <col min="8449" max="8449" width="8" style="2" customWidth="1"/>
    <col min="8450" max="8450" width="13.42578125" style="2" customWidth="1"/>
    <col min="8451" max="8451" width="4.28515625" style="2" customWidth="1"/>
    <col min="8452" max="8452" width="4" style="2" customWidth="1"/>
    <col min="8453" max="8453" width="15" style="2" customWidth="1"/>
    <col min="8454" max="8454" width="4.140625" style="2" customWidth="1"/>
    <col min="8455" max="8455" width="11.28515625" style="2" customWidth="1"/>
    <col min="8456" max="8456" width="11" style="2" customWidth="1"/>
    <col min="8457" max="8458" width="2.140625" style="2" customWidth="1"/>
    <col min="8459" max="8459" width="3.28515625" style="2" customWidth="1"/>
    <col min="8460" max="8461" width="0" style="2" hidden="1" customWidth="1"/>
    <col min="8462" max="8462" width="2.85546875" style="2" customWidth="1"/>
    <col min="8463" max="8463" width="3.28515625" style="2" customWidth="1"/>
    <col min="8464" max="8464" width="1.42578125" style="2" customWidth="1"/>
    <col min="8465" max="8465" width="0" style="2" hidden="1" customWidth="1"/>
    <col min="8466" max="8466" width="6.85546875" style="2" customWidth="1"/>
    <col min="8467" max="8467" width="0" style="2" hidden="1" customWidth="1"/>
    <col min="8468" max="8469" width="6.28515625" style="2" customWidth="1"/>
    <col min="8470" max="8470" width="13.85546875" style="2" customWidth="1"/>
    <col min="8471" max="8471" width="10.85546875" style="2" customWidth="1"/>
    <col min="8472" max="8472" width="14.140625" style="2" customWidth="1"/>
    <col min="8473" max="8473" width="0" style="2" hidden="1" customWidth="1"/>
    <col min="8474" max="8474" width="13" style="2" customWidth="1"/>
    <col min="8475" max="8475" width="12.7109375" style="2" customWidth="1"/>
    <col min="8476" max="8476" width="13.140625" style="2" customWidth="1"/>
    <col min="8477" max="8477" width="14" style="2" customWidth="1"/>
    <col min="8478" max="8478" width="8.140625" style="2" customWidth="1"/>
    <col min="8479" max="8479" width="11.42578125" style="2" customWidth="1"/>
    <col min="8480" max="8480" width="23.7109375" style="2" customWidth="1"/>
    <col min="8481" max="8481" width="12" style="2" customWidth="1"/>
    <col min="8482" max="8483" width="0.28515625" style="2" customWidth="1"/>
    <col min="8484" max="8484" width="1.42578125" style="2" customWidth="1"/>
    <col min="8485" max="8485" width="0" style="2" hidden="1" customWidth="1"/>
    <col min="8486" max="8704" width="11.42578125" style="2"/>
    <col min="8705" max="8705" width="8" style="2" customWidth="1"/>
    <col min="8706" max="8706" width="13.42578125" style="2" customWidth="1"/>
    <col min="8707" max="8707" width="4.28515625" style="2" customWidth="1"/>
    <col min="8708" max="8708" width="4" style="2" customWidth="1"/>
    <col min="8709" max="8709" width="15" style="2" customWidth="1"/>
    <col min="8710" max="8710" width="4.140625" style="2" customWidth="1"/>
    <col min="8711" max="8711" width="11.28515625" style="2" customWidth="1"/>
    <col min="8712" max="8712" width="11" style="2" customWidth="1"/>
    <col min="8713" max="8714" width="2.140625" style="2" customWidth="1"/>
    <col min="8715" max="8715" width="3.28515625" style="2" customWidth="1"/>
    <col min="8716" max="8717" width="0" style="2" hidden="1" customWidth="1"/>
    <col min="8718" max="8718" width="2.85546875" style="2" customWidth="1"/>
    <col min="8719" max="8719" width="3.28515625" style="2" customWidth="1"/>
    <col min="8720" max="8720" width="1.42578125" style="2" customWidth="1"/>
    <col min="8721" max="8721" width="0" style="2" hidden="1" customWidth="1"/>
    <col min="8722" max="8722" width="6.85546875" style="2" customWidth="1"/>
    <col min="8723" max="8723" width="0" style="2" hidden="1" customWidth="1"/>
    <col min="8724" max="8725" width="6.28515625" style="2" customWidth="1"/>
    <col min="8726" max="8726" width="13.85546875" style="2" customWidth="1"/>
    <col min="8727" max="8727" width="10.85546875" style="2" customWidth="1"/>
    <col min="8728" max="8728" width="14.140625" style="2" customWidth="1"/>
    <col min="8729" max="8729" width="0" style="2" hidden="1" customWidth="1"/>
    <col min="8730" max="8730" width="13" style="2" customWidth="1"/>
    <col min="8731" max="8731" width="12.7109375" style="2" customWidth="1"/>
    <col min="8732" max="8732" width="13.140625" style="2" customWidth="1"/>
    <col min="8733" max="8733" width="14" style="2" customWidth="1"/>
    <col min="8734" max="8734" width="8.140625" style="2" customWidth="1"/>
    <col min="8735" max="8735" width="11.42578125" style="2" customWidth="1"/>
    <col min="8736" max="8736" width="23.7109375" style="2" customWidth="1"/>
    <col min="8737" max="8737" width="12" style="2" customWidth="1"/>
    <col min="8738" max="8739" width="0.28515625" style="2" customWidth="1"/>
    <col min="8740" max="8740" width="1.42578125" style="2" customWidth="1"/>
    <col min="8741" max="8741" width="0" style="2" hidden="1" customWidth="1"/>
    <col min="8742" max="8960" width="11.42578125" style="2"/>
    <col min="8961" max="8961" width="8" style="2" customWidth="1"/>
    <col min="8962" max="8962" width="13.42578125" style="2" customWidth="1"/>
    <col min="8963" max="8963" width="4.28515625" style="2" customWidth="1"/>
    <col min="8964" max="8964" width="4" style="2" customWidth="1"/>
    <col min="8965" max="8965" width="15" style="2" customWidth="1"/>
    <col min="8966" max="8966" width="4.140625" style="2" customWidth="1"/>
    <col min="8967" max="8967" width="11.28515625" style="2" customWidth="1"/>
    <col min="8968" max="8968" width="11" style="2" customWidth="1"/>
    <col min="8969" max="8970" width="2.140625" style="2" customWidth="1"/>
    <col min="8971" max="8971" width="3.28515625" style="2" customWidth="1"/>
    <col min="8972" max="8973" width="0" style="2" hidden="1" customWidth="1"/>
    <col min="8974" max="8974" width="2.85546875" style="2" customWidth="1"/>
    <col min="8975" max="8975" width="3.28515625" style="2" customWidth="1"/>
    <col min="8976" max="8976" width="1.42578125" style="2" customWidth="1"/>
    <col min="8977" max="8977" width="0" style="2" hidden="1" customWidth="1"/>
    <col min="8978" max="8978" width="6.85546875" style="2" customWidth="1"/>
    <col min="8979" max="8979" width="0" style="2" hidden="1" customWidth="1"/>
    <col min="8980" max="8981" width="6.28515625" style="2" customWidth="1"/>
    <col min="8982" max="8982" width="13.85546875" style="2" customWidth="1"/>
    <col min="8983" max="8983" width="10.85546875" style="2" customWidth="1"/>
    <col min="8984" max="8984" width="14.140625" style="2" customWidth="1"/>
    <col min="8985" max="8985" width="0" style="2" hidden="1" customWidth="1"/>
    <col min="8986" max="8986" width="13" style="2" customWidth="1"/>
    <col min="8987" max="8987" width="12.7109375" style="2" customWidth="1"/>
    <col min="8988" max="8988" width="13.140625" style="2" customWidth="1"/>
    <col min="8989" max="8989" width="14" style="2" customWidth="1"/>
    <col min="8990" max="8990" width="8.140625" style="2" customWidth="1"/>
    <col min="8991" max="8991" width="11.42578125" style="2" customWidth="1"/>
    <col min="8992" max="8992" width="23.7109375" style="2" customWidth="1"/>
    <col min="8993" max="8993" width="12" style="2" customWidth="1"/>
    <col min="8994" max="8995" width="0.28515625" style="2" customWidth="1"/>
    <col min="8996" max="8996" width="1.42578125" style="2" customWidth="1"/>
    <col min="8997" max="8997" width="0" style="2" hidden="1" customWidth="1"/>
    <col min="8998" max="9216" width="11.42578125" style="2"/>
    <col min="9217" max="9217" width="8" style="2" customWidth="1"/>
    <col min="9218" max="9218" width="13.42578125" style="2" customWidth="1"/>
    <col min="9219" max="9219" width="4.28515625" style="2" customWidth="1"/>
    <col min="9220" max="9220" width="4" style="2" customWidth="1"/>
    <col min="9221" max="9221" width="15" style="2" customWidth="1"/>
    <col min="9222" max="9222" width="4.140625" style="2" customWidth="1"/>
    <col min="9223" max="9223" width="11.28515625" style="2" customWidth="1"/>
    <col min="9224" max="9224" width="11" style="2" customWidth="1"/>
    <col min="9225" max="9226" width="2.140625" style="2" customWidth="1"/>
    <col min="9227" max="9227" width="3.28515625" style="2" customWidth="1"/>
    <col min="9228" max="9229" width="0" style="2" hidden="1" customWidth="1"/>
    <col min="9230" max="9230" width="2.85546875" style="2" customWidth="1"/>
    <col min="9231" max="9231" width="3.28515625" style="2" customWidth="1"/>
    <col min="9232" max="9232" width="1.42578125" style="2" customWidth="1"/>
    <col min="9233" max="9233" width="0" style="2" hidden="1" customWidth="1"/>
    <col min="9234" max="9234" width="6.85546875" style="2" customWidth="1"/>
    <col min="9235" max="9235" width="0" style="2" hidden="1" customWidth="1"/>
    <col min="9236" max="9237" width="6.28515625" style="2" customWidth="1"/>
    <col min="9238" max="9238" width="13.85546875" style="2" customWidth="1"/>
    <col min="9239" max="9239" width="10.85546875" style="2" customWidth="1"/>
    <col min="9240" max="9240" width="14.140625" style="2" customWidth="1"/>
    <col min="9241" max="9241" width="0" style="2" hidden="1" customWidth="1"/>
    <col min="9242" max="9242" width="13" style="2" customWidth="1"/>
    <col min="9243" max="9243" width="12.7109375" style="2" customWidth="1"/>
    <col min="9244" max="9244" width="13.140625" style="2" customWidth="1"/>
    <col min="9245" max="9245" width="14" style="2" customWidth="1"/>
    <col min="9246" max="9246" width="8.140625" style="2" customWidth="1"/>
    <col min="9247" max="9247" width="11.42578125" style="2" customWidth="1"/>
    <col min="9248" max="9248" width="23.7109375" style="2" customWidth="1"/>
    <col min="9249" max="9249" width="12" style="2" customWidth="1"/>
    <col min="9250" max="9251" width="0.28515625" style="2" customWidth="1"/>
    <col min="9252" max="9252" width="1.42578125" style="2" customWidth="1"/>
    <col min="9253" max="9253" width="0" style="2" hidden="1" customWidth="1"/>
    <col min="9254" max="9472" width="11.42578125" style="2"/>
    <col min="9473" max="9473" width="8" style="2" customWidth="1"/>
    <col min="9474" max="9474" width="13.42578125" style="2" customWidth="1"/>
    <col min="9475" max="9475" width="4.28515625" style="2" customWidth="1"/>
    <col min="9476" max="9476" width="4" style="2" customWidth="1"/>
    <col min="9477" max="9477" width="15" style="2" customWidth="1"/>
    <col min="9478" max="9478" width="4.140625" style="2" customWidth="1"/>
    <col min="9479" max="9479" width="11.28515625" style="2" customWidth="1"/>
    <col min="9480" max="9480" width="11" style="2" customWidth="1"/>
    <col min="9481" max="9482" width="2.140625" style="2" customWidth="1"/>
    <col min="9483" max="9483" width="3.28515625" style="2" customWidth="1"/>
    <col min="9484" max="9485" width="0" style="2" hidden="1" customWidth="1"/>
    <col min="9486" max="9486" width="2.85546875" style="2" customWidth="1"/>
    <col min="9487" max="9487" width="3.28515625" style="2" customWidth="1"/>
    <col min="9488" max="9488" width="1.42578125" style="2" customWidth="1"/>
    <col min="9489" max="9489" width="0" style="2" hidden="1" customWidth="1"/>
    <col min="9490" max="9490" width="6.85546875" style="2" customWidth="1"/>
    <col min="9491" max="9491" width="0" style="2" hidden="1" customWidth="1"/>
    <col min="9492" max="9493" width="6.28515625" style="2" customWidth="1"/>
    <col min="9494" max="9494" width="13.85546875" style="2" customWidth="1"/>
    <col min="9495" max="9495" width="10.85546875" style="2" customWidth="1"/>
    <col min="9496" max="9496" width="14.140625" style="2" customWidth="1"/>
    <col min="9497" max="9497" width="0" style="2" hidden="1" customWidth="1"/>
    <col min="9498" max="9498" width="13" style="2" customWidth="1"/>
    <col min="9499" max="9499" width="12.7109375" style="2" customWidth="1"/>
    <col min="9500" max="9500" width="13.140625" style="2" customWidth="1"/>
    <col min="9501" max="9501" width="14" style="2" customWidth="1"/>
    <col min="9502" max="9502" width="8.140625" style="2" customWidth="1"/>
    <col min="9503" max="9503" width="11.42578125" style="2" customWidth="1"/>
    <col min="9504" max="9504" width="23.7109375" style="2" customWidth="1"/>
    <col min="9505" max="9505" width="12" style="2" customWidth="1"/>
    <col min="9506" max="9507" width="0.28515625" style="2" customWidth="1"/>
    <col min="9508" max="9508" width="1.42578125" style="2" customWidth="1"/>
    <col min="9509" max="9509" width="0" style="2" hidden="1" customWidth="1"/>
    <col min="9510" max="9728" width="11.42578125" style="2"/>
    <col min="9729" max="9729" width="8" style="2" customWidth="1"/>
    <col min="9730" max="9730" width="13.42578125" style="2" customWidth="1"/>
    <col min="9731" max="9731" width="4.28515625" style="2" customWidth="1"/>
    <col min="9732" max="9732" width="4" style="2" customWidth="1"/>
    <col min="9733" max="9733" width="15" style="2" customWidth="1"/>
    <col min="9734" max="9734" width="4.140625" style="2" customWidth="1"/>
    <col min="9735" max="9735" width="11.28515625" style="2" customWidth="1"/>
    <col min="9736" max="9736" width="11" style="2" customWidth="1"/>
    <col min="9737" max="9738" width="2.140625" style="2" customWidth="1"/>
    <col min="9739" max="9739" width="3.28515625" style="2" customWidth="1"/>
    <col min="9740" max="9741" width="0" style="2" hidden="1" customWidth="1"/>
    <col min="9742" max="9742" width="2.85546875" style="2" customWidth="1"/>
    <col min="9743" max="9743" width="3.28515625" style="2" customWidth="1"/>
    <col min="9744" max="9744" width="1.42578125" style="2" customWidth="1"/>
    <col min="9745" max="9745" width="0" style="2" hidden="1" customWidth="1"/>
    <col min="9746" max="9746" width="6.85546875" style="2" customWidth="1"/>
    <col min="9747" max="9747" width="0" style="2" hidden="1" customWidth="1"/>
    <col min="9748" max="9749" width="6.28515625" style="2" customWidth="1"/>
    <col min="9750" max="9750" width="13.85546875" style="2" customWidth="1"/>
    <col min="9751" max="9751" width="10.85546875" style="2" customWidth="1"/>
    <col min="9752" max="9752" width="14.140625" style="2" customWidth="1"/>
    <col min="9753" max="9753" width="0" style="2" hidden="1" customWidth="1"/>
    <col min="9754" max="9754" width="13" style="2" customWidth="1"/>
    <col min="9755" max="9755" width="12.7109375" style="2" customWidth="1"/>
    <col min="9756" max="9756" width="13.140625" style="2" customWidth="1"/>
    <col min="9757" max="9757" width="14" style="2" customWidth="1"/>
    <col min="9758" max="9758" width="8.140625" style="2" customWidth="1"/>
    <col min="9759" max="9759" width="11.42578125" style="2" customWidth="1"/>
    <col min="9760" max="9760" width="23.7109375" style="2" customWidth="1"/>
    <col min="9761" max="9761" width="12" style="2" customWidth="1"/>
    <col min="9762" max="9763" width="0.28515625" style="2" customWidth="1"/>
    <col min="9764" max="9764" width="1.42578125" style="2" customWidth="1"/>
    <col min="9765" max="9765" width="0" style="2" hidden="1" customWidth="1"/>
    <col min="9766" max="9984" width="11.42578125" style="2"/>
    <col min="9985" max="9985" width="8" style="2" customWidth="1"/>
    <col min="9986" max="9986" width="13.42578125" style="2" customWidth="1"/>
    <col min="9987" max="9987" width="4.28515625" style="2" customWidth="1"/>
    <col min="9988" max="9988" width="4" style="2" customWidth="1"/>
    <col min="9989" max="9989" width="15" style="2" customWidth="1"/>
    <col min="9990" max="9990" width="4.140625" style="2" customWidth="1"/>
    <col min="9991" max="9991" width="11.28515625" style="2" customWidth="1"/>
    <col min="9992" max="9992" width="11" style="2" customWidth="1"/>
    <col min="9993" max="9994" width="2.140625" style="2" customWidth="1"/>
    <col min="9995" max="9995" width="3.28515625" style="2" customWidth="1"/>
    <col min="9996" max="9997" width="0" style="2" hidden="1" customWidth="1"/>
    <col min="9998" max="9998" width="2.85546875" style="2" customWidth="1"/>
    <col min="9999" max="9999" width="3.28515625" style="2" customWidth="1"/>
    <col min="10000" max="10000" width="1.42578125" style="2" customWidth="1"/>
    <col min="10001" max="10001" width="0" style="2" hidden="1" customWidth="1"/>
    <col min="10002" max="10002" width="6.85546875" style="2" customWidth="1"/>
    <col min="10003" max="10003" width="0" style="2" hidden="1" customWidth="1"/>
    <col min="10004" max="10005" width="6.28515625" style="2" customWidth="1"/>
    <col min="10006" max="10006" width="13.85546875" style="2" customWidth="1"/>
    <col min="10007" max="10007" width="10.85546875" style="2" customWidth="1"/>
    <col min="10008" max="10008" width="14.140625" style="2" customWidth="1"/>
    <col min="10009" max="10009" width="0" style="2" hidden="1" customWidth="1"/>
    <col min="10010" max="10010" width="13" style="2" customWidth="1"/>
    <col min="10011" max="10011" width="12.7109375" style="2" customWidth="1"/>
    <col min="10012" max="10012" width="13.140625" style="2" customWidth="1"/>
    <col min="10013" max="10013" width="14" style="2" customWidth="1"/>
    <col min="10014" max="10014" width="8.140625" style="2" customWidth="1"/>
    <col min="10015" max="10015" width="11.42578125" style="2" customWidth="1"/>
    <col min="10016" max="10016" width="23.7109375" style="2" customWidth="1"/>
    <col min="10017" max="10017" width="12" style="2" customWidth="1"/>
    <col min="10018" max="10019" width="0.28515625" style="2" customWidth="1"/>
    <col min="10020" max="10020" width="1.42578125" style="2" customWidth="1"/>
    <col min="10021" max="10021" width="0" style="2" hidden="1" customWidth="1"/>
    <col min="10022" max="10240" width="11.42578125" style="2"/>
    <col min="10241" max="10241" width="8" style="2" customWidth="1"/>
    <col min="10242" max="10242" width="13.42578125" style="2" customWidth="1"/>
    <col min="10243" max="10243" width="4.28515625" style="2" customWidth="1"/>
    <col min="10244" max="10244" width="4" style="2" customWidth="1"/>
    <col min="10245" max="10245" width="15" style="2" customWidth="1"/>
    <col min="10246" max="10246" width="4.140625" style="2" customWidth="1"/>
    <col min="10247" max="10247" width="11.28515625" style="2" customWidth="1"/>
    <col min="10248" max="10248" width="11" style="2" customWidth="1"/>
    <col min="10249" max="10250" width="2.140625" style="2" customWidth="1"/>
    <col min="10251" max="10251" width="3.28515625" style="2" customWidth="1"/>
    <col min="10252" max="10253" width="0" style="2" hidden="1" customWidth="1"/>
    <col min="10254" max="10254" width="2.85546875" style="2" customWidth="1"/>
    <col min="10255" max="10255" width="3.28515625" style="2" customWidth="1"/>
    <col min="10256" max="10256" width="1.42578125" style="2" customWidth="1"/>
    <col min="10257" max="10257" width="0" style="2" hidden="1" customWidth="1"/>
    <col min="10258" max="10258" width="6.85546875" style="2" customWidth="1"/>
    <col min="10259" max="10259" width="0" style="2" hidden="1" customWidth="1"/>
    <col min="10260" max="10261" width="6.28515625" style="2" customWidth="1"/>
    <col min="10262" max="10262" width="13.85546875" style="2" customWidth="1"/>
    <col min="10263" max="10263" width="10.85546875" style="2" customWidth="1"/>
    <col min="10264" max="10264" width="14.140625" style="2" customWidth="1"/>
    <col min="10265" max="10265" width="0" style="2" hidden="1" customWidth="1"/>
    <col min="10266" max="10266" width="13" style="2" customWidth="1"/>
    <col min="10267" max="10267" width="12.7109375" style="2" customWidth="1"/>
    <col min="10268" max="10268" width="13.140625" style="2" customWidth="1"/>
    <col min="10269" max="10269" width="14" style="2" customWidth="1"/>
    <col min="10270" max="10270" width="8.140625" style="2" customWidth="1"/>
    <col min="10271" max="10271" width="11.42578125" style="2" customWidth="1"/>
    <col min="10272" max="10272" width="23.7109375" style="2" customWidth="1"/>
    <col min="10273" max="10273" width="12" style="2" customWidth="1"/>
    <col min="10274" max="10275" width="0.28515625" style="2" customWidth="1"/>
    <col min="10276" max="10276" width="1.42578125" style="2" customWidth="1"/>
    <col min="10277" max="10277" width="0" style="2" hidden="1" customWidth="1"/>
    <col min="10278" max="10496" width="11.42578125" style="2"/>
    <col min="10497" max="10497" width="8" style="2" customWidth="1"/>
    <col min="10498" max="10498" width="13.42578125" style="2" customWidth="1"/>
    <col min="10499" max="10499" width="4.28515625" style="2" customWidth="1"/>
    <col min="10500" max="10500" width="4" style="2" customWidth="1"/>
    <col min="10501" max="10501" width="15" style="2" customWidth="1"/>
    <col min="10502" max="10502" width="4.140625" style="2" customWidth="1"/>
    <col min="10503" max="10503" width="11.28515625" style="2" customWidth="1"/>
    <col min="10504" max="10504" width="11" style="2" customWidth="1"/>
    <col min="10505" max="10506" width="2.140625" style="2" customWidth="1"/>
    <col min="10507" max="10507" width="3.28515625" style="2" customWidth="1"/>
    <col min="10508" max="10509" width="0" style="2" hidden="1" customWidth="1"/>
    <col min="10510" max="10510" width="2.85546875" style="2" customWidth="1"/>
    <col min="10511" max="10511" width="3.28515625" style="2" customWidth="1"/>
    <col min="10512" max="10512" width="1.42578125" style="2" customWidth="1"/>
    <col min="10513" max="10513" width="0" style="2" hidden="1" customWidth="1"/>
    <col min="10514" max="10514" width="6.85546875" style="2" customWidth="1"/>
    <col min="10515" max="10515" width="0" style="2" hidden="1" customWidth="1"/>
    <col min="10516" max="10517" width="6.28515625" style="2" customWidth="1"/>
    <col min="10518" max="10518" width="13.85546875" style="2" customWidth="1"/>
    <col min="10519" max="10519" width="10.85546875" style="2" customWidth="1"/>
    <col min="10520" max="10520" width="14.140625" style="2" customWidth="1"/>
    <col min="10521" max="10521" width="0" style="2" hidden="1" customWidth="1"/>
    <col min="10522" max="10522" width="13" style="2" customWidth="1"/>
    <col min="10523" max="10523" width="12.7109375" style="2" customWidth="1"/>
    <col min="10524" max="10524" width="13.140625" style="2" customWidth="1"/>
    <col min="10525" max="10525" width="14" style="2" customWidth="1"/>
    <col min="10526" max="10526" width="8.140625" style="2" customWidth="1"/>
    <col min="10527" max="10527" width="11.42578125" style="2" customWidth="1"/>
    <col min="10528" max="10528" width="23.7109375" style="2" customWidth="1"/>
    <col min="10529" max="10529" width="12" style="2" customWidth="1"/>
    <col min="10530" max="10531" width="0.28515625" style="2" customWidth="1"/>
    <col min="10532" max="10532" width="1.42578125" style="2" customWidth="1"/>
    <col min="10533" max="10533" width="0" style="2" hidden="1" customWidth="1"/>
    <col min="10534" max="10752" width="11.42578125" style="2"/>
    <col min="10753" max="10753" width="8" style="2" customWidth="1"/>
    <col min="10754" max="10754" width="13.42578125" style="2" customWidth="1"/>
    <col min="10755" max="10755" width="4.28515625" style="2" customWidth="1"/>
    <col min="10756" max="10756" width="4" style="2" customWidth="1"/>
    <col min="10757" max="10757" width="15" style="2" customWidth="1"/>
    <col min="10758" max="10758" width="4.140625" style="2" customWidth="1"/>
    <col min="10759" max="10759" width="11.28515625" style="2" customWidth="1"/>
    <col min="10760" max="10760" width="11" style="2" customWidth="1"/>
    <col min="10761" max="10762" width="2.140625" style="2" customWidth="1"/>
    <col min="10763" max="10763" width="3.28515625" style="2" customWidth="1"/>
    <col min="10764" max="10765" width="0" style="2" hidden="1" customWidth="1"/>
    <col min="10766" max="10766" width="2.85546875" style="2" customWidth="1"/>
    <col min="10767" max="10767" width="3.28515625" style="2" customWidth="1"/>
    <col min="10768" max="10768" width="1.42578125" style="2" customWidth="1"/>
    <col min="10769" max="10769" width="0" style="2" hidden="1" customWidth="1"/>
    <col min="10770" max="10770" width="6.85546875" style="2" customWidth="1"/>
    <col min="10771" max="10771" width="0" style="2" hidden="1" customWidth="1"/>
    <col min="10772" max="10773" width="6.28515625" style="2" customWidth="1"/>
    <col min="10774" max="10774" width="13.85546875" style="2" customWidth="1"/>
    <col min="10775" max="10775" width="10.85546875" style="2" customWidth="1"/>
    <col min="10776" max="10776" width="14.140625" style="2" customWidth="1"/>
    <col min="10777" max="10777" width="0" style="2" hidden="1" customWidth="1"/>
    <col min="10778" max="10778" width="13" style="2" customWidth="1"/>
    <col min="10779" max="10779" width="12.7109375" style="2" customWidth="1"/>
    <col min="10780" max="10780" width="13.140625" style="2" customWidth="1"/>
    <col min="10781" max="10781" width="14" style="2" customWidth="1"/>
    <col min="10782" max="10782" width="8.140625" style="2" customWidth="1"/>
    <col min="10783" max="10783" width="11.42578125" style="2" customWidth="1"/>
    <col min="10784" max="10784" width="23.7109375" style="2" customWidth="1"/>
    <col min="10785" max="10785" width="12" style="2" customWidth="1"/>
    <col min="10786" max="10787" width="0.28515625" style="2" customWidth="1"/>
    <col min="10788" max="10788" width="1.42578125" style="2" customWidth="1"/>
    <col min="10789" max="10789" width="0" style="2" hidden="1" customWidth="1"/>
    <col min="10790" max="11008" width="11.42578125" style="2"/>
    <col min="11009" max="11009" width="8" style="2" customWidth="1"/>
    <col min="11010" max="11010" width="13.42578125" style="2" customWidth="1"/>
    <col min="11011" max="11011" width="4.28515625" style="2" customWidth="1"/>
    <col min="11012" max="11012" width="4" style="2" customWidth="1"/>
    <col min="11013" max="11013" width="15" style="2" customWidth="1"/>
    <col min="11014" max="11014" width="4.140625" style="2" customWidth="1"/>
    <col min="11015" max="11015" width="11.28515625" style="2" customWidth="1"/>
    <col min="11016" max="11016" width="11" style="2" customWidth="1"/>
    <col min="11017" max="11018" width="2.140625" style="2" customWidth="1"/>
    <col min="11019" max="11019" width="3.28515625" style="2" customWidth="1"/>
    <col min="11020" max="11021" width="0" style="2" hidden="1" customWidth="1"/>
    <col min="11022" max="11022" width="2.85546875" style="2" customWidth="1"/>
    <col min="11023" max="11023" width="3.28515625" style="2" customWidth="1"/>
    <col min="11024" max="11024" width="1.42578125" style="2" customWidth="1"/>
    <col min="11025" max="11025" width="0" style="2" hidden="1" customWidth="1"/>
    <col min="11026" max="11026" width="6.85546875" style="2" customWidth="1"/>
    <col min="11027" max="11027" width="0" style="2" hidden="1" customWidth="1"/>
    <col min="11028" max="11029" width="6.28515625" style="2" customWidth="1"/>
    <col min="11030" max="11030" width="13.85546875" style="2" customWidth="1"/>
    <col min="11031" max="11031" width="10.85546875" style="2" customWidth="1"/>
    <col min="11032" max="11032" width="14.140625" style="2" customWidth="1"/>
    <col min="11033" max="11033" width="0" style="2" hidden="1" customWidth="1"/>
    <col min="11034" max="11034" width="13" style="2" customWidth="1"/>
    <col min="11035" max="11035" width="12.7109375" style="2" customWidth="1"/>
    <col min="11036" max="11036" width="13.140625" style="2" customWidth="1"/>
    <col min="11037" max="11037" width="14" style="2" customWidth="1"/>
    <col min="11038" max="11038" width="8.140625" style="2" customWidth="1"/>
    <col min="11039" max="11039" width="11.42578125" style="2" customWidth="1"/>
    <col min="11040" max="11040" width="23.7109375" style="2" customWidth="1"/>
    <col min="11041" max="11041" width="12" style="2" customWidth="1"/>
    <col min="11042" max="11043" width="0.28515625" style="2" customWidth="1"/>
    <col min="11044" max="11044" width="1.42578125" style="2" customWidth="1"/>
    <col min="11045" max="11045" width="0" style="2" hidden="1" customWidth="1"/>
    <col min="11046" max="11264" width="11.42578125" style="2"/>
    <col min="11265" max="11265" width="8" style="2" customWidth="1"/>
    <col min="11266" max="11266" width="13.42578125" style="2" customWidth="1"/>
    <col min="11267" max="11267" width="4.28515625" style="2" customWidth="1"/>
    <col min="11268" max="11268" width="4" style="2" customWidth="1"/>
    <col min="11269" max="11269" width="15" style="2" customWidth="1"/>
    <col min="11270" max="11270" width="4.140625" style="2" customWidth="1"/>
    <col min="11271" max="11271" width="11.28515625" style="2" customWidth="1"/>
    <col min="11272" max="11272" width="11" style="2" customWidth="1"/>
    <col min="11273" max="11274" width="2.140625" style="2" customWidth="1"/>
    <col min="11275" max="11275" width="3.28515625" style="2" customWidth="1"/>
    <col min="11276" max="11277" width="0" style="2" hidden="1" customWidth="1"/>
    <col min="11278" max="11278" width="2.85546875" style="2" customWidth="1"/>
    <col min="11279" max="11279" width="3.28515625" style="2" customWidth="1"/>
    <col min="11280" max="11280" width="1.42578125" style="2" customWidth="1"/>
    <col min="11281" max="11281" width="0" style="2" hidden="1" customWidth="1"/>
    <col min="11282" max="11282" width="6.85546875" style="2" customWidth="1"/>
    <col min="11283" max="11283" width="0" style="2" hidden="1" customWidth="1"/>
    <col min="11284" max="11285" width="6.28515625" style="2" customWidth="1"/>
    <col min="11286" max="11286" width="13.85546875" style="2" customWidth="1"/>
    <col min="11287" max="11287" width="10.85546875" style="2" customWidth="1"/>
    <col min="11288" max="11288" width="14.140625" style="2" customWidth="1"/>
    <col min="11289" max="11289" width="0" style="2" hidden="1" customWidth="1"/>
    <col min="11290" max="11290" width="13" style="2" customWidth="1"/>
    <col min="11291" max="11291" width="12.7109375" style="2" customWidth="1"/>
    <col min="11292" max="11292" width="13.140625" style="2" customWidth="1"/>
    <col min="11293" max="11293" width="14" style="2" customWidth="1"/>
    <col min="11294" max="11294" width="8.140625" style="2" customWidth="1"/>
    <col min="11295" max="11295" width="11.42578125" style="2" customWidth="1"/>
    <col min="11296" max="11296" width="23.7109375" style="2" customWidth="1"/>
    <col min="11297" max="11297" width="12" style="2" customWidth="1"/>
    <col min="11298" max="11299" width="0.28515625" style="2" customWidth="1"/>
    <col min="11300" max="11300" width="1.42578125" style="2" customWidth="1"/>
    <col min="11301" max="11301" width="0" style="2" hidden="1" customWidth="1"/>
    <col min="11302" max="11520" width="11.42578125" style="2"/>
    <col min="11521" max="11521" width="8" style="2" customWidth="1"/>
    <col min="11522" max="11522" width="13.42578125" style="2" customWidth="1"/>
    <col min="11523" max="11523" width="4.28515625" style="2" customWidth="1"/>
    <col min="11524" max="11524" width="4" style="2" customWidth="1"/>
    <col min="11525" max="11525" width="15" style="2" customWidth="1"/>
    <col min="11526" max="11526" width="4.140625" style="2" customWidth="1"/>
    <col min="11527" max="11527" width="11.28515625" style="2" customWidth="1"/>
    <col min="11528" max="11528" width="11" style="2" customWidth="1"/>
    <col min="11529" max="11530" width="2.140625" style="2" customWidth="1"/>
    <col min="11531" max="11531" width="3.28515625" style="2" customWidth="1"/>
    <col min="11532" max="11533" width="0" style="2" hidden="1" customWidth="1"/>
    <col min="11534" max="11534" width="2.85546875" style="2" customWidth="1"/>
    <col min="11535" max="11535" width="3.28515625" style="2" customWidth="1"/>
    <col min="11536" max="11536" width="1.42578125" style="2" customWidth="1"/>
    <col min="11537" max="11537" width="0" style="2" hidden="1" customWidth="1"/>
    <col min="11538" max="11538" width="6.85546875" style="2" customWidth="1"/>
    <col min="11539" max="11539" width="0" style="2" hidden="1" customWidth="1"/>
    <col min="11540" max="11541" width="6.28515625" style="2" customWidth="1"/>
    <col min="11542" max="11542" width="13.85546875" style="2" customWidth="1"/>
    <col min="11543" max="11543" width="10.85546875" style="2" customWidth="1"/>
    <col min="11544" max="11544" width="14.140625" style="2" customWidth="1"/>
    <col min="11545" max="11545" width="0" style="2" hidden="1" customWidth="1"/>
    <col min="11546" max="11546" width="13" style="2" customWidth="1"/>
    <col min="11547" max="11547" width="12.7109375" style="2" customWidth="1"/>
    <col min="11548" max="11548" width="13.140625" style="2" customWidth="1"/>
    <col min="11549" max="11549" width="14" style="2" customWidth="1"/>
    <col min="11550" max="11550" width="8.140625" style="2" customWidth="1"/>
    <col min="11551" max="11551" width="11.42578125" style="2" customWidth="1"/>
    <col min="11552" max="11552" width="23.7109375" style="2" customWidth="1"/>
    <col min="11553" max="11553" width="12" style="2" customWidth="1"/>
    <col min="11554" max="11555" width="0.28515625" style="2" customWidth="1"/>
    <col min="11556" max="11556" width="1.42578125" style="2" customWidth="1"/>
    <col min="11557" max="11557" width="0" style="2" hidden="1" customWidth="1"/>
    <col min="11558" max="11776" width="11.42578125" style="2"/>
    <col min="11777" max="11777" width="8" style="2" customWidth="1"/>
    <col min="11778" max="11778" width="13.42578125" style="2" customWidth="1"/>
    <col min="11779" max="11779" width="4.28515625" style="2" customWidth="1"/>
    <col min="11780" max="11780" width="4" style="2" customWidth="1"/>
    <col min="11781" max="11781" width="15" style="2" customWidth="1"/>
    <col min="11782" max="11782" width="4.140625" style="2" customWidth="1"/>
    <col min="11783" max="11783" width="11.28515625" style="2" customWidth="1"/>
    <col min="11784" max="11784" width="11" style="2" customWidth="1"/>
    <col min="11785" max="11786" width="2.140625" style="2" customWidth="1"/>
    <col min="11787" max="11787" width="3.28515625" style="2" customWidth="1"/>
    <col min="11788" max="11789" width="0" style="2" hidden="1" customWidth="1"/>
    <col min="11790" max="11790" width="2.85546875" style="2" customWidth="1"/>
    <col min="11791" max="11791" width="3.28515625" style="2" customWidth="1"/>
    <col min="11792" max="11792" width="1.42578125" style="2" customWidth="1"/>
    <col min="11793" max="11793" width="0" style="2" hidden="1" customWidth="1"/>
    <col min="11794" max="11794" width="6.85546875" style="2" customWidth="1"/>
    <col min="11795" max="11795" width="0" style="2" hidden="1" customWidth="1"/>
    <col min="11796" max="11797" width="6.28515625" style="2" customWidth="1"/>
    <col min="11798" max="11798" width="13.85546875" style="2" customWidth="1"/>
    <col min="11799" max="11799" width="10.85546875" style="2" customWidth="1"/>
    <col min="11800" max="11800" width="14.140625" style="2" customWidth="1"/>
    <col min="11801" max="11801" width="0" style="2" hidden="1" customWidth="1"/>
    <col min="11802" max="11802" width="13" style="2" customWidth="1"/>
    <col min="11803" max="11803" width="12.7109375" style="2" customWidth="1"/>
    <col min="11804" max="11804" width="13.140625" style="2" customWidth="1"/>
    <col min="11805" max="11805" width="14" style="2" customWidth="1"/>
    <col min="11806" max="11806" width="8.140625" style="2" customWidth="1"/>
    <col min="11807" max="11807" width="11.42578125" style="2" customWidth="1"/>
    <col min="11808" max="11808" width="23.7109375" style="2" customWidth="1"/>
    <col min="11809" max="11809" width="12" style="2" customWidth="1"/>
    <col min="11810" max="11811" width="0.28515625" style="2" customWidth="1"/>
    <col min="11812" max="11812" width="1.42578125" style="2" customWidth="1"/>
    <col min="11813" max="11813" width="0" style="2" hidden="1" customWidth="1"/>
    <col min="11814" max="12032" width="11.42578125" style="2"/>
    <col min="12033" max="12033" width="8" style="2" customWidth="1"/>
    <col min="12034" max="12034" width="13.42578125" style="2" customWidth="1"/>
    <col min="12035" max="12035" width="4.28515625" style="2" customWidth="1"/>
    <col min="12036" max="12036" width="4" style="2" customWidth="1"/>
    <col min="12037" max="12037" width="15" style="2" customWidth="1"/>
    <col min="12038" max="12038" width="4.140625" style="2" customWidth="1"/>
    <col min="12039" max="12039" width="11.28515625" style="2" customWidth="1"/>
    <col min="12040" max="12040" width="11" style="2" customWidth="1"/>
    <col min="12041" max="12042" width="2.140625" style="2" customWidth="1"/>
    <col min="12043" max="12043" width="3.28515625" style="2" customWidth="1"/>
    <col min="12044" max="12045" width="0" style="2" hidden="1" customWidth="1"/>
    <col min="12046" max="12046" width="2.85546875" style="2" customWidth="1"/>
    <col min="12047" max="12047" width="3.28515625" style="2" customWidth="1"/>
    <col min="12048" max="12048" width="1.42578125" style="2" customWidth="1"/>
    <col min="12049" max="12049" width="0" style="2" hidden="1" customWidth="1"/>
    <col min="12050" max="12050" width="6.85546875" style="2" customWidth="1"/>
    <col min="12051" max="12051" width="0" style="2" hidden="1" customWidth="1"/>
    <col min="12052" max="12053" width="6.28515625" style="2" customWidth="1"/>
    <col min="12054" max="12054" width="13.85546875" style="2" customWidth="1"/>
    <col min="12055" max="12055" width="10.85546875" style="2" customWidth="1"/>
    <col min="12056" max="12056" width="14.140625" style="2" customWidth="1"/>
    <col min="12057" max="12057" width="0" style="2" hidden="1" customWidth="1"/>
    <col min="12058" max="12058" width="13" style="2" customWidth="1"/>
    <col min="12059" max="12059" width="12.7109375" style="2" customWidth="1"/>
    <col min="12060" max="12060" width="13.140625" style="2" customWidth="1"/>
    <col min="12061" max="12061" width="14" style="2" customWidth="1"/>
    <col min="12062" max="12062" width="8.140625" style="2" customWidth="1"/>
    <col min="12063" max="12063" width="11.42578125" style="2" customWidth="1"/>
    <col min="12064" max="12064" width="23.7109375" style="2" customWidth="1"/>
    <col min="12065" max="12065" width="12" style="2" customWidth="1"/>
    <col min="12066" max="12067" width="0.28515625" style="2" customWidth="1"/>
    <col min="12068" max="12068" width="1.42578125" style="2" customWidth="1"/>
    <col min="12069" max="12069" width="0" style="2" hidden="1" customWidth="1"/>
    <col min="12070" max="12288" width="11.42578125" style="2"/>
    <col min="12289" max="12289" width="8" style="2" customWidth="1"/>
    <col min="12290" max="12290" width="13.42578125" style="2" customWidth="1"/>
    <col min="12291" max="12291" width="4.28515625" style="2" customWidth="1"/>
    <col min="12292" max="12292" width="4" style="2" customWidth="1"/>
    <col min="12293" max="12293" width="15" style="2" customWidth="1"/>
    <col min="12294" max="12294" width="4.140625" style="2" customWidth="1"/>
    <col min="12295" max="12295" width="11.28515625" style="2" customWidth="1"/>
    <col min="12296" max="12296" width="11" style="2" customWidth="1"/>
    <col min="12297" max="12298" width="2.140625" style="2" customWidth="1"/>
    <col min="12299" max="12299" width="3.28515625" style="2" customWidth="1"/>
    <col min="12300" max="12301" width="0" style="2" hidden="1" customWidth="1"/>
    <col min="12302" max="12302" width="2.85546875" style="2" customWidth="1"/>
    <col min="12303" max="12303" width="3.28515625" style="2" customWidth="1"/>
    <col min="12304" max="12304" width="1.42578125" style="2" customWidth="1"/>
    <col min="12305" max="12305" width="0" style="2" hidden="1" customWidth="1"/>
    <col min="12306" max="12306" width="6.85546875" style="2" customWidth="1"/>
    <col min="12307" max="12307" width="0" style="2" hidden="1" customWidth="1"/>
    <col min="12308" max="12309" width="6.28515625" style="2" customWidth="1"/>
    <col min="12310" max="12310" width="13.85546875" style="2" customWidth="1"/>
    <col min="12311" max="12311" width="10.85546875" style="2" customWidth="1"/>
    <col min="12312" max="12312" width="14.140625" style="2" customWidth="1"/>
    <col min="12313" max="12313" width="0" style="2" hidden="1" customWidth="1"/>
    <col min="12314" max="12314" width="13" style="2" customWidth="1"/>
    <col min="12315" max="12315" width="12.7109375" style="2" customWidth="1"/>
    <col min="12316" max="12316" width="13.140625" style="2" customWidth="1"/>
    <col min="12317" max="12317" width="14" style="2" customWidth="1"/>
    <col min="12318" max="12318" width="8.140625" style="2" customWidth="1"/>
    <col min="12319" max="12319" width="11.42578125" style="2" customWidth="1"/>
    <col min="12320" max="12320" width="23.7109375" style="2" customWidth="1"/>
    <col min="12321" max="12321" width="12" style="2" customWidth="1"/>
    <col min="12322" max="12323" width="0.28515625" style="2" customWidth="1"/>
    <col min="12324" max="12324" width="1.42578125" style="2" customWidth="1"/>
    <col min="12325" max="12325" width="0" style="2" hidden="1" customWidth="1"/>
    <col min="12326" max="12544" width="11.42578125" style="2"/>
    <col min="12545" max="12545" width="8" style="2" customWidth="1"/>
    <col min="12546" max="12546" width="13.42578125" style="2" customWidth="1"/>
    <col min="12547" max="12547" width="4.28515625" style="2" customWidth="1"/>
    <col min="12548" max="12548" width="4" style="2" customWidth="1"/>
    <col min="12549" max="12549" width="15" style="2" customWidth="1"/>
    <col min="12550" max="12550" width="4.140625" style="2" customWidth="1"/>
    <col min="12551" max="12551" width="11.28515625" style="2" customWidth="1"/>
    <col min="12552" max="12552" width="11" style="2" customWidth="1"/>
    <col min="12553" max="12554" width="2.140625" style="2" customWidth="1"/>
    <col min="12555" max="12555" width="3.28515625" style="2" customWidth="1"/>
    <col min="12556" max="12557" width="0" style="2" hidden="1" customWidth="1"/>
    <col min="12558" max="12558" width="2.85546875" style="2" customWidth="1"/>
    <col min="12559" max="12559" width="3.28515625" style="2" customWidth="1"/>
    <col min="12560" max="12560" width="1.42578125" style="2" customWidth="1"/>
    <col min="12561" max="12561" width="0" style="2" hidden="1" customWidth="1"/>
    <col min="12562" max="12562" width="6.85546875" style="2" customWidth="1"/>
    <col min="12563" max="12563" width="0" style="2" hidden="1" customWidth="1"/>
    <col min="12564" max="12565" width="6.28515625" style="2" customWidth="1"/>
    <col min="12566" max="12566" width="13.85546875" style="2" customWidth="1"/>
    <col min="12567" max="12567" width="10.85546875" style="2" customWidth="1"/>
    <col min="12568" max="12568" width="14.140625" style="2" customWidth="1"/>
    <col min="12569" max="12569" width="0" style="2" hidden="1" customWidth="1"/>
    <col min="12570" max="12570" width="13" style="2" customWidth="1"/>
    <col min="12571" max="12571" width="12.7109375" style="2" customWidth="1"/>
    <col min="12572" max="12572" width="13.140625" style="2" customWidth="1"/>
    <col min="12573" max="12573" width="14" style="2" customWidth="1"/>
    <col min="12574" max="12574" width="8.140625" style="2" customWidth="1"/>
    <col min="12575" max="12575" width="11.42578125" style="2" customWidth="1"/>
    <col min="12576" max="12576" width="23.7109375" style="2" customWidth="1"/>
    <col min="12577" max="12577" width="12" style="2" customWidth="1"/>
    <col min="12578" max="12579" width="0.28515625" style="2" customWidth="1"/>
    <col min="12580" max="12580" width="1.42578125" style="2" customWidth="1"/>
    <col min="12581" max="12581" width="0" style="2" hidden="1" customWidth="1"/>
    <col min="12582" max="12800" width="11.42578125" style="2"/>
    <col min="12801" max="12801" width="8" style="2" customWidth="1"/>
    <col min="12802" max="12802" width="13.42578125" style="2" customWidth="1"/>
    <col min="12803" max="12803" width="4.28515625" style="2" customWidth="1"/>
    <col min="12804" max="12804" width="4" style="2" customWidth="1"/>
    <col min="12805" max="12805" width="15" style="2" customWidth="1"/>
    <col min="12806" max="12806" width="4.140625" style="2" customWidth="1"/>
    <col min="12807" max="12807" width="11.28515625" style="2" customWidth="1"/>
    <col min="12808" max="12808" width="11" style="2" customWidth="1"/>
    <col min="12809" max="12810" width="2.140625" style="2" customWidth="1"/>
    <col min="12811" max="12811" width="3.28515625" style="2" customWidth="1"/>
    <col min="12812" max="12813" width="0" style="2" hidden="1" customWidth="1"/>
    <col min="12814" max="12814" width="2.85546875" style="2" customWidth="1"/>
    <col min="12815" max="12815" width="3.28515625" style="2" customWidth="1"/>
    <col min="12816" max="12816" width="1.42578125" style="2" customWidth="1"/>
    <col min="12817" max="12817" width="0" style="2" hidden="1" customWidth="1"/>
    <col min="12818" max="12818" width="6.85546875" style="2" customWidth="1"/>
    <col min="12819" max="12819" width="0" style="2" hidden="1" customWidth="1"/>
    <col min="12820" max="12821" width="6.28515625" style="2" customWidth="1"/>
    <col min="12822" max="12822" width="13.85546875" style="2" customWidth="1"/>
    <col min="12823" max="12823" width="10.85546875" style="2" customWidth="1"/>
    <col min="12824" max="12824" width="14.140625" style="2" customWidth="1"/>
    <col min="12825" max="12825" width="0" style="2" hidden="1" customWidth="1"/>
    <col min="12826" max="12826" width="13" style="2" customWidth="1"/>
    <col min="12827" max="12827" width="12.7109375" style="2" customWidth="1"/>
    <col min="12828" max="12828" width="13.140625" style="2" customWidth="1"/>
    <col min="12829" max="12829" width="14" style="2" customWidth="1"/>
    <col min="12830" max="12830" width="8.140625" style="2" customWidth="1"/>
    <col min="12831" max="12831" width="11.42578125" style="2" customWidth="1"/>
    <col min="12832" max="12832" width="23.7109375" style="2" customWidth="1"/>
    <col min="12833" max="12833" width="12" style="2" customWidth="1"/>
    <col min="12834" max="12835" width="0.28515625" style="2" customWidth="1"/>
    <col min="12836" max="12836" width="1.42578125" style="2" customWidth="1"/>
    <col min="12837" max="12837" width="0" style="2" hidden="1" customWidth="1"/>
    <col min="12838" max="13056" width="11.42578125" style="2"/>
    <col min="13057" max="13057" width="8" style="2" customWidth="1"/>
    <col min="13058" max="13058" width="13.42578125" style="2" customWidth="1"/>
    <col min="13059" max="13059" width="4.28515625" style="2" customWidth="1"/>
    <col min="13060" max="13060" width="4" style="2" customWidth="1"/>
    <col min="13061" max="13061" width="15" style="2" customWidth="1"/>
    <col min="13062" max="13062" width="4.140625" style="2" customWidth="1"/>
    <col min="13063" max="13063" width="11.28515625" style="2" customWidth="1"/>
    <col min="13064" max="13064" width="11" style="2" customWidth="1"/>
    <col min="13065" max="13066" width="2.140625" style="2" customWidth="1"/>
    <col min="13067" max="13067" width="3.28515625" style="2" customWidth="1"/>
    <col min="13068" max="13069" width="0" style="2" hidden="1" customWidth="1"/>
    <col min="13070" max="13070" width="2.85546875" style="2" customWidth="1"/>
    <col min="13071" max="13071" width="3.28515625" style="2" customWidth="1"/>
    <col min="13072" max="13072" width="1.42578125" style="2" customWidth="1"/>
    <col min="13073" max="13073" width="0" style="2" hidden="1" customWidth="1"/>
    <col min="13074" max="13074" width="6.85546875" style="2" customWidth="1"/>
    <col min="13075" max="13075" width="0" style="2" hidden="1" customWidth="1"/>
    <col min="13076" max="13077" width="6.28515625" style="2" customWidth="1"/>
    <col min="13078" max="13078" width="13.85546875" style="2" customWidth="1"/>
    <col min="13079" max="13079" width="10.85546875" style="2" customWidth="1"/>
    <col min="13080" max="13080" width="14.140625" style="2" customWidth="1"/>
    <col min="13081" max="13081" width="0" style="2" hidden="1" customWidth="1"/>
    <col min="13082" max="13082" width="13" style="2" customWidth="1"/>
    <col min="13083" max="13083" width="12.7109375" style="2" customWidth="1"/>
    <col min="13084" max="13084" width="13.140625" style="2" customWidth="1"/>
    <col min="13085" max="13085" width="14" style="2" customWidth="1"/>
    <col min="13086" max="13086" width="8.140625" style="2" customWidth="1"/>
    <col min="13087" max="13087" width="11.42578125" style="2" customWidth="1"/>
    <col min="13088" max="13088" width="23.7109375" style="2" customWidth="1"/>
    <col min="13089" max="13089" width="12" style="2" customWidth="1"/>
    <col min="13090" max="13091" width="0.28515625" style="2" customWidth="1"/>
    <col min="13092" max="13092" width="1.42578125" style="2" customWidth="1"/>
    <col min="13093" max="13093" width="0" style="2" hidden="1" customWidth="1"/>
    <col min="13094" max="13312" width="11.42578125" style="2"/>
    <col min="13313" max="13313" width="8" style="2" customWidth="1"/>
    <col min="13314" max="13314" width="13.42578125" style="2" customWidth="1"/>
    <col min="13315" max="13315" width="4.28515625" style="2" customWidth="1"/>
    <col min="13316" max="13316" width="4" style="2" customWidth="1"/>
    <col min="13317" max="13317" width="15" style="2" customWidth="1"/>
    <col min="13318" max="13318" width="4.140625" style="2" customWidth="1"/>
    <col min="13319" max="13319" width="11.28515625" style="2" customWidth="1"/>
    <col min="13320" max="13320" width="11" style="2" customWidth="1"/>
    <col min="13321" max="13322" width="2.140625" style="2" customWidth="1"/>
    <col min="13323" max="13323" width="3.28515625" style="2" customWidth="1"/>
    <col min="13324" max="13325" width="0" style="2" hidden="1" customWidth="1"/>
    <col min="13326" max="13326" width="2.85546875" style="2" customWidth="1"/>
    <col min="13327" max="13327" width="3.28515625" style="2" customWidth="1"/>
    <col min="13328" max="13328" width="1.42578125" style="2" customWidth="1"/>
    <col min="13329" max="13329" width="0" style="2" hidden="1" customWidth="1"/>
    <col min="13330" max="13330" width="6.85546875" style="2" customWidth="1"/>
    <col min="13331" max="13331" width="0" style="2" hidden="1" customWidth="1"/>
    <col min="13332" max="13333" width="6.28515625" style="2" customWidth="1"/>
    <col min="13334" max="13334" width="13.85546875" style="2" customWidth="1"/>
    <col min="13335" max="13335" width="10.85546875" style="2" customWidth="1"/>
    <col min="13336" max="13336" width="14.140625" style="2" customWidth="1"/>
    <col min="13337" max="13337" width="0" style="2" hidden="1" customWidth="1"/>
    <col min="13338" max="13338" width="13" style="2" customWidth="1"/>
    <col min="13339" max="13339" width="12.7109375" style="2" customWidth="1"/>
    <col min="13340" max="13340" width="13.140625" style="2" customWidth="1"/>
    <col min="13341" max="13341" width="14" style="2" customWidth="1"/>
    <col min="13342" max="13342" width="8.140625" style="2" customWidth="1"/>
    <col min="13343" max="13343" width="11.42578125" style="2" customWidth="1"/>
    <col min="13344" max="13344" width="23.7109375" style="2" customWidth="1"/>
    <col min="13345" max="13345" width="12" style="2" customWidth="1"/>
    <col min="13346" max="13347" width="0.28515625" style="2" customWidth="1"/>
    <col min="13348" max="13348" width="1.42578125" style="2" customWidth="1"/>
    <col min="13349" max="13349" width="0" style="2" hidden="1" customWidth="1"/>
    <col min="13350" max="13568" width="11.42578125" style="2"/>
    <col min="13569" max="13569" width="8" style="2" customWidth="1"/>
    <col min="13570" max="13570" width="13.42578125" style="2" customWidth="1"/>
    <col min="13571" max="13571" width="4.28515625" style="2" customWidth="1"/>
    <col min="13572" max="13572" width="4" style="2" customWidth="1"/>
    <col min="13573" max="13573" width="15" style="2" customWidth="1"/>
    <col min="13574" max="13574" width="4.140625" style="2" customWidth="1"/>
    <col min="13575" max="13575" width="11.28515625" style="2" customWidth="1"/>
    <col min="13576" max="13576" width="11" style="2" customWidth="1"/>
    <col min="13577" max="13578" width="2.140625" style="2" customWidth="1"/>
    <col min="13579" max="13579" width="3.28515625" style="2" customWidth="1"/>
    <col min="13580" max="13581" width="0" style="2" hidden="1" customWidth="1"/>
    <col min="13582" max="13582" width="2.85546875" style="2" customWidth="1"/>
    <col min="13583" max="13583" width="3.28515625" style="2" customWidth="1"/>
    <col min="13584" max="13584" width="1.42578125" style="2" customWidth="1"/>
    <col min="13585" max="13585" width="0" style="2" hidden="1" customWidth="1"/>
    <col min="13586" max="13586" width="6.85546875" style="2" customWidth="1"/>
    <col min="13587" max="13587" width="0" style="2" hidden="1" customWidth="1"/>
    <col min="13588" max="13589" width="6.28515625" style="2" customWidth="1"/>
    <col min="13590" max="13590" width="13.85546875" style="2" customWidth="1"/>
    <col min="13591" max="13591" width="10.85546875" style="2" customWidth="1"/>
    <col min="13592" max="13592" width="14.140625" style="2" customWidth="1"/>
    <col min="13593" max="13593" width="0" style="2" hidden="1" customWidth="1"/>
    <col min="13594" max="13594" width="13" style="2" customWidth="1"/>
    <col min="13595" max="13595" width="12.7109375" style="2" customWidth="1"/>
    <col min="13596" max="13596" width="13.140625" style="2" customWidth="1"/>
    <col min="13597" max="13597" width="14" style="2" customWidth="1"/>
    <col min="13598" max="13598" width="8.140625" style="2" customWidth="1"/>
    <col min="13599" max="13599" width="11.42578125" style="2" customWidth="1"/>
    <col min="13600" max="13600" width="23.7109375" style="2" customWidth="1"/>
    <col min="13601" max="13601" width="12" style="2" customWidth="1"/>
    <col min="13602" max="13603" width="0.28515625" style="2" customWidth="1"/>
    <col min="13604" max="13604" width="1.42578125" style="2" customWidth="1"/>
    <col min="13605" max="13605" width="0" style="2" hidden="1" customWidth="1"/>
    <col min="13606" max="13824" width="11.42578125" style="2"/>
    <col min="13825" max="13825" width="8" style="2" customWidth="1"/>
    <col min="13826" max="13826" width="13.42578125" style="2" customWidth="1"/>
    <col min="13827" max="13827" width="4.28515625" style="2" customWidth="1"/>
    <col min="13828" max="13828" width="4" style="2" customWidth="1"/>
    <col min="13829" max="13829" width="15" style="2" customWidth="1"/>
    <col min="13830" max="13830" width="4.140625" style="2" customWidth="1"/>
    <col min="13831" max="13831" width="11.28515625" style="2" customWidth="1"/>
    <col min="13832" max="13832" width="11" style="2" customWidth="1"/>
    <col min="13833" max="13834" width="2.140625" style="2" customWidth="1"/>
    <col min="13835" max="13835" width="3.28515625" style="2" customWidth="1"/>
    <col min="13836" max="13837" width="0" style="2" hidden="1" customWidth="1"/>
    <col min="13838" max="13838" width="2.85546875" style="2" customWidth="1"/>
    <col min="13839" max="13839" width="3.28515625" style="2" customWidth="1"/>
    <col min="13840" max="13840" width="1.42578125" style="2" customWidth="1"/>
    <col min="13841" max="13841" width="0" style="2" hidden="1" customWidth="1"/>
    <col min="13842" max="13842" width="6.85546875" style="2" customWidth="1"/>
    <col min="13843" max="13843" width="0" style="2" hidden="1" customWidth="1"/>
    <col min="13844" max="13845" width="6.28515625" style="2" customWidth="1"/>
    <col min="13846" max="13846" width="13.85546875" style="2" customWidth="1"/>
    <col min="13847" max="13847" width="10.85546875" style="2" customWidth="1"/>
    <col min="13848" max="13848" width="14.140625" style="2" customWidth="1"/>
    <col min="13849" max="13849" width="0" style="2" hidden="1" customWidth="1"/>
    <col min="13850" max="13850" width="13" style="2" customWidth="1"/>
    <col min="13851" max="13851" width="12.7109375" style="2" customWidth="1"/>
    <col min="13852" max="13852" width="13.140625" style="2" customWidth="1"/>
    <col min="13853" max="13853" width="14" style="2" customWidth="1"/>
    <col min="13854" max="13854" width="8.140625" style="2" customWidth="1"/>
    <col min="13855" max="13855" width="11.42578125" style="2" customWidth="1"/>
    <col min="13856" max="13856" width="23.7109375" style="2" customWidth="1"/>
    <col min="13857" max="13857" width="12" style="2" customWidth="1"/>
    <col min="13858" max="13859" width="0.28515625" style="2" customWidth="1"/>
    <col min="13860" max="13860" width="1.42578125" style="2" customWidth="1"/>
    <col min="13861" max="13861" width="0" style="2" hidden="1" customWidth="1"/>
    <col min="13862" max="14080" width="11.42578125" style="2"/>
    <col min="14081" max="14081" width="8" style="2" customWidth="1"/>
    <col min="14082" max="14082" width="13.42578125" style="2" customWidth="1"/>
    <col min="14083" max="14083" width="4.28515625" style="2" customWidth="1"/>
    <col min="14084" max="14084" width="4" style="2" customWidth="1"/>
    <col min="14085" max="14085" width="15" style="2" customWidth="1"/>
    <col min="14086" max="14086" width="4.140625" style="2" customWidth="1"/>
    <col min="14087" max="14087" width="11.28515625" style="2" customWidth="1"/>
    <col min="14088" max="14088" width="11" style="2" customWidth="1"/>
    <col min="14089" max="14090" width="2.140625" style="2" customWidth="1"/>
    <col min="14091" max="14091" width="3.28515625" style="2" customWidth="1"/>
    <col min="14092" max="14093" width="0" style="2" hidden="1" customWidth="1"/>
    <col min="14094" max="14094" width="2.85546875" style="2" customWidth="1"/>
    <col min="14095" max="14095" width="3.28515625" style="2" customWidth="1"/>
    <col min="14096" max="14096" width="1.42578125" style="2" customWidth="1"/>
    <col min="14097" max="14097" width="0" style="2" hidden="1" customWidth="1"/>
    <col min="14098" max="14098" width="6.85546875" style="2" customWidth="1"/>
    <col min="14099" max="14099" width="0" style="2" hidden="1" customWidth="1"/>
    <col min="14100" max="14101" width="6.28515625" style="2" customWidth="1"/>
    <col min="14102" max="14102" width="13.85546875" style="2" customWidth="1"/>
    <col min="14103" max="14103" width="10.85546875" style="2" customWidth="1"/>
    <col min="14104" max="14104" width="14.140625" style="2" customWidth="1"/>
    <col min="14105" max="14105" width="0" style="2" hidden="1" customWidth="1"/>
    <col min="14106" max="14106" width="13" style="2" customWidth="1"/>
    <col min="14107" max="14107" width="12.7109375" style="2" customWidth="1"/>
    <col min="14108" max="14108" width="13.140625" style="2" customWidth="1"/>
    <col min="14109" max="14109" width="14" style="2" customWidth="1"/>
    <col min="14110" max="14110" width="8.140625" style="2" customWidth="1"/>
    <col min="14111" max="14111" width="11.42578125" style="2" customWidth="1"/>
    <col min="14112" max="14112" width="23.7109375" style="2" customWidth="1"/>
    <col min="14113" max="14113" width="12" style="2" customWidth="1"/>
    <col min="14114" max="14115" width="0.28515625" style="2" customWidth="1"/>
    <col min="14116" max="14116" width="1.42578125" style="2" customWidth="1"/>
    <col min="14117" max="14117" width="0" style="2" hidden="1" customWidth="1"/>
    <col min="14118" max="14336" width="11.42578125" style="2"/>
    <col min="14337" max="14337" width="8" style="2" customWidth="1"/>
    <col min="14338" max="14338" width="13.42578125" style="2" customWidth="1"/>
    <col min="14339" max="14339" width="4.28515625" style="2" customWidth="1"/>
    <col min="14340" max="14340" width="4" style="2" customWidth="1"/>
    <col min="14341" max="14341" width="15" style="2" customWidth="1"/>
    <col min="14342" max="14342" width="4.140625" style="2" customWidth="1"/>
    <col min="14343" max="14343" width="11.28515625" style="2" customWidth="1"/>
    <col min="14344" max="14344" width="11" style="2" customWidth="1"/>
    <col min="14345" max="14346" width="2.140625" style="2" customWidth="1"/>
    <col min="14347" max="14347" width="3.28515625" style="2" customWidth="1"/>
    <col min="14348" max="14349" width="0" style="2" hidden="1" customWidth="1"/>
    <col min="14350" max="14350" width="2.85546875" style="2" customWidth="1"/>
    <col min="14351" max="14351" width="3.28515625" style="2" customWidth="1"/>
    <col min="14352" max="14352" width="1.42578125" style="2" customWidth="1"/>
    <col min="14353" max="14353" width="0" style="2" hidden="1" customWidth="1"/>
    <col min="14354" max="14354" width="6.85546875" style="2" customWidth="1"/>
    <col min="14355" max="14355" width="0" style="2" hidden="1" customWidth="1"/>
    <col min="14356" max="14357" width="6.28515625" style="2" customWidth="1"/>
    <col min="14358" max="14358" width="13.85546875" style="2" customWidth="1"/>
    <col min="14359" max="14359" width="10.85546875" style="2" customWidth="1"/>
    <col min="14360" max="14360" width="14.140625" style="2" customWidth="1"/>
    <col min="14361" max="14361" width="0" style="2" hidden="1" customWidth="1"/>
    <col min="14362" max="14362" width="13" style="2" customWidth="1"/>
    <col min="14363" max="14363" width="12.7109375" style="2" customWidth="1"/>
    <col min="14364" max="14364" width="13.140625" style="2" customWidth="1"/>
    <col min="14365" max="14365" width="14" style="2" customWidth="1"/>
    <col min="14366" max="14366" width="8.140625" style="2" customWidth="1"/>
    <col min="14367" max="14367" width="11.42578125" style="2" customWidth="1"/>
    <col min="14368" max="14368" width="23.7109375" style="2" customWidth="1"/>
    <col min="14369" max="14369" width="12" style="2" customWidth="1"/>
    <col min="14370" max="14371" width="0.28515625" style="2" customWidth="1"/>
    <col min="14372" max="14372" width="1.42578125" style="2" customWidth="1"/>
    <col min="14373" max="14373" width="0" style="2" hidden="1" customWidth="1"/>
    <col min="14374" max="14592" width="11.42578125" style="2"/>
    <col min="14593" max="14593" width="8" style="2" customWidth="1"/>
    <col min="14594" max="14594" width="13.42578125" style="2" customWidth="1"/>
    <col min="14595" max="14595" width="4.28515625" style="2" customWidth="1"/>
    <col min="14596" max="14596" width="4" style="2" customWidth="1"/>
    <col min="14597" max="14597" width="15" style="2" customWidth="1"/>
    <col min="14598" max="14598" width="4.140625" style="2" customWidth="1"/>
    <col min="14599" max="14599" width="11.28515625" style="2" customWidth="1"/>
    <col min="14600" max="14600" width="11" style="2" customWidth="1"/>
    <col min="14601" max="14602" width="2.140625" style="2" customWidth="1"/>
    <col min="14603" max="14603" width="3.28515625" style="2" customWidth="1"/>
    <col min="14604" max="14605" width="0" style="2" hidden="1" customWidth="1"/>
    <col min="14606" max="14606" width="2.85546875" style="2" customWidth="1"/>
    <col min="14607" max="14607" width="3.28515625" style="2" customWidth="1"/>
    <col min="14608" max="14608" width="1.42578125" style="2" customWidth="1"/>
    <col min="14609" max="14609" width="0" style="2" hidden="1" customWidth="1"/>
    <col min="14610" max="14610" width="6.85546875" style="2" customWidth="1"/>
    <col min="14611" max="14611" width="0" style="2" hidden="1" customWidth="1"/>
    <col min="14612" max="14613" width="6.28515625" style="2" customWidth="1"/>
    <col min="14614" max="14614" width="13.85546875" style="2" customWidth="1"/>
    <col min="14615" max="14615" width="10.85546875" style="2" customWidth="1"/>
    <col min="14616" max="14616" width="14.140625" style="2" customWidth="1"/>
    <col min="14617" max="14617" width="0" style="2" hidden="1" customWidth="1"/>
    <col min="14618" max="14618" width="13" style="2" customWidth="1"/>
    <col min="14619" max="14619" width="12.7109375" style="2" customWidth="1"/>
    <col min="14620" max="14620" width="13.140625" style="2" customWidth="1"/>
    <col min="14621" max="14621" width="14" style="2" customWidth="1"/>
    <col min="14622" max="14622" width="8.140625" style="2" customWidth="1"/>
    <col min="14623" max="14623" width="11.42578125" style="2" customWidth="1"/>
    <col min="14624" max="14624" width="23.7109375" style="2" customWidth="1"/>
    <col min="14625" max="14625" width="12" style="2" customWidth="1"/>
    <col min="14626" max="14627" width="0.28515625" style="2" customWidth="1"/>
    <col min="14628" max="14628" width="1.42578125" style="2" customWidth="1"/>
    <col min="14629" max="14629" width="0" style="2" hidden="1" customWidth="1"/>
    <col min="14630" max="14848" width="11.42578125" style="2"/>
    <col min="14849" max="14849" width="8" style="2" customWidth="1"/>
    <col min="14850" max="14850" width="13.42578125" style="2" customWidth="1"/>
    <col min="14851" max="14851" width="4.28515625" style="2" customWidth="1"/>
    <col min="14852" max="14852" width="4" style="2" customWidth="1"/>
    <col min="14853" max="14853" width="15" style="2" customWidth="1"/>
    <col min="14854" max="14854" width="4.140625" style="2" customWidth="1"/>
    <col min="14855" max="14855" width="11.28515625" style="2" customWidth="1"/>
    <col min="14856" max="14856" width="11" style="2" customWidth="1"/>
    <col min="14857" max="14858" width="2.140625" style="2" customWidth="1"/>
    <col min="14859" max="14859" width="3.28515625" style="2" customWidth="1"/>
    <col min="14860" max="14861" width="0" style="2" hidden="1" customWidth="1"/>
    <col min="14862" max="14862" width="2.85546875" style="2" customWidth="1"/>
    <col min="14863" max="14863" width="3.28515625" style="2" customWidth="1"/>
    <col min="14864" max="14864" width="1.42578125" style="2" customWidth="1"/>
    <col min="14865" max="14865" width="0" style="2" hidden="1" customWidth="1"/>
    <col min="14866" max="14866" width="6.85546875" style="2" customWidth="1"/>
    <col min="14867" max="14867" width="0" style="2" hidden="1" customWidth="1"/>
    <col min="14868" max="14869" width="6.28515625" style="2" customWidth="1"/>
    <col min="14870" max="14870" width="13.85546875" style="2" customWidth="1"/>
    <col min="14871" max="14871" width="10.85546875" style="2" customWidth="1"/>
    <col min="14872" max="14872" width="14.140625" style="2" customWidth="1"/>
    <col min="14873" max="14873" width="0" style="2" hidden="1" customWidth="1"/>
    <col min="14874" max="14874" width="13" style="2" customWidth="1"/>
    <col min="14875" max="14875" width="12.7109375" style="2" customWidth="1"/>
    <col min="14876" max="14876" width="13.140625" style="2" customWidth="1"/>
    <col min="14877" max="14877" width="14" style="2" customWidth="1"/>
    <col min="14878" max="14878" width="8.140625" style="2" customWidth="1"/>
    <col min="14879" max="14879" width="11.42578125" style="2" customWidth="1"/>
    <col min="14880" max="14880" width="23.7109375" style="2" customWidth="1"/>
    <col min="14881" max="14881" width="12" style="2" customWidth="1"/>
    <col min="14882" max="14883" width="0.28515625" style="2" customWidth="1"/>
    <col min="14884" max="14884" width="1.42578125" style="2" customWidth="1"/>
    <col min="14885" max="14885" width="0" style="2" hidden="1" customWidth="1"/>
    <col min="14886" max="15104" width="11.42578125" style="2"/>
    <col min="15105" max="15105" width="8" style="2" customWidth="1"/>
    <col min="15106" max="15106" width="13.42578125" style="2" customWidth="1"/>
    <col min="15107" max="15107" width="4.28515625" style="2" customWidth="1"/>
    <col min="15108" max="15108" width="4" style="2" customWidth="1"/>
    <col min="15109" max="15109" width="15" style="2" customWidth="1"/>
    <col min="15110" max="15110" width="4.140625" style="2" customWidth="1"/>
    <col min="15111" max="15111" width="11.28515625" style="2" customWidth="1"/>
    <col min="15112" max="15112" width="11" style="2" customWidth="1"/>
    <col min="15113" max="15114" width="2.140625" style="2" customWidth="1"/>
    <col min="15115" max="15115" width="3.28515625" style="2" customWidth="1"/>
    <col min="15116" max="15117" width="0" style="2" hidden="1" customWidth="1"/>
    <col min="15118" max="15118" width="2.85546875" style="2" customWidth="1"/>
    <col min="15119" max="15119" width="3.28515625" style="2" customWidth="1"/>
    <col min="15120" max="15120" width="1.42578125" style="2" customWidth="1"/>
    <col min="15121" max="15121" width="0" style="2" hidden="1" customWidth="1"/>
    <col min="15122" max="15122" width="6.85546875" style="2" customWidth="1"/>
    <col min="15123" max="15123" width="0" style="2" hidden="1" customWidth="1"/>
    <col min="15124" max="15125" width="6.28515625" style="2" customWidth="1"/>
    <col min="15126" max="15126" width="13.85546875" style="2" customWidth="1"/>
    <col min="15127" max="15127" width="10.85546875" style="2" customWidth="1"/>
    <col min="15128" max="15128" width="14.140625" style="2" customWidth="1"/>
    <col min="15129" max="15129" width="0" style="2" hidden="1" customWidth="1"/>
    <col min="15130" max="15130" width="13" style="2" customWidth="1"/>
    <col min="15131" max="15131" width="12.7109375" style="2" customWidth="1"/>
    <col min="15132" max="15132" width="13.140625" style="2" customWidth="1"/>
    <col min="15133" max="15133" width="14" style="2" customWidth="1"/>
    <col min="15134" max="15134" width="8.140625" style="2" customWidth="1"/>
    <col min="15135" max="15135" width="11.42578125" style="2" customWidth="1"/>
    <col min="15136" max="15136" width="23.7109375" style="2" customWidth="1"/>
    <col min="15137" max="15137" width="12" style="2" customWidth="1"/>
    <col min="15138" max="15139" width="0.28515625" style="2" customWidth="1"/>
    <col min="15140" max="15140" width="1.42578125" style="2" customWidth="1"/>
    <col min="15141" max="15141" width="0" style="2" hidden="1" customWidth="1"/>
    <col min="15142" max="15360" width="11.42578125" style="2"/>
    <col min="15361" max="15361" width="8" style="2" customWidth="1"/>
    <col min="15362" max="15362" width="13.42578125" style="2" customWidth="1"/>
    <col min="15363" max="15363" width="4.28515625" style="2" customWidth="1"/>
    <col min="15364" max="15364" width="4" style="2" customWidth="1"/>
    <col min="15365" max="15365" width="15" style="2" customWidth="1"/>
    <col min="15366" max="15366" width="4.140625" style="2" customWidth="1"/>
    <col min="15367" max="15367" width="11.28515625" style="2" customWidth="1"/>
    <col min="15368" max="15368" width="11" style="2" customWidth="1"/>
    <col min="15369" max="15370" width="2.140625" style="2" customWidth="1"/>
    <col min="15371" max="15371" width="3.28515625" style="2" customWidth="1"/>
    <col min="15372" max="15373" width="0" style="2" hidden="1" customWidth="1"/>
    <col min="15374" max="15374" width="2.85546875" style="2" customWidth="1"/>
    <col min="15375" max="15375" width="3.28515625" style="2" customWidth="1"/>
    <col min="15376" max="15376" width="1.42578125" style="2" customWidth="1"/>
    <col min="15377" max="15377" width="0" style="2" hidden="1" customWidth="1"/>
    <col min="15378" max="15378" width="6.85546875" style="2" customWidth="1"/>
    <col min="15379" max="15379" width="0" style="2" hidden="1" customWidth="1"/>
    <col min="15380" max="15381" width="6.28515625" style="2" customWidth="1"/>
    <col min="15382" max="15382" width="13.85546875" style="2" customWidth="1"/>
    <col min="15383" max="15383" width="10.85546875" style="2" customWidth="1"/>
    <col min="15384" max="15384" width="14.140625" style="2" customWidth="1"/>
    <col min="15385" max="15385" width="0" style="2" hidden="1" customWidth="1"/>
    <col min="15386" max="15386" width="13" style="2" customWidth="1"/>
    <col min="15387" max="15387" width="12.7109375" style="2" customWidth="1"/>
    <col min="15388" max="15388" width="13.140625" style="2" customWidth="1"/>
    <col min="15389" max="15389" width="14" style="2" customWidth="1"/>
    <col min="15390" max="15390" width="8.140625" style="2" customWidth="1"/>
    <col min="15391" max="15391" width="11.42578125" style="2" customWidth="1"/>
    <col min="15392" max="15392" width="23.7109375" style="2" customWidth="1"/>
    <col min="15393" max="15393" width="12" style="2" customWidth="1"/>
    <col min="15394" max="15395" width="0.28515625" style="2" customWidth="1"/>
    <col min="15396" max="15396" width="1.42578125" style="2" customWidth="1"/>
    <col min="15397" max="15397" width="0" style="2" hidden="1" customWidth="1"/>
    <col min="15398" max="15616" width="11.42578125" style="2"/>
    <col min="15617" max="15617" width="8" style="2" customWidth="1"/>
    <col min="15618" max="15618" width="13.42578125" style="2" customWidth="1"/>
    <col min="15619" max="15619" width="4.28515625" style="2" customWidth="1"/>
    <col min="15620" max="15620" width="4" style="2" customWidth="1"/>
    <col min="15621" max="15621" width="15" style="2" customWidth="1"/>
    <col min="15622" max="15622" width="4.140625" style="2" customWidth="1"/>
    <col min="15623" max="15623" width="11.28515625" style="2" customWidth="1"/>
    <col min="15624" max="15624" width="11" style="2" customWidth="1"/>
    <col min="15625" max="15626" width="2.140625" style="2" customWidth="1"/>
    <col min="15627" max="15627" width="3.28515625" style="2" customWidth="1"/>
    <col min="15628" max="15629" width="0" style="2" hidden="1" customWidth="1"/>
    <col min="15630" max="15630" width="2.85546875" style="2" customWidth="1"/>
    <col min="15631" max="15631" width="3.28515625" style="2" customWidth="1"/>
    <col min="15632" max="15632" width="1.42578125" style="2" customWidth="1"/>
    <col min="15633" max="15633" width="0" style="2" hidden="1" customWidth="1"/>
    <col min="15634" max="15634" width="6.85546875" style="2" customWidth="1"/>
    <col min="15635" max="15635" width="0" style="2" hidden="1" customWidth="1"/>
    <col min="15636" max="15637" width="6.28515625" style="2" customWidth="1"/>
    <col min="15638" max="15638" width="13.85546875" style="2" customWidth="1"/>
    <col min="15639" max="15639" width="10.85546875" style="2" customWidth="1"/>
    <col min="15640" max="15640" width="14.140625" style="2" customWidth="1"/>
    <col min="15641" max="15641" width="0" style="2" hidden="1" customWidth="1"/>
    <col min="15642" max="15642" width="13" style="2" customWidth="1"/>
    <col min="15643" max="15643" width="12.7109375" style="2" customWidth="1"/>
    <col min="15644" max="15644" width="13.140625" style="2" customWidth="1"/>
    <col min="15645" max="15645" width="14" style="2" customWidth="1"/>
    <col min="15646" max="15646" width="8.140625" style="2" customWidth="1"/>
    <col min="15647" max="15647" width="11.42578125" style="2" customWidth="1"/>
    <col min="15648" max="15648" width="23.7109375" style="2" customWidth="1"/>
    <col min="15649" max="15649" width="12" style="2" customWidth="1"/>
    <col min="15650" max="15651" width="0.28515625" style="2" customWidth="1"/>
    <col min="15652" max="15652" width="1.42578125" style="2" customWidth="1"/>
    <col min="15653" max="15653" width="0" style="2" hidden="1" customWidth="1"/>
    <col min="15654" max="15872" width="11.42578125" style="2"/>
    <col min="15873" max="15873" width="8" style="2" customWidth="1"/>
    <col min="15874" max="15874" width="13.42578125" style="2" customWidth="1"/>
    <col min="15875" max="15875" width="4.28515625" style="2" customWidth="1"/>
    <col min="15876" max="15876" width="4" style="2" customWidth="1"/>
    <col min="15877" max="15877" width="15" style="2" customWidth="1"/>
    <col min="15878" max="15878" width="4.140625" style="2" customWidth="1"/>
    <col min="15879" max="15879" width="11.28515625" style="2" customWidth="1"/>
    <col min="15880" max="15880" width="11" style="2" customWidth="1"/>
    <col min="15881" max="15882" width="2.140625" style="2" customWidth="1"/>
    <col min="15883" max="15883" width="3.28515625" style="2" customWidth="1"/>
    <col min="15884" max="15885" width="0" style="2" hidden="1" customWidth="1"/>
    <col min="15886" max="15886" width="2.85546875" style="2" customWidth="1"/>
    <col min="15887" max="15887" width="3.28515625" style="2" customWidth="1"/>
    <col min="15888" max="15888" width="1.42578125" style="2" customWidth="1"/>
    <col min="15889" max="15889" width="0" style="2" hidden="1" customWidth="1"/>
    <col min="15890" max="15890" width="6.85546875" style="2" customWidth="1"/>
    <col min="15891" max="15891" width="0" style="2" hidden="1" customWidth="1"/>
    <col min="15892" max="15893" width="6.28515625" style="2" customWidth="1"/>
    <col min="15894" max="15894" width="13.85546875" style="2" customWidth="1"/>
    <col min="15895" max="15895" width="10.85546875" style="2" customWidth="1"/>
    <col min="15896" max="15896" width="14.140625" style="2" customWidth="1"/>
    <col min="15897" max="15897" width="0" style="2" hidden="1" customWidth="1"/>
    <col min="15898" max="15898" width="13" style="2" customWidth="1"/>
    <col min="15899" max="15899" width="12.7109375" style="2" customWidth="1"/>
    <col min="15900" max="15900" width="13.140625" style="2" customWidth="1"/>
    <col min="15901" max="15901" width="14" style="2" customWidth="1"/>
    <col min="15902" max="15902" width="8.140625" style="2" customWidth="1"/>
    <col min="15903" max="15903" width="11.42578125" style="2" customWidth="1"/>
    <col min="15904" max="15904" width="23.7109375" style="2" customWidth="1"/>
    <col min="15905" max="15905" width="12" style="2" customWidth="1"/>
    <col min="15906" max="15907" width="0.28515625" style="2" customWidth="1"/>
    <col min="15908" max="15908" width="1.42578125" style="2" customWidth="1"/>
    <col min="15909" max="15909" width="0" style="2" hidden="1" customWidth="1"/>
    <col min="15910" max="16128" width="11.42578125" style="2"/>
    <col min="16129" max="16129" width="8" style="2" customWidth="1"/>
    <col min="16130" max="16130" width="13.42578125" style="2" customWidth="1"/>
    <col min="16131" max="16131" width="4.28515625" style="2" customWidth="1"/>
    <col min="16132" max="16132" width="4" style="2" customWidth="1"/>
    <col min="16133" max="16133" width="15" style="2" customWidth="1"/>
    <col min="16134" max="16134" width="4.140625" style="2" customWidth="1"/>
    <col min="16135" max="16135" width="11.28515625" style="2" customWidth="1"/>
    <col min="16136" max="16136" width="11" style="2" customWidth="1"/>
    <col min="16137" max="16138" width="2.140625" style="2" customWidth="1"/>
    <col min="16139" max="16139" width="3.28515625" style="2" customWidth="1"/>
    <col min="16140" max="16141" width="0" style="2" hidden="1" customWidth="1"/>
    <col min="16142" max="16142" width="2.85546875" style="2" customWidth="1"/>
    <col min="16143" max="16143" width="3.28515625" style="2" customWidth="1"/>
    <col min="16144" max="16144" width="1.42578125" style="2" customWidth="1"/>
    <col min="16145" max="16145" width="0" style="2" hidden="1" customWidth="1"/>
    <col min="16146" max="16146" width="6.85546875" style="2" customWidth="1"/>
    <col min="16147" max="16147" width="0" style="2" hidden="1" customWidth="1"/>
    <col min="16148" max="16149" width="6.28515625" style="2" customWidth="1"/>
    <col min="16150" max="16150" width="13.85546875" style="2" customWidth="1"/>
    <col min="16151" max="16151" width="10.85546875" style="2" customWidth="1"/>
    <col min="16152" max="16152" width="14.140625" style="2" customWidth="1"/>
    <col min="16153" max="16153" width="0" style="2" hidden="1" customWidth="1"/>
    <col min="16154" max="16154" width="13" style="2" customWidth="1"/>
    <col min="16155" max="16155" width="12.7109375" style="2" customWidth="1"/>
    <col min="16156" max="16156" width="13.140625" style="2" customWidth="1"/>
    <col min="16157" max="16157" width="14" style="2" customWidth="1"/>
    <col min="16158" max="16158" width="8.140625" style="2" customWidth="1"/>
    <col min="16159" max="16159" width="11.42578125" style="2" customWidth="1"/>
    <col min="16160" max="16160" width="23.7109375" style="2" customWidth="1"/>
    <col min="16161" max="16161" width="12" style="2" customWidth="1"/>
    <col min="16162" max="16163" width="0.28515625" style="2" customWidth="1"/>
    <col min="16164" max="16164" width="1.42578125" style="2" customWidth="1"/>
    <col min="16165" max="16165" width="0" style="2" hidden="1" customWidth="1"/>
    <col min="16166" max="16384" width="11.42578125" style="2"/>
  </cols>
  <sheetData>
    <row r="1" spans="1:35" ht="45" customHeight="1">
      <c r="A1" s="600"/>
      <c r="B1" s="600"/>
      <c r="C1" s="601" t="s">
        <v>0</v>
      </c>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2" t="s">
        <v>95</v>
      </c>
      <c r="AH1" s="3" t="s">
        <v>17</v>
      </c>
      <c r="AI1" s="6" t="s">
        <v>23</v>
      </c>
    </row>
    <row r="2" spans="1:35" ht="45" customHeight="1">
      <c r="A2" s="600"/>
      <c r="B2" s="600"/>
      <c r="C2" s="603" t="s">
        <v>37</v>
      </c>
      <c r="D2" s="603"/>
      <c r="E2" s="603"/>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2"/>
      <c r="AH2" s="2" t="s">
        <v>18</v>
      </c>
      <c r="AI2" s="7" t="s">
        <v>24</v>
      </c>
    </row>
    <row r="3" spans="1:35"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H3" s="3" t="s">
        <v>16</v>
      </c>
      <c r="AI3" s="6" t="s">
        <v>25</v>
      </c>
    </row>
    <row r="4" spans="1:35" ht="30.75" customHeight="1">
      <c r="A4" s="597" t="s">
        <v>5</v>
      </c>
      <c r="B4" s="597"/>
      <c r="C4" s="597"/>
      <c r="D4" s="597"/>
      <c r="E4" s="598" t="s">
        <v>687</v>
      </c>
      <c r="F4" s="598"/>
      <c r="G4" s="598"/>
      <c r="H4" s="598"/>
      <c r="I4" s="598"/>
      <c r="J4" s="598"/>
      <c r="K4" s="598"/>
      <c r="L4" s="598"/>
      <c r="M4" s="598"/>
      <c r="N4" s="598"/>
      <c r="O4" s="598"/>
      <c r="P4" s="598"/>
      <c r="Q4" s="598"/>
      <c r="R4" s="598"/>
      <c r="S4" s="598"/>
      <c r="T4" s="598"/>
      <c r="U4" s="598"/>
      <c r="V4" s="599" t="s">
        <v>20</v>
      </c>
      <c r="W4" s="599"/>
      <c r="X4" s="598" t="s">
        <v>703</v>
      </c>
      <c r="Y4" s="598"/>
      <c r="Z4" s="598"/>
      <c r="AA4" s="598"/>
      <c r="AB4" s="598"/>
      <c r="AC4" s="598"/>
      <c r="AD4" s="599" t="s">
        <v>98</v>
      </c>
      <c r="AE4" s="599"/>
      <c r="AF4" s="367" t="s">
        <v>99</v>
      </c>
      <c r="AH4" s="6" t="s">
        <v>19</v>
      </c>
    </row>
    <row r="5" spans="1:35" ht="4.5" customHeight="1" thickBo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row>
    <row r="6" spans="1:35" ht="57" customHeight="1">
      <c r="A6" s="606" t="s">
        <v>39</v>
      </c>
      <c r="B6" s="606"/>
      <c r="C6" s="599" t="s">
        <v>1</v>
      </c>
      <c r="D6" s="599" t="s">
        <v>100</v>
      </c>
      <c r="E6" s="599"/>
      <c r="F6" s="608" t="s">
        <v>6</v>
      </c>
      <c r="G6" s="599" t="s">
        <v>9</v>
      </c>
      <c r="H6" s="599" t="s">
        <v>2</v>
      </c>
      <c r="I6" s="599" t="s">
        <v>21</v>
      </c>
      <c r="J6" s="599"/>
      <c r="K6" s="599"/>
      <c r="L6" s="599"/>
      <c r="M6" s="599"/>
      <c r="N6" s="599"/>
      <c r="O6" s="599"/>
      <c r="P6" s="599"/>
      <c r="Q6" s="599"/>
      <c r="R6" s="599"/>
      <c r="S6" s="599"/>
      <c r="T6" s="599"/>
      <c r="U6" s="599"/>
      <c r="V6" s="599" t="s">
        <v>101</v>
      </c>
      <c r="W6" s="599" t="s">
        <v>3</v>
      </c>
      <c r="X6" s="599"/>
      <c r="Y6" s="599"/>
      <c r="Z6" s="610" t="s">
        <v>102</v>
      </c>
      <c r="AA6" s="610" t="s">
        <v>103</v>
      </c>
      <c r="AB6" s="610" t="s">
        <v>4</v>
      </c>
      <c r="AC6" s="610"/>
      <c r="AD6" s="599" t="s">
        <v>104</v>
      </c>
      <c r="AE6" s="599" t="s">
        <v>105</v>
      </c>
      <c r="AF6" s="599" t="s">
        <v>106</v>
      </c>
    </row>
    <row r="7" spans="1:35" ht="37.5" customHeight="1" thickBot="1">
      <c r="A7" s="314" t="s">
        <v>40</v>
      </c>
      <c r="B7" s="98" t="s">
        <v>41</v>
      </c>
      <c r="C7" s="607"/>
      <c r="D7" s="607"/>
      <c r="E7" s="607"/>
      <c r="F7" s="609"/>
      <c r="G7" s="607"/>
      <c r="H7" s="607"/>
      <c r="I7" s="607" t="s">
        <v>11</v>
      </c>
      <c r="J7" s="607"/>
      <c r="K7" s="607"/>
      <c r="L7" s="607"/>
      <c r="M7" s="607"/>
      <c r="N7" s="607"/>
      <c r="O7" s="615" t="s">
        <v>12</v>
      </c>
      <c r="P7" s="615"/>
      <c r="Q7" s="615"/>
      <c r="R7" s="615"/>
      <c r="S7" s="615"/>
      <c r="T7" s="615" t="s">
        <v>13</v>
      </c>
      <c r="U7" s="615"/>
      <c r="V7" s="607"/>
      <c r="W7" s="607"/>
      <c r="X7" s="607"/>
      <c r="Y7" s="607"/>
      <c r="Z7" s="611"/>
      <c r="AA7" s="611"/>
      <c r="AB7" s="328" t="s">
        <v>14</v>
      </c>
      <c r="AC7" s="330" t="s">
        <v>15</v>
      </c>
      <c r="AD7" s="607"/>
      <c r="AE7" s="607"/>
      <c r="AF7" s="607"/>
    </row>
    <row r="8" spans="1:35" customFormat="1" ht="98.25" customHeight="1">
      <c r="A8" s="959"/>
      <c r="B8" s="944"/>
      <c r="C8" s="944">
        <v>1</v>
      </c>
      <c r="D8" s="965" t="s">
        <v>706</v>
      </c>
      <c r="E8" s="966"/>
      <c r="F8" s="971" t="s">
        <v>704</v>
      </c>
      <c r="G8" s="941" t="s">
        <v>38</v>
      </c>
      <c r="H8" s="944" t="s">
        <v>23</v>
      </c>
      <c r="I8" s="947" t="s">
        <v>162</v>
      </c>
      <c r="J8" s="948"/>
      <c r="K8" s="948"/>
      <c r="L8" s="948"/>
      <c r="M8" s="948"/>
      <c r="N8" s="949"/>
      <c r="O8" s="947" t="s">
        <v>162</v>
      </c>
      <c r="P8" s="948"/>
      <c r="Q8" s="948"/>
      <c r="R8" s="949"/>
      <c r="S8" s="374"/>
      <c r="T8" s="947" t="s">
        <v>162</v>
      </c>
      <c r="U8" s="949"/>
      <c r="V8" s="956" t="s">
        <v>707</v>
      </c>
      <c r="W8" s="935" t="s">
        <v>708</v>
      </c>
      <c r="X8" s="935"/>
      <c r="Y8" s="935"/>
      <c r="Z8" s="368" t="s">
        <v>705</v>
      </c>
      <c r="AA8" s="368" t="s">
        <v>709</v>
      </c>
      <c r="AB8" s="369">
        <v>43685</v>
      </c>
      <c r="AC8" s="369">
        <v>43738</v>
      </c>
      <c r="AD8" s="375">
        <v>1</v>
      </c>
      <c r="AE8" s="376" t="s">
        <v>17</v>
      </c>
      <c r="AF8" s="370" t="s">
        <v>710</v>
      </c>
    </row>
    <row r="9" spans="1:35" customFormat="1" ht="75" customHeight="1">
      <c r="A9" s="960"/>
      <c r="B9" s="945"/>
      <c r="C9" s="945"/>
      <c r="D9" s="967"/>
      <c r="E9" s="968"/>
      <c r="F9" s="972"/>
      <c r="G9" s="942"/>
      <c r="H9" s="945"/>
      <c r="I9" s="950"/>
      <c r="J9" s="951"/>
      <c r="K9" s="951"/>
      <c r="L9" s="951"/>
      <c r="M9" s="951"/>
      <c r="N9" s="952"/>
      <c r="O9" s="950"/>
      <c r="P9" s="951"/>
      <c r="Q9" s="951"/>
      <c r="R9" s="952"/>
      <c r="S9" s="357"/>
      <c r="T9" s="950"/>
      <c r="U9" s="952"/>
      <c r="V9" s="957"/>
      <c r="W9" s="936" t="s">
        <v>711</v>
      </c>
      <c r="X9" s="936" t="s">
        <v>711</v>
      </c>
      <c r="Y9" s="936" t="s">
        <v>711</v>
      </c>
      <c r="Z9" s="371" t="s">
        <v>712</v>
      </c>
      <c r="AA9" s="371" t="s">
        <v>713</v>
      </c>
      <c r="AB9" s="372">
        <v>43738</v>
      </c>
      <c r="AC9" s="372">
        <v>43799</v>
      </c>
      <c r="AD9" s="377">
        <v>1</v>
      </c>
      <c r="AE9" s="336" t="s">
        <v>17</v>
      </c>
      <c r="AF9" s="378" t="s">
        <v>714</v>
      </c>
    </row>
    <row r="10" spans="1:35" customFormat="1" ht="61.5" customHeight="1">
      <c r="A10" s="960"/>
      <c r="B10" s="945"/>
      <c r="C10" s="945"/>
      <c r="D10" s="967"/>
      <c r="E10" s="968"/>
      <c r="F10" s="972"/>
      <c r="G10" s="942"/>
      <c r="H10" s="945"/>
      <c r="I10" s="950"/>
      <c r="J10" s="951"/>
      <c r="K10" s="951"/>
      <c r="L10" s="951"/>
      <c r="M10" s="951"/>
      <c r="N10" s="952"/>
      <c r="O10" s="950"/>
      <c r="P10" s="951"/>
      <c r="Q10" s="951"/>
      <c r="R10" s="952"/>
      <c r="S10" s="357"/>
      <c r="T10" s="950"/>
      <c r="U10" s="952"/>
      <c r="V10" s="957"/>
      <c r="W10" s="936" t="s">
        <v>715</v>
      </c>
      <c r="X10" s="936" t="s">
        <v>716</v>
      </c>
      <c r="Y10" s="936" t="s">
        <v>716</v>
      </c>
      <c r="Z10" s="371" t="s">
        <v>717</v>
      </c>
      <c r="AA10" s="379" t="s">
        <v>718</v>
      </c>
      <c r="AB10" s="372">
        <v>43799</v>
      </c>
      <c r="AC10" s="372">
        <v>43819</v>
      </c>
      <c r="AD10" s="31">
        <v>1</v>
      </c>
      <c r="AE10" s="336" t="s">
        <v>17</v>
      </c>
      <c r="AF10" s="378" t="s">
        <v>719</v>
      </c>
    </row>
    <row r="11" spans="1:35" customFormat="1" ht="114" customHeight="1">
      <c r="A11" s="960"/>
      <c r="B11" s="945"/>
      <c r="C11" s="945"/>
      <c r="D11" s="967"/>
      <c r="E11" s="968"/>
      <c r="F11" s="972"/>
      <c r="G11" s="942"/>
      <c r="H11" s="945"/>
      <c r="I11" s="950"/>
      <c r="J11" s="951"/>
      <c r="K11" s="951"/>
      <c r="L11" s="951"/>
      <c r="M11" s="951"/>
      <c r="N11" s="952"/>
      <c r="O11" s="950"/>
      <c r="P11" s="951"/>
      <c r="Q11" s="951"/>
      <c r="R11" s="952"/>
      <c r="S11" s="357"/>
      <c r="T11" s="950"/>
      <c r="U11" s="952"/>
      <c r="V11" s="957"/>
      <c r="W11" s="937" t="s">
        <v>720</v>
      </c>
      <c r="X11" s="938"/>
      <c r="Y11" s="939"/>
      <c r="Z11" s="371" t="s">
        <v>721</v>
      </c>
      <c r="AA11" s="371" t="s">
        <v>721</v>
      </c>
      <c r="AB11" s="372">
        <v>43863</v>
      </c>
      <c r="AC11" s="372">
        <v>44013</v>
      </c>
      <c r="AD11" s="31">
        <v>1</v>
      </c>
      <c r="AE11" s="336" t="s">
        <v>17</v>
      </c>
      <c r="AF11" s="378" t="s">
        <v>722</v>
      </c>
    </row>
    <row r="12" spans="1:35" customFormat="1" ht="110.25" customHeight="1" thickBot="1">
      <c r="A12" s="961"/>
      <c r="B12" s="946"/>
      <c r="C12" s="946"/>
      <c r="D12" s="969"/>
      <c r="E12" s="970"/>
      <c r="F12" s="973"/>
      <c r="G12" s="943"/>
      <c r="H12" s="946"/>
      <c r="I12" s="953"/>
      <c r="J12" s="954"/>
      <c r="K12" s="954"/>
      <c r="L12" s="954"/>
      <c r="M12" s="954"/>
      <c r="N12" s="955"/>
      <c r="O12" s="953"/>
      <c r="P12" s="954"/>
      <c r="Q12" s="954"/>
      <c r="R12" s="955"/>
      <c r="S12" s="380"/>
      <c r="T12" s="953"/>
      <c r="U12" s="955"/>
      <c r="V12" s="958"/>
      <c r="W12" s="940" t="s">
        <v>723</v>
      </c>
      <c r="X12" s="940"/>
      <c r="Y12" s="940"/>
      <c r="Z12" s="381" t="s">
        <v>724</v>
      </c>
      <c r="AA12" s="381" t="s">
        <v>725</v>
      </c>
      <c r="AB12" s="373">
        <v>43863</v>
      </c>
      <c r="AC12" s="373">
        <v>44013</v>
      </c>
      <c r="AD12" s="382"/>
      <c r="AE12" s="383" t="s">
        <v>16</v>
      </c>
      <c r="AF12" s="378" t="s">
        <v>726</v>
      </c>
    </row>
    <row r="13" spans="1:35" ht="124.5" customHeight="1">
      <c r="A13" s="962"/>
      <c r="B13" s="620"/>
      <c r="C13" s="620">
        <v>2</v>
      </c>
      <c r="D13" s="635" t="s">
        <v>741</v>
      </c>
      <c r="E13" s="635"/>
      <c r="F13" s="612" t="s">
        <v>742</v>
      </c>
      <c r="G13" s="612" t="s">
        <v>42</v>
      </c>
      <c r="H13" s="620" t="s">
        <v>25</v>
      </c>
      <c r="I13" s="623" t="s">
        <v>162</v>
      </c>
      <c r="J13" s="623"/>
      <c r="K13" s="623"/>
      <c r="L13" s="623"/>
      <c r="M13" s="623"/>
      <c r="N13" s="623"/>
      <c r="O13" s="623" t="s">
        <v>162</v>
      </c>
      <c r="P13" s="623"/>
      <c r="Q13" s="623"/>
      <c r="R13" s="623"/>
      <c r="S13" s="341"/>
      <c r="T13" s="623" t="s">
        <v>162</v>
      </c>
      <c r="U13" s="623"/>
      <c r="V13" s="635" t="s">
        <v>162</v>
      </c>
      <c r="W13" s="974" t="s">
        <v>743</v>
      </c>
      <c r="X13" s="974"/>
      <c r="Y13" s="974"/>
      <c r="Z13" s="349" t="s">
        <v>744</v>
      </c>
      <c r="AA13" s="349" t="s">
        <v>481</v>
      </c>
      <c r="AB13" s="101">
        <v>43333</v>
      </c>
      <c r="AC13" s="101">
        <v>43456</v>
      </c>
      <c r="AD13" s="102">
        <v>1</v>
      </c>
      <c r="AE13" s="338" t="s">
        <v>17</v>
      </c>
      <c r="AF13" s="386" t="s">
        <v>745</v>
      </c>
      <c r="AG13" s="387"/>
    </row>
    <row r="14" spans="1:35" ht="44.25" customHeight="1">
      <c r="A14" s="963"/>
      <c r="B14" s="598"/>
      <c r="C14" s="598"/>
      <c r="D14" s="846"/>
      <c r="E14" s="846"/>
      <c r="F14" s="804"/>
      <c r="G14" s="804"/>
      <c r="H14" s="598"/>
      <c r="I14" s="848"/>
      <c r="J14" s="848"/>
      <c r="K14" s="848"/>
      <c r="L14" s="848"/>
      <c r="M14" s="848"/>
      <c r="N14" s="848"/>
      <c r="O14" s="848"/>
      <c r="P14" s="848"/>
      <c r="Q14" s="848"/>
      <c r="R14" s="848"/>
      <c r="S14" s="352"/>
      <c r="T14" s="848"/>
      <c r="U14" s="848"/>
      <c r="V14" s="846"/>
      <c r="W14" s="702" t="s">
        <v>746</v>
      </c>
      <c r="X14" s="702"/>
      <c r="Y14" s="702"/>
      <c r="Z14" s="350" t="s">
        <v>747</v>
      </c>
      <c r="AA14" s="350" t="s">
        <v>747</v>
      </c>
      <c r="AB14" s="141">
        <v>43342</v>
      </c>
      <c r="AC14" s="141">
        <v>43456</v>
      </c>
      <c r="AD14" s="5">
        <v>1</v>
      </c>
      <c r="AE14" s="344" t="s">
        <v>17</v>
      </c>
      <c r="AF14" s="388" t="s">
        <v>748</v>
      </c>
      <c r="AG14" s="387"/>
    </row>
    <row r="15" spans="1:35" ht="87" customHeight="1">
      <c r="A15" s="963"/>
      <c r="B15" s="598"/>
      <c r="C15" s="598"/>
      <c r="D15" s="846"/>
      <c r="E15" s="846"/>
      <c r="F15" s="804"/>
      <c r="G15" s="804"/>
      <c r="H15" s="598"/>
      <c r="I15" s="848"/>
      <c r="J15" s="848"/>
      <c r="K15" s="848"/>
      <c r="L15" s="848"/>
      <c r="M15" s="848"/>
      <c r="N15" s="848"/>
      <c r="O15" s="848"/>
      <c r="P15" s="848"/>
      <c r="Q15" s="848"/>
      <c r="R15" s="848"/>
      <c r="S15" s="352"/>
      <c r="T15" s="848"/>
      <c r="U15" s="848"/>
      <c r="V15" s="846"/>
      <c r="W15" s="702" t="s">
        <v>749</v>
      </c>
      <c r="X15" s="702"/>
      <c r="Y15" s="702"/>
      <c r="Z15" s="350" t="s">
        <v>750</v>
      </c>
      <c r="AA15" s="350" t="s">
        <v>750</v>
      </c>
      <c r="AB15" s="141">
        <v>43342</v>
      </c>
      <c r="AC15" s="141">
        <v>43456</v>
      </c>
      <c r="AD15" s="5">
        <v>1</v>
      </c>
      <c r="AE15" s="344" t="s">
        <v>17</v>
      </c>
      <c r="AF15" s="388" t="s">
        <v>751</v>
      </c>
      <c r="AG15" s="387"/>
    </row>
    <row r="16" spans="1:35" ht="76.5" customHeight="1">
      <c r="A16" s="963"/>
      <c r="B16" s="598"/>
      <c r="C16" s="598"/>
      <c r="D16" s="846"/>
      <c r="E16" s="846"/>
      <c r="F16" s="804"/>
      <c r="G16" s="804"/>
      <c r="H16" s="598"/>
      <c r="I16" s="848"/>
      <c r="J16" s="848"/>
      <c r="K16" s="848"/>
      <c r="L16" s="848"/>
      <c r="M16" s="848"/>
      <c r="N16" s="848"/>
      <c r="O16" s="848"/>
      <c r="P16" s="848"/>
      <c r="Q16" s="848"/>
      <c r="R16" s="848"/>
      <c r="S16" s="352"/>
      <c r="T16" s="848"/>
      <c r="U16" s="848"/>
      <c r="V16" s="846"/>
      <c r="W16" s="702" t="s">
        <v>752</v>
      </c>
      <c r="X16" s="702"/>
      <c r="Y16" s="702"/>
      <c r="Z16" s="350" t="s">
        <v>753</v>
      </c>
      <c r="AA16" s="350" t="s">
        <v>753</v>
      </c>
      <c r="AB16" s="141">
        <v>43342</v>
      </c>
      <c r="AC16" s="141">
        <v>43343</v>
      </c>
      <c r="AD16" s="5">
        <v>1</v>
      </c>
      <c r="AE16" s="344" t="s">
        <v>17</v>
      </c>
      <c r="AF16" s="388" t="s">
        <v>754</v>
      </c>
      <c r="AG16" s="387"/>
    </row>
    <row r="17" spans="1:33" ht="102.75" customHeight="1" thickBot="1">
      <c r="A17" s="964"/>
      <c r="B17" s="622"/>
      <c r="C17" s="622"/>
      <c r="D17" s="637"/>
      <c r="E17" s="637"/>
      <c r="F17" s="614"/>
      <c r="G17" s="614"/>
      <c r="H17" s="622"/>
      <c r="I17" s="625"/>
      <c r="J17" s="625"/>
      <c r="K17" s="625"/>
      <c r="L17" s="625"/>
      <c r="M17" s="625"/>
      <c r="N17" s="625"/>
      <c r="O17" s="625"/>
      <c r="P17" s="625"/>
      <c r="Q17" s="625"/>
      <c r="R17" s="625"/>
      <c r="S17" s="343"/>
      <c r="T17" s="625"/>
      <c r="U17" s="625"/>
      <c r="V17" s="637"/>
      <c r="W17" s="708" t="s">
        <v>755</v>
      </c>
      <c r="X17" s="708"/>
      <c r="Y17" s="708"/>
      <c r="Z17" s="351" t="s">
        <v>756</v>
      </c>
      <c r="AA17" s="351" t="s">
        <v>757</v>
      </c>
      <c r="AB17" s="146">
        <v>43342</v>
      </c>
      <c r="AC17" s="146">
        <v>43343</v>
      </c>
      <c r="AD17" s="114">
        <v>1</v>
      </c>
      <c r="AE17" s="340" t="s">
        <v>17</v>
      </c>
      <c r="AF17" s="388" t="s">
        <v>758</v>
      </c>
      <c r="AG17" s="387"/>
    </row>
    <row r="18" spans="1:33" ht="66" customHeight="1">
      <c r="A18" s="962"/>
      <c r="B18" s="620"/>
      <c r="C18" s="620">
        <v>3</v>
      </c>
      <c r="D18" s="635" t="s">
        <v>759</v>
      </c>
      <c r="E18" s="635"/>
      <c r="F18" s="612" t="s">
        <v>742</v>
      </c>
      <c r="G18" s="731" t="s">
        <v>42</v>
      </c>
      <c r="H18" s="620" t="s">
        <v>25</v>
      </c>
      <c r="I18" s="623" t="s">
        <v>162</v>
      </c>
      <c r="J18" s="623"/>
      <c r="K18" s="623"/>
      <c r="L18" s="623"/>
      <c r="M18" s="623"/>
      <c r="N18" s="623"/>
      <c r="O18" s="623" t="s">
        <v>162</v>
      </c>
      <c r="P18" s="623"/>
      <c r="Q18" s="623"/>
      <c r="R18" s="623"/>
      <c r="S18" s="341"/>
      <c r="T18" s="623" t="s">
        <v>162</v>
      </c>
      <c r="U18" s="623"/>
      <c r="V18" s="635"/>
      <c r="W18" s="974" t="s">
        <v>760</v>
      </c>
      <c r="X18" s="974"/>
      <c r="Y18" s="974"/>
      <c r="Z18" s="349" t="s">
        <v>761</v>
      </c>
      <c r="AA18" s="349" t="s">
        <v>762</v>
      </c>
      <c r="AB18" s="101">
        <v>43305</v>
      </c>
      <c r="AC18" s="101">
        <v>43327</v>
      </c>
      <c r="AD18" s="102">
        <v>1</v>
      </c>
      <c r="AE18" s="338" t="s">
        <v>17</v>
      </c>
      <c r="AF18" s="386" t="s">
        <v>763</v>
      </c>
      <c r="AG18" s="387"/>
    </row>
    <row r="19" spans="1:33" ht="49.5" customHeight="1">
      <c r="A19" s="963"/>
      <c r="B19" s="598"/>
      <c r="C19" s="598"/>
      <c r="D19" s="846"/>
      <c r="E19" s="846"/>
      <c r="F19" s="804"/>
      <c r="G19" s="732"/>
      <c r="H19" s="598"/>
      <c r="I19" s="848"/>
      <c r="J19" s="848"/>
      <c r="K19" s="848"/>
      <c r="L19" s="848"/>
      <c r="M19" s="848"/>
      <c r="N19" s="848"/>
      <c r="O19" s="848"/>
      <c r="P19" s="848"/>
      <c r="Q19" s="848"/>
      <c r="R19" s="848"/>
      <c r="S19" s="352"/>
      <c r="T19" s="848"/>
      <c r="U19" s="848"/>
      <c r="V19" s="846"/>
      <c r="W19" s="702" t="s">
        <v>764</v>
      </c>
      <c r="X19" s="702"/>
      <c r="Y19" s="702"/>
      <c r="Z19" s="350" t="s">
        <v>765</v>
      </c>
      <c r="AA19" s="350" t="s">
        <v>766</v>
      </c>
      <c r="AB19" s="389">
        <v>43328</v>
      </c>
      <c r="AC19" s="389">
        <v>43373</v>
      </c>
      <c r="AD19" s="5">
        <v>1</v>
      </c>
      <c r="AE19" s="344" t="s">
        <v>17</v>
      </c>
      <c r="AF19" s="388" t="s">
        <v>767</v>
      </c>
      <c r="AG19" s="387"/>
    </row>
    <row r="20" spans="1:33" ht="93.75" customHeight="1" thickBot="1">
      <c r="A20" s="964"/>
      <c r="B20" s="622"/>
      <c r="C20" s="622"/>
      <c r="D20" s="637"/>
      <c r="E20" s="637"/>
      <c r="F20" s="614"/>
      <c r="G20" s="733"/>
      <c r="H20" s="622"/>
      <c r="I20" s="625"/>
      <c r="J20" s="625"/>
      <c r="K20" s="625"/>
      <c r="L20" s="625"/>
      <c r="M20" s="625"/>
      <c r="N20" s="625"/>
      <c r="O20" s="625"/>
      <c r="P20" s="625"/>
      <c r="Q20" s="625"/>
      <c r="R20" s="625"/>
      <c r="S20" s="343"/>
      <c r="T20" s="625"/>
      <c r="U20" s="625"/>
      <c r="V20" s="637"/>
      <c r="W20" s="708" t="s">
        <v>768</v>
      </c>
      <c r="X20" s="708"/>
      <c r="Y20" s="708"/>
      <c r="Z20" s="351" t="s">
        <v>769</v>
      </c>
      <c r="AA20" s="390" t="s">
        <v>770</v>
      </c>
      <c r="AB20" s="391">
        <v>43342</v>
      </c>
      <c r="AC20" s="391">
        <v>43707</v>
      </c>
      <c r="AD20" s="114">
        <v>0.8</v>
      </c>
      <c r="AE20" s="340" t="s">
        <v>19</v>
      </c>
      <c r="AF20" s="392" t="s">
        <v>771</v>
      </c>
      <c r="AG20" s="387"/>
    </row>
    <row r="21" spans="1:33" ht="170.25" customHeight="1" thickBot="1">
      <c r="A21" s="211"/>
      <c r="B21" s="212"/>
      <c r="C21" s="148">
        <v>4</v>
      </c>
      <c r="D21" s="734" t="s">
        <v>772</v>
      </c>
      <c r="E21" s="734"/>
      <c r="F21" s="393" t="s">
        <v>742</v>
      </c>
      <c r="G21" s="213" t="s">
        <v>42</v>
      </c>
      <c r="H21" s="148" t="s">
        <v>25</v>
      </c>
      <c r="I21" s="735" t="s">
        <v>162</v>
      </c>
      <c r="J21" s="735"/>
      <c r="K21" s="735"/>
      <c r="L21" s="735"/>
      <c r="M21" s="735"/>
      <c r="N21" s="735"/>
      <c r="O21" s="735" t="s">
        <v>162</v>
      </c>
      <c r="P21" s="735"/>
      <c r="Q21" s="735"/>
      <c r="R21" s="735"/>
      <c r="S21" s="346"/>
      <c r="T21" s="735" t="s">
        <v>162</v>
      </c>
      <c r="U21" s="735"/>
      <c r="V21" s="345"/>
      <c r="W21" s="981" t="s">
        <v>773</v>
      </c>
      <c r="X21" s="981"/>
      <c r="Y21" s="981"/>
      <c r="Z21" s="230" t="s">
        <v>774</v>
      </c>
      <c r="AA21" s="230" t="s">
        <v>775</v>
      </c>
      <c r="AB21" s="200">
        <v>43305</v>
      </c>
      <c r="AC21" s="200">
        <v>43829</v>
      </c>
      <c r="AD21" s="216">
        <v>0.8</v>
      </c>
      <c r="AE21" s="148" t="s">
        <v>16</v>
      </c>
      <c r="AF21" s="394" t="s">
        <v>771</v>
      </c>
      <c r="AG21" s="387"/>
    </row>
    <row r="22" spans="1:33" ht="62.25" customHeight="1">
      <c r="A22" s="719"/>
      <c r="B22" s="632"/>
      <c r="C22" s="632">
        <v>5</v>
      </c>
      <c r="D22" s="975" t="s">
        <v>776</v>
      </c>
      <c r="E22" s="976"/>
      <c r="F22" s="731" t="s">
        <v>777</v>
      </c>
      <c r="G22" s="731" t="s">
        <v>42</v>
      </c>
      <c r="H22" s="632" t="s">
        <v>23</v>
      </c>
      <c r="I22" s="736" t="s">
        <v>162</v>
      </c>
      <c r="J22" s="737"/>
      <c r="K22" s="737"/>
      <c r="L22" s="737"/>
      <c r="M22" s="737"/>
      <c r="N22" s="738"/>
      <c r="O22" s="736" t="s">
        <v>162</v>
      </c>
      <c r="P22" s="737"/>
      <c r="Q22" s="737"/>
      <c r="R22" s="738"/>
      <c r="S22" s="341"/>
      <c r="T22" s="736" t="s">
        <v>162</v>
      </c>
      <c r="U22" s="738"/>
      <c r="V22" s="982" t="s">
        <v>778</v>
      </c>
      <c r="W22" s="818" t="s">
        <v>779</v>
      </c>
      <c r="X22" s="985"/>
      <c r="Y22" s="819"/>
      <c r="Z22" s="349" t="s">
        <v>780</v>
      </c>
      <c r="AA22" s="349" t="s">
        <v>781</v>
      </c>
      <c r="AB22" s="316">
        <v>43735</v>
      </c>
      <c r="AC22" s="101">
        <v>43794</v>
      </c>
      <c r="AD22" s="102">
        <v>1</v>
      </c>
      <c r="AE22" s="338" t="s">
        <v>17</v>
      </c>
      <c r="AF22" s="395" t="s">
        <v>782</v>
      </c>
      <c r="AG22" s="387"/>
    </row>
    <row r="23" spans="1:33" ht="84" customHeight="1">
      <c r="A23" s="720"/>
      <c r="B23" s="633"/>
      <c r="C23" s="633"/>
      <c r="D23" s="977"/>
      <c r="E23" s="978"/>
      <c r="F23" s="732"/>
      <c r="G23" s="732"/>
      <c r="H23" s="633"/>
      <c r="I23" s="739"/>
      <c r="J23" s="740"/>
      <c r="K23" s="740"/>
      <c r="L23" s="740"/>
      <c r="M23" s="740"/>
      <c r="N23" s="741"/>
      <c r="O23" s="739"/>
      <c r="P23" s="740"/>
      <c r="Q23" s="740"/>
      <c r="R23" s="741"/>
      <c r="S23" s="352"/>
      <c r="T23" s="739"/>
      <c r="U23" s="741"/>
      <c r="V23" s="983"/>
      <c r="W23" s="986" t="s">
        <v>783</v>
      </c>
      <c r="X23" s="987"/>
      <c r="Y23" s="988"/>
      <c r="Z23" s="350" t="s">
        <v>212</v>
      </c>
      <c r="AA23" s="350" t="s">
        <v>784</v>
      </c>
      <c r="AB23" s="108">
        <v>43735</v>
      </c>
      <c r="AC23" s="204">
        <v>44077</v>
      </c>
      <c r="AD23" s="5">
        <v>1</v>
      </c>
      <c r="AE23" s="344" t="s">
        <v>17</v>
      </c>
      <c r="AF23" s="396" t="s">
        <v>785</v>
      </c>
      <c r="AG23" s="387"/>
    </row>
    <row r="24" spans="1:33" ht="60.75" customHeight="1">
      <c r="A24" s="720"/>
      <c r="B24" s="633"/>
      <c r="C24" s="633"/>
      <c r="D24" s="977"/>
      <c r="E24" s="978"/>
      <c r="F24" s="732"/>
      <c r="G24" s="732"/>
      <c r="H24" s="633"/>
      <c r="I24" s="739"/>
      <c r="J24" s="740"/>
      <c r="K24" s="740"/>
      <c r="L24" s="740"/>
      <c r="M24" s="740"/>
      <c r="N24" s="741"/>
      <c r="O24" s="739"/>
      <c r="P24" s="740"/>
      <c r="Q24" s="740"/>
      <c r="R24" s="741"/>
      <c r="S24" s="352"/>
      <c r="T24" s="739"/>
      <c r="U24" s="741"/>
      <c r="V24" s="983"/>
      <c r="W24" s="802" t="s">
        <v>786</v>
      </c>
      <c r="X24" s="802"/>
      <c r="Y24" s="802"/>
      <c r="Z24" s="350" t="s">
        <v>787</v>
      </c>
      <c r="AA24" s="350" t="s">
        <v>787</v>
      </c>
      <c r="AB24" s="108">
        <v>43735</v>
      </c>
      <c r="AC24" s="204">
        <v>44077</v>
      </c>
      <c r="AD24" s="5">
        <v>0</v>
      </c>
      <c r="AE24" s="344" t="s">
        <v>16</v>
      </c>
      <c r="AF24" s="396" t="s">
        <v>929</v>
      </c>
      <c r="AG24" s="387"/>
    </row>
    <row r="25" spans="1:33" ht="56.25" customHeight="1" thickBot="1">
      <c r="A25" s="721"/>
      <c r="B25" s="634"/>
      <c r="C25" s="634"/>
      <c r="D25" s="979"/>
      <c r="E25" s="980"/>
      <c r="F25" s="733"/>
      <c r="G25" s="733"/>
      <c r="H25" s="634"/>
      <c r="I25" s="742"/>
      <c r="J25" s="743"/>
      <c r="K25" s="743"/>
      <c r="L25" s="743"/>
      <c r="M25" s="743"/>
      <c r="N25" s="744"/>
      <c r="O25" s="742"/>
      <c r="P25" s="743"/>
      <c r="Q25" s="743"/>
      <c r="R25" s="744"/>
      <c r="S25" s="343"/>
      <c r="T25" s="742"/>
      <c r="U25" s="744"/>
      <c r="V25" s="984"/>
      <c r="W25" s="803" t="s">
        <v>788</v>
      </c>
      <c r="X25" s="803"/>
      <c r="Y25" s="803"/>
      <c r="Z25" s="351" t="s">
        <v>789</v>
      </c>
      <c r="AA25" s="351" t="s">
        <v>790</v>
      </c>
      <c r="AB25" s="123">
        <v>43735</v>
      </c>
      <c r="AC25" s="204">
        <v>44077</v>
      </c>
      <c r="AD25" s="114">
        <v>0.5</v>
      </c>
      <c r="AE25" s="340" t="s">
        <v>16</v>
      </c>
      <c r="AF25" s="396" t="s">
        <v>930</v>
      </c>
      <c r="AG25" s="387"/>
    </row>
    <row r="26" spans="1:33" ht="70.5" customHeight="1">
      <c r="A26" s="719"/>
      <c r="B26" s="632"/>
      <c r="C26" s="632">
        <v>6</v>
      </c>
      <c r="D26" s="722" t="s">
        <v>791</v>
      </c>
      <c r="E26" s="723"/>
      <c r="F26" s="731" t="s">
        <v>777</v>
      </c>
      <c r="G26" s="731" t="s">
        <v>42</v>
      </c>
      <c r="H26" s="632" t="s">
        <v>23</v>
      </c>
      <c r="I26" s="736" t="s">
        <v>162</v>
      </c>
      <c r="J26" s="737"/>
      <c r="K26" s="737"/>
      <c r="L26" s="737"/>
      <c r="M26" s="737"/>
      <c r="N26" s="738"/>
      <c r="O26" s="736" t="s">
        <v>162</v>
      </c>
      <c r="P26" s="737"/>
      <c r="Q26" s="737"/>
      <c r="R26" s="738"/>
      <c r="S26" s="341"/>
      <c r="T26" s="736" t="s">
        <v>162</v>
      </c>
      <c r="U26" s="738"/>
      <c r="V26" s="656" t="s">
        <v>792</v>
      </c>
      <c r="W26" s="989" t="s">
        <v>793</v>
      </c>
      <c r="X26" s="990"/>
      <c r="Y26" s="991"/>
      <c r="Z26" s="397" t="s">
        <v>794</v>
      </c>
      <c r="AA26" s="397" t="s">
        <v>795</v>
      </c>
      <c r="AB26" s="398">
        <v>43735</v>
      </c>
      <c r="AC26" s="398">
        <v>43829</v>
      </c>
      <c r="AD26" s="102">
        <v>1</v>
      </c>
      <c r="AE26" s="338" t="s">
        <v>17</v>
      </c>
      <c r="AF26" s="395" t="s">
        <v>796</v>
      </c>
      <c r="AG26" s="387"/>
    </row>
    <row r="27" spans="1:33" ht="194.25" customHeight="1">
      <c r="A27" s="720"/>
      <c r="B27" s="633"/>
      <c r="C27" s="633"/>
      <c r="D27" s="724"/>
      <c r="E27" s="725"/>
      <c r="F27" s="732"/>
      <c r="G27" s="732"/>
      <c r="H27" s="633"/>
      <c r="I27" s="739"/>
      <c r="J27" s="740"/>
      <c r="K27" s="740"/>
      <c r="L27" s="740"/>
      <c r="M27" s="740"/>
      <c r="N27" s="741"/>
      <c r="O27" s="739"/>
      <c r="P27" s="740"/>
      <c r="Q27" s="740"/>
      <c r="R27" s="741"/>
      <c r="S27" s="342"/>
      <c r="T27" s="739"/>
      <c r="U27" s="741"/>
      <c r="V27" s="657"/>
      <c r="W27" s="992" t="s">
        <v>797</v>
      </c>
      <c r="X27" s="992"/>
      <c r="Y27" s="992"/>
      <c r="Z27" s="360" t="s">
        <v>798</v>
      </c>
      <c r="AA27" s="360" t="s">
        <v>799</v>
      </c>
      <c r="AB27" s="399">
        <v>43735</v>
      </c>
      <c r="AC27" s="400">
        <v>43829</v>
      </c>
      <c r="AD27" s="353">
        <v>1</v>
      </c>
      <c r="AE27" s="339" t="s">
        <v>17</v>
      </c>
      <c r="AF27" s="401" t="s">
        <v>931</v>
      </c>
      <c r="AG27" s="387"/>
    </row>
    <row r="28" spans="1:33" ht="167.25" customHeight="1" thickBot="1">
      <c r="A28" s="721"/>
      <c r="B28" s="634"/>
      <c r="C28" s="634"/>
      <c r="D28" s="726"/>
      <c r="E28" s="727"/>
      <c r="F28" s="733"/>
      <c r="G28" s="733"/>
      <c r="H28" s="634"/>
      <c r="I28" s="742"/>
      <c r="J28" s="743"/>
      <c r="K28" s="743"/>
      <c r="L28" s="743"/>
      <c r="M28" s="743"/>
      <c r="N28" s="744"/>
      <c r="O28" s="742"/>
      <c r="P28" s="743"/>
      <c r="Q28" s="743"/>
      <c r="R28" s="744"/>
      <c r="S28" s="343"/>
      <c r="T28" s="742"/>
      <c r="U28" s="744"/>
      <c r="V28" s="658"/>
      <c r="W28" s="993" t="s">
        <v>800</v>
      </c>
      <c r="X28" s="993"/>
      <c r="Y28" s="993"/>
      <c r="Z28" s="402" t="s">
        <v>801</v>
      </c>
      <c r="AA28" s="402" t="s">
        <v>802</v>
      </c>
      <c r="AB28" s="403">
        <v>43735</v>
      </c>
      <c r="AC28" s="404">
        <v>43829</v>
      </c>
      <c r="AD28" s="114">
        <v>1</v>
      </c>
      <c r="AE28" s="340" t="s">
        <v>17</v>
      </c>
      <c r="AF28" s="401" t="s">
        <v>932</v>
      </c>
      <c r="AG28" s="387"/>
    </row>
    <row r="29" spans="1:33" ht="69.75" customHeight="1">
      <c r="A29" s="719"/>
      <c r="B29" s="632"/>
      <c r="C29" s="632">
        <v>7</v>
      </c>
      <c r="D29" s="722" t="s">
        <v>803</v>
      </c>
      <c r="E29" s="723"/>
      <c r="F29" s="731" t="s">
        <v>777</v>
      </c>
      <c r="G29" s="731" t="s">
        <v>42</v>
      </c>
      <c r="H29" s="632" t="s">
        <v>23</v>
      </c>
      <c r="I29" s="736" t="s">
        <v>804</v>
      </c>
      <c r="J29" s="737"/>
      <c r="K29" s="737"/>
      <c r="L29" s="737"/>
      <c r="M29" s="737"/>
      <c r="N29" s="738"/>
      <c r="O29" s="736" t="s">
        <v>805</v>
      </c>
      <c r="P29" s="737"/>
      <c r="Q29" s="737"/>
      <c r="R29" s="738"/>
      <c r="S29" s="341"/>
      <c r="T29" s="994">
        <v>43768</v>
      </c>
      <c r="U29" s="738"/>
      <c r="V29" s="656" t="s">
        <v>806</v>
      </c>
      <c r="W29" s="818" t="s">
        <v>807</v>
      </c>
      <c r="X29" s="985"/>
      <c r="Y29" s="819"/>
      <c r="Z29" s="254" t="s">
        <v>808</v>
      </c>
      <c r="AA29" s="254" t="s">
        <v>809</v>
      </c>
      <c r="AB29" s="316">
        <v>43741</v>
      </c>
      <c r="AC29" s="316">
        <v>43889</v>
      </c>
      <c r="AD29" s="102">
        <v>1</v>
      </c>
      <c r="AE29" s="338" t="s">
        <v>17</v>
      </c>
      <c r="AF29" s="395" t="s">
        <v>810</v>
      </c>
      <c r="AG29" s="387"/>
    </row>
    <row r="30" spans="1:33" ht="68.25" customHeight="1">
      <c r="A30" s="720"/>
      <c r="B30" s="633"/>
      <c r="C30" s="633"/>
      <c r="D30" s="724"/>
      <c r="E30" s="725"/>
      <c r="F30" s="732"/>
      <c r="G30" s="732"/>
      <c r="H30" s="633"/>
      <c r="I30" s="739"/>
      <c r="J30" s="740"/>
      <c r="K30" s="740"/>
      <c r="L30" s="740"/>
      <c r="M30" s="740"/>
      <c r="N30" s="741"/>
      <c r="O30" s="739"/>
      <c r="P30" s="740"/>
      <c r="Q30" s="740"/>
      <c r="R30" s="741"/>
      <c r="S30" s="352"/>
      <c r="T30" s="739"/>
      <c r="U30" s="741"/>
      <c r="V30" s="657"/>
      <c r="W30" s="802" t="s">
        <v>811</v>
      </c>
      <c r="X30" s="802"/>
      <c r="Y30" s="802"/>
      <c r="Z30" s="350" t="s">
        <v>812</v>
      </c>
      <c r="AA30" s="350" t="s">
        <v>813</v>
      </c>
      <c r="AB30" s="108">
        <v>43742</v>
      </c>
      <c r="AC30" s="108">
        <v>43889</v>
      </c>
      <c r="AD30" s="5">
        <v>1</v>
      </c>
      <c r="AE30" s="344" t="s">
        <v>17</v>
      </c>
      <c r="AF30" s="396" t="s">
        <v>810</v>
      </c>
      <c r="AG30" s="387"/>
    </row>
    <row r="31" spans="1:33" ht="129.75" customHeight="1">
      <c r="A31" s="720"/>
      <c r="B31" s="633"/>
      <c r="C31" s="633"/>
      <c r="D31" s="724"/>
      <c r="E31" s="725"/>
      <c r="F31" s="732"/>
      <c r="G31" s="732"/>
      <c r="H31" s="633"/>
      <c r="I31" s="739"/>
      <c r="J31" s="740"/>
      <c r="K31" s="740"/>
      <c r="L31" s="740"/>
      <c r="M31" s="740"/>
      <c r="N31" s="741"/>
      <c r="O31" s="739"/>
      <c r="P31" s="740"/>
      <c r="Q31" s="740"/>
      <c r="R31" s="741"/>
      <c r="S31" s="352"/>
      <c r="T31" s="739"/>
      <c r="U31" s="741"/>
      <c r="V31" s="657"/>
      <c r="W31" s="986" t="s">
        <v>814</v>
      </c>
      <c r="X31" s="987"/>
      <c r="Y31" s="988"/>
      <c r="Z31" s="350" t="s">
        <v>815</v>
      </c>
      <c r="AA31" s="350" t="s">
        <v>816</v>
      </c>
      <c r="AB31" s="108">
        <v>43770</v>
      </c>
      <c r="AC31" s="108">
        <v>43889</v>
      </c>
      <c r="AD31" s="5">
        <v>1</v>
      </c>
      <c r="AE31" s="344" t="s">
        <v>17</v>
      </c>
      <c r="AF31" s="401" t="s">
        <v>933</v>
      </c>
      <c r="AG31" s="387"/>
    </row>
    <row r="32" spans="1:33" ht="69" customHeight="1" thickBot="1">
      <c r="A32" s="721"/>
      <c r="B32" s="634"/>
      <c r="C32" s="634"/>
      <c r="D32" s="726"/>
      <c r="E32" s="727"/>
      <c r="F32" s="733"/>
      <c r="G32" s="733"/>
      <c r="H32" s="634"/>
      <c r="I32" s="742"/>
      <c r="J32" s="743"/>
      <c r="K32" s="743"/>
      <c r="L32" s="743"/>
      <c r="M32" s="743"/>
      <c r="N32" s="744"/>
      <c r="O32" s="742"/>
      <c r="P32" s="743"/>
      <c r="Q32" s="743"/>
      <c r="R32" s="744"/>
      <c r="S32" s="343"/>
      <c r="T32" s="742"/>
      <c r="U32" s="744"/>
      <c r="V32" s="658"/>
      <c r="W32" s="995" t="s">
        <v>817</v>
      </c>
      <c r="X32" s="996"/>
      <c r="Y32" s="997"/>
      <c r="Z32" s="351" t="s">
        <v>269</v>
      </c>
      <c r="AA32" s="351" t="s">
        <v>818</v>
      </c>
      <c r="AB32" s="113">
        <v>43770</v>
      </c>
      <c r="AC32" s="113">
        <v>43889</v>
      </c>
      <c r="AD32" s="405">
        <v>1</v>
      </c>
      <c r="AE32" s="406" t="s">
        <v>17</v>
      </c>
      <c r="AF32" s="392" t="s">
        <v>934</v>
      </c>
      <c r="AG32" s="387"/>
    </row>
    <row r="33" spans="1:34" ht="103.5" customHeight="1">
      <c r="A33" s="719"/>
      <c r="B33" s="632"/>
      <c r="C33" s="632">
        <v>8</v>
      </c>
      <c r="D33" s="722" t="s">
        <v>819</v>
      </c>
      <c r="E33" s="723"/>
      <c r="F33" s="731" t="s">
        <v>777</v>
      </c>
      <c r="G33" s="731" t="s">
        <v>42</v>
      </c>
      <c r="H33" s="632" t="s">
        <v>23</v>
      </c>
      <c r="I33" s="736" t="s">
        <v>820</v>
      </c>
      <c r="J33" s="737"/>
      <c r="K33" s="737"/>
      <c r="L33" s="737"/>
      <c r="M33" s="737"/>
      <c r="N33" s="738"/>
      <c r="O33" s="736" t="s">
        <v>821</v>
      </c>
      <c r="P33" s="737"/>
      <c r="Q33" s="737"/>
      <c r="R33" s="738"/>
      <c r="S33" s="341"/>
      <c r="T33" s="994">
        <v>43739</v>
      </c>
      <c r="U33" s="738"/>
      <c r="V33" s="656" t="s">
        <v>822</v>
      </c>
      <c r="W33" s="716" t="s">
        <v>823</v>
      </c>
      <c r="X33" s="716"/>
      <c r="Y33" s="716"/>
      <c r="Z33" s="407">
        <v>1</v>
      </c>
      <c r="AA33" s="408" t="s">
        <v>824</v>
      </c>
      <c r="AB33" s="409">
        <v>43678</v>
      </c>
      <c r="AC33" s="409">
        <v>43819</v>
      </c>
      <c r="AD33" s="102">
        <v>1</v>
      </c>
      <c r="AE33" s="338" t="s">
        <v>17</v>
      </c>
      <c r="AF33" s="395" t="s">
        <v>825</v>
      </c>
      <c r="AG33" s="387"/>
    </row>
    <row r="34" spans="1:34" ht="98.25" customHeight="1">
      <c r="A34" s="720"/>
      <c r="B34" s="633"/>
      <c r="C34" s="633"/>
      <c r="D34" s="724"/>
      <c r="E34" s="725"/>
      <c r="F34" s="732"/>
      <c r="G34" s="732"/>
      <c r="H34" s="633"/>
      <c r="I34" s="739"/>
      <c r="J34" s="740"/>
      <c r="K34" s="740"/>
      <c r="L34" s="740"/>
      <c r="M34" s="740"/>
      <c r="N34" s="741"/>
      <c r="O34" s="739"/>
      <c r="P34" s="740"/>
      <c r="Q34" s="740"/>
      <c r="R34" s="741"/>
      <c r="S34" s="352"/>
      <c r="T34" s="739"/>
      <c r="U34" s="741"/>
      <c r="V34" s="657"/>
      <c r="W34" s="717" t="s">
        <v>826</v>
      </c>
      <c r="X34" s="717"/>
      <c r="Y34" s="717"/>
      <c r="Z34" s="410">
        <v>1</v>
      </c>
      <c r="AA34" s="411" t="s">
        <v>827</v>
      </c>
      <c r="AB34" s="412">
        <v>43739</v>
      </c>
      <c r="AC34" s="412">
        <v>43769</v>
      </c>
      <c r="AD34" s="5">
        <v>1</v>
      </c>
      <c r="AE34" s="344" t="s">
        <v>17</v>
      </c>
      <c r="AF34" s="396" t="s">
        <v>828</v>
      </c>
      <c r="AG34" s="387"/>
    </row>
    <row r="35" spans="1:34" ht="141" customHeight="1" thickBot="1">
      <c r="A35" s="721"/>
      <c r="B35" s="634"/>
      <c r="C35" s="634"/>
      <c r="D35" s="726"/>
      <c r="E35" s="727"/>
      <c r="F35" s="733"/>
      <c r="G35" s="733"/>
      <c r="H35" s="634"/>
      <c r="I35" s="742"/>
      <c r="J35" s="743"/>
      <c r="K35" s="743"/>
      <c r="L35" s="743"/>
      <c r="M35" s="743"/>
      <c r="N35" s="744"/>
      <c r="O35" s="742"/>
      <c r="P35" s="743"/>
      <c r="Q35" s="743"/>
      <c r="R35" s="744"/>
      <c r="S35" s="343"/>
      <c r="T35" s="742"/>
      <c r="U35" s="744"/>
      <c r="V35" s="658"/>
      <c r="W35" s="718" t="s">
        <v>829</v>
      </c>
      <c r="X35" s="718"/>
      <c r="Y35" s="718"/>
      <c r="Z35" s="413">
        <v>1</v>
      </c>
      <c r="AA35" s="414" t="s">
        <v>830</v>
      </c>
      <c r="AB35" s="415">
        <v>43864</v>
      </c>
      <c r="AC35" s="415">
        <v>44104</v>
      </c>
      <c r="AD35" s="114"/>
      <c r="AE35" s="340"/>
      <c r="AF35" s="401" t="s">
        <v>831</v>
      </c>
      <c r="AG35" s="387"/>
    </row>
    <row r="36" spans="1:34" ht="54.75" customHeight="1">
      <c r="A36" s="720"/>
      <c r="B36" s="633"/>
      <c r="C36" s="633">
        <v>9</v>
      </c>
      <c r="D36" s="724" t="s">
        <v>832</v>
      </c>
      <c r="E36" s="725"/>
      <c r="F36" s="732" t="s">
        <v>777</v>
      </c>
      <c r="G36" s="731" t="s">
        <v>42</v>
      </c>
      <c r="H36" s="632" t="s">
        <v>23</v>
      </c>
      <c r="I36" s="739" t="s">
        <v>162</v>
      </c>
      <c r="J36" s="740"/>
      <c r="K36" s="740"/>
      <c r="L36" s="740"/>
      <c r="M36" s="740"/>
      <c r="N36" s="741"/>
      <c r="O36" s="739" t="s">
        <v>162</v>
      </c>
      <c r="P36" s="740"/>
      <c r="Q36" s="740"/>
      <c r="R36" s="741"/>
      <c r="S36" s="342"/>
      <c r="T36" s="739" t="s">
        <v>162</v>
      </c>
      <c r="U36" s="741"/>
      <c r="V36" s="656" t="s">
        <v>833</v>
      </c>
      <c r="W36" s="998" t="s">
        <v>834</v>
      </c>
      <c r="X36" s="998"/>
      <c r="Y36" s="998"/>
      <c r="Z36" s="411" t="s">
        <v>835</v>
      </c>
      <c r="AA36" s="411" t="s">
        <v>835</v>
      </c>
      <c r="AB36" s="412">
        <v>43745</v>
      </c>
      <c r="AC36" s="412">
        <v>43921</v>
      </c>
      <c r="AD36" s="353">
        <v>1</v>
      </c>
      <c r="AE36" s="339" t="s">
        <v>17</v>
      </c>
      <c r="AF36" s="416" t="s">
        <v>836</v>
      </c>
      <c r="AG36" s="387"/>
    </row>
    <row r="37" spans="1:34" ht="86.25" customHeight="1">
      <c r="A37" s="720"/>
      <c r="B37" s="633"/>
      <c r="C37" s="633"/>
      <c r="D37" s="724"/>
      <c r="E37" s="725"/>
      <c r="F37" s="732"/>
      <c r="G37" s="732"/>
      <c r="H37" s="633"/>
      <c r="I37" s="739"/>
      <c r="J37" s="740"/>
      <c r="K37" s="740"/>
      <c r="L37" s="740"/>
      <c r="M37" s="740"/>
      <c r="N37" s="741"/>
      <c r="O37" s="739"/>
      <c r="P37" s="740"/>
      <c r="Q37" s="740"/>
      <c r="R37" s="741"/>
      <c r="S37" s="352"/>
      <c r="T37" s="739"/>
      <c r="U37" s="741"/>
      <c r="V37" s="657"/>
      <c r="W37" s="998" t="s">
        <v>837</v>
      </c>
      <c r="X37" s="998"/>
      <c r="Y37" s="998"/>
      <c r="Z37" s="411" t="s">
        <v>838</v>
      </c>
      <c r="AA37" s="411" t="s">
        <v>839</v>
      </c>
      <c r="AB37" s="412">
        <v>43745</v>
      </c>
      <c r="AC37" s="412">
        <v>43921</v>
      </c>
      <c r="AD37" s="5">
        <v>1</v>
      </c>
      <c r="AE37" s="344" t="s">
        <v>17</v>
      </c>
      <c r="AF37" s="417" t="s">
        <v>840</v>
      </c>
      <c r="AG37" s="387"/>
    </row>
    <row r="38" spans="1:34" ht="132.75" customHeight="1">
      <c r="A38" s="720"/>
      <c r="B38" s="633"/>
      <c r="C38" s="633"/>
      <c r="D38" s="724"/>
      <c r="E38" s="725"/>
      <c r="F38" s="732"/>
      <c r="G38" s="732"/>
      <c r="H38" s="633"/>
      <c r="I38" s="739"/>
      <c r="J38" s="740"/>
      <c r="K38" s="740"/>
      <c r="L38" s="740"/>
      <c r="M38" s="740"/>
      <c r="N38" s="741"/>
      <c r="O38" s="739"/>
      <c r="P38" s="740"/>
      <c r="Q38" s="740"/>
      <c r="R38" s="741"/>
      <c r="S38" s="352"/>
      <c r="T38" s="739"/>
      <c r="U38" s="741"/>
      <c r="V38" s="657"/>
      <c r="W38" s="998" t="s">
        <v>841</v>
      </c>
      <c r="X38" s="998"/>
      <c r="Y38" s="998"/>
      <c r="Z38" s="418">
        <v>1</v>
      </c>
      <c r="AA38" s="411" t="s">
        <v>842</v>
      </c>
      <c r="AB38" s="412">
        <v>43745</v>
      </c>
      <c r="AC38" s="412">
        <v>43921</v>
      </c>
      <c r="AD38" s="5">
        <v>1</v>
      </c>
      <c r="AE38" s="344" t="s">
        <v>17</v>
      </c>
      <c r="AF38" s="396" t="s">
        <v>843</v>
      </c>
      <c r="AG38" s="387"/>
    </row>
    <row r="39" spans="1:34" ht="57" customHeight="1" thickBot="1">
      <c r="A39" s="720"/>
      <c r="B39" s="633"/>
      <c r="C39" s="633"/>
      <c r="D39" s="724"/>
      <c r="E39" s="725"/>
      <c r="F39" s="732"/>
      <c r="G39" s="732"/>
      <c r="H39" s="633"/>
      <c r="I39" s="739"/>
      <c r="J39" s="740"/>
      <c r="K39" s="740"/>
      <c r="L39" s="740"/>
      <c r="M39" s="740"/>
      <c r="N39" s="741"/>
      <c r="O39" s="739"/>
      <c r="P39" s="740"/>
      <c r="Q39" s="740"/>
      <c r="R39" s="741"/>
      <c r="S39" s="354"/>
      <c r="T39" s="739"/>
      <c r="U39" s="741"/>
      <c r="V39" s="657"/>
      <c r="W39" s="999" t="s">
        <v>935</v>
      </c>
      <c r="X39" s="999"/>
      <c r="Y39" s="999"/>
      <c r="Z39" s="419" t="s">
        <v>844</v>
      </c>
      <c r="AA39" s="419" t="s">
        <v>845</v>
      </c>
      <c r="AB39" s="420">
        <v>43745</v>
      </c>
      <c r="AC39" s="420">
        <v>43921</v>
      </c>
      <c r="AD39" s="5">
        <v>1</v>
      </c>
      <c r="AE39" s="347" t="s">
        <v>17</v>
      </c>
      <c r="AF39" s="392" t="s">
        <v>936</v>
      </c>
      <c r="AG39" s="387"/>
    </row>
    <row r="40" spans="1:34" ht="60.75" customHeight="1">
      <c r="A40" s="719"/>
      <c r="B40" s="632"/>
      <c r="C40" s="632">
        <v>10</v>
      </c>
      <c r="D40" s="722" t="s">
        <v>846</v>
      </c>
      <c r="E40" s="723"/>
      <c r="F40" s="731">
        <v>43726</v>
      </c>
      <c r="G40" s="731" t="s">
        <v>28</v>
      </c>
      <c r="H40" s="632" t="s">
        <v>23</v>
      </c>
      <c r="I40" s="736" t="s">
        <v>162</v>
      </c>
      <c r="J40" s="737"/>
      <c r="K40" s="737"/>
      <c r="L40" s="737"/>
      <c r="M40" s="737"/>
      <c r="N40" s="738"/>
      <c r="O40" s="736" t="s">
        <v>162</v>
      </c>
      <c r="P40" s="737"/>
      <c r="Q40" s="737"/>
      <c r="R40" s="738"/>
      <c r="S40" s="122"/>
      <c r="T40" s="736" t="s">
        <v>162</v>
      </c>
      <c r="U40" s="738"/>
      <c r="V40" s="656" t="s">
        <v>847</v>
      </c>
      <c r="W40" s="986" t="s">
        <v>848</v>
      </c>
      <c r="X40" s="987"/>
      <c r="Y40" s="988"/>
      <c r="Z40" s="350" t="s">
        <v>849</v>
      </c>
      <c r="AA40" s="313">
        <v>1</v>
      </c>
      <c r="AB40" s="108">
        <v>43739</v>
      </c>
      <c r="AC40" s="108">
        <v>43768</v>
      </c>
      <c r="AD40" s="168">
        <v>1</v>
      </c>
      <c r="AE40" s="337" t="s">
        <v>17</v>
      </c>
      <c r="AF40" s="248" t="s">
        <v>850</v>
      </c>
      <c r="AG40" s="421"/>
      <c r="AH40" s="422"/>
    </row>
    <row r="41" spans="1:34" ht="78.75" customHeight="1">
      <c r="A41" s="720"/>
      <c r="B41" s="633"/>
      <c r="C41" s="633"/>
      <c r="D41" s="724"/>
      <c r="E41" s="725"/>
      <c r="F41" s="732"/>
      <c r="G41" s="732"/>
      <c r="H41" s="633"/>
      <c r="I41" s="739"/>
      <c r="J41" s="740"/>
      <c r="K41" s="740"/>
      <c r="L41" s="740"/>
      <c r="M41" s="740"/>
      <c r="N41" s="741"/>
      <c r="O41" s="739"/>
      <c r="P41" s="740"/>
      <c r="Q41" s="740"/>
      <c r="R41" s="741"/>
      <c r="S41" s="423"/>
      <c r="T41" s="739"/>
      <c r="U41" s="741"/>
      <c r="V41" s="657"/>
      <c r="W41" s="986" t="s">
        <v>851</v>
      </c>
      <c r="X41" s="987"/>
      <c r="Y41" s="988"/>
      <c r="Z41" s="350" t="s">
        <v>852</v>
      </c>
      <c r="AA41" s="350" t="s">
        <v>853</v>
      </c>
      <c r="AB41" s="108">
        <v>43739</v>
      </c>
      <c r="AC41" s="108">
        <v>43768</v>
      </c>
      <c r="AD41" s="348">
        <v>1</v>
      </c>
      <c r="AE41" s="347" t="s">
        <v>17</v>
      </c>
      <c r="AF41" s="424" t="s">
        <v>854</v>
      </c>
      <c r="AG41" s="425"/>
      <c r="AH41" s="426"/>
    </row>
    <row r="42" spans="1:34" ht="64.5" customHeight="1">
      <c r="A42" s="720"/>
      <c r="B42" s="633"/>
      <c r="C42" s="633"/>
      <c r="D42" s="724"/>
      <c r="E42" s="725"/>
      <c r="F42" s="732"/>
      <c r="G42" s="732"/>
      <c r="H42" s="633"/>
      <c r="I42" s="739"/>
      <c r="J42" s="740"/>
      <c r="K42" s="740"/>
      <c r="L42" s="740"/>
      <c r="M42" s="740"/>
      <c r="N42" s="741"/>
      <c r="O42" s="739"/>
      <c r="P42" s="740"/>
      <c r="Q42" s="740"/>
      <c r="R42" s="741"/>
      <c r="S42" s="423"/>
      <c r="T42" s="739"/>
      <c r="U42" s="741"/>
      <c r="V42" s="657"/>
      <c r="W42" s="986" t="s">
        <v>855</v>
      </c>
      <c r="X42" s="987"/>
      <c r="Y42" s="988"/>
      <c r="Z42" s="350" t="s">
        <v>856</v>
      </c>
      <c r="AA42" s="350" t="s">
        <v>857</v>
      </c>
      <c r="AB42" s="108">
        <v>43739</v>
      </c>
      <c r="AC42" s="108">
        <v>43768</v>
      </c>
      <c r="AD42" s="348">
        <v>1</v>
      </c>
      <c r="AE42" s="347" t="s">
        <v>17</v>
      </c>
      <c r="AF42" s="424" t="s">
        <v>858</v>
      </c>
      <c r="AG42" s="425"/>
      <c r="AH42" s="426"/>
    </row>
    <row r="43" spans="1:34" ht="70.5" customHeight="1" thickBot="1">
      <c r="A43" s="721"/>
      <c r="B43" s="634"/>
      <c r="C43" s="634"/>
      <c r="D43" s="726"/>
      <c r="E43" s="727"/>
      <c r="F43" s="733"/>
      <c r="G43" s="733"/>
      <c r="H43" s="634"/>
      <c r="I43" s="742"/>
      <c r="J43" s="743"/>
      <c r="K43" s="743"/>
      <c r="L43" s="743"/>
      <c r="M43" s="743"/>
      <c r="N43" s="744"/>
      <c r="O43" s="742"/>
      <c r="P43" s="743"/>
      <c r="Q43" s="743"/>
      <c r="R43" s="744"/>
      <c r="S43" s="110"/>
      <c r="T43" s="742"/>
      <c r="U43" s="744"/>
      <c r="V43" s="658"/>
      <c r="W43" s="995" t="s">
        <v>937</v>
      </c>
      <c r="X43" s="996"/>
      <c r="Y43" s="997"/>
      <c r="Z43" s="351" t="s">
        <v>859</v>
      </c>
      <c r="AA43" s="351" t="s">
        <v>860</v>
      </c>
      <c r="AB43" s="113">
        <v>43862</v>
      </c>
      <c r="AC43" s="113">
        <v>44012</v>
      </c>
      <c r="AD43" s="114">
        <v>1</v>
      </c>
      <c r="AE43" s="340" t="s">
        <v>17</v>
      </c>
      <c r="AF43" s="427" t="s">
        <v>938</v>
      </c>
      <c r="AG43" s="425"/>
      <c r="AH43" s="426"/>
    </row>
    <row r="44" spans="1:34" ht="17.25" customHeight="1">
      <c r="A44" s="643"/>
      <c r="B44" s="643"/>
      <c r="C44" s="643"/>
      <c r="D44" s="643"/>
      <c r="E44" s="643"/>
      <c r="F44" s="643"/>
      <c r="G44" s="643"/>
      <c r="H44" s="643"/>
      <c r="I44" s="643"/>
      <c r="J44" s="643"/>
      <c r="K44" s="643"/>
      <c r="L44" s="643"/>
      <c r="M44" s="643"/>
      <c r="N44" s="643"/>
      <c r="O44" s="643"/>
      <c r="P44" s="643"/>
      <c r="Q44" s="643"/>
      <c r="R44" s="643"/>
      <c r="S44" s="643"/>
      <c r="T44" s="643"/>
      <c r="U44" s="643"/>
      <c r="V44" s="643"/>
      <c r="W44" s="643"/>
      <c r="X44" s="643"/>
      <c r="Y44" s="643"/>
      <c r="Z44" s="643"/>
      <c r="AA44" s="643"/>
      <c r="AB44" s="643"/>
      <c r="AC44" s="643"/>
      <c r="AD44" s="643"/>
      <c r="AE44" s="643"/>
      <c r="AF44" s="643"/>
    </row>
    <row r="45" spans="1:34">
      <c r="A45" s="644" t="s">
        <v>22</v>
      </c>
      <c r="B45" s="644"/>
      <c r="C45" s="644"/>
      <c r="D45" s="644"/>
      <c r="E45" s="644"/>
      <c r="F45" s="644"/>
      <c r="G45" s="644"/>
      <c r="H45" s="644"/>
      <c r="I45" s="644"/>
      <c r="J45" s="644"/>
      <c r="K45" s="644"/>
      <c r="L45" s="4"/>
      <c r="M45" s="4"/>
      <c r="N45" s="645" t="s">
        <v>34</v>
      </c>
      <c r="O45" s="645"/>
      <c r="P45" s="645"/>
      <c r="Q45" s="645"/>
      <c r="R45" s="645"/>
      <c r="S45" s="645"/>
      <c r="T45" s="645"/>
      <c r="U45" s="645"/>
      <c r="V45" s="645"/>
      <c r="W45" s="645"/>
      <c r="X45" s="645"/>
      <c r="Y45" s="645"/>
      <c r="Z45" s="645"/>
      <c r="AA45" s="645"/>
      <c r="AB45" s="645"/>
      <c r="AC45" s="646" t="s">
        <v>35</v>
      </c>
      <c r="AD45" s="646"/>
      <c r="AE45" s="646"/>
      <c r="AF45" s="646"/>
    </row>
    <row r="46" spans="1:34" ht="38.25" customHeight="1">
      <c r="A46" s="644"/>
      <c r="B46" s="644"/>
      <c r="C46" s="644"/>
      <c r="D46" s="644"/>
      <c r="E46" s="644"/>
      <c r="F46" s="644"/>
      <c r="G46" s="644"/>
      <c r="H46" s="644"/>
      <c r="I46" s="644"/>
      <c r="J46" s="644"/>
      <c r="K46" s="644"/>
      <c r="L46" s="4"/>
      <c r="M46" s="4"/>
      <c r="N46" s="645"/>
      <c r="O46" s="645"/>
      <c r="P46" s="645"/>
      <c r="Q46" s="645"/>
      <c r="R46" s="645"/>
      <c r="S46" s="645"/>
      <c r="T46" s="645"/>
      <c r="U46" s="645"/>
      <c r="V46" s="645"/>
      <c r="W46" s="645"/>
      <c r="X46" s="645"/>
      <c r="Y46" s="645"/>
      <c r="Z46" s="645"/>
      <c r="AA46" s="645"/>
      <c r="AB46" s="645"/>
      <c r="AC46" s="646"/>
      <c r="AD46" s="646"/>
      <c r="AE46" s="646"/>
      <c r="AF46" s="646"/>
    </row>
    <row r="47" spans="1:34" ht="37.5" customHeight="1">
      <c r="A47" s="854" t="s">
        <v>701</v>
      </c>
      <c r="B47" s="694"/>
      <c r="C47" s="694"/>
      <c r="D47" s="694"/>
      <c r="E47" s="694"/>
      <c r="F47" s="694"/>
      <c r="G47" s="694"/>
      <c r="H47" s="694"/>
      <c r="I47" s="694"/>
      <c r="J47" s="694"/>
      <c r="K47" s="694"/>
      <c r="L47" s="4"/>
      <c r="M47" s="4"/>
      <c r="N47" s="852" t="s">
        <v>702</v>
      </c>
      <c r="O47" s="852"/>
      <c r="P47" s="852"/>
      <c r="Q47" s="852"/>
      <c r="R47" s="852"/>
      <c r="S47" s="852"/>
      <c r="T47" s="852"/>
      <c r="U47" s="852"/>
      <c r="V47" s="852"/>
      <c r="W47" s="852"/>
      <c r="X47" s="852"/>
      <c r="Y47" s="852"/>
      <c r="Z47" s="852"/>
      <c r="AA47" s="852"/>
      <c r="AB47" s="852"/>
      <c r="AC47" s="853" t="s">
        <v>460</v>
      </c>
      <c r="AD47" s="853"/>
      <c r="AE47" s="853"/>
      <c r="AF47" s="853"/>
    </row>
    <row r="48" spans="1:34" ht="15.75" customHeight="1">
      <c r="A48" s="641" t="s">
        <v>36</v>
      </c>
      <c r="B48" s="641"/>
      <c r="C48" s="641"/>
      <c r="D48" s="641"/>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641"/>
      <c r="AC48" s="641"/>
      <c r="AD48" s="641"/>
      <c r="AE48" s="641"/>
      <c r="AF48" s="641"/>
      <c r="AG48" s="331"/>
    </row>
    <row r="49" spans="1:35" ht="22.5" customHeight="1">
      <c r="A49" s="331"/>
      <c r="B49" s="331"/>
      <c r="C49" s="331"/>
      <c r="D49" s="331"/>
      <c r="E49" s="331"/>
      <c r="F49" s="331"/>
      <c r="G49" s="331"/>
      <c r="H49" s="331"/>
      <c r="I49" s="331"/>
      <c r="J49" s="331"/>
      <c r="K49" s="331"/>
      <c r="L49" s="331"/>
      <c r="M49" s="331"/>
      <c r="N49" s="331"/>
      <c r="O49" s="331"/>
      <c r="P49" s="331"/>
      <c r="Q49" s="331"/>
      <c r="R49" s="331"/>
      <c r="S49" s="331"/>
      <c r="T49" s="331"/>
      <c r="U49" s="331"/>
      <c r="V49" s="331"/>
      <c r="W49" s="331"/>
      <c r="X49" s="331"/>
      <c r="Y49" s="331"/>
      <c r="Z49" s="331"/>
      <c r="AA49" s="331"/>
      <c r="AB49" s="331"/>
      <c r="AC49" s="331"/>
      <c r="AD49" s="331"/>
      <c r="AE49" s="331"/>
      <c r="AF49" s="331"/>
      <c r="AG49" s="8"/>
      <c r="AH49" s="8"/>
    </row>
    <row r="50" spans="1:35">
      <c r="A50" s="642"/>
      <c r="B50" s="642"/>
      <c r="C50" s="642"/>
      <c r="D50" s="642"/>
      <c r="E50" s="642"/>
      <c r="F50" s="642"/>
      <c r="G50" s="642"/>
      <c r="H50" s="642"/>
      <c r="I50" s="642"/>
      <c r="J50" s="642"/>
      <c r="K50" s="642"/>
      <c r="L50" s="642"/>
      <c r="M50" s="642"/>
      <c r="N50" s="642"/>
      <c r="O50" s="642"/>
      <c r="P50" s="642"/>
      <c r="Q50" s="642"/>
      <c r="R50" s="642"/>
      <c r="S50" s="642"/>
      <c r="T50" s="642"/>
      <c r="U50" s="642"/>
      <c r="V50" s="642"/>
      <c r="W50" s="642"/>
      <c r="X50" s="642"/>
      <c r="Y50" s="642"/>
      <c r="Z50" s="642"/>
      <c r="AA50" s="642"/>
      <c r="AB50" s="642"/>
      <c r="AC50" s="642"/>
      <c r="AD50" s="642"/>
      <c r="AE50" s="642"/>
      <c r="AF50" s="642"/>
    </row>
    <row r="52" spans="1:35" ht="24.75" customHeight="1">
      <c r="AI52" s="6" t="s">
        <v>38</v>
      </c>
    </row>
    <row r="53" spans="1:35" ht="24.75" customHeight="1">
      <c r="AI53" s="6" t="s">
        <v>10</v>
      </c>
    </row>
    <row r="54" spans="1:35" ht="24.75" customHeight="1">
      <c r="AI54" s="6" t="s">
        <v>42</v>
      </c>
    </row>
    <row r="55" spans="1:35" ht="24.75" customHeight="1">
      <c r="AI55" s="6" t="s">
        <v>43</v>
      </c>
    </row>
    <row r="56" spans="1:35" ht="24.75" customHeight="1">
      <c r="AI56" s="6" t="s">
        <v>44</v>
      </c>
    </row>
    <row r="57" spans="1:35" ht="24.75" customHeight="1">
      <c r="AI57" s="6" t="s">
        <v>26</v>
      </c>
    </row>
    <row r="58" spans="1:35" ht="24.75" customHeight="1">
      <c r="AI58" s="6" t="s">
        <v>27</v>
      </c>
    </row>
    <row r="59" spans="1:35" ht="24.75" customHeight="1">
      <c r="AI59" s="6" t="s">
        <v>28</v>
      </c>
    </row>
    <row r="60" spans="1:35" ht="24.75" customHeight="1">
      <c r="AI60" s="6" t="s">
        <v>30</v>
      </c>
    </row>
    <row r="61" spans="1:35" ht="24.75" customHeight="1">
      <c r="AI61" s="6" t="s">
        <v>29</v>
      </c>
    </row>
    <row r="62" spans="1:35" ht="24.75" customHeight="1">
      <c r="AI62" s="6" t="s">
        <v>31</v>
      </c>
    </row>
    <row r="63" spans="1:35" ht="24.75" customHeight="1">
      <c r="AI63" s="6" t="s">
        <v>32</v>
      </c>
    </row>
    <row r="64" spans="1:35" ht="51">
      <c r="AI64" s="6" t="s">
        <v>33</v>
      </c>
    </row>
  </sheetData>
  <mergeCells count="177">
    <mergeCell ref="W39:Y39"/>
    <mergeCell ref="V40:V43"/>
    <mergeCell ref="W40:Y40"/>
    <mergeCell ref="W41:Y41"/>
    <mergeCell ref="W42:Y42"/>
    <mergeCell ref="W43:Y43"/>
    <mergeCell ref="G40:G43"/>
    <mergeCell ref="H40:H43"/>
    <mergeCell ref="I40:N43"/>
    <mergeCell ref="O40:R43"/>
    <mergeCell ref="T40:U43"/>
    <mergeCell ref="T33:U35"/>
    <mergeCell ref="V33:V35"/>
    <mergeCell ref="W33:Y33"/>
    <mergeCell ref="W34:Y34"/>
    <mergeCell ref="A40:A43"/>
    <mergeCell ref="B40:B43"/>
    <mergeCell ref="C40:C43"/>
    <mergeCell ref="D40:E43"/>
    <mergeCell ref="F40:F43"/>
    <mergeCell ref="W35:Y35"/>
    <mergeCell ref="A36:A39"/>
    <mergeCell ref="B36:B39"/>
    <mergeCell ref="C36:C39"/>
    <mergeCell ref="D36:E39"/>
    <mergeCell ref="F36:F39"/>
    <mergeCell ref="G36:G39"/>
    <mergeCell ref="H36:H39"/>
    <mergeCell ref="I36:N39"/>
    <mergeCell ref="O36:R39"/>
    <mergeCell ref="T36:U39"/>
    <mergeCell ref="V36:V39"/>
    <mergeCell ref="W36:Y36"/>
    <mergeCell ref="W37:Y37"/>
    <mergeCell ref="W38:Y38"/>
    <mergeCell ref="A33:A35"/>
    <mergeCell ref="B33:B35"/>
    <mergeCell ref="C33:C35"/>
    <mergeCell ref="D33:E35"/>
    <mergeCell ref="F33:F35"/>
    <mergeCell ref="G33:G35"/>
    <mergeCell ref="H33:H35"/>
    <mergeCell ref="I33:N35"/>
    <mergeCell ref="O33:R35"/>
    <mergeCell ref="T29:U32"/>
    <mergeCell ref="V29:V32"/>
    <mergeCell ref="W29:Y29"/>
    <mergeCell ref="G26:G28"/>
    <mergeCell ref="H26:H28"/>
    <mergeCell ref="I26:N28"/>
    <mergeCell ref="O26:R28"/>
    <mergeCell ref="T26:U28"/>
    <mergeCell ref="A26:A28"/>
    <mergeCell ref="B26:B28"/>
    <mergeCell ref="C26:C28"/>
    <mergeCell ref="W30:Y30"/>
    <mergeCell ref="W31:Y31"/>
    <mergeCell ref="W32:Y32"/>
    <mergeCell ref="A29:A32"/>
    <mergeCell ref="B29:B32"/>
    <mergeCell ref="C29:C32"/>
    <mergeCell ref="D29:E32"/>
    <mergeCell ref="F29:F32"/>
    <mergeCell ref="G29:G32"/>
    <mergeCell ref="H29:H32"/>
    <mergeCell ref="I29:N32"/>
    <mergeCell ref="O29:R32"/>
    <mergeCell ref="D18:E20"/>
    <mergeCell ref="F18:F20"/>
    <mergeCell ref="D26:E28"/>
    <mergeCell ref="F26:F28"/>
    <mergeCell ref="V22:V25"/>
    <mergeCell ref="W22:Y22"/>
    <mergeCell ref="W23:Y23"/>
    <mergeCell ref="W24:Y24"/>
    <mergeCell ref="W25:Y25"/>
    <mergeCell ref="G22:G25"/>
    <mergeCell ref="H22:H25"/>
    <mergeCell ref="I22:N25"/>
    <mergeCell ref="O22:R25"/>
    <mergeCell ref="T22:U25"/>
    <mergeCell ref="V26:V28"/>
    <mergeCell ref="W26:Y26"/>
    <mergeCell ref="W27:Y27"/>
    <mergeCell ref="W28:Y28"/>
    <mergeCell ref="O13:R17"/>
    <mergeCell ref="T13:U17"/>
    <mergeCell ref="A22:A25"/>
    <mergeCell ref="B22:B25"/>
    <mergeCell ref="C22:C25"/>
    <mergeCell ref="D22:E25"/>
    <mergeCell ref="F22:F25"/>
    <mergeCell ref="V18:V20"/>
    <mergeCell ref="W18:Y18"/>
    <mergeCell ref="W19:Y19"/>
    <mergeCell ref="W20:Y20"/>
    <mergeCell ref="D21:E21"/>
    <mergeCell ref="I21:N21"/>
    <mergeCell ref="O21:R21"/>
    <mergeCell ref="T21:U21"/>
    <mergeCell ref="W21:Y21"/>
    <mergeCell ref="G18:G20"/>
    <mergeCell ref="H18:H20"/>
    <mergeCell ref="I18:N20"/>
    <mergeCell ref="O18:R20"/>
    <mergeCell ref="T18:U20"/>
    <mergeCell ref="A18:A20"/>
    <mergeCell ref="B18:B20"/>
    <mergeCell ref="C18:C20"/>
    <mergeCell ref="AB6:AC6"/>
    <mergeCell ref="A13:A17"/>
    <mergeCell ref="B13:B17"/>
    <mergeCell ref="C13:C17"/>
    <mergeCell ref="D13:E17"/>
    <mergeCell ref="F13:F17"/>
    <mergeCell ref="A4:D4"/>
    <mergeCell ref="E4:U4"/>
    <mergeCell ref="V4:W4"/>
    <mergeCell ref="X4:AC4"/>
    <mergeCell ref="B8:B12"/>
    <mergeCell ref="C8:C12"/>
    <mergeCell ref="D8:E12"/>
    <mergeCell ref="F8:F12"/>
    <mergeCell ref="I7:N7"/>
    <mergeCell ref="V13:V17"/>
    <mergeCell ref="W13:Y13"/>
    <mergeCell ref="W14:Y14"/>
    <mergeCell ref="W15:Y15"/>
    <mergeCell ref="W16:Y16"/>
    <mergeCell ref="W17:Y17"/>
    <mergeCell ref="G13:G17"/>
    <mergeCell ref="H13:H17"/>
    <mergeCell ref="I13:N17"/>
    <mergeCell ref="A8:A12"/>
    <mergeCell ref="AD4:AE4"/>
    <mergeCell ref="A1:B2"/>
    <mergeCell ref="C1:AE1"/>
    <mergeCell ref="AF1:AF2"/>
    <mergeCell ref="C2:AE2"/>
    <mergeCell ref="A3:AF3"/>
    <mergeCell ref="AD6:AD7"/>
    <mergeCell ref="AE6:AE7"/>
    <mergeCell ref="AF6:AF7"/>
    <mergeCell ref="A5:AF5"/>
    <mergeCell ref="A6:B6"/>
    <mergeCell ref="C6:C7"/>
    <mergeCell ref="D6:E7"/>
    <mergeCell ref="F6:F7"/>
    <mergeCell ref="G6:G7"/>
    <mergeCell ref="H6:H7"/>
    <mergeCell ref="I6:U6"/>
    <mergeCell ref="V6:V7"/>
    <mergeCell ref="W6:Y7"/>
    <mergeCell ref="O7:S7"/>
    <mergeCell ref="T7:U7"/>
    <mergeCell ref="Z6:Z7"/>
    <mergeCell ref="AA6:AA7"/>
    <mergeCell ref="W8:Y8"/>
    <mergeCell ref="W9:Y9"/>
    <mergeCell ref="W10:Y10"/>
    <mergeCell ref="W11:Y11"/>
    <mergeCell ref="W12:Y12"/>
    <mergeCell ref="G8:G12"/>
    <mergeCell ref="H8:H12"/>
    <mergeCell ref="I8:N12"/>
    <mergeCell ref="O8:R12"/>
    <mergeCell ref="T8:U12"/>
    <mergeCell ref="V8:V12"/>
    <mergeCell ref="A47:K47"/>
    <mergeCell ref="N47:AB47"/>
    <mergeCell ref="AC47:AF47"/>
    <mergeCell ref="A48:AF48"/>
    <mergeCell ref="A50:AF50"/>
    <mergeCell ref="A44:AF44"/>
    <mergeCell ref="A45:K46"/>
    <mergeCell ref="N45:AB46"/>
    <mergeCell ref="AC45:AF46"/>
  </mergeCells>
  <conditionalFormatting sqref="AD8:AD12">
    <cfRule type="cellIs" dxfId="273" priority="129" operator="between">
      <formula>0.001</formula>
      <formula>0.99</formula>
    </cfRule>
    <cfRule type="cellIs" dxfId="272" priority="130" operator="equal">
      <formula>1</formula>
    </cfRule>
    <cfRule type="cellIs" dxfId="271" priority="131" operator="equal">
      <formula>0</formula>
    </cfRule>
  </conditionalFormatting>
  <conditionalFormatting sqref="AD8:AD12">
    <cfRule type="cellIs" dxfId="270" priority="132" operator="between">
      <formula>0.01</formula>
      <formula>0.99</formula>
    </cfRule>
    <cfRule type="cellIs" dxfId="269" priority="133" operator="equal">
      <formula>1</formula>
    </cfRule>
    <cfRule type="cellIs" dxfId="268" priority="134" operator="equal">
      <formula>0</formula>
    </cfRule>
  </conditionalFormatting>
  <conditionalFormatting sqref="AA8:AA12">
    <cfRule type="cellIs" dxfId="267" priority="119" stopIfTrue="1" operator="greaterThan">
      <formula>#REF!</formula>
    </cfRule>
    <cfRule type="cellIs" dxfId="266" priority="120" stopIfTrue="1" operator="lessThan">
      <formula>#REF!</formula>
    </cfRule>
  </conditionalFormatting>
  <conditionalFormatting sqref="AD21:AD25">
    <cfRule type="cellIs" dxfId="265" priority="89" operator="between">
      <formula>0.001</formula>
      <formula>0.99</formula>
    </cfRule>
    <cfRule type="cellIs" dxfId="264" priority="90" operator="equal">
      <formula>1</formula>
    </cfRule>
    <cfRule type="cellIs" dxfId="263" priority="91" operator="equal">
      <formula>0</formula>
    </cfRule>
  </conditionalFormatting>
  <conditionalFormatting sqref="AD21:AD25">
    <cfRule type="cellIs" dxfId="262" priority="92" operator="between">
      <formula>0.01</formula>
      <formula>0.99</formula>
    </cfRule>
    <cfRule type="cellIs" dxfId="261" priority="93" operator="equal">
      <formula>1</formula>
    </cfRule>
    <cfRule type="cellIs" dxfId="260" priority="94" operator="equal">
      <formula>0</formula>
    </cfRule>
  </conditionalFormatting>
  <conditionalFormatting sqref="AA21 AA13 AA18">
    <cfRule type="cellIs" dxfId="259" priority="87" stopIfTrue="1" operator="greaterThan">
      <formula>#REF!</formula>
    </cfRule>
    <cfRule type="cellIs" dxfId="258" priority="88" stopIfTrue="1" operator="lessThan">
      <formula>#REF!</formula>
    </cfRule>
  </conditionalFormatting>
  <conditionalFormatting sqref="AA20">
    <cfRule type="cellIs" dxfId="257" priority="85" stopIfTrue="1" operator="greaterThan">
      <formula>#REF!</formula>
    </cfRule>
    <cfRule type="cellIs" dxfId="256" priority="86" stopIfTrue="1" operator="lessThan">
      <formula>#REF!</formula>
    </cfRule>
  </conditionalFormatting>
  <conditionalFormatting sqref="AA16:AA17">
    <cfRule type="cellIs" dxfId="255" priority="83" stopIfTrue="1" operator="greaterThan">
      <formula>#REF!</formula>
    </cfRule>
    <cfRule type="cellIs" dxfId="254" priority="84" stopIfTrue="1" operator="lessThan">
      <formula>#REF!</formula>
    </cfRule>
  </conditionalFormatting>
  <conditionalFormatting sqref="AD18">
    <cfRule type="cellIs" dxfId="253" priority="45" operator="between">
      <formula>0.001</formula>
      <formula>0.99</formula>
    </cfRule>
    <cfRule type="cellIs" dxfId="252" priority="46" operator="equal">
      <formula>1</formula>
    </cfRule>
    <cfRule type="cellIs" dxfId="251" priority="47" operator="equal">
      <formula>0</formula>
    </cfRule>
  </conditionalFormatting>
  <conditionalFormatting sqref="AD18">
    <cfRule type="cellIs" dxfId="250" priority="48" operator="between">
      <formula>0.01</formula>
      <formula>0.99</formula>
    </cfRule>
    <cfRule type="cellIs" dxfId="249" priority="49" operator="equal">
      <formula>1</formula>
    </cfRule>
    <cfRule type="cellIs" dxfId="248" priority="50" operator="equal">
      <formula>0</formula>
    </cfRule>
  </conditionalFormatting>
  <conditionalFormatting sqref="AA14:AA15">
    <cfRule type="cellIs" dxfId="247" priority="81" stopIfTrue="1" operator="greaterThan">
      <formula>#REF!</formula>
    </cfRule>
    <cfRule type="cellIs" dxfId="246" priority="82" stopIfTrue="1" operator="lessThan">
      <formula>#REF!</formula>
    </cfRule>
  </conditionalFormatting>
  <conditionalFormatting sqref="AA19">
    <cfRule type="cellIs" dxfId="245" priority="79" stopIfTrue="1" operator="greaterThan">
      <formula>#REF!</formula>
    </cfRule>
    <cfRule type="cellIs" dxfId="244" priority="80" stopIfTrue="1" operator="lessThan">
      <formula>#REF!</formula>
    </cfRule>
  </conditionalFormatting>
  <conditionalFormatting sqref="AA40:AA43">
    <cfRule type="cellIs" dxfId="243" priority="77" stopIfTrue="1" operator="greaterThan">
      <formula>#REF!</formula>
    </cfRule>
    <cfRule type="cellIs" dxfId="242" priority="78" stopIfTrue="1" operator="lessThan">
      <formula>#REF!</formula>
    </cfRule>
  </conditionalFormatting>
  <conditionalFormatting sqref="AA22:AA25">
    <cfRule type="cellIs" dxfId="241" priority="75" stopIfTrue="1" operator="greaterThan">
      <formula>#REF!</formula>
    </cfRule>
    <cfRule type="cellIs" dxfId="240" priority="76" stopIfTrue="1" operator="lessThan">
      <formula>#REF!</formula>
    </cfRule>
  </conditionalFormatting>
  <conditionalFormatting sqref="AA29:AA32">
    <cfRule type="cellIs" dxfId="239" priority="73" stopIfTrue="1" operator="greaterThan">
      <formula>#REF!</formula>
    </cfRule>
    <cfRule type="cellIs" dxfId="238" priority="74" stopIfTrue="1" operator="lessThan">
      <formula>#REF!</formula>
    </cfRule>
  </conditionalFormatting>
  <conditionalFormatting sqref="AA36:AA39">
    <cfRule type="cellIs" dxfId="237" priority="71" stopIfTrue="1" operator="greaterThan">
      <formula>#REF!</formula>
    </cfRule>
    <cfRule type="cellIs" dxfId="236" priority="72" stopIfTrue="1" operator="lessThan">
      <formula>#REF!</formula>
    </cfRule>
  </conditionalFormatting>
  <conditionalFormatting sqref="AA33:AA35">
    <cfRule type="cellIs" dxfId="235" priority="69" stopIfTrue="1" operator="greaterThan">
      <formula>#REF!</formula>
    </cfRule>
    <cfRule type="cellIs" dxfId="234" priority="70" stopIfTrue="1" operator="lessThan">
      <formula>#REF!</formula>
    </cfRule>
  </conditionalFormatting>
  <conditionalFormatting sqref="AD13">
    <cfRule type="cellIs" dxfId="233" priority="63" operator="between">
      <formula>0.001</formula>
      <formula>0.99</formula>
    </cfRule>
    <cfRule type="cellIs" dxfId="232" priority="64" operator="equal">
      <formula>1</formula>
    </cfRule>
    <cfRule type="cellIs" dxfId="231" priority="65" operator="equal">
      <formula>0</formula>
    </cfRule>
  </conditionalFormatting>
  <conditionalFormatting sqref="AD13">
    <cfRule type="cellIs" dxfId="230" priority="66" operator="between">
      <formula>0.01</formula>
      <formula>0.99</formula>
    </cfRule>
    <cfRule type="cellIs" dxfId="229" priority="67" operator="equal">
      <formula>1</formula>
    </cfRule>
    <cfRule type="cellIs" dxfId="228" priority="68" operator="equal">
      <formula>0</formula>
    </cfRule>
  </conditionalFormatting>
  <conditionalFormatting sqref="AD16:AD17">
    <cfRule type="cellIs" dxfId="227" priority="57" operator="between">
      <formula>0.001</formula>
      <formula>0.99</formula>
    </cfRule>
    <cfRule type="cellIs" dxfId="226" priority="58" operator="equal">
      <formula>1</formula>
    </cfRule>
    <cfRule type="cellIs" dxfId="225" priority="59" operator="equal">
      <formula>0</formula>
    </cfRule>
  </conditionalFormatting>
  <conditionalFormatting sqref="AD16:AD17">
    <cfRule type="cellIs" dxfId="224" priority="60" operator="between">
      <formula>0.01</formula>
      <formula>0.99</formula>
    </cfRule>
    <cfRule type="cellIs" dxfId="223" priority="61" operator="equal">
      <formula>1</formula>
    </cfRule>
    <cfRule type="cellIs" dxfId="222" priority="62" operator="equal">
      <formula>0</formula>
    </cfRule>
  </conditionalFormatting>
  <conditionalFormatting sqref="AD14:AD15">
    <cfRule type="cellIs" dxfId="221" priority="51" operator="between">
      <formula>0.001</formula>
      <formula>0.99</formula>
    </cfRule>
    <cfRule type="cellIs" dxfId="220" priority="52" operator="equal">
      <formula>1</formula>
    </cfRule>
    <cfRule type="cellIs" dxfId="219" priority="53" operator="equal">
      <formula>0</formula>
    </cfRule>
  </conditionalFormatting>
  <conditionalFormatting sqref="AD14:AD15">
    <cfRule type="cellIs" dxfId="218" priority="54" operator="between">
      <formula>0.01</formula>
      <formula>0.99</formula>
    </cfRule>
    <cfRule type="cellIs" dxfId="217" priority="55" operator="equal">
      <formula>1</formula>
    </cfRule>
    <cfRule type="cellIs" dxfId="216" priority="56" operator="equal">
      <formula>0</formula>
    </cfRule>
  </conditionalFormatting>
  <conditionalFormatting sqref="AD20">
    <cfRule type="cellIs" dxfId="215" priority="39" operator="between">
      <formula>0.001</formula>
      <formula>0.99</formula>
    </cfRule>
    <cfRule type="cellIs" dxfId="214" priority="40" operator="equal">
      <formula>1</formula>
    </cfRule>
    <cfRule type="cellIs" dxfId="213" priority="41" operator="equal">
      <formula>0</formula>
    </cfRule>
  </conditionalFormatting>
  <conditionalFormatting sqref="AD20">
    <cfRule type="cellIs" dxfId="212" priority="42" operator="between">
      <formula>0.01</formula>
      <formula>0.99</formula>
    </cfRule>
    <cfRule type="cellIs" dxfId="211" priority="43" operator="equal">
      <formula>1</formula>
    </cfRule>
    <cfRule type="cellIs" dxfId="210" priority="44" operator="equal">
      <formula>0</formula>
    </cfRule>
  </conditionalFormatting>
  <conditionalFormatting sqref="AD19">
    <cfRule type="cellIs" dxfId="209" priority="33" operator="between">
      <formula>0.001</formula>
      <formula>0.99</formula>
    </cfRule>
    <cfRule type="cellIs" dxfId="208" priority="34" operator="equal">
      <formula>1</formula>
    </cfRule>
    <cfRule type="cellIs" dxfId="207" priority="35" operator="equal">
      <formula>0</formula>
    </cfRule>
  </conditionalFormatting>
  <conditionalFormatting sqref="AD19">
    <cfRule type="cellIs" dxfId="206" priority="36" operator="between">
      <formula>0.01</formula>
      <formula>0.99</formula>
    </cfRule>
    <cfRule type="cellIs" dxfId="205" priority="37" operator="equal">
      <formula>1</formula>
    </cfRule>
    <cfRule type="cellIs" dxfId="204" priority="38" operator="equal">
      <formula>0</formula>
    </cfRule>
  </conditionalFormatting>
  <conditionalFormatting sqref="AD26:AD28">
    <cfRule type="cellIs" dxfId="203" priority="27" operator="between">
      <formula>0.001</formula>
      <formula>0.99</formula>
    </cfRule>
    <cfRule type="cellIs" dxfId="202" priority="28" operator="equal">
      <formula>1</formula>
    </cfRule>
    <cfRule type="cellIs" dxfId="201" priority="29" operator="equal">
      <formula>0</formula>
    </cfRule>
  </conditionalFormatting>
  <conditionalFormatting sqref="AD26:AD28">
    <cfRule type="cellIs" dxfId="200" priority="30" operator="between">
      <formula>0.01</formula>
      <formula>0.99</formula>
    </cfRule>
    <cfRule type="cellIs" dxfId="199" priority="31" operator="equal">
      <formula>1</formula>
    </cfRule>
    <cfRule type="cellIs" dxfId="198" priority="32" operator="equal">
      <formula>0</formula>
    </cfRule>
  </conditionalFormatting>
  <conditionalFormatting sqref="AA26:AA28">
    <cfRule type="cellIs" dxfId="197" priority="25" stopIfTrue="1" operator="greaterThan">
      <formula>#REF!</formula>
    </cfRule>
    <cfRule type="cellIs" dxfId="196" priority="26" stopIfTrue="1" operator="lessThan">
      <formula>#REF!</formula>
    </cfRule>
  </conditionalFormatting>
  <conditionalFormatting sqref="AD29:AD32">
    <cfRule type="cellIs" dxfId="195" priority="19" operator="between">
      <formula>0.001</formula>
      <formula>0.99</formula>
    </cfRule>
    <cfRule type="cellIs" dxfId="194" priority="20" operator="equal">
      <formula>1</formula>
    </cfRule>
    <cfRule type="cellIs" dxfId="193" priority="21" operator="equal">
      <formula>0</formula>
    </cfRule>
  </conditionalFormatting>
  <conditionalFormatting sqref="AD29:AD32">
    <cfRule type="cellIs" dxfId="192" priority="22" operator="between">
      <formula>0.01</formula>
      <formula>0.99</formula>
    </cfRule>
    <cfRule type="cellIs" dxfId="191" priority="23" operator="equal">
      <formula>1</formula>
    </cfRule>
    <cfRule type="cellIs" dxfId="190" priority="24" operator="equal">
      <formula>0</formula>
    </cfRule>
  </conditionalFormatting>
  <conditionalFormatting sqref="AD33:AD35">
    <cfRule type="cellIs" dxfId="189" priority="13" operator="between">
      <formula>0.001</formula>
      <formula>0.99</formula>
    </cfRule>
    <cfRule type="cellIs" dxfId="188" priority="14" operator="equal">
      <formula>1</formula>
    </cfRule>
    <cfRule type="cellIs" dxfId="187" priority="15" operator="equal">
      <formula>0</formula>
    </cfRule>
  </conditionalFormatting>
  <conditionalFormatting sqref="AD33:AD35">
    <cfRule type="cellIs" dxfId="186" priority="16" operator="between">
      <formula>0.01</formula>
      <formula>0.99</formula>
    </cfRule>
    <cfRule type="cellIs" dxfId="185" priority="17" operator="equal">
      <formula>1</formula>
    </cfRule>
    <cfRule type="cellIs" dxfId="184" priority="18" operator="equal">
      <formula>0</formula>
    </cfRule>
  </conditionalFormatting>
  <conditionalFormatting sqref="AD36:AD39">
    <cfRule type="cellIs" dxfId="183" priority="7" operator="between">
      <formula>0.001</formula>
      <formula>0.99</formula>
    </cfRule>
    <cfRule type="cellIs" dxfId="182" priority="8" operator="equal">
      <formula>1</formula>
    </cfRule>
    <cfRule type="cellIs" dxfId="181" priority="9" operator="equal">
      <formula>0</formula>
    </cfRule>
  </conditionalFormatting>
  <conditionalFormatting sqref="AD36:AD39">
    <cfRule type="cellIs" dxfId="180" priority="10" operator="between">
      <formula>0.01</formula>
      <formula>0.99</formula>
    </cfRule>
    <cfRule type="cellIs" dxfId="179" priority="11" operator="equal">
      <formula>1</formula>
    </cfRule>
    <cfRule type="cellIs" dxfId="178" priority="12" operator="equal">
      <formula>0</formula>
    </cfRule>
  </conditionalFormatting>
  <conditionalFormatting sqref="AD40:AD43">
    <cfRule type="cellIs" dxfId="177" priority="1" operator="between">
      <formula>0.001</formula>
      <formula>0.99</formula>
    </cfRule>
    <cfRule type="cellIs" dxfId="176" priority="2" operator="equal">
      <formula>1</formula>
    </cfRule>
    <cfRule type="cellIs" dxfId="175" priority="3" operator="equal">
      <formula>0</formula>
    </cfRule>
  </conditionalFormatting>
  <conditionalFormatting sqref="AD40:AD43">
    <cfRule type="cellIs" dxfId="174" priority="4" operator="between">
      <formula>0.01</formula>
      <formula>0.99</formula>
    </cfRule>
    <cfRule type="cellIs" dxfId="173" priority="5" operator="equal">
      <formula>1</formula>
    </cfRule>
    <cfRule type="cellIs" dxfId="172" priority="6" operator="equal">
      <formula>0</formula>
    </cfRule>
  </conditionalFormatting>
  <dataValidations count="7">
    <dataValidation type="list" allowBlank="1" showInputMessage="1" showErrorMessage="1" sqref="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65564 JC65563 SY65563 ACU65563 AMQ65563 AWM65563 BGI65563 BQE65563 CAA65563 CJW65563 CTS65563 DDO65563 DNK65563 DXG65563 EHC65563 EQY65563 FAU65563 FKQ65563 FUM65563 GEI65563 GOE65563 GYA65563 HHW65563 HRS65563 IBO65563 ILK65563 IVG65563 JFC65563 JOY65563 JYU65563 KIQ65563 KSM65563 LCI65563 LME65563 LWA65563 MFW65563 MPS65563 MZO65563 NJK65563 NTG65563 ODC65563 OMY65563 OWU65563 PGQ65563 PQM65563 QAI65563 QKE65563 QUA65563 RDW65563 RNS65563 RXO65563 SHK65563 SRG65563 TBC65563 TKY65563 TUU65563 UEQ65563 UOM65563 UYI65563 VIE65563 VSA65563 WBW65563 WLS65563 WVO65563 G131100 JC131099 SY131099 ACU131099 AMQ131099 AWM131099 BGI131099 BQE131099 CAA131099 CJW131099 CTS131099 DDO131099 DNK131099 DXG131099 EHC131099 EQY131099 FAU131099 FKQ131099 FUM131099 GEI131099 GOE131099 GYA131099 HHW131099 HRS131099 IBO131099 ILK131099 IVG131099 JFC131099 JOY131099 JYU131099 KIQ131099 KSM131099 LCI131099 LME131099 LWA131099 MFW131099 MPS131099 MZO131099 NJK131099 NTG131099 ODC131099 OMY131099 OWU131099 PGQ131099 PQM131099 QAI131099 QKE131099 QUA131099 RDW131099 RNS131099 RXO131099 SHK131099 SRG131099 TBC131099 TKY131099 TUU131099 UEQ131099 UOM131099 UYI131099 VIE131099 VSA131099 WBW131099 WLS131099 WVO131099 G196636 JC196635 SY196635 ACU196635 AMQ196635 AWM196635 BGI196635 BQE196635 CAA196635 CJW196635 CTS196635 DDO196635 DNK196635 DXG196635 EHC196635 EQY196635 FAU196635 FKQ196635 FUM196635 GEI196635 GOE196635 GYA196635 HHW196635 HRS196635 IBO196635 ILK196635 IVG196635 JFC196635 JOY196635 JYU196635 KIQ196635 KSM196635 LCI196635 LME196635 LWA196635 MFW196635 MPS196635 MZO196635 NJK196635 NTG196635 ODC196635 OMY196635 OWU196635 PGQ196635 PQM196635 QAI196635 QKE196635 QUA196635 RDW196635 RNS196635 RXO196635 SHK196635 SRG196635 TBC196635 TKY196635 TUU196635 UEQ196635 UOM196635 UYI196635 VIE196635 VSA196635 WBW196635 WLS196635 WVO196635 G262172 JC262171 SY262171 ACU262171 AMQ262171 AWM262171 BGI262171 BQE262171 CAA262171 CJW262171 CTS262171 DDO262171 DNK262171 DXG262171 EHC262171 EQY262171 FAU262171 FKQ262171 FUM262171 GEI262171 GOE262171 GYA262171 HHW262171 HRS262171 IBO262171 ILK262171 IVG262171 JFC262171 JOY262171 JYU262171 KIQ262171 KSM262171 LCI262171 LME262171 LWA262171 MFW262171 MPS262171 MZO262171 NJK262171 NTG262171 ODC262171 OMY262171 OWU262171 PGQ262171 PQM262171 QAI262171 QKE262171 QUA262171 RDW262171 RNS262171 RXO262171 SHK262171 SRG262171 TBC262171 TKY262171 TUU262171 UEQ262171 UOM262171 UYI262171 VIE262171 VSA262171 WBW262171 WLS262171 WVO262171 G327708 JC327707 SY327707 ACU327707 AMQ327707 AWM327707 BGI327707 BQE327707 CAA327707 CJW327707 CTS327707 DDO327707 DNK327707 DXG327707 EHC327707 EQY327707 FAU327707 FKQ327707 FUM327707 GEI327707 GOE327707 GYA327707 HHW327707 HRS327707 IBO327707 ILK327707 IVG327707 JFC327707 JOY327707 JYU327707 KIQ327707 KSM327707 LCI327707 LME327707 LWA327707 MFW327707 MPS327707 MZO327707 NJK327707 NTG327707 ODC327707 OMY327707 OWU327707 PGQ327707 PQM327707 QAI327707 QKE327707 QUA327707 RDW327707 RNS327707 RXO327707 SHK327707 SRG327707 TBC327707 TKY327707 TUU327707 UEQ327707 UOM327707 UYI327707 VIE327707 VSA327707 WBW327707 WLS327707 WVO327707 G393244 JC393243 SY393243 ACU393243 AMQ393243 AWM393243 BGI393243 BQE393243 CAA393243 CJW393243 CTS393243 DDO393243 DNK393243 DXG393243 EHC393243 EQY393243 FAU393243 FKQ393243 FUM393243 GEI393243 GOE393243 GYA393243 HHW393243 HRS393243 IBO393243 ILK393243 IVG393243 JFC393243 JOY393243 JYU393243 KIQ393243 KSM393243 LCI393243 LME393243 LWA393243 MFW393243 MPS393243 MZO393243 NJK393243 NTG393243 ODC393243 OMY393243 OWU393243 PGQ393243 PQM393243 QAI393243 QKE393243 QUA393243 RDW393243 RNS393243 RXO393243 SHK393243 SRG393243 TBC393243 TKY393243 TUU393243 UEQ393243 UOM393243 UYI393243 VIE393243 VSA393243 WBW393243 WLS393243 WVO393243 G458780 JC458779 SY458779 ACU458779 AMQ458779 AWM458779 BGI458779 BQE458779 CAA458779 CJW458779 CTS458779 DDO458779 DNK458779 DXG458779 EHC458779 EQY458779 FAU458779 FKQ458779 FUM458779 GEI458779 GOE458779 GYA458779 HHW458779 HRS458779 IBO458779 ILK458779 IVG458779 JFC458779 JOY458779 JYU458779 KIQ458779 KSM458779 LCI458779 LME458779 LWA458779 MFW458779 MPS458779 MZO458779 NJK458779 NTG458779 ODC458779 OMY458779 OWU458779 PGQ458779 PQM458779 QAI458779 QKE458779 QUA458779 RDW458779 RNS458779 RXO458779 SHK458779 SRG458779 TBC458779 TKY458779 TUU458779 UEQ458779 UOM458779 UYI458779 VIE458779 VSA458779 WBW458779 WLS458779 WVO458779 G524316 JC524315 SY524315 ACU524315 AMQ524315 AWM524315 BGI524315 BQE524315 CAA524315 CJW524315 CTS524315 DDO524315 DNK524315 DXG524315 EHC524315 EQY524315 FAU524315 FKQ524315 FUM524315 GEI524315 GOE524315 GYA524315 HHW524315 HRS524315 IBO524315 ILK524315 IVG524315 JFC524315 JOY524315 JYU524315 KIQ524315 KSM524315 LCI524315 LME524315 LWA524315 MFW524315 MPS524315 MZO524315 NJK524315 NTG524315 ODC524315 OMY524315 OWU524315 PGQ524315 PQM524315 QAI524315 QKE524315 QUA524315 RDW524315 RNS524315 RXO524315 SHK524315 SRG524315 TBC524315 TKY524315 TUU524315 UEQ524315 UOM524315 UYI524315 VIE524315 VSA524315 WBW524315 WLS524315 WVO524315 G589852 JC589851 SY589851 ACU589851 AMQ589851 AWM589851 BGI589851 BQE589851 CAA589851 CJW589851 CTS589851 DDO589851 DNK589851 DXG589851 EHC589851 EQY589851 FAU589851 FKQ589851 FUM589851 GEI589851 GOE589851 GYA589851 HHW589851 HRS589851 IBO589851 ILK589851 IVG589851 JFC589851 JOY589851 JYU589851 KIQ589851 KSM589851 LCI589851 LME589851 LWA589851 MFW589851 MPS589851 MZO589851 NJK589851 NTG589851 ODC589851 OMY589851 OWU589851 PGQ589851 PQM589851 QAI589851 QKE589851 QUA589851 RDW589851 RNS589851 RXO589851 SHK589851 SRG589851 TBC589851 TKY589851 TUU589851 UEQ589851 UOM589851 UYI589851 VIE589851 VSA589851 WBW589851 WLS589851 WVO589851 G655388 JC655387 SY655387 ACU655387 AMQ655387 AWM655387 BGI655387 BQE655387 CAA655387 CJW655387 CTS655387 DDO655387 DNK655387 DXG655387 EHC655387 EQY655387 FAU655387 FKQ655387 FUM655387 GEI655387 GOE655387 GYA655387 HHW655387 HRS655387 IBO655387 ILK655387 IVG655387 JFC655387 JOY655387 JYU655387 KIQ655387 KSM655387 LCI655387 LME655387 LWA655387 MFW655387 MPS655387 MZO655387 NJK655387 NTG655387 ODC655387 OMY655387 OWU655387 PGQ655387 PQM655387 QAI655387 QKE655387 QUA655387 RDW655387 RNS655387 RXO655387 SHK655387 SRG655387 TBC655387 TKY655387 TUU655387 UEQ655387 UOM655387 UYI655387 VIE655387 VSA655387 WBW655387 WLS655387 WVO655387 G720924 JC720923 SY720923 ACU720923 AMQ720923 AWM720923 BGI720923 BQE720923 CAA720923 CJW720923 CTS720923 DDO720923 DNK720923 DXG720923 EHC720923 EQY720923 FAU720923 FKQ720923 FUM720923 GEI720923 GOE720923 GYA720923 HHW720923 HRS720923 IBO720923 ILK720923 IVG720923 JFC720923 JOY720923 JYU720923 KIQ720923 KSM720923 LCI720923 LME720923 LWA720923 MFW720923 MPS720923 MZO720923 NJK720923 NTG720923 ODC720923 OMY720923 OWU720923 PGQ720923 PQM720923 QAI720923 QKE720923 QUA720923 RDW720923 RNS720923 RXO720923 SHK720923 SRG720923 TBC720923 TKY720923 TUU720923 UEQ720923 UOM720923 UYI720923 VIE720923 VSA720923 WBW720923 WLS720923 WVO720923 G786460 JC786459 SY786459 ACU786459 AMQ786459 AWM786459 BGI786459 BQE786459 CAA786459 CJW786459 CTS786459 DDO786459 DNK786459 DXG786459 EHC786459 EQY786459 FAU786459 FKQ786459 FUM786459 GEI786459 GOE786459 GYA786459 HHW786459 HRS786459 IBO786459 ILK786459 IVG786459 JFC786459 JOY786459 JYU786459 KIQ786459 KSM786459 LCI786459 LME786459 LWA786459 MFW786459 MPS786459 MZO786459 NJK786459 NTG786459 ODC786459 OMY786459 OWU786459 PGQ786459 PQM786459 QAI786459 QKE786459 QUA786459 RDW786459 RNS786459 RXO786459 SHK786459 SRG786459 TBC786459 TKY786459 TUU786459 UEQ786459 UOM786459 UYI786459 VIE786459 VSA786459 WBW786459 WLS786459 WVO786459 G851996 JC851995 SY851995 ACU851995 AMQ851995 AWM851995 BGI851995 BQE851995 CAA851995 CJW851995 CTS851995 DDO851995 DNK851995 DXG851995 EHC851995 EQY851995 FAU851995 FKQ851995 FUM851995 GEI851995 GOE851995 GYA851995 HHW851995 HRS851995 IBO851995 ILK851995 IVG851995 JFC851995 JOY851995 JYU851995 KIQ851995 KSM851995 LCI851995 LME851995 LWA851995 MFW851995 MPS851995 MZO851995 NJK851995 NTG851995 ODC851995 OMY851995 OWU851995 PGQ851995 PQM851995 QAI851995 QKE851995 QUA851995 RDW851995 RNS851995 RXO851995 SHK851995 SRG851995 TBC851995 TKY851995 TUU851995 UEQ851995 UOM851995 UYI851995 VIE851995 VSA851995 WBW851995 WLS851995 WVO851995 G917532 JC917531 SY917531 ACU917531 AMQ917531 AWM917531 BGI917531 BQE917531 CAA917531 CJW917531 CTS917531 DDO917531 DNK917531 DXG917531 EHC917531 EQY917531 FAU917531 FKQ917531 FUM917531 GEI917531 GOE917531 GYA917531 HHW917531 HRS917531 IBO917531 ILK917531 IVG917531 JFC917531 JOY917531 JYU917531 KIQ917531 KSM917531 LCI917531 LME917531 LWA917531 MFW917531 MPS917531 MZO917531 NJK917531 NTG917531 ODC917531 OMY917531 OWU917531 PGQ917531 PQM917531 QAI917531 QKE917531 QUA917531 RDW917531 RNS917531 RXO917531 SHK917531 SRG917531 TBC917531 TKY917531 TUU917531 UEQ917531 UOM917531 UYI917531 VIE917531 VSA917531 WBW917531 WLS917531 WVO917531 G983068 JC983067 SY983067 ACU983067 AMQ983067 AWM983067 BGI983067 BQE983067 CAA983067 CJW983067 CTS983067 DDO983067 DNK983067 DXG983067 EHC983067 EQY983067 FAU983067 FKQ983067 FUM983067 GEI983067 GOE983067 GYA983067 HHW983067 HRS983067 IBO983067 ILK983067 IVG983067 JFC983067 JOY983067 JYU983067 KIQ983067 KSM983067 LCI983067 LME983067 LWA983067 MFW983067 MPS983067 MZO983067 NJK983067 NTG983067 ODC983067 OMY983067 OWU983067 PGQ983067 PQM983067 QAI983067 QKE983067 QUA983067 RDW983067 RNS983067 RXO983067 SHK983067 SRG983067 TBC983067 TKY983067 TUU983067 UEQ983067 UOM983067 UYI983067 VIE983067 VSA983067 WBW983067 WLS983067 WVO983067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65566 JC65565 SY65565 ACU65565 AMQ65565 AWM65565 BGI65565 BQE65565 CAA65565 CJW65565 CTS65565 DDO65565 DNK65565 DXG65565 EHC65565 EQY65565 FAU65565 FKQ65565 FUM65565 GEI65565 GOE65565 GYA65565 HHW65565 HRS65565 IBO65565 ILK65565 IVG65565 JFC65565 JOY65565 JYU65565 KIQ65565 KSM65565 LCI65565 LME65565 LWA65565 MFW65565 MPS65565 MZO65565 NJK65565 NTG65565 ODC65565 OMY65565 OWU65565 PGQ65565 PQM65565 QAI65565 QKE65565 QUA65565 RDW65565 RNS65565 RXO65565 SHK65565 SRG65565 TBC65565 TKY65565 TUU65565 UEQ65565 UOM65565 UYI65565 VIE65565 VSA65565 WBW65565 WLS65565 WVO65565 G131102 JC131101 SY131101 ACU131101 AMQ131101 AWM131101 BGI131101 BQE131101 CAA131101 CJW131101 CTS131101 DDO131101 DNK131101 DXG131101 EHC131101 EQY131101 FAU131101 FKQ131101 FUM131101 GEI131101 GOE131101 GYA131101 HHW131101 HRS131101 IBO131101 ILK131101 IVG131101 JFC131101 JOY131101 JYU131101 KIQ131101 KSM131101 LCI131101 LME131101 LWA131101 MFW131101 MPS131101 MZO131101 NJK131101 NTG131101 ODC131101 OMY131101 OWU131101 PGQ131101 PQM131101 QAI131101 QKE131101 QUA131101 RDW131101 RNS131101 RXO131101 SHK131101 SRG131101 TBC131101 TKY131101 TUU131101 UEQ131101 UOM131101 UYI131101 VIE131101 VSA131101 WBW131101 WLS131101 WVO131101 G196638 JC196637 SY196637 ACU196637 AMQ196637 AWM196637 BGI196637 BQE196637 CAA196637 CJW196637 CTS196637 DDO196637 DNK196637 DXG196637 EHC196637 EQY196637 FAU196637 FKQ196637 FUM196637 GEI196637 GOE196637 GYA196637 HHW196637 HRS196637 IBO196637 ILK196637 IVG196637 JFC196637 JOY196637 JYU196637 KIQ196637 KSM196637 LCI196637 LME196637 LWA196637 MFW196637 MPS196637 MZO196637 NJK196637 NTG196637 ODC196637 OMY196637 OWU196637 PGQ196637 PQM196637 QAI196637 QKE196637 QUA196637 RDW196637 RNS196637 RXO196637 SHK196637 SRG196637 TBC196637 TKY196637 TUU196637 UEQ196637 UOM196637 UYI196637 VIE196637 VSA196637 WBW196637 WLS196637 WVO196637 G262174 JC262173 SY262173 ACU262173 AMQ262173 AWM262173 BGI262173 BQE262173 CAA262173 CJW262173 CTS262173 DDO262173 DNK262173 DXG262173 EHC262173 EQY262173 FAU262173 FKQ262173 FUM262173 GEI262173 GOE262173 GYA262173 HHW262173 HRS262173 IBO262173 ILK262173 IVG262173 JFC262173 JOY262173 JYU262173 KIQ262173 KSM262173 LCI262173 LME262173 LWA262173 MFW262173 MPS262173 MZO262173 NJK262173 NTG262173 ODC262173 OMY262173 OWU262173 PGQ262173 PQM262173 QAI262173 QKE262173 QUA262173 RDW262173 RNS262173 RXO262173 SHK262173 SRG262173 TBC262173 TKY262173 TUU262173 UEQ262173 UOM262173 UYI262173 VIE262173 VSA262173 WBW262173 WLS262173 WVO262173 G327710 JC327709 SY327709 ACU327709 AMQ327709 AWM327709 BGI327709 BQE327709 CAA327709 CJW327709 CTS327709 DDO327709 DNK327709 DXG327709 EHC327709 EQY327709 FAU327709 FKQ327709 FUM327709 GEI327709 GOE327709 GYA327709 HHW327709 HRS327709 IBO327709 ILK327709 IVG327709 JFC327709 JOY327709 JYU327709 KIQ327709 KSM327709 LCI327709 LME327709 LWA327709 MFW327709 MPS327709 MZO327709 NJK327709 NTG327709 ODC327709 OMY327709 OWU327709 PGQ327709 PQM327709 QAI327709 QKE327709 QUA327709 RDW327709 RNS327709 RXO327709 SHK327709 SRG327709 TBC327709 TKY327709 TUU327709 UEQ327709 UOM327709 UYI327709 VIE327709 VSA327709 WBW327709 WLS327709 WVO327709 G393246 JC393245 SY393245 ACU393245 AMQ393245 AWM393245 BGI393245 BQE393245 CAA393245 CJW393245 CTS393245 DDO393245 DNK393245 DXG393245 EHC393245 EQY393245 FAU393245 FKQ393245 FUM393245 GEI393245 GOE393245 GYA393245 HHW393245 HRS393245 IBO393245 ILK393245 IVG393245 JFC393245 JOY393245 JYU393245 KIQ393245 KSM393245 LCI393245 LME393245 LWA393245 MFW393245 MPS393245 MZO393245 NJK393245 NTG393245 ODC393245 OMY393245 OWU393245 PGQ393245 PQM393245 QAI393245 QKE393245 QUA393245 RDW393245 RNS393245 RXO393245 SHK393245 SRG393245 TBC393245 TKY393245 TUU393245 UEQ393245 UOM393245 UYI393245 VIE393245 VSA393245 WBW393245 WLS393245 WVO393245 G458782 JC458781 SY458781 ACU458781 AMQ458781 AWM458781 BGI458781 BQE458781 CAA458781 CJW458781 CTS458781 DDO458781 DNK458781 DXG458781 EHC458781 EQY458781 FAU458781 FKQ458781 FUM458781 GEI458781 GOE458781 GYA458781 HHW458781 HRS458781 IBO458781 ILK458781 IVG458781 JFC458781 JOY458781 JYU458781 KIQ458781 KSM458781 LCI458781 LME458781 LWA458781 MFW458781 MPS458781 MZO458781 NJK458781 NTG458781 ODC458781 OMY458781 OWU458781 PGQ458781 PQM458781 QAI458781 QKE458781 QUA458781 RDW458781 RNS458781 RXO458781 SHK458781 SRG458781 TBC458781 TKY458781 TUU458781 UEQ458781 UOM458781 UYI458781 VIE458781 VSA458781 WBW458781 WLS458781 WVO458781 G524318 JC524317 SY524317 ACU524317 AMQ524317 AWM524317 BGI524317 BQE524317 CAA524317 CJW524317 CTS524317 DDO524317 DNK524317 DXG524317 EHC524317 EQY524317 FAU524317 FKQ524317 FUM524317 GEI524317 GOE524317 GYA524317 HHW524317 HRS524317 IBO524317 ILK524317 IVG524317 JFC524317 JOY524317 JYU524317 KIQ524317 KSM524317 LCI524317 LME524317 LWA524317 MFW524317 MPS524317 MZO524317 NJK524317 NTG524317 ODC524317 OMY524317 OWU524317 PGQ524317 PQM524317 QAI524317 QKE524317 QUA524317 RDW524317 RNS524317 RXO524317 SHK524317 SRG524317 TBC524317 TKY524317 TUU524317 UEQ524317 UOM524317 UYI524317 VIE524317 VSA524317 WBW524317 WLS524317 WVO524317 G589854 JC589853 SY589853 ACU589853 AMQ589853 AWM589853 BGI589853 BQE589853 CAA589853 CJW589853 CTS589853 DDO589853 DNK589853 DXG589853 EHC589853 EQY589853 FAU589853 FKQ589853 FUM589853 GEI589853 GOE589853 GYA589853 HHW589853 HRS589853 IBO589853 ILK589853 IVG589853 JFC589853 JOY589853 JYU589853 KIQ589853 KSM589853 LCI589853 LME589853 LWA589853 MFW589853 MPS589853 MZO589853 NJK589853 NTG589853 ODC589853 OMY589853 OWU589853 PGQ589853 PQM589853 QAI589853 QKE589853 QUA589853 RDW589853 RNS589853 RXO589853 SHK589853 SRG589853 TBC589853 TKY589853 TUU589853 UEQ589853 UOM589853 UYI589853 VIE589853 VSA589853 WBW589853 WLS589853 WVO589853 G655390 JC655389 SY655389 ACU655389 AMQ655389 AWM655389 BGI655389 BQE655389 CAA655389 CJW655389 CTS655389 DDO655389 DNK655389 DXG655389 EHC655389 EQY655389 FAU655389 FKQ655389 FUM655389 GEI655389 GOE655389 GYA655389 HHW655389 HRS655389 IBO655389 ILK655389 IVG655389 JFC655389 JOY655389 JYU655389 KIQ655389 KSM655389 LCI655389 LME655389 LWA655389 MFW655389 MPS655389 MZO655389 NJK655389 NTG655389 ODC655389 OMY655389 OWU655389 PGQ655389 PQM655389 QAI655389 QKE655389 QUA655389 RDW655389 RNS655389 RXO655389 SHK655389 SRG655389 TBC655389 TKY655389 TUU655389 UEQ655389 UOM655389 UYI655389 VIE655389 VSA655389 WBW655389 WLS655389 WVO655389 G720926 JC720925 SY720925 ACU720925 AMQ720925 AWM720925 BGI720925 BQE720925 CAA720925 CJW720925 CTS720925 DDO720925 DNK720925 DXG720925 EHC720925 EQY720925 FAU720925 FKQ720925 FUM720925 GEI720925 GOE720925 GYA720925 HHW720925 HRS720925 IBO720925 ILK720925 IVG720925 JFC720925 JOY720925 JYU720925 KIQ720925 KSM720925 LCI720925 LME720925 LWA720925 MFW720925 MPS720925 MZO720925 NJK720925 NTG720925 ODC720925 OMY720925 OWU720925 PGQ720925 PQM720925 QAI720925 QKE720925 QUA720925 RDW720925 RNS720925 RXO720925 SHK720925 SRG720925 TBC720925 TKY720925 TUU720925 UEQ720925 UOM720925 UYI720925 VIE720925 VSA720925 WBW720925 WLS720925 WVO720925 G786462 JC786461 SY786461 ACU786461 AMQ786461 AWM786461 BGI786461 BQE786461 CAA786461 CJW786461 CTS786461 DDO786461 DNK786461 DXG786461 EHC786461 EQY786461 FAU786461 FKQ786461 FUM786461 GEI786461 GOE786461 GYA786461 HHW786461 HRS786461 IBO786461 ILK786461 IVG786461 JFC786461 JOY786461 JYU786461 KIQ786461 KSM786461 LCI786461 LME786461 LWA786461 MFW786461 MPS786461 MZO786461 NJK786461 NTG786461 ODC786461 OMY786461 OWU786461 PGQ786461 PQM786461 QAI786461 QKE786461 QUA786461 RDW786461 RNS786461 RXO786461 SHK786461 SRG786461 TBC786461 TKY786461 TUU786461 UEQ786461 UOM786461 UYI786461 VIE786461 VSA786461 WBW786461 WLS786461 WVO786461 G851998 JC851997 SY851997 ACU851997 AMQ851997 AWM851997 BGI851997 BQE851997 CAA851997 CJW851997 CTS851997 DDO851997 DNK851997 DXG851997 EHC851997 EQY851997 FAU851997 FKQ851997 FUM851997 GEI851997 GOE851997 GYA851997 HHW851997 HRS851997 IBO851997 ILK851997 IVG851997 JFC851997 JOY851997 JYU851997 KIQ851997 KSM851997 LCI851997 LME851997 LWA851997 MFW851997 MPS851997 MZO851997 NJK851997 NTG851997 ODC851997 OMY851997 OWU851997 PGQ851997 PQM851997 QAI851997 QKE851997 QUA851997 RDW851997 RNS851997 RXO851997 SHK851997 SRG851997 TBC851997 TKY851997 TUU851997 UEQ851997 UOM851997 UYI851997 VIE851997 VSA851997 WBW851997 WLS851997 WVO851997 G917534 JC917533 SY917533 ACU917533 AMQ917533 AWM917533 BGI917533 BQE917533 CAA917533 CJW917533 CTS917533 DDO917533 DNK917533 DXG917533 EHC917533 EQY917533 FAU917533 FKQ917533 FUM917533 GEI917533 GOE917533 GYA917533 HHW917533 HRS917533 IBO917533 ILK917533 IVG917533 JFC917533 JOY917533 JYU917533 KIQ917533 KSM917533 LCI917533 LME917533 LWA917533 MFW917533 MPS917533 MZO917533 NJK917533 NTG917533 ODC917533 OMY917533 OWU917533 PGQ917533 PQM917533 QAI917533 QKE917533 QUA917533 RDW917533 RNS917533 RXO917533 SHK917533 SRG917533 TBC917533 TKY917533 TUU917533 UEQ917533 UOM917533 UYI917533 VIE917533 VSA917533 WBW917533 WLS917533 WVO917533 G983070 JC983069 SY983069 ACU983069 AMQ983069 AWM983069 BGI983069 BQE983069 CAA983069 CJW983069 CTS983069 DDO983069 DNK983069 DXG983069 EHC983069 EQY983069 FAU983069 FKQ983069 FUM983069 GEI983069 GOE983069 GYA983069 HHW983069 HRS983069 IBO983069 ILK983069 IVG983069 JFC983069 JOY983069 JYU983069 KIQ983069 KSM983069 LCI983069 LME983069 LWA983069 MFW983069 MPS983069 MZO983069 NJK983069 NTG983069 ODC983069 OMY983069 OWU983069 PGQ983069 PQM983069 QAI983069 QKE983069 QUA983069 RDW983069 RNS983069 RXO983069 SHK983069 SRG983069 TBC983069 TKY983069 TUU983069 UEQ983069 UOM983069 UYI983069 VIE983069 VSA983069 WBW983069 WLS983069 WVO983069 G65570 JC65569 SY65569 ACU65569 AMQ65569 AWM65569 BGI65569 BQE65569 CAA65569 CJW65569 CTS65569 DDO65569 DNK65569 DXG65569 EHC65569 EQY65569 FAU65569 FKQ65569 FUM65569 GEI65569 GOE65569 GYA65569 HHW65569 HRS65569 IBO65569 ILK65569 IVG65569 JFC65569 JOY65569 JYU65569 KIQ65569 KSM65569 LCI65569 LME65569 LWA65569 MFW65569 MPS65569 MZO65569 NJK65569 NTG65569 ODC65569 OMY65569 OWU65569 PGQ65569 PQM65569 QAI65569 QKE65569 QUA65569 RDW65569 RNS65569 RXO65569 SHK65569 SRG65569 TBC65569 TKY65569 TUU65569 UEQ65569 UOM65569 UYI65569 VIE65569 VSA65569 WBW65569 WLS65569 WVO65569 G131106 JC131105 SY131105 ACU131105 AMQ131105 AWM131105 BGI131105 BQE131105 CAA131105 CJW131105 CTS131105 DDO131105 DNK131105 DXG131105 EHC131105 EQY131105 FAU131105 FKQ131105 FUM131105 GEI131105 GOE131105 GYA131105 HHW131105 HRS131105 IBO131105 ILK131105 IVG131105 JFC131105 JOY131105 JYU131105 KIQ131105 KSM131105 LCI131105 LME131105 LWA131105 MFW131105 MPS131105 MZO131105 NJK131105 NTG131105 ODC131105 OMY131105 OWU131105 PGQ131105 PQM131105 QAI131105 QKE131105 QUA131105 RDW131105 RNS131105 RXO131105 SHK131105 SRG131105 TBC131105 TKY131105 TUU131105 UEQ131105 UOM131105 UYI131105 VIE131105 VSA131105 WBW131105 WLS131105 WVO131105 G196642 JC196641 SY196641 ACU196641 AMQ196641 AWM196641 BGI196641 BQE196641 CAA196641 CJW196641 CTS196641 DDO196641 DNK196641 DXG196641 EHC196641 EQY196641 FAU196641 FKQ196641 FUM196641 GEI196641 GOE196641 GYA196641 HHW196641 HRS196641 IBO196641 ILK196641 IVG196641 JFC196641 JOY196641 JYU196641 KIQ196641 KSM196641 LCI196641 LME196641 LWA196641 MFW196641 MPS196641 MZO196641 NJK196641 NTG196641 ODC196641 OMY196641 OWU196641 PGQ196641 PQM196641 QAI196641 QKE196641 QUA196641 RDW196641 RNS196641 RXO196641 SHK196641 SRG196641 TBC196641 TKY196641 TUU196641 UEQ196641 UOM196641 UYI196641 VIE196641 VSA196641 WBW196641 WLS196641 WVO196641 G262178 JC262177 SY262177 ACU262177 AMQ262177 AWM262177 BGI262177 BQE262177 CAA262177 CJW262177 CTS262177 DDO262177 DNK262177 DXG262177 EHC262177 EQY262177 FAU262177 FKQ262177 FUM262177 GEI262177 GOE262177 GYA262177 HHW262177 HRS262177 IBO262177 ILK262177 IVG262177 JFC262177 JOY262177 JYU262177 KIQ262177 KSM262177 LCI262177 LME262177 LWA262177 MFW262177 MPS262177 MZO262177 NJK262177 NTG262177 ODC262177 OMY262177 OWU262177 PGQ262177 PQM262177 QAI262177 QKE262177 QUA262177 RDW262177 RNS262177 RXO262177 SHK262177 SRG262177 TBC262177 TKY262177 TUU262177 UEQ262177 UOM262177 UYI262177 VIE262177 VSA262177 WBW262177 WLS262177 WVO262177 G327714 JC327713 SY327713 ACU327713 AMQ327713 AWM327713 BGI327713 BQE327713 CAA327713 CJW327713 CTS327713 DDO327713 DNK327713 DXG327713 EHC327713 EQY327713 FAU327713 FKQ327713 FUM327713 GEI327713 GOE327713 GYA327713 HHW327713 HRS327713 IBO327713 ILK327713 IVG327713 JFC327713 JOY327713 JYU327713 KIQ327713 KSM327713 LCI327713 LME327713 LWA327713 MFW327713 MPS327713 MZO327713 NJK327713 NTG327713 ODC327713 OMY327713 OWU327713 PGQ327713 PQM327713 QAI327713 QKE327713 QUA327713 RDW327713 RNS327713 RXO327713 SHK327713 SRG327713 TBC327713 TKY327713 TUU327713 UEQ327713 UOM327713 UYI327713 VIE327713 VSA327713 WBW327713 WLS327713 WVO327713 G393250 JC393249 SY393249 ACU393249 AMQ393249 AWM393249 BGI393249 BQE393249 CAA393249 CJW393249 CTS393249 DDO393249 DNK393249 DXG393249 EHC393249 EQY393249 FAU393249 FKQ393249 FUM393249 GEI393249 GOE393249 GYA393249 HHW393249 HRS393249 IBO393249 ILK393249 IVG393249 JFC393249 JOY393249 JYU393249 KIQ393249 KSM393249 LCI393249 LME393249 LWA393249 MFW393249 MPS393249 MZO393249 NJK393249 NTG393249 ODC393249 OMY393249 OWU393249 PGQ393249 PQM393249 QAI393249 QKE393249 QUA393249 RDW393249 RNS393249 RXO393249 SHK393249 SRG393249 TBC393249 TKY393249 TUU393249 UEQ393249 UOM393249 UYI393249 VIE393249 VSA393249 WBW393249 WLS393249 WVO393249 G458786 JC458785 SY458785 ACU458785 AMQ458785 AWM458785 BGI458785 BQE458785 CAA458785 CJW458785 CTS458785 DDO458785 DNK458785 DXG458785 EHC458785 EQY458785 FAU458785 FKQ458785 FUM458785 GEI458785 GOE458785 GYA458785 HHW458785 HRS458785 IBO458785 ILK458785 IVG458785 JFC458785 JOY458785 JYU458785 KIQ458785 KSM458785 LCI458785 LME458785 LWA458785 MFW458785 MPS458785 MZO458785 NJK458785 NTG458785 ODC458785 OMY458785 OWU458785 PGQ458785 PQM458785 QAI458785 QKE458785 QUA458785 RDW458785 RNS458785 RXO458785 SHK458785 SRG458785 TBC458785 TKY458785 TUU458785 UEQ458785 UOM458785 UYI458785 VIE458785 VSA458785 WBW458785 WLS458785 WVO458785 G524322 JC524321 SY524321 ACU524321 AMQ524321 AWM524321 BGI524321 BQE524321 CAA524321 CJW524321 CTS524321 DDO524321 DNK524321 DXG524321 EHC524321 EQY524321 FAU524321 FKQ524321 FUM524321 GEI524321 GOE524321 GYA524321 HHW524321 HRS524321 IBO524321 ILK524321 IVG524321 JFC524321 JOY524321 JYU524321 KIQ524321 KSM524321 LCI524321 LME524321 LWA524321 MFW524321 MPS524321 MZO524321 NJK524321 NTG524321 ODC524321 OMY524321 OWU524321 PGQ524321 PQM524321 QAI524321 QKE524321 QUA524321 RDW524321 RNS524321 RXO524321 SHK524321 SRG524321 TBC524321 TKY524321 TUU524321 UEQ524321 UOM524321 UYI524321 VIE524321 VSA524321 WBW524321 WLS524321 WVO524321 G589858 JC589857 SY589857 ACU589857 AMQ589857 AWM589857 BGI589857 BQE589857 CAA589857 CJW589857 CTS589857 DDO589857 DNK589857 DXG589857 EHC589857 EQY589857 FAU589857 FKQ589857 FUM589857 GEI589857 GOE589857 GYA589857 HHW589857 HRS589857 IBO589857 ILK589857 IVG589857 JFC589857 JOY589857 JYU589857 KIQ589857 KSM589857 LCI589857 LME589857 LWA589857 MFW589857 MPS589857 MZO589857 NJK589857 NTG589857 ODC589857 OMY589857 OWU589857 PGQ589857 PQM589857 QAI589857 QKE589857 QUA589857 RDW589857 RNS589857 RXO589857 SHK589857 SRG589857 TBC589857 TKY589857 TUU589857 UEQ589857 UOM589857 UYI589857 VIE589857 VSA589857 WBW589857 WLS589857 WVO589857 G655394 JC655393 SY655393 ACU655393 AMQ655393 AWM655393 BGI655393 BQE655393 CAA655393 CJW655393 CTS655393 DDO655393 DNK655393 DXG655393 EHC655393 EQY655393 FAU655393 FKQ655393 FUM655393 GEI655393 GOE655393 GYA655393 HHW655393 HRS655393 IBO655393 ILK655393 IVG655393 JFC655393 JOY655393 JYU655393 KIQ655393 KSM655393 LCI655393 LME655393 LWA655393 MFW655393 MPS655393 MZO655393 NJK655393 NTG655393 ODC655393 OMY655393 OWU655393 PGQ655393 PQM655393 QAI655393 QKE655393 QUA655393 RDW655393 RNS655393 RXO655393 SHK655393 SRG655393 TBC655393 TKY655393 TUU655393 UEQ655393 UOM655393 UYI655393 VIE655393 VSA655393 WBW655393 WLS655393 WVO655393 G720930 JC720929 SY720929 ACU720929 AMQ720929 AWM720929 BGI720929 BQE720929 CAA720929 CJW720929 CTS720929 DDO720929 DNK720929 DXG720929 EHC720929 EQY720929 FAU720929 FKQ720929 FUM720929 GEI720929 GOE720929 GYA720929 HHW720929 HRS720929 IBO720929 ILK720929 IVG720929 JFC720929 JOY720929 JYU720929 KIQ720929 KSM720929 LCI720929 LME720929 LWA720929 MFW720929 MPS720929 MZO720929 NJK720929 NTG720929 ODC720929 OMY720929 OWU720929 PGQ720929 PQM720929 QAI720929 QKE720929 QUA720929 RDW720929 RNS720929 RXO720929 SHK720929 SRG720929 TBC720929 TKY720929 TUU720929 UEQ720929 UOM720929 UYI720929 VIE720929 VSA720929 WBW720929 WLS720929 WVO720929 G786466 JC786465 SY786465 ACU786465 AMQ786465 AWM786465 BGI786465 BQE786465 CAA786465 CJW786465 CTS786465 DDO786465 DNK786465 DXG786465 EHC786465 EQY786465 FAU786465 FKQ786465 FUM786465 GEI786465 GOE786465 GYA786465 HHW786465 HRS786465 IBO786465 ILK786465 IVG786465 JFC786465 JOY786465 JYU786465 KIQ786465 KSM786465 LCI786465 LME786465 LWA786465 MFW786465 MPS786465 MZO786465 NJK786465 NTG786465 ODC786465 OMY786465 OWU786465 PGQ786465 PQM786465 QAI786465 QKE786465 QUA786465 RDW786465 RNS786465 RXO786465 SHK786465 SRG786465 TBC786465 TKY786465 TUU786465 UEQ786465 UOM786465 UYI786465 VIE786465 VSA786465 WBW786465 WLS786465 WVO786465 G852002 JC852001 SY852001 ACU852001 AMQ852001 AWM852001 BGI852001 BQE852001 CAA852001 CJW852001 CTS852001 DDO852001 DNK852001 DXG852001 EHC852001 EQY852001 FAU852001 FKQ852001 FUM852001 GEI852001 GOE852001 GYA852001 HHW852001 HRS852001 IBO852001 ILK852001 IVG852001 JFC852001 JOY852001 JYU852001 KIQ852001 KSM852001 LCI852001 LME852001 LWA852001 MFW852001 MPS852001 MZO852001 NJK852001 NTG852001 ODC852001 OMY852001 OWU852001 PGQ852001 PQM852001 QAI852001 QKE852001 QUA852001 RDW852001 RNS852001 RXO852001 SHK852001 SRG852001 TBC852001 TKY852001 TUU852001 UEQ852001 UOM852001 UYI852001 VIE852001 VSA852001 WBW852001 WLS852001 WVO852001 G917538 JC917537 SY917537 ACU917537 AMQ917537 AWM917537 BGI917537 BQE917537 CAA917537 CJW917537 CTS917537 DDO917537 DNK917537 DXG917537 EHC917537 EQY917537 FAU917537 FKQ917537 FUM917537 GEI917537 GOE917537 GYA917537 HHW917537 HRS917537 IBO917537 ILK917537 IVG917537 JFC917537 JOY917537 JYU917537 KIQ917537 KSM917537 LCI917537 LME917537 LWA917537 MFW917537 MPS917537 MZO917537 NJK917537 NTG917537 ODC917537 OMY917537 OWU917537 PGQ917537 PQM917537 QAI917537 QKE917537 QUA917537 RDW917537 RNS917537 RXO917537 SHK917537 SRG917537 TBC917537 TKY917537 TUU917537 UEQ917537 UOM917537 UYI917537 VIE917537 VSA917537 WBW917537 WLS917537 WVO917537 G983074 JC983073 SY983073 ACU983073 AMQ983073 AWM983073 BGI983073 BQE983073 CAA983073 CJW983073 CTS983073 DDO983073 DNK983073 DXG983073 EHC983073 EQY983073 FAU983073 FKQ983073 FUM983073 GEI983073 GOE983073 GYA983073 HHW983073 HRS983073 IBO983073 ILK983073 IVG983073 JFC983073 JOY983073 JYU983073 KIQ983073 KSM983073 LCI983073 LME983073 LWA983073 MFW983073 MPS983073 MZO983073 NJK983073 NTG983073 ODC983073 OMY983073 OWU983073 PGQ983073 PQM983073 QAI983073 QKE983073 QUA983073 RDW983073 RNS983073 RXO983073 SHK983073 SRG983073 TBC983073 TKY983073 TUU983073 UEQ983073 UOM983073 UYI983073 VIE983073 VSA983073 WBW983073 WLS983073 WVO983073 G65576:G65579 JC65575:JC65578 SY65575:SY65578 ACU65575:ACU65578 AMQ65575:AMQ65578 AWM65575:AWM65578 BGI65575:BGI65578 BQE65575:BQE65578 CAA65575:CAA65578 CJW65575:CJW65578 CTS65575:CTS65578 DDO65575:DDO65578 DNK65575:DNK65578 DXG65575:DXG65578 EHC65575:EHC65578 EQY65575:EQY65578 FAU65575:FAU65578 FKQ65575:FKQ65578 FUM65575:FUM65578 GEI65575:GEI65578 GOE65575:GOE65578 GYA65575:GYA65578 HHW65575:HHW65578 HRS65575:HRS65578 IBO65575:IBO65578 ILK65575:ILK65578 IVG65575:IVG65578 JFC65575:JFC65578 JOY65575:JOY65578 JYU65575:JYU65578 KIQ65575:KIQ65578 KSM65575:KSM65578 LCI65575:LCI65578 LME65575:LME65578 LWA65575:LWA65578 MFW65575:MFW65578 MPS65575:MPS65578 MZO65575:MZO65578 NJK65575:NJK65578 NTG65575:NTG65578 ODC65575:ODC65578 OMY65575:OMY65578 OWU65575:OWU65578 PGQ65575:PGQ65578 PQM65575:PQM65578 QAI65575:QAI65578 QKE65575:QKE65578 QUA65575:QUA65578 RDW65575:RDW65578 RNS65575:RNS65578 RXO65575:RXO65578 SHK65575:SHK65578 SRG65575:SRG65578 TBC65575:TBC65578 TKY65575:TKY65578 TUU65575:TUU65578 UEQ65575:UEQ65578 UOM65575:UOM65578 UYI65575:UYI65578 VIE65575:VIE65578 VSA65575:VSA65578 WBW65575:WBW65578 WLS65575:WLS65578 WVO65575:WVO65578 G131112:G131115 JC131111:JC131114 SY131111:SY131114 ACU131111:ACU131114 AMQ131111:AMQ131114 AWM131111:AWM131114 BGI131111:BGI131114 BQE131111:BQE131114 CAA131111:CAA131114 CJW131111:CJW131114 CTS131111:CTS131114 DDO131111:DDO131114 DNK131111:DNK131114 DXG131111:DXG131114 EHC131111:EHC131114 EQY131111:EQY131114 FAU131111:FAU131114 FKQ131111:FKQ131114 FUM131111:FUM131114 GEI131111:GEI131114 GOE131111:GOE131114 GYA131111:GYA131114 HHW131111:HHW131114 HRS131111:HRS131114 IBO131111:IBO131114 ILK131111:ILK131114 IVG131111:IVG131114 JFC131111:JFC131114 JOY131111:JOY131114 JYU131111:JYU131114 KIQ131111:KIQ131114 KSM131111:KSM131114 LCI131111:LCI131114 LME131111:LME131114 LWA131111:LWA131114 MFW131111:MFW131114 MPS131111:MPS131114 MZO131111:MZO131114 NJK131111:NJK131114 NTG131111:NTG131114 ODC131111:ODC131114 OMY131111:OMY131114 OWU131111:OWU131114 PGQ131111:PGQ131114 PQM131111:PQM131114 QAI131111:QAI131114 QKE131111:QKE131114 QUA131111:QUA131114 RDW131111:RDW131114 RNS131111:RNS131114 RXO131111:RXO131114 SHK131111:SHK131114 SRG131111:SRG131114 TBC131111:TBC131114 TKY131111:TKY131114 TUU131111:TUU131114 UEQ131111:UEQ131114 UOM131111:UOM131114 UYI131111:UYI131114 VIE131111:VIE131114 VSA131111:VSA131114 WBW131111:WBW131114 WLS131111:WLS131114 WVO131111:WVO131114 G196648:G196651 JC196647:JC196650 SY196647:SY196650 ACU196647:ACU196650 AMQ196647:AMQ196650 AWM196647:AWM196650 BGI196647:BGI196650 BQE196647:BQE196650 CAA196647:CAA196650 CJW196647:CJW196650 CTS196647:CTS196650 DDO196647:DDO196650 DNK196647:DNK196650 DXG196647:DXG196650 EHC196647:EHC196650 EQY196647:EQY196650 FAU196647:FAU196650 FKQ196647:FKQ196650 FUM196647:FUM196650 GEI196647:GEI196650 GOE196647:GOE196650 GYA196647:GYA196650 HHW196647:HHW196650 HRS196647:HRS196650 IBO196647:IBO196650 ILK196647:ILK196650 IVG196647:IVG196650 JFC196647:JFC196650 JOY196647:JOY196650 JYU196647:JYU196650 KIQ196647:KIQ196650 KSM196647:KSM196650 LCI196647:LCI196650 LME196647:LME196650 LWA196647:LWA196650 MFW196647:MFW196650 MPS196647:MPS196650 MZO196647:MZO196650 NJK196647:NJK196650 NTG196647:NTG196650 ODC196647:ODC196650 OMY196647:OMY196650 OWU196647:OWU196650 PGQ196647:PGQ196650 PQM196647:PQM196650 QAI196647:QAI196650 QKE196647:QKE196650 QUA196647:QUA196650 RDW196647:RDW196650 RNS196647:RNS196650 RXO196647:RXO196650 SHK196647:SHK196650 SRG196647:SRG196650 TBC196647:TBC196650 TKY196647:TKY196650 TUU196647:TUU196650 UEQ196647:UEQ196650 UOM196647:UOM196650 UYI196647:UYI196650 VIE196647:VIE196650 VSA196647:VSA196650 WBW196647:WBW196650 WLS196647:WLS196650 WVO196647:WVO196650 G262184:G262187 JC262183:JC262186 SY262183:SY262186 ACU262183:ACU262186 AMQ262183:AMQ262186 AWM262183:AWM262186 BGI262183:BGI262186 BQE262183:BQE262186 CAA262183:CAA262186 CJW262183:CJW262186 CTS262183:CTS262186 DDO262183:DDO262186 DNK262183:DNK262186 DXG262183:DXG262186 EHC262183:EHC262186 EQY262183:EQY262186 FAU262183:FAU262186 FKQ262183:FKQ262186 FUM262183:FUM262186 GEI262183:GEI262186 GOE262183:GOE262186 GYA262183:GYA262186 HHW262183:HHW262186 HRS262183:HRS262186 IBO262183:IBO262186 ILK262183:ILK262186 IVG262183:IVG262186 JFC262183:JFC262186 JOY262183:JOY262186 JYU262183:JYU262186 KIQ262183:KIQ262186 KSM262183:KSM262186 LCI262183:LCI262186 LME262183:LME262186 LWA262183:LWA262186 MFW262183:MFW262186 MPS262183:MPS262186 MZO262183:MZO262186 NJK262183:NJK262186 NTG262183:NTG262186 ODC262183:ODC262186 OMY262183:OMY262186 OWU262183:OWU262186 PGQ262183:PGQ262186 PQM262183:PQM262186 QAI262183:QAI262186 QKE262183:QKE262186 QUA262183:QUA262186 RDW262183:RDW262186 RNS262183:RNS262186 RXO262183:RXO262186 SHK262183:SHK262186 SRG262183:SRG262186 TBC262183:TBC262186 TKY262183:TKY262186 TUU262183:TUU262186 UEQ262183:UEQ262186 UOM262183:UOM262186 UYI262183:UYI262186 VIE262183:VIE262186 VSA262183:VSA262186 WBW262183:WBW262186 WLS262183:WLS262186 WVO262183:WVO262186 G327720:G327723 JC327719:JC327722 SY327719:SY327722 ACU327719:ACU327722 AMQ327719:AMQ327722 AWM327719:AWM327722 BGI327719:BGI327722 BQE327719:BQE327722 CAA327719:CAA327722 CJW327719:CJW327722 CTS327719:CTS327722 DDO327719:DDO327722 DNK327719:DNK327722 DXG327719:DXG327722 EHC327719:EHC327722 EQY327719:EQY327722 FAU327719:FAU327722 FKQ327719:FKQ327722 FUM327719:FUM327722 GEI327719:GEI327722 GOE327719:GOE327722 GYA327719:GYA327722 HHW327719:HHW327722 HRS327719:HRS327722 IBO327719:IBO327722 ILK327719:ILK327722 IVG327719:IVG327722 JFC327719:JFC327722 JOY327719:JOY327722 JYU327719:JYU327722 KIQ327719:KIQ327722 KSM327719:KSM327722 LCI327719:LCI327722 LME327719:LME327722 LWA327719:LWA327722 MFW327719:MFW327722 MPS327719:MPS327722 MZO327719:MZO327722 NJK327719:NJK327722 NTG327719:NTG327722 ODC327719:ODC327722 OMY327719:OMY327722 OWU327719:OWU327722 PGQ327719:PGQ327722 PQM327719:PQM327722 QAI327719:QAI327722 QKE327719:QKE327722 QUA327719:QUA327722 RDW327719:RDW327722 RNS327719:RNS327722 RXO327719:RXO327722 SHK327719:SHK327722 SRG327719:SRG327722 TBC327719:TBC327722 TKY327719:TKY327722 TUU327719:TUU327722 UEQ327719:UEQ327722 UOM327719:UOM327722 UYI327719:UYI327722 VIE327719:VIE327722 VSA327719:VSA327722 WBW327719:WBW327722 WLS327719:WLS327722 WVO327719:WVO327722 G393256:G393259 JC393255:JC393258 SY393255:SY393258 ACU393255:ACU393258 AMQ393255:AMQ393258 AWM393255:AWM393258 BGI393255:BGI393258 BQE393255:BQE393258 CAA393255:CAA393258 CJW393255:CJW393258 CTS393255:CTS393258 DDO393255:DDO393258 DNK393255:DNK393258 DXG393255:DXG393258 EHC393255:EHC393258 EQY393255:EQY393258 FAU393255:FAU393258 FKQ393255:FKQ393258 FUM393255:FUM393258 GEI393255:GEI393258 GOE393255:GOE393258 GYA393255:GYA393258 HHW393255:HHW393258 HRS393255:HRS393258 IBO393255:IBO393258 ILK393255:ILK393258 IVG393255:IVG393258 JFC393255:JFC393258 JOY393255:JOY393258 JYU393255:JYU393258 KIQ393255:KIQ393258 KSM393255:KSM393258 LCI393255:LCI393258 LME393255:LME393258 LWA393255:LWA393258 MFW393255:MFW393258 MPS393255:MPS393258 MZO393255:MZO393258 NJK393255:NJK393258 NTG393255:NTG393258 ODC393255:ODC393258 OMY393255:OMY393258 OWU393255:OWU393258 PGQ393255:PGQ393258 PQM393255:PQM393258 QAI393255:QAI393258 QKE393255:QKE393258 QUA393255:QUA393258 RDW393255:RDW393258 RNS393255:RNS393258 RXO393255:RXO393258 SHK393255:SHK393258 SRG393255:SRG393258 TBC393255:TBC393258 TKY393255:TKY393258 TUU393255:TUU393258 UEQ393255:UEQ393258 UOM393255:UOM393258 UYI393255:UYI393258 VIE393255:VIE393258 VSA393255:VSA393258 WBW393255:WBW393258 WLS393255:WLS393258 WVO393255:WVO393258 G458792:G458795 JC458791:JC458794 SY458791:SY458794 ACU458791:ACU458794 AMQ458791:AMQ458794 AWM458791:AWM458794 BGI458791:BGI458794 BQE458791:BQE458794 CAA458791:CAA458794 CJW458791:CJW458794 CTS458791:CTS458794 DDO458791:DDO458794 DNK458791:DNK458794 DXG458791:DXG458794 EHC458791:EHC458794 EQY458791:EQY458794 FAU458791:FAU458794 FKQ458791:FKQ458794 FUM458791:FUM458794 GEI458791:GEI458794 GOE458791:GOE458794 GYA458791:GYA458794 HHW458791:HHW458794 HRS458791:HRS458794 IBO458791:IBO458794 ILK458791:ILK458794 IVG458791:IVG458794 JFC458791:JFC458794 JOY458791:JOY458794 JYU458791:JYU458794 KIQ458791:KIQ458794 KSM458791:KSM458794 LCI458791:LCI458794 LME458791:LME458794 LWA458791:LWA458794 MFW458791:MFW458794 MPS458791:MPS458794 MZO458791:MZO458794 NJK458791:NJK458794 NTG458791:NTG458794 ODC458791:ODC458794 OMY458791:OMY458794 OWU458791:OWU458794 PGQ458791:PGQ458794 PQM458791:PQM458794 QAI458791:QAI458794 QKE458791:QKE458794 QUA458791:QUA458794 RDW458791:RDW458794 RNS458791:RNS458794 RXO458791:RXO458794 SHK458791:SHK458794 SRG458791:SRG458794 TBC458791:TBC458794 TKY458791:TKY458794 TUU458791:TUU458794 UEQ458791:UEQ458794 UOM458791:UOM458794 UYI458791:UYI458794 VIE458791:VIE458794 VSA458791:VSA458794 WBW458791:WBW458794 WLS458791:WLS458794 WVO458791:WVO458794 G524328:G524331 JC524327:JC524330 SY524327:SY524330 ACU524327:ACU524330 AMQ524327:AMQ524330 AWM524327:AWM524330 BGI524327:BGI524330 BQE524327:BQE524330 CAA524327:CAA524330 CJW524327:CJW524330 CTS524327:CTS524330 DDO524327:DDO524330 DNK524327:DNK524330 DXG524327:DXG524330 EHC524327:EHC524330 EQY524327:EQY524330 FAU524327:FAU524330 FKQ524327:FKQ524330 FUM524327:FUM524330 GEI524327:GEI524330 GOE524327:GOE524330 GYA524327:GYA524330 HHW524327:HHW524330 HRS524327:HRS524330 IBO524327:IBO524330 ILK524327:ILK524330 IVG524327:IVG524330 JFC524327:JFC524330 JOY524327:JOY524330 JYU524327:JYU524330 KIQ524327:KIQ524330 KSM524327:KSM524330 LCI524327:LCI524330 LME524327:LME524330 LWA524327:LWA524330 MFW524327:MFW524330 MPS524327:MPS524330 MZO524327:MZO524330 NJK524327:NJK524330 NTG524327:NTG524330 ODC524327:ODC524330 OMY524327:OMY524330 OWU524327:OWU524330 PGQ524327:PGQ524330 PQM524327:PQM524330 QAI524327:QAI524330 QKE524327:QKE524330 QUA524327:QUA524330 RDW524327:RDW524330 RNS524327:RNS524330 RXO524327:RXO524330 SHK524327:SHK524330 SRG524327:SRG524330 TBC524327:TBC524330 TKY524327:TKY524330 TUU524327:TUU524330 UEQ524327:UEQ524330 UOM524327:UOM524330 UYI524327:UYI524330 VIE524327:VIE524330 VSA524327:VSA524330 WBW524327:WBW524330 WLS524327:WLS524330 WVO524327:WVO524330 G589864:G589867 JC589863:JC589866 SY589863:SY589866 ACU589863:ACU589866 AMQ589863:AMQ589866 AWM589863:AWM589866 BGI589863:BGI589866 BQE589863:BQE589866 CAA589863:CAA589866 CJW589863:CJW589866 CTS589863:CTS589866 DDO589863:DDO589866 DNK589863:DNK589866 DXG589863:DXG589866 EHC589863:EHC589866 EQY589863:EQY589866 FAU589863:FAU589866 FKQ589863:FKQ589866 FUM589863:FUM589866 GEI589863:GEI589866 GOE589863:GOE589866 GYA589863:GYA589866 HHW589863:HHW589866 HRS589863:HRS589866 IBO589863:IBO589866 ILK589863:ILK589866 IVG589863:IVG589866 JFC589863:JFC589866 JOY589863:JOY589866 JYU589863:JYU589866 KIQ589863:KIQ589866 KSM589863:KSM589866 LCI589863:LCI589866 LME589863:LME589866 LWA589863:LWA589866 MFW589863:MFW589866 MPS589863:MPS589866 MZO589863:MZO589866 NJK589863:NJK589866 NTG589863:NTG589866 ODC589863:ODC589866 OMY589863:OMY589866 OWU589863:OWU589866 PGQ589863:PGQ589866 PQM589863:PQM589866 QAI589863:QAI589866 QKE589863:QKE589866 QUA589863:QUA589866 RDW589863:RDW589866 RNS589863:RNS589866 RXO589863:RXO589866 SHK589863:SHK589866 SRG589863:SRG589866 TBC589863:TBC589866 TKY589863:TKY589866 TUU589863:TUU589866 UEQ589863:UEQ589866 UOM589863:UOM589866 UYI589863:UYI589866 VIE589863:VIE589866 VSA589863:VSA589866 WBW589863:WBW589866 WLS589863:WLS589866 WVO589863:WVO589866 G655400:G655403 JC655399:JC655402 SY655399:SY655402 ACU655399:ACU655402 AMQ655399:AMQ655402 AWM655399:AWM655402 BGI655399:BGI655402 BQE655399:BQE655402 CAA655399:CAA655402 CJW655399:CJW655402 CTS655399:CTS655402 DDO655399:DDO655402 DNK655399:DNK655402 DXG655399:DXG655402 EHC655399:EHC655402 EQY655399:EQY655402 FAU655399:FAU655402 FKQ655399:FKQ655402 FUM655399:FUM655402 GEI655399:GEI655402 GOE655399:GOE655402 GYA655399:GYA655402 HHW655399:HHW655402 HRS655399:HRS655402 IBO655399:IBO655402 ILK655399:ILK655402 IVG655399:IVG655402 JFC655399:JFC655402 JOY655399:JOY655402 JYU655399:JYU655402 KIQ655399:KIQ655402 KSM655399:KSM655402 LCI655399:LCI655402 LME655399:LME655402 LWA655399:LWA655402 MFW655399:MFW655402 MPS655399:MPS655402 MZO655399:MZO655402 NJK655399:NJK655402 NTG655399:NTG655402 ODC655399:ODC655402 OMY655399:OMY655402 OWU655399:OWU655402 PGQ655399:PGQ655402 PQM655399:PQM655402 QAI655399:QAI655402 QKE655399:QKE655402 QUA655399:QUA655402 RDW655399:RDW655402 RNS655399:RNS655402 RXO655399:RXO655402 SHK655399:SHK655402 SRG655399:SRG655402 TBC655399:TBC655402 TKY655399:TKY655402 TUU655399:TUU655402 UEQ655399:UEQ655402 UOM655399:UOM655402 UYI655399:UYI655402 VIE655399:VIE655402 VSA655399:VSA655402 WBW655399:WBW655402 WLS655399:WLS655402 WVO655399:WVO655402 G720936:G720939 JC720935:JC720938 SY720935:SY720938 ACU720935:ACU720938 AMQ720935:AMQ720938 AWM720935:AWM720938 BGI720935:BGI720938 BQE720935:BQE720938 CAA720935:CAA720938 CJW720935:CJW720938 CTS720935:CTS720938 DDO720935:DDO720938 DNK720935:DNK720938 DXG720935:DXG720938 EHC720935:EHC720938 EQY720935:EQY720938 FAU720935:FAU720938 FKQ720935:FKQ720938 FUM720935:FUM720938 GEI720935:GEI720938 GOE720935:GOE720938 GYA720935:GYA720938 HHW720935:HHW720938 HRS720935:HRS720938 IBO720935:IBO720938 ILK720935:ILK720938 IVG720935:IVG720938 JFC720935:JFC720938 JOY720935:JOY720938 JYU720935:JYU720938 KIQ720935:KIQ720938 KSM720935:KSM720938 LCI720935:LCI720938 LME720935:LME720938 LWA720935:LWA720938 MFW720935:MFW720938 MPS720935:MPS720938 MZO720935:MZO720938 NJK720935:NJK720938 NTG720935:NTG720938 ODC720935:ODC720938 OMY720935:OMY720938 OWU720935:OWU720938 PGQ720935:PGQ720938 PQM720935:PQM720938 QAI720935:QAI720938 QKE720935:QKE720938 QUA720935:QUA720938 RDW720935:RDW720938 RNS720935:RNS720938 RXO720935:RXO720938 SHK720935:SHK720938 SRG720935:SRG720938 TBC720935:TBC720938 TKY720935:TKY720938 TUU720935:TUU720938 UEQ720935:UEQ720938 UOM720935:UOM720938 UYI720935:UYI720938 VIE720935:VIE720938 VSA720935:VSA720938 WBW720935:WBW720938 WLS720935:WLS720938 WVO720935:WVO720938 G786472:G786475 JC786471:JC786474 SY786471:SY786474 ACU786471:ACU786474 AMQ786471:AMQ786474 AWM786471:AWM786474 BGI786471:BGI786474 BQE786471:BQE786474 CAA786471:CAA786474 CJW786471:CJW786474 CTS786471:CTS786474 DDO786471:DDO786474 DNK786471:DNK786474 DXG786471:DXG786474 EHC786471:EHC786474 EQY786471:EQY786474 FAU786471:FAU786474 FKQ786471:FKQ786474 FUM786471:FUM786474 GEI786471:GEI786474 GOE786471:GOE786474 GYA786471:GYA786474 HHW786471:HHW786474 HRS786471:HRS786474 IBO786471:IBO786474 ILK786471:ILK786474 IVG786471:IVG786474 JFC786471:JFC786474 JOY786471:JOY786474 JYU786471:JYU786474 KIQ786471:KIQ786474 KSM786471:KSM786474 LCI786471:LCI786474 LME786471:LME786474 LWA786471:LWA786474 MFW786471:MFW786474 MPS786471:MPS786474 MZO786471:MZO786474 NJK786471:NJK786474 NTG786471:NTG786474 ODC786471:ODC786474 OMY786471:OMY786474 OWU786471:OWU786474 PGQ786471:PGQ786474 PQM786471:PQM786474 QAI786471:QAI786474 QKE786471:QKE786474 QUA786471:QUA786474 RDW786471:RDW786474 RNS786471:RNS786474 RXO786471:RXO786474 SHK786471:SHK786474 SRG786471:SRG786474 TBC786471:TBC786474 TKY786471:TKY786474 TUU786471:TUU786474 UEQ786471:UEQ786474 UOM786471:UOM786474 UYI786471:UYI786474 VIE786471:VIE786474 VSA786471:VSA786474 WBW786471:WBW786474 WLS786471:WLS786474 WVO786471:WVO786474 G852008:G852011 JC852007:JC852010 SY852007:SY852010 ACU852007:ACU852010 AMQ852007:AMQ852010 AWM852007:AWM852010 BGI852007:BGI852010 BQE852007:BQE852010 CAA852007:CAA852010 CJW852007:CJW852010 CTS852007:CTS852010 DDO852007:DDO852010 DNK852007:DNK852010 DXG852007:DXG852010 EHC852007:EHC852010 EQY852007:EQY852010 FAU852007:FAU852010 FKQ852007:FKQ852010 FUM852007:FUM852010 GEI852007:GEI852010 GOE852007:GOE852010 GYA852007:GYA852010 HHW852007:HHW852010 HRS852007:HRS852010 IBO852007:IBO852010 ILK852007:ILK852010 IVG852007:IVG852010 JFC852007:JFC852010 JOY852007:JOY852010 JYU852007:JYU852010 KIQ852007:KIQ852010 KSM852007:KSM852010 LCI852007:LCI852010 LME852007:LME852010 LWA852007:LWA852010 MFW852007:MFW852010 MPS852007:MPS852010 MZO852007:MZO852010 NJK852007:NJK852010 NTG852007:NTG852010 ODC852007:ODC852010 OMY852007:OMY852010 OWU852007:OWU852010 PGQ852007:PGQ852010 PQM852007:PQM852010 QAI852007:QAI852010 QKE852007:QKE852010 QUA852007:QUA852010 RDW852007:RDW852010 RNS852007:RNS852010 RXO852007:RXO852010 SHK852007:SHK852010 SRG852007:SRG852010 TBC852007:TBC852010 TKY852007:TKY852010 TUU852007:TUU852010 UEQ852007:UEQ852010 UOM852007:UOM852010 UYI852007:UYI852010 VIE852007:VIE852010 VSA852007:VSA852010 WBW852007:WBW852010 WLS852007:WLS852010 WVO852007:WVO852010 G917544:G917547 JC917543:JC917546 SY917543:SY917546 ACU917543:ACU917546 AMQ917543:AMQ917546 AWM917543:AWM917546 BGI917543:BGI917546 BQE917543:BQE917546 CAA917543:CAA917546 CJW917543:CJW917546 CTS917543:CTS917546 DDO917543:DDO917546 DNK917543:DNK917546 DXG917543:DXG917546 EHC917543:EHC917546 EQY917543:EQY917546 FAU917543:FAU917546 FKQ917543:FKQ917546 FUM917543:FUM917546 GEI917543:GEI917546 GOE917543:GOE917546 GYA917543:GYA917546 HHW917543:HHW917546 HRS917543:HRS917546 IBO917543:IBO917546 ILK917543:ILK917546 IVG917543:IVG917546 JFC917543:JFC917546 JOY917543:JOY917546 JYU917543:JYU917546 KIQ917543:KIQ917546 KSM917543:KSM917546 LCI917543:LCI917546 LME917543:LME917546 LWA917543:LWA917546 MFW917543:MFW917546 MPS917543:MPS917546 MZO917543:MZO917546 NJK917543:NJK917546 NTG917543:NTG917546 ODC917543:ODC917546 OMY917543:OMY917546 OWU917543:OWU917546 PGQ917543:PGQ917546 PQM917543:PQM917546 QAI917543:QAI917546 QKE917543:QKE917546 QUA917543:QUA917546 RDW917543:RDW917546 RNS917543:RNS917546 RXO917543:RXO917546 SHK917543:SHK917546 SRG917543:SRG917546 TBC917543:TBC917546 TKY917543:TKY917546 TUU917543:TUU917546 UEQ917543:UEQ917546 UOM917543:UOM917546 UYI917543:UYI917546 VIE917543:VIE917546 VSA917543:VSA917546 WBW917543:WBW917546 WLS917543:WLS917546 WVO917543:WVO917546 G983080:G983083 JC983079:JC983082 SY983079:SY983082 ACU983079:ACU983082 AMQ983079:AMQ983082 AWM983079:AWM983082 BGI983079:BGI983082 BQE983079:BQE983082 CAA983079:CAA983082 CJW983079:CJW983082 CTS983079:CTS983082 DDO983079:DDO983082 DNK983079:DNK983082 DXG983079:DXG983082 EHC983079:EHC983082 EQY983079:EQY983082 FAU983079:FAU983082 FKQ983079:FKQ983082 FUM983079:FUM983082 GEI983079:GEI983082 GOE983079:GOE983082 GYA983079:GYA983082 HHW983079:HHW983082 HRS983079:HRS983082 IBO983079:IBO983082 ILK983079:ILK983082 IVG983079:IVG983082 JFC983079:JFC983082 JOY983079:JOY983082 JYU983079:JYU983082 KIQ983079:KIQ983082 KSM983079:KSM983082 LCI983079:LCI983082 LME983079:LME983082 LWA983079:LWA983082 MFW983079:MFW983082 MPS983079:MPS983082 MZO983079:MZO983082 NJK983079:NJK983082 NTG983079:NTG983082 ODC983079:ODC983082 OMY983079:OMY983082 OWU983079:OWU983082 PGQ983079:PGQ983082 PQM983079:PQM983082 QAI983079:QAI983082 QKE983079:QKE983082 QUA983079:QUA983082 RDW983079:RDW983082 RNS983079:RNS983082 RXO983079:RXO983082 SHK983079:SHK983082 SRG983079:SRG983082 TBC983079:TBC983082 TKY983079:TKY983082 TUU983079:TUU983082 UEQ983079:UEQ983082 UOM983079:UOM983082 UYI983079:UYI983082 VIE983079:VIE983082 VSA983079:VSA983082 WBW983079:WBW983082 WLS983079:WLS983082 WVO983079:WVO983082">
      <formula1>$AI$52:$AI$64</formula1>
    </dataValidation>
    <dataValidation type="list" allowBlank="1" showInputMessage="1" showErrorMessage="1" sqref="H65562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8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4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70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6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2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8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4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50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6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2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8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4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30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6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H65564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H131100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H196636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H262172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H327708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H393244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H458780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H524316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H589852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H655388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H720924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H786460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H851996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H917532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H983068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H65566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2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8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4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10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6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2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8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4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90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6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2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8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4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70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H65570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6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2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8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4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50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6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2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8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4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30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6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2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8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4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H65573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9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5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1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7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3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9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5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1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7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3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9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5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1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7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WVP983079:WVP983082 H65576:H65579 JD65575:JD65578 SZ65575:SZ65578 ACV65575:ACV65578 AMR65575:AMR65578 AWN65575:AWN65578 BGJ65575:BGJ65578 BQF65575:BQF65578 CAB65575:CAB65578 CJX65575:CJX65578 CTT65575:CTT65578 DDP65575:DDP65578 DNL65575:DNL65578 DXH65575:DXH65578 EHD65575:EHD65578 EQZ65575:EQZ65578 FAV65575:FAV65578 FKR65575:FKR65578 FUN65575:FUN65578 GEJ65575:GEJ65578 GOF65575:GOF65578 GYB65575:GYB65578 HHX65575:HHX65578 HRT65575:HRT65578 IBP65575:IBP65578 ILL65575:ILL65578 IVH65575:IVH65578 JFD65575:JFD65578 JOZ65575:JOZ65578 JYV65575:JYV65578 KIR65575:KIR65578 KSN65575:KSN65578 LCJ65575:LCJ65578 LMF65575:LMF65578 LWB65575:LWB65578 MFX65575:MFX65578 MPT65575:MPT65578 MZP65575:MZP65578 NJL65575:NJL65578 NTH65575:NTH65578 ODD65575:ODD65578 OMZ65575:OMZ65578 OWV65575:OWV65578 PGR65575:PGR65578 PQN65575:PQN65578 QAJ65575:QAJ65578 QKF65575:QKF65578 QUB65575:QUB65578 RDX65575:RDX65578 RNT65575:RNT65578 RXP65575:RXP65578 SHL65575:SHL65578 SRH65575:SRH65578 TBD65575:TBD65578 TKZ65575:TKZ65578 TUV65575:TUV65578 UER65575:UER65578 UON65575:UON65578 UYJ65575:UYJ65578 VIF65575:VIF65578 VSB65575:VSB65578 WBX65575:WBX65578 WLT65575:WLT65578 WVP65575:WVP65578 H131112:H131115 JD131111:JD131114 SZ131111:SZ131114 ACV131111:ACV131114 AMR131111:AMR131114 AWN131111:AWN131114 BGJ131111:BGJ131114 BQF131111:BQF131114 CAB131111:CAB131114 CJX131111:CJX131114 CTT131111:CTT131114 DDP131111:DDP131114 DNL131111:DNL131114 DXH131111:DXH131114 EHD131111:EHD131114 EQZ131111:EQZ131114 FAV131111:FAV131114 FKR131111:FKR131114 FUN131111:FUN131114 GEJ131111:GEJ131114 GOF131111:GOF131114 GYB131111:GYB131114 HHX131111:HHX131114 HRT131111:HRT131114 IBP131111:IBP131114 ILL131111:ILL131114 IVH131111:IVH131114 JFD131111:JFD131114 JOZ131111:JOZ131114 JYV131111:JYV131114 KIR131111:KIR131114 KSN131111:KSN131114 LCJ131111:LCJ131114 LMF131111:LMF131114 LWB131111:LWB131114 MFX131111:MFX131114 MPT131111:MPT131114 MZP131111:MZP131114 NJL131111:NJL131114 NTH131111:NTH131114 ODD131111:ODD131114 OMZ131111:OMZ131114 OWV131111:OWV131114 PGR131111:PGR131114 PQN131111:PQN131114 QAJ131111:QAJ131114 QKF131111:QKF131114 QUB131111:QUB131114 RDX131111:RDX131114 RNT131111:RNT131114 RXP131111:RXP131114 SHL131111:SHL131114 SRH131111:SRH131114 TBD131111:TBD131114 TKZ131111:TKZ131114 TUV131111:TUV131114 UER131111:UER131114 UON131111:UON131114 UYJ131111:UYJ131114 VIF131111:VIF131114 VSB131111:VSB131114 WBX131111:WBX131114 WLT131111:WLT131114 WVP131111:WVP131114 H196648:H196651 JD196647:JD196650 SZ196647:SZ196650 ACV196647:ACV196650 AMR196647:AMR196650 AWN196647:AWN196650 BGJ196647:BGJ196650 BQF196647:BQF196650 CAB196647:CAB196650 CJX196647:CJX196650 CTT196647:CTT196650 DDP196647:DDP196650 DNL196647:DNL196650 DXH196647:DXH196650 EHD196647:EHD196650 EQZ196647:EQZ196650 FAV196647:FAV196650 FKR196647:FKR196650 FUN196647:FUN196650 GEJ196647:GEJ196650 GOF196647:GOF196650 GYB196647:GYB196650 HHX196647:HHX196650 HRT196647:HRT196650 IBP196647:IBP196650 ILL196647:ILL196650 IVH196647:IVH196650 JFD196647:JFD196650 JOZ196647:JOZ196650 JYV196647:JYV196650 KIR196647:KIR196650 KSN196647:KSN196650 LCJ196647:LCJ196650 LMF196647:LMF196650 LWB196647:LWB196650 MFX196647:MFX196650 MPT196647:MPT196650 MZP196647:MZP196650 NJL196647:NJL196650 NTH196647:NTH196650 ODD196647:ODD196650 OMZ196647:OMZ196650 OWV196647:OWV196650 PGR196647:PGR196650 PQN196647:PQN196650 QAJ196647:QAJ196650 QKF196647:QKF196650 QUB196647:QUB196650 RDX196647:RDX196650 RNT196647:RNT196650 RXP196647:RXP196650 SHL196647:SHL196650 SRH196647:SRH196650 TBD196647:TBD196650 TKZ196647:TKZ196650 TUV196647:TUV196650 UER196647:UER196650 UON196647:UON196650 UYJ196647:UYJ196650 VIF196647:VIF196650 VSB196647:VSB196650 WBX196647:WBX196650 WLT196647:WLT196650 WVP196647:WVP196650 H262184:H262187 JD262183:JD262186 SZ262183:SZ262186 ACV262183:ACV262186 AMR262183:AMR262186 AWN262183:AWN262186 BGJ262183:BGJ262186 BQF262183:BQF262186 CAB262183:CAB262186 CJX262183:CJX262186 CTT262183:CTT262186 DDP262183:DDP262186 DNL262183:DNL262186 DXH262183:DXH262186 EHD262183:EHD262186 EQZ262183:EQZ262186 FAV262183:FAV262186 FKR262183:FKR262186 FUN262183:FUN262186 GEJ262183:GEJ262186 GOF262183:GOF262186 GYB262183:GYB262186 HHX262183:HHX262186 HRT262183:HRT262186 IBP262183:IBP262186 ILL262183:ILL262186 IVH262183:IVH262186 JFD262183:JFD262186 JOZ262183:JOZ262186 JYV262183:JYV262186 KIR262183:KIR262186 KSN262183:KSN262186 LCJ262183:LCJ262186 LMF262183:LMF262186 LWB262183:LWB262186 MFX262183:MFX262186 MPT262183:MPT262186 MZP262183:MZP262186 NJL262183:NJL262186 NTH262183:NTH262186 ODD262183:ODD262186 OMZ262183:OMZ262186 OWV262183:OWV262186 PGR262183:PGR262186 PQN262183:PQN262186 QAJ262183:QAJ262186 QKF262183:QKF262186 QUB262183:QUB262186 RDX262183:RDX262186 RNT262183:RNT262186 RXP262183:RXP262186 SHL262183:SHL262186 SRH262183:SRH262186 TBD262183:TBD262186 TKZ262183:TKZ262186 TUV262183:TUV262186 UER262183:UER262186 UON262183:UON262186 UYJ262183:UYJ262186 VIF262183:VIF262186 VSB262183:VSB262186 WBX262183:WBX262186 WLT262183:WLT262186 WVP262183:WVP262186 H327720:H327723 JD327719:JD327722 SZ327719:SZ327722 ACV327719:ACV327722 AMR327719:AMR327722 AWN327719:AWN327722 BGJ327719:BGJ327722 BQF327719:BQF327722 CAB327719:CAB327722 CJX327719:CJX327722 CTT327719:CTT327722 DDP327719:DDP327722 DNL327719:DNL327722 DXH327719:DXH327722 EHD327719:EHD327722 EQZ327719:EQZ327722 FAV327719:FAV327722 FKR327719:FKR327722 FUN327719:FUN327722 GEJ327719:GEJ327722 GOF327719:GOF327722 GYB327719:GYB327722 HHX327719:HHX327722 HRT327719:HRT327722 IBP327719:IBP327722 ILL327719:ILL327722 IVH327719:IVH327722 JFD327719:JFD327722 JOZ327719:JOZ327722 JYV327719:JYV327722 KIR327719:KIR327722 KSN327719:KSN327722 LCJ327719:LCJ327722 LMF327719:LMF327722 LWB327719:LWB327722 MFX327719:MFX327722 MPT327719:MPT327722 MZP327719:MZP327722 NJL327719:NJL327722 NTH327719:NTH327722 ODD327719:ODD327722 OMZ327719:OMZ327722 OWV327719:OWV327722 PGR327719:PGR327722 PQN327719:PQN327722 QAJ327719:QAJ327722 QKF327719:QKF327722 QUB327719:QUB327722 RDX327719:RDX327722 RNT327719:RNT327722 RXP327719:RXP327722 SHL327719:SHL327722 SRH327719:SRH327722 TBD327719:TBD327722 TKZ327719:TKZ327722 TUV327719:TUV327722 UER327719:UER327722 UON327719:UON327722 UYJ327719:UYJ327722 VIF327719:VIF327722 VSB327719:VSB327722 WBX327719:WBX327722 WLT327719:WLT327722 WVP327719:WVP327722 H393256:H393259 JD393255:JD393258 SZ393255:SZ393258 ACV393255:ACV393258 AMR393255:AMR393258 AWN393255:AWN393258 BGJ393255:BGJ393258 BQF393255:BQF393258 CAB393255:CAB393258 CJX393255:CJX393258 CTT393255:CTT393258 DDP393255:DDP393258 DNL393255:DNL393258 DXH393255:DXH393258 EHD393255:EHD393258 EQZ393255:EQZ393258 FAV393255:FAV393258 FKR393255:FKR393258 FUN393255:FUN393258 GEJ393255:GEJ393258 GOF393255:GOF393258 GYB393255:GYB393258 HHX393255:HHX393258 HRT393255:HRT393258 IBP393255:IBP393258 ILL393255:ILL393258 IVH393255:IVH393258 JFD393255:JFD393258 JOZ393255:JOZ393258 JYV393255:JYV393258 KIR393255:KIR393258 KSN393255:KSN393258 LCJ393255:LCJ393258 LMF393255:LMF393258 LWB393255:LWB393258 MFX393255:MFX393258 MPT393255:MPT393258 MZP393255:MZP393258 NJL393255:NJL393258 NTH393255:NTH393258 ODD393255:ODD393258 OMZ393255:OMZ393258 OWV393255:OWV393258 PGR393255:PGR393258 PQN393255:PQN393258 QAJ393255:QAJ393258 QKF393255:QKF393258 QUB393255:QUB393258 RDX393255:RDX393258 RNT393255:RNT393258 RXP393255:RXP393258 SHL393255:SHL393258 SRH393255:SRH393258 TBD393255:TBD393258 TKZ393255:TKZ393258 TUV393255:TUV393258 UER393255:UER393258 UON393255:UON393258 UYJ393255:UYJ393258 VIF393255:VIF393258 VSB393255:VSB393258 WBX393255:WBX393258 WLT393255:WLT393258 WVP393255:WVP393258 H458792:H458795 JD458791:JD458794 SZ458791:SZ458794 ACV458791:ACV458794 AMR458791:AMR458794 AWN458791:AWN458794 BGJ458791:BGJ458794 BQF458791:BQF458794 CAB458791:CAB458794 CJX458791:CJX458794 CTT458791:CTT458794 DDP458791:DDP458794 DNL458791:DNL458794 DXH458791:DXH458794 EHD458791:EHD458794 EQZ458791:EQZ458794 FAV458791:FAV458794 FKR458791:FKR458794 FUN458791:FUN458794 GEJ458791:GEJ458794 GOF458791:GOF458794 GYB458791:GYB458794 HHX458791:HHX458794 HRT458791:HRT458794 IBP458791:IBP458794 ILL458791:ILL458794 IVH458791:IVH458794 JFD458791:JFD458794 JOZ458791:JOZ458794 JYV458791:JYV458794 KIR458791:KIR458794 KSN458791:KSN458794 LCJ458791:LCJ458794 LMF458791:LMF458794 LWB458791:LWB458794 MFX458791:MFX458794 MPT458791:MPT458794 MZP458791:MZP458794 NJL458791:NJL458794 NTH458791:NTH458794 ODD458791:ODD458794 OMZ458791:OMZ458794 OWV458791:OWV458794 PGR458791:PGR458794 PQN458791:PQN458794 QAJ458791:QAJ458794 QKF458791:QKF458794 QUB458791:QUB458794 RDX458791:RDX458794 RNT458791:RNT458794 RXP458791:RXP458794 SHL458791:SHL458794 SRH458791:SRH458794 TBD458791:TBD458794 TKZ458791:TKZ458794 TUV458791:TUV458794 UER458791:UER458794 UON458791:UON458794 UYJ458791:UYJ458794 VIF458791:VIF458794 VSB458791:VSB458794 WBX458791:WBX458794 WLT458791:WLT458794 WVP458791:WVP458794 H524328:H524331 JD524327:JD524330 SZ524327:SZ524330 ACV524327:ACV524330 AMR524327:AMR524330 AWN524327:AWN524330 BGJ524327:BGJ524330 BQF524327:BQF524330 CAB524327:CAB524330 CJX524327:CJX524330 CTT524327:CTT524330 DDP524327:DDP524330 DNL524327:DNL524330 DXH524327:DXH524330 EHD524327:EHD524330 EQZ524327:EQZ524330 FAV524327:FAV524330 FKR524327:FKR524330 FUN524327:FUN524330 GEJ524327:GEJ524330 GOF524327:GOF524330 GYB524327:GYB524330 HHX524327:HHX524330 HRT524327:HRT524330 IBP524327:IBP524330 ILL524327:ILL524330 IVH524327:IVH524330 JFD524327:JFD524330 JOZ524327:JOZ524330 JYV524327:JYV524330 KIR524327:KIR524330 KSN524327:KSN524330 LCJ524327:LCJ524330 LMF524327:LMF524330 LWB524327:LWB524330 MFX524327:MFX524330 MPT524327:MPT524330 MZP524327:MZP524330 NJL524327:NJL524330 NTH524327:NTH524330 ODD524327:ODD524330 OMZ524327:OMZ524330 OWV524327:OWV524330 PGR524327:PGR524330 PQN524327:PQN524330 QAJ524327:QAJ524330 QKF524327:QKF524330 QUB524327:QUB524330 RDX524327:RDX524330 RNT524327:RNT524330 RXP524327:RXP524330 SHL524327:SHL524330 SRH524327:SRH524330 TBD524327:TBD524330 TKZ524327:TKZ524330 TUV524327:TUV524330 UER524327:UER524330 UON524327:UON524330 UYJ524327:UYJ524330 VIF524327:VIF524330 VSB524327:VSB524330 WBX524327:WBX524330 WLT524327:WLT524330 WVP524327:WVP524330 H589864:H589867 JD589863:JD589866 SZ589863:SZ589866 ACV589863:ACV589866 AMR589863:AMR589866 AWN589863:AWN589866 BGJ589863:BGJ589866 BQF589863:BQF589866 CAB589863:CAB589866 CJX589863:CJX589866 CTT589863:CTT589866 DDP589863:DDP589866 DNL589863:DNL589866 DXH589863:DXH589866 EHD589863:EHD589866 EQZ589863:EQZ589866 FAV589863:FAV589866 FKR589863:FKR589866 FUN589863:FUN589866 GEJ589863:GEJ589866 GOF589863:GOF589866 GYB589863:GYB589866 HHX589863:HHX589866 HRT589863:HRT589866 IBP589863:IBP589866 ILL589863:ILL589866 IVH589863:IVH589866 JFD589863:JFD589866 JOZ589863:JOZ589866 JYV589863:JYV589866 KIR589863:KIR589866 KSN589863:KSN589866 LCJ589863:LCJ589866 LMF589863:LMF589866 LWB589863:LWB589866 MFX589863:MFX589866 MPT589863:MPT589866 MZP589863:MZP589866 NJL589863:NJL589866 NTH589863:NTH589866 ODD589863:ODD589866 OMZ589863:OMZ589866 OWV589863:OWV589866 PGR589863:PGR589866 PQN589863:PQN589866 QAJ589863:QAJ589866 QKF589863:QKF589866 QUB589863:QUB589866 RDX589863:RDX589866 RNT589863:RNT589866 RXP589863:RXP589866 SHL589863:SHL589866 SRH589863:SRH589866 TBD589863:TBD589866 TKZ589863:TKZ589866 TUV589863:TUV589866 UER589863:UER589866 UON589863:UON589866 UYJ589863:UYJ589866 VIF589863:VIF589866 VSB589863:VSB589866 WBX589863:WBX589866 WLT589863:WLT589866 WVP589863:WVP589866 H655400:H655403 JD655399:JD655402 SZ655399:SZ655402 ACV655399:ACV655402 AMR655399:AMR655402 AWN655399:AWN655402 BGJ655399:BGJ655402 BQF655399:BQF655402 CAB655399:CAB655402 CJX655399:CJX655402 CTT655399:CTT655402 DDP655399:DDP655402 DNL655399:DNL655402 DXH655399:DXH655402 EHD655399:EHD655402 EQZ655399:EQZ655402 FAV655399:FAV655402 FKR655399:FKR655402 FUN655399:FUN655402 GEJ655399:GEJ655402 GOF655399:GOF655402 GYB655399:GYB655402 HHX655399:HHX655402 HRT655399:HRT655402 IBP655399:IBP655402 ILL655399:ILL655402 IVH655399:IVH655402 JFD655399:JFD655402 JOZ655399:JOZ655402 JYV655399:JYV655402 KIR655399:KIR655402 KSN655399:KSN655402 LCJ655399:LCJ655402 LMF655399:LMF655402 LWB655399:LWB655402 MFX655399:MFX655402 MPT655399:MPT655402 MZP655399:MZP655402 NJL655399:NJL655402 NTH655399:NTH655402 ODD655399:ODD655402 OMZ655399:OMZ655402 OWV655399:OWV655402 PGR655399:PGR655402 PQN655399:PQN655402 QAJ655399:QAJ655402 QKF655399:QKF655402 QUB655399:QUB655402 RDX655399:RDX655402 RNT655399:RNT655402 RXP655399:RXP655402 SHL655399:SHL655402 SRH655399:SRH655402 TBD655399:TBD655402 TKZ655399:TKZ655402 TUV655399:TUV655402 UER655399:UER655402 UON655399:UON655402 UYJ655399:UYJ655402 VIF655399:VIF655402 VSB655399:VSB655402 WBX655399:WBX655402 WLT655399:WLT655402 WVP655399:WVP655402 H720936:H720939 JD720935:JD720938 SZ720935:SZ720938 ACV720935:ACV720938 AMR720935:AMR720938 AWN720935:AWN720938 BGJ720935:BGJ720938 BQF720935:BQF720938 CAB720935:CAB720938 CJX720935:CJX720938 CTT720935:CTT720938 DDP720935:DDP720938 DNL720935:DNL720938 DXH720935:DXH720938 EHD720935:EHD720938 EQZ720935:EQZ720938 FAV720935:FAV720938 FKR720935:FKR720938 FUN720935:FUN720938 GEJ720935:GEJ720938 GOF720935:GOF720938 GYB720935:GYB720938 HHX720935:HHX720938 HRT720935:HRT720938 IBP720935:IBP720938 ILL720935:ILL720938 IVH720935:IVH720938 JFD720935:JFD720938 JOZ720935:JOZ720938 JYV720935:JYV720938 KIR720935:KIR720938 KSN720935:KSN720938 LCJ720935:LCJ720938 LMF720935:LMF720938 LWB720935:LWB720938 MFX720935:MFX720938 MPT720935:MPT720938 MZP720935:MZP720938 NJL720935:NJL720938 NTH720935:NTH720938 ODD720935:ODD720938 OMZ720935:OMZ720938 OWV720935:OWV720938 PGR720935:PGR720938 PQN720935:PQN720938 QAJ720935:QAJ720938 QKF720935:QKF720938 QUB720935:QUB720938 RDX720935:RDX720938 RNT720935:RNT720938 RXP720935:RXP720938 SHL720935:SHL720938 SRH720935:SRH720938 TBD720935:TBD720938 TKZ720935:TKZ720938 TUV720935:TUV720938 UER720935:UER720938 UON720935:UON720938 UYJ720935:UYJ720938 VIF720935:VIF720938 VSB720935:VSB720938 WBX720935:WBX720938 WLT720935:WLT720938 WVP720935:WVP720938 H786472:H786475 JD786471:JD786474 SZ786471:SZ786474 ACV786471:ACV786474 AMR786471:AMR786474 AWN786471:AWN786474 BGJ786471:BGJ786474 BQF786471:BQF786474 CAB786471:CAB786474 CJX786471:CJX786474 CTT786471:CTT786474 DDP786471:DDP786474 DNL786471:DNL786474 DXH786471:DXH786474 EHD786471:EHD786474 EQZ786471:EQZ786474 FAV786471:FAV786474 FKR786471:FKR786474 FUN786471:FUN786474 GEJ786471:GEJ786474 GOF786471:GOF786474 GYB786471:GYB786474 HHX786471:HHX786474 HRT786471:HRT786474 IBP786471:IBP786474 ILL786471:ILL786474 IVH786471:IVH786474 JFD786471:JFD786474 JOZ786471:JOZ786474 JYV786471:JYV786474 KIR786471:KIR786474 KSN786471:KSN786474 LCJ786471:LCJ786474 LMF786471:LMF786474 LWB786471:LWB786474 MFX786471:MFX786474 MPT786471:MPT786474 MZP786471:MZP786474 NJL786471:NJL786474 NTH786471:NTH786474 ODD786471:ODD786474 OMZ786471:OMZ786474 OWV786471:OWV786474 PGR786471:PGR786474 PQN786471:PQN786474 QAJ786471:QAJ786474 QKF786471:QKF786474 QUB786471:QUB786474 RDX786471:RDX786474 RNT786471:RNT786474 RXP786471:RXP786474 SHL786471:SHL786474 SRH786471:SRH786474 TBD786471:TBD786474 TKZ786471:TKZ786474 TUV786471:TUV786474 UER786471:UER786474 UON786471:UON786474 UYJ786471:UYJ786474 VIF786471:VIF786474 VSB786471:VSB786474 WBX786471:WBX786474 WLT786471:WLT786474 WVP786471:WVP786474 H852008:H852011 JD852007:JD852010 SZ852007:SZ852010 ACV852007:ACV852010 AMR852007:AMR852010 AWN852007:AWN852010 BGJ852007:BGJ852010 BQF852007:BQF852010 CAB852007:CAB852010 CJX852007:CJX852010 CTT852007:CTT852010 DDP852007:DDP852010 DNL852007:DNL852010 DXH852007:DXH852010 EHD852007:EHD852010 EQZ852007:EQZ852010 FAV852007:FAV852010 FKR852007:FKR852010 FUN852007:FUN852010 GEJ852007:GEJ852010 GOF852007:GOF852010 GYB852007:GYB852010 HHX852007:HHX852010 HRT852007:HRT852010 IBP852007:IBP852010 ILL852007:ILL852010 IVH852007:IVH852010 JFD852007:JFD852010 JOZ852007:JOZ852010 JYV852007:JYV852010 KIR852007:KIR852010 KSN852007:KSN852010 LCJ852007:LCJ852010 LMF852007:LMF852010 LWB852007:LWB852010 MFX852007:MFX852010 MPT852007:MPT852010 MZP852007:MZP852010 NJL852007:NJL852010 NTH852007:NTH852010 ODD852007:ODD852010 OMZ852007:OMZ852010 OWV852007:OWV852010 PGR852007:PGR852010 PQN852007:PQN852010 QAJ852007:QAJ852010 QKF852007:QKF852010 QUB852007:QUB852010 RDX852007:RDX852010 RNT852007:RNT852010 RXP852007:RXP852010 SHL852007:SHL852010 SRH852007:SRH852010 TBD852007:TBD852010 TKZ852007:TKZ852010 TUV852007:TUV852010 UER852007:UER852010 UON852007:UON852010 UYJ852007:UYJ852010 VIF852007:VIF852010 VSB852007:VSB852010 WBX852007:WBX852010 WLT852007:WLT852010 WVP852007:WVP852010 H917544:H917547 JD917543:JD917546 SZ917543:SZ917546 ACV917543:ACV917546 AMR917543:AMR917546 AWN917543:AWN917546 BGJ917543:BGJ917546 BQF917543:BQF917546 CAB917543:CAB917546 CJX917543:CJX917546 CTT917543:CTT917546 DDP917543:DDP917546 DNL917543:DNL917546 DXH917543:DXH917546 EHD917543:EHD917546 EQZ917543:EQZ917546 FAV917543:FAV917546 FKR917543:FKR917546 FUN917543:FUN917546 GEJ917543:GEJ917546 GOF917543:GOF917546 GYB917543:GYB917546 HHX917543:HHX917546 HRT917543:HRT917546 IBP917543:IBP917546 ILL917543:ILL917546 IVH917543:IVH917546 JFD917543:JFD917546 JOZ917543:JOZ917546 JYV917543:JYV917546 KIR917543:KIR917546 KSN917543:KSN917546 LCJ917543:LCJ917546 LMF917543:LMF917546 LWB917543:LWB917546 MFX917543:MFX917546 MPT917543:MPT917546 MZP917543:MZP917546 NJL917543:NJL917546 NTH917543:NTH917546 ODD917543:ODD917546 OMZ917543:OMZ917546 OWV917543:OWV917546 PGR917543:PGR917546 PQN917543:PQN917546 QAJ917543:QAJ917546 QKF917543:QKF917546 QUB917543:QUB917546 RDX917543:RDX917546 RNT917543:RNT917546 RXP917543:RXP917546 SHL917543:SHL917546 SRH917543:SRH917546 TBD917543:TBD917546 TKZ917543:TKZ917546 TUV917543:TUV917546 UER917543:UER917546 UON917543:UON917546 UYJ917543:UYJ917546 VIF917543:VIF917546 VSB917543:VSB917546 WBX917543:WBX917546 WLT917543:WLT917546 WVP917543:WVP917546 H983080:H983083 JD983079:JD983082 SZ983079:SZ983082 ACV983079:ACV983082 AMR983079:AMR983082 AWN983079:AWN983082 BGJ983079:BGJ983082 BQF983079:BQF983082 CAB983079:CAB983082 CJX983079:CJX983082 CTT983079:CTT983082 DDP983079:DDP983082 DNL983079:DNL983082 DXH983079:DXH983082 EHD983079:EHD983082 EQZ983079:EQZ983082 FAV983079:FAV983082 FKR983079:FKR983082 FUN983079:FUN983082 GEJ983079:GEJ983082 GOF983079:GOF983082 GYB983079:GYB983082 HHX983079:HHX983082 HRT983079:HRT983082 IBP983079:IBP983082 ILL983079:ILL983082 IVH983079:IVH983082 JFD983079:JFD983082 JOZ983079:JOZ983082 JYV983079:JYV983082 KIR983079:KIR983082 KSN983079:KSN983082 LCJ983079:LCJ983082 LMF983079:LMF983082 LWB983079:LWB983082 MFX983079:MFX983082 MPT983079:MPT983082 MZP983079:MZP983082 NJL983079:NJL983082 NTH983079:NTH983082 ODD983079:ODD983082 OMZ983079:OMZ983082 OWV983079:OWV983082 PGR983079:PGR983082 PQN983079:PQN983082 QAJ983079:QAJ983082 QKF983079:QKF983082 QUB983079:QUB983082 RDX983079:RDX983082 RNT983079:RNT983082 RXP983079:RXP983082 SHL983079:SHL983082 SRH983079:SRH983082 TBD983079:TBD983082 TKZ983079:TKZ983082 TUV983079:TUV983082 UER983079:UER983082 UON983079:UON983082 UYJ983079:UYJ983082 VIF983079:VIF983082 VSB983079:VSB983082 WBX983079:WBX983082 WLT983079:WLT983082 H8:H11 WVP8:WVP13 WLT8:WLT13 WBX8:WBX13 VSB8:VSB13 VIF8:VIF13 UYJ8:UYJ13 UON8:UON13 UER8:UER13 TUV8:TUV13 TKZ8:TKZ13 TBD8:TBD13 SRH8:SRH13 SHL8:SHL13 RXP8:RXP13 RNT8:RNT13 RDX8:RDX13 QUB8:QUB13 QKF8:QKF13 QAJ8:QAJ13 PQN8:PQN13 PGR8:PGR13 OWV8:OWV13 OMZ8:OMZ13 ODD8:ODD13 NTH8:NTH13 NJL8:NJL13 MZP8:MZP13 MPT8:MPT13 MFX8:MFX13 LWB8:LWB13 LMF8:LMF13 LCJ8:LCJ13 KSN8:KSN13 KIR8:KIR13 JYV8:JYV13 JOZ8:JOZ13 JFD8:JFD13 IVH8:IVH13 ILL8:ILL13 IBP8:IBP13 HRT8:HRT13 HHX8:HHX13 GYB8:GYB13 GOF8:GOF13 GEJ8:GEJ13 FUN8:FUN13 FKR8:FKR13 FAV8:FAV13 EQZ8:EQZ13 EHD8:EHD13 DXH8:DXH13 DNL8:DNL13 DDP8:DDP13 CTT8:CTT13 CJX8:CJX13 CAB8:CAB13 BQF8:BQF13 BGJ8:BGJ13 AWN8:AWN13 AMR8:AMR13 ACV8:ACV13 SZ8:SZ13 JD8:JD13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13 H29:H31 JD29:JD31 SZ29:SZ31 ACV29:ACV31 AMR29:AMR31 AWN29:AWN31 BGJ29:BGJ31 BQF29:BQF31 CAB29:CAB31 CJX29:CJX31 CTT29:CTT31 DDP29:DDP31 DNL29:DNL31 DXH29:DXH31 EHD29:EHD31 EQZ29:EQZ31 FAV29:FAV31 FKR29:FKR31 FUN29:FUN31 GEJ29:GEJ31 GOF29:GOF31 GYB29:GYB31 HHX29:HHX31 HRT29:HRT31 IBP29:IBP31 ILL29:ILL31 IVH29:IVH31 JFD29:JFD31 JOZ29:JOZ31 JYV29:JYV31 KIR29:KIR31 KSN29:KSN31 LCJ29:LCJ31 LMF29:LMF31 LWB29:LWB31 MFX29:MFX31 MPT29:MPT31 MZP29:MZP31 NJL29:NJL31 NTH29:NTH31 ODD29:ODD31 OMZ29:OMZ31 OWV29:OWV31 PGR29:PGR31 PQN29:PQN31 QAJ29:QAJ31 QKF29:QKF31 QUB29:QUB31 RDX29:RDX31 RNT29:RNT31 RXP29:RXP31 SHL29:SHL31 SRH29:SRH31 TBD29:TBD31 TKZ29:TKZ31 TUV29:TUV31 UER29:UER31 UON29:UON31 UYJ29:UYJ31 VIF29:VIF31 VSB29:VSB31 WBX29:WBX31 WLT29:WLT31 WVP29:WVP31 H33:H34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36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H21:H27 JD21:JD27 SZ21:SZ27 ACV21:ACV27 AMR21:AMR27 AWN21:AWN27 BGJ21:BGJ27 BQF21:BQF27 CAB21:CAB27 CJX21:CJX27 CTT21:CTT27 DDP21:DDP27 DNL21:DNL27 DXH21:DXH27 EHD21:EHD27 EQZ21:EQZ27 FAV21:FAV27 FKR21:FKR27 FUN21:FUN27 GEJ21:GEJ27 GOF21:GOF27 GYB21:GYB27 HHX21:HHX27 HRT21:HRT27 IBP21:IBP27 ILL21:ILL27 IVH21:IVH27 JFD21:JFD27 JOZ21:JOZ27 JYV21:JYV27 KIR21:KIR27 KSN21:KSN27 LCJ21:LCJ27 LMF21:LMF27 LWB21:LWB27 MFX21:MFX27 MPT21:MPT27 MZP21:MZP27 NJL21:NJL27 NTH21:NTH27 ODD21:ODD27 OMZ21:OMZ27 OWV21:OWV27 PGR21:PGR27 PQN21:PQN27 QAJ21:QAJ27 QKF21:QKF27 QUB21:QUB27 RDX21:RDX27 RNT21:RNT27 RXP21:RXP27 SHL21:SHL27 SRH21:SRH27 TBD21:TBD27 TKZ21:TKZ27 TUV21:TUV27 UER21:UER27 UON21:UON27 UYJ21:UYJ27 VIF21:VIF27 VSB21:VSB27 WBX21:WBX27 WLT21:WLT27 WVP21:WVP27 H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formula1>$AI$1:$AI$3</formula1>
    </dataValidation>
    <dataValidation type="list" allowBlank="1" showInputMessage="1" showErrorMessage="1" sqref="WWM983065:WWM983082 AE65562:AE65579 KA65561:KA65578 TW65561:TW65578 ADS65561:ADS65578 ANO65561:ANO65578 AXK65561:AXK65578 BHG65561:BHG65578 BRC65561:BRC65578 CAY65561:CAY65578 CKU65561:CKU65578 CUQ65561:CUQ65578 DEM65561:DEM65578 DOI65561:DOI65578 DYE65561:DYE65578 EIA65561:EIA65578 ERW65561:ERW65578 FBS65561:FBS65578 FLO65561:FLO65578 FVK65561:FVK65578 GFG65561:GFG65578 GPC65561:GPC65578 GYY65561:GYY65578 HIU65561:HIU65578 HSQ65561:HSQ65578 ICM65561:ICM65578 IMI65561:IMI65578 IWE65561:IWE65578 JGA65561:JGA65578 JPW65561:JPW65578 JZS65561:JZS65578 KJO65561:KJO65578 KTK65561:KTK65578 LDG65561:LDG65578 LNC65561:LNC65578 LWY65561:LWY65578 MGU65561:MGU65578 MQQ65561:MQQ65578 NAM65561:NAM65578 NKI65561:NKI65578 NUE65561:NUE65578 OEA65561:OEA65578 ONW65561:ONW65578 OXS65561:OXS65578 PHO65561:PHO65578 PRK65561:PRK65578 QBG65561:QBG65578 QLC65561:QLC65578 QUY65561:QUY65578 REU65561:REU65578 ROQ65561:ROQ65578 RYM65561:RYM65578 SII65561:SII65578 SSE65561:SSE65578 TCA65561:TCA65578 TLW65561:TLW65578 TVS65561:TVS65578 UFO65561:UFO65578 UPK65561:UPK65578 UZG65561:UZG65578 VJC65561:VJC65578 VSY65561:VSY65578 WCU65561:WCU65578 WMQ65561:WMQ65578 WWM65561:WWM65578 AE131098:AE131115 KA131097:KA131114 TW131097:TW131114 ADS131097:ADS131114 ANO131097:ANO131114 AXK131097:AXK131114 BHG131097:BHG131114 BRC131097:BRC131114 CAY131097:CAY131114 CKU131097:CKU131114 CUQ131097:CUQ131114 DEM131097:DEM131114 DOI131097:DOI131114 DYE131097:DYE131114 EIA131097:EIA131114 ERW131097:ERW131114 FBS131097:FBS131114 FLO131097:FLO131114 FVK131097:FVK131114 GFG131097:GFG131114 GPC131097:GPC131114 GYY131097:GYY131114 HIU131097:HIU131114 HSQ131097:HSQ131114 ICM131097:ICM131114 IMI131097:IMI131114 IWE131097:IWE131114 JGA131097:JGA131114 JPW131097:JPW131114 JZS131097:JZS131114 KJO131097:KJO131114 KTK131097:KTK131114 LDG131097:LDG131114 LNC131097:LNC131114 LWY131097:LWY131114 MGU131097:MGU131114 MQQ131097:MQQ131114 NAM131097:NAM131114 NKI131097:NKI131114 NUE131097:NUE131114 OEA131097:OEA131114 ONW131097:ONW131114 OXS131097:OXS131114 PHO131097:PHO131114 PRK131097:PRK131114 QBG131097:QBG131114 QLC131097:QLC131114 QUY131097:QUY131114 REU131097:REU131114 ROQ131097:ROQ131114 RYM131097:RYM131114 SII131097:SII131114 SSE131097:SSE131114 TCA131097:TCA131114 TLW131097:TLW131114 TVS131097:TVS131114 UFO131097:UFO131114 UPK131097:UPK131114 UZG131097:UZG131114 VJC131097:VJC131114 VSY131097:VSY131114 WCU131097:WCU131114 WMQ131097:WMQ131114 WWM131097:WWM131114 AE196634:AE196651 KA196633:KA196650 TW196633:TW196650 ADS196633:ADS196650 ANO196633:ANO196650 AXK196633:AXK196650 BHG196633:BHG196650 BRC196633:BRC196650 CAY196633:CAY196650 CKU196633:CKU196650 CUQ196633:CUQ196650 DEM196633:DEM196650 DOI196633:DOI196650 DYE196633:DYE196650 EIA196633:EIA196650 ERW196633:ERW196650 FBS196633:FBS196650 FLO196633:FLO196650 FVK196633:FVK196650 GFG196633:GFG196650 GPC196633:GPC196650 GYY196633:GYY196650 HIU196633:HIU196650 HSQ196633:HSQ196650 ICM196633:ICM196650 IMI196633:IMI196650 IWE196633:IWE196650 JGA196633:JGA196650 JPW196633:JPW196650 JZS196633:JZS196650 KJO196633:KJO196650 KTK196633:KTK196650 LDG196633:LDG196650 LNC196633:LNC196650 LWY196633:LWY196650 MGU196633:MGU196650 MQQ196633:MQQ196650 NAM196633:NAM196650 NKI196633:NKI196650 NUE196633:NUE196650 OEA196633:OEA196650 ONW196633:ONW196650 OXS196633:OXS196650 PHO196633:PHO196650 PRK196633:PRK196650 QBG196633:QBG196650 QLC196633:QLC196650 QUY196633:QUY196650 REU196633:REU196650 ROQ196633:ROQ196650 RYM196633:RYM196650 SII196633:SII196650 SSE196633:SSE196650 TCA196633:TCA196650 TLW196633:TLW196650 TVS196633:TVS196650 UFO196633:UFO196650 UPK196633:UPK196650 UZG196633:UZG196650 VJC196633:VJC196650 VSY196633:VSY196650 WCU196633:WCU196650 WMQ196633:WMQ196650 WWM196633:WWM196650 AE262170:AE262187 KA262169:KA262186 TW262169:TW262186 ADS262169:ADS262186 ANO262169:ANO262186 AXK262169:AXK262186 BHG262169:BHG262186 BRC262169:BRC262186 CAY262169:CAY262186 CKU262169:CKU262186 CUQ262169:CUQ262186 DEM262169:DEM262186 DOI262169:DOI262186 DYE262169:DYE262186 EIA262169:EIA262186 ERW262169:ERW262186 FBS262169:FBS262186 FLO262169:FLO262186 FVK262169:FVK262186 GFG262169:GFG262186 GPC262169:GPC262186 GYY262169:GYY262186 HIU262169:HIU262186 HSQ262169:HSQ262186 ICM262169:ICM262186 IMI262169:IMI262186 IWE262169:IWE262186 JGA262169:JGA262186 JPW262169:JPW262186 JZS262169:JZS262186 KJO262169:KJO262186 KTK262169:KTK262186 LDG262169:LDG262186 LNC262169:LNC262186 LWY262169:LWY262186 MGU262169:MGU262186 MQQ262169:MQQ262186 NAM262169:NAM262186 NKI262169:NKI262186 NUE262169:NUE262186 OEA262169:OEA262186 ONW262169:ONW262186 OXS262169:OXS262186 PHO262169:PHO262186 PRK262169:PRK262186 QBG262169:QBG262186 QLC262169:QLC262186 QUY262169:QUY262186 REU262169:REU262186 ROQ262169:ROQ262186 RYM262169:RYM262186 SII262169:SII262186 SSE262169:SSE262186 TCA262169:TCA262186 TLW262169:TLW262186 TVS262169:TVS262186 UFO262169:UFO262186 UPK262169:UPK262186 UZG262169:UZG262186 VJC262169:VJC262186 VSY262169:VSY262186 WCU262169:WCU262186 WMQ262169:WMQ262186 WWM262169:WWM262186 AE327706:AE327723 KA327705:KA327722 TW327705:TW327722 ADS327705:ADS327722 ANO327705:ANO327722 AXK327705:AXK327722 BHG327705:BHG327722 BRC327705:BRC327722 CAY327705:CAY327722 CKU327705:CKU327722 CUQ327705:CUQ327722 DEM327705:DEM327722 DOI327705:DOI327722 DYE327705:DYE327722 EIA327705:EIA327722 ERW327705:ERW327722 FBS327705:FBS327722 FLO327705:FLO327722 FVK327705:FVK327722 GFG327705:GFG327722 GPC327705:GPC327722 GYY327705:GYY327722 HIU327705:HIU327722 HSQ327705:HSQ327722 ICM327705:ICM327722 IMI327705:IMI327722 IWE327705:IWE327722 JGA327705:JGA327722 JPW327705:JPW327722 JZS327705:JZS327722 KJO327705:KJO327722 KTK327705:KTK327722 LDG327705:LDG327722 LNC327705:LNC327722 LWY327705:LWY327722 MGU327705:MGU327722 MQQ327705:MQQ327722 NAM327705:NAM327722 NKI327705:NKI327722 NUE327705:NUE327722 OEA327705:OEA327722 ONW327705:ONW327722 OXS327705:OXS327722 PHO327705:PHO327722 PRK327705:PRK327722 QBG327705:QBG327722 QLC327705:QLC327722 QUY327705:QUY327722 REU327705:REU327722 ROQ327705:ROQ327722 RYM327705:RYM327722 SII327705:SII327722 SSE327705:SSE327722 TCA327705:TCA327722 TLW327705:TLW327722 TVS327705:TVS327722 UFO327705:UFO327722 UPK327705:UPK327722 UZG327705:UZG327722 VJC327705:VJC327722 VSY327705:VSY327722 WCU327705:WCU327722 WMQ327705:WMQ327722 WWM327705:WWM327722 AE393242:AE393259 KA393241:KA393258 TW393241:TW393258 ADS393241:ADS393258 ANO393241:ANO393258 AXK393241:AXK393258 BHG393241:BHG393258 BRC393241:BRC393258 CAY393241:CAY393258 CKU393241:CKU393258 CUQ393241:CUQ393258 DEM393241:DEM393258 DOI393241:DOI393258 DYE393241:DYE393258 EIA393241:EIA393258 ERW393241:ERW393258 FBS393241:FBS393258 FLO393241:FLO393258 FVK393241:FVK393258 GFG393241:GFG393258 GPC393241:GPC393258 GYY393241:GYY393258 HIU393241:HIU393258 HSQ393241:HSQ393258 ICM393241:ICM393258 IMI393241:IMI393258 IWE393241:IWE393258 JGA393241:JGA393258 JPW393241:JPW393258 JZS393241:JZS393258 KJO393241:KJO393258 KTK393241:KTK393258 LDG393241:LDG393258 LNC393241:LNC393258 LWY393241:LWY393258 MGU393241:MGU393258 MQQ393241:MQQ393258 NAM393241:NAM393258 NKI393241:NKI393258 NUE393241:NUE393258 OEA393241:OEA393258 ONW393241:ONW393258 OXS393241:OXS393258 PHO393241:PHO393258 PRK393241:PRK393258 QBG393241:QBG393258 QLC393241:QLC393258 QUY393241:QUY393258 REU393241:REU393258 ROQ393241:ROQ393258 RYM393241:RYM393258 SII393241:SII393258 SSE393241:SSE393258 TCA393241:TCA393258 TLW393241:TLW393258 TVS393241:TVS393258 UFO393241:UFO393258 UPK393241:UPK393258 UZG393241:UZG393258 VJC393241:VJC393258 VSY393241:VSY393258 WCU393241:WCU393258 WMQ393241:WMQ393258 WWM393241:WWM393258 AE458778:AE458795 KA458777:KA458794 TW458777:TW458794 ADS458777:ADS458794 ANO458777:ANO458794 AXK458777:AXK458794 BHG458777:BHG458794 BRC458777:BRC458794 CAY458777:CAY458794 CKU458777:CKU458794 CUQ458777:CUQ458794 DEM458777:DEM458794 DOI458777:DOI458794 DYE458777:DYE458794 EIA458777:EIA458794 ERW458777:ERW458794 FBS458777:FBS458794 FLO458777:FLO458794 FVK458777:FVK458794 GFG458777:GFG458794 GPC458777:GPC458794 GYY458777:GYY458794 HIU458777:HIU458794 HSQ458777:HSQ458794 ICM458777:ICM458794 IMI458777:IMI458794 IWE458777:IWE458794 JGA458777:JGA458794 JPW458777:JPW458794 JZS458777:JZS458794 KJO458777:KJO458794 KTK458777:KTK458794 LDG458777:LDG458794 LNC458777:LNC458794 LWY458777:LWY458794 MGU458777:MGU458794 MQQ458777:MQQ458794 NAM458777:NAM458794 NKI458777:NKI458794 NUE458777:NUE458794 OEA458777:OEA458794 ONW458777:ONW458794 OXS458777:OXS458794 PHO458777:PHO458794 PRK458777:PRK458794 QBG458777:QBG458794 QLC458777:QLC458794 QUY458777:QUY458794 REU458777:REU458794 ROQ458777:ROQ458794 RYM458777:RYM458794 SII458777:SII458794 SSE458777:SSE458794 TCA458777:TCA458794 TLW458777:TLW458794 TVS458777:TVS458794 UFO458777:UFO458794 UPK458777:UPK458794 UZG458777:UZG458794 VJC458777:VJC458794 VSY458777:VSY458794 WCU458777:WCU458794 WMQ458777:WMQ458794 WWM458777:WWM458794 AE524314:AE524331 KA524313:KA524330 TW524313:TW524330 ADS524313:ADS524330 ANO524313:ANO524330 AXK524313:AXK524330 BHG524313:BHG524330 BRC524313:BRC524330 CAY524313:CAY524330 CKU524313:CKU524330 CUQ524313:CUQ524330 DEM524313:DEM524330 DOI524313:DOI524330 DYE524313:DYE524330 EIA524313:EIA524330 ERW524313:ERW524330 FBS524313:FBS524330 FLO524313:FLO524330 FVK524313:FVK524330 GFG524313:GFG524330 GPC524313:GPC524330 GYY524313:GYY524330 HIU524313:HIU524330 HSQ524313:HSQ524330 ICM524313:ICM524330 IMI524313:IMI524330 IWE524313:IWE524330 JGA524313:JGA524330 JPW524313:JPW524330 JZS524313:JZS524330 KJO524313:KJO524330 KTK524313:KTK524330 LDG524313:LDG524330 LNC524313:LNC524330 LWY524313:LWY524330 MGU524313:MGU524330 MQQ524313:MQQ524330 NAM524313:NAM524330 NKI524313:NKI524330 NUE524313:NUE524330 OEA524313:OEA524330 ONW524313:ONW524330 OXS524313:OXS524330 PHO524313:PHO524330 PRK524313:PRK524330 QBG524313:QBG524330 QLC524313:QLC524330 QUY524313:QUY524330 REU524313:REU524330 ROQ524313:ROQ524330 RYM524313:RYM524330 SII524313:SII524330 SSE524313:SSE524330 TCA524313:TCA524330 TLW524313:TLW524330 TVS524313:TVS524330 UFO524313:UFO524330 UPK524313:UPK524330 UZG524313:UZG524330 VJC524313:VJC524330 VSY524313:VSY524330 WCU524313:WCU524330 WMQ524313:WMQ524330 WWM524313:WWM524330 AE589850:AE589867 KA589849:KA589866 TW589849:TW589866 ADS589849:ADS589866 ANO589849:ANO589866 AXK589849:AXK589866 BHG589849:BHG589866 BRC589849:BRC589866 CAY589849:CAY589866 CKU589849:CKU589866 CUQ589849:CUQ589866 DEM589849:DEM589866 DOI589849:DOI589866 DYE589849:DYE589866 EIA589849:EIA589866 ERW589849:ERW589866 FBS589849:FBS589866 FLO589849:FLO589866 FVK589849:FVK589866 GFG589849:GFG589866 GPC589849:GPC589866 GYY589849:GYY589866 HIU589849:HIU589866 HSQ589849:HSQ589866 ICM589849:ICM589866 IMI589849:IMI589866 IWE589849:IWE589866 JGA589849:JGA589866 JPW589849:JPW589866 JZS589849:JZS589866 KJO589849:KJO589866 KTK589849:KTK589866 LDG589849:LDG589866 LNC589849:LNC589866 LWY589849:LWY589866 MGU589849:MGU589866 MQQ589849:MQQ589866 NAM589849:NAM589866 NKI589849:NKI589866 NUE589849:NUE589866 OEA589849:OEA589866 ONW589849:ONW589866 OXS589849:OXS589866 PHO589849:PHO589866 PRK589849:PRK589866 QBG589849:QBG589866 QLC589849:QLC589866 QUY589849:QUY589866 REU589849:REU589866 ROQ589849:ROQ589866 RYM589849:RYM589866 SII589849:SII589866 SSE589849:SSE589866 TCA589849:TCA589866 TLW589849:TLW589866 TVS589849:TVS589866 UFO589849:UFO589866 UPK589849:UPK589866 UZG589849:UZG589866 VJC589849:VJC589866 VSY589849:VSY589866 WCU589849:WCU589866 WMQ589849:WMQ589866 WWM589849:WWM589866 AE655386:AE655403 KA655385:KA655402 TW655385:TW655402 ADS655385:ADS655402 ANO655385:ANO655402 AXK655385:AXK655402 BHG655385:BHG655402 BRC655385:BRC655402 CAY655385:CAY655402 CKU655385:CKU655402 CUQ655385:CUQ655402 DEM655385:DEM655402 DOI655385:DOI655402 DYE655385:DYE655402 EIA655385:EIA655402 ERW655385:ERW655402 FBS655385:FBS655402 FLO655385:FLO655402 FVK655385:FVK655402 GFG655385:GFG655402 GPC655385:GPC655402 GYY655385:GYY655402 HIU655385:HIU655402 HSQ655385:HSQ655402 ICM655385:ICM655402 IMI655385:IMI655402 IWE655385:IWE655402 JGA655385:JGA655402 JPW655385:JPW655402 JZS655385:JZS655402 KJO655385:KJO655402 KTK655385:KTK655402 LDG655385:LDG655402 LNC655385:LNC655402 LWY655385:LWY655402 MGU655385:MGU655402 MQQ655385:MQQ655402 NAM655385:NAM655402 NKI655385:NKI655402 NUE655385:NUE655402 OEA655385:OEA655402 ONW655385:ONW655402 OXS655385:OXS655402 PHO655385:PHO655402 PRK655385:PRK655402 QBG655385:QBG655402 QLC655385:QLC655402 QUY655385:QUY655402 REU655385:REU655402 ROQ655385:ROQ655402 RYM655385:RYM655402 SII655385:SII655402 SSE655385:SSE655402 TCA655385:TCA655402 TLW655385:TLW655402 TVS655385:TVS655402 UFO655385:UFO655402 UPK655385:UPK655402 UZG655385:UZG655402 VJC655385:VJC655402 VSY655385:VSY655402 WCU655385:WCU655402 WMQ655385:WMQ655402 WWM655385:WWM655402 AE720922:AE720939 KA720921:KA720938 TW720921:TW720938 ADS720921:ADS720938 ANO720921:ANO720938 AXK720921:AXK720938 BHG720921:BHG720938 BRC720921:BRC720938 CAY720921:CAY720938 CKU720921:CKU720938 CUQ720921:CUQ720938 DEM720921:DEM720938 DOI720921:DOI720938 DYE720921:DYE720938 EIA720921:EIA720938 ERW720921:ERW720938 FBS720921:FBS720938 FLO720921:FLO720938 FVK720921:FVK720938 GFG720921:GFG720938 GPC720921:GPC720938 GYY720921:GYY720938 HIU720921:HIU720938 HSQ720921:HSQ720938 ICM720921:ICM720938 IMI720921:IMI720938 IWE720921:IWE720938 JGA720921:JGA720938 JPW720921:JPW720938 JZS720921:JZS720938 KJO720921:KJO720938 KTK720921:KTK720938 LDG720921:LDG720938 LNC720921:LNC720938 LWY720921:LWY720938 MGU720921:MGU720938 MQQ720921:MQQ720938 NAM720921:NAM720938 NKI720921:NKI720938 NUE720921:NUE720938 OEA720921:OEA720938 ONW720921:ONW720938 OXS720921:OXS720938 PHO720921:PHO720938 PRK720921:PRK720938 QBG720921:QBG720938 QLC720921:QLC720938 QUY720921:QUY720938 REU720921:REU720938 ROQ720921:ROQ720938 RYM720921:RYM720938 SII720921:SII720938 SSE720921:SSE720938 TCA720921:TCA720938 TLW720921:TLW720938 TVS720921:TVS720938 UFO720921:UFO720938 UPK720921:UPK720938 UZG720921:UZG720938 VJC720921:VJC720938 VSY720921:VSY720938 WCU720921:WCU720938 WMQ720921:WMQ720938 WWM720921:WWM720938 AE786458:AE786475 KA786457:KA786474 TW786457:TW786474 ADS786457:ADS786474 ANO786457:ANO786474 AXK786457:AXK786474 BHG786457:BHG786474 BRC786457:BRC786474 CAY786457:CAY786474 CKU786457:CKU786474 CUQ786457:CUQ786474 DEM786457:DEM786474 DOI786457:DOI786474 DYE786457:DYE786474 EIA786457:EIA786474 ERW786457:ERW786474 FBS786457:FBS786474 FLO786457:FLO786474 FVK786457:FVK786474 GFG786457:GFG786474 GPC786457:GPC786474 GYY786457:GYY786474 HIU786457:HIU786474 HSQ786457:HSQ786474 ICM786457:ICM786474 IMI786457:IMI786474 IWE786457:IWE786474 JGA786457:JGA786474 JPW786457:JPW786474 JZS786457:JZS786474 KJO786457:KJO786474 KTK786457:KTK786474 LDG786457:LDG786474 LNC786457:LNC786474 LWY786457:LWY786474 MGU786457:MGU786474 MQQ786457:MQQ786474 NAM786457:NAM786474 NKI786457:NKI786474 NUE786457:NUE786474 OEA786457:OEA786474 ONW786457:ONW786474 OXS786457:OXS786474 PHO786457:PHO786474 PRK786457:PRK786474 QBG786457:QBG786474 QLC786457:QLC786474 QUY786457:QUY786474 REU786457:REU786474 ROQ786457:ROQ786474 RYM786457:RYM786474 SII786457:SII786474 SSE786457:SSE786474 TCA786457:TCA786474 TLW786457:TLW786474 TVS786457:TVS786474 UFO786457:UFO786474 UPK786457:UPK786474 UZG786457:UZG786474 VJC786457:VJC786474 VSY786457:VSY786474 WCU786457:WCU786474 WMQ786457:WMQ786474 WWM786457:WWM786474 AE851994:AE852011 KA851993:KA852010 TW851993:TW852010 ADS851993:ADS852010 ANO851993:ANO852010 AXK851993:AXK852010 BHG851993:BHG852010 BRC851993:BRC852010 CAY851993:CAY852010 CKU851993:CKU852010 CUQ851993:CUQ852010 DEM851993:DEM852010 DOI851993:DOI852010 DYE851993:DYE852010 EIA851993:EIA852010 ERW851993:ERW852010 FBS851993:FBS852010 FLO851993:FLO852010 FVK851993:FVK852010 GFG851993:GFG852010 GPC851993:GPC852010 GYY851993:GYY852010 HIU851993:HIU852010 HSQ851993:HSQ852010 ICM851993:ICM852010 IMI851993:IMI852010 IWE851993:IWE852010 JGA851993:JGA852010 JPW851993:JPW852010 JZS851993:JZS852010 KJO851993:KJO852010 KTK851993:KTK852010 LDG851993:LDG852010 LNC851993:LNC852010 LWY851993:LWY852010 MGU851993:MGU852010 MQQ851993:MQQ852010 NAM851993:NAM852010 NKI851993:NKI852010 NUE851993:NUE852010 OEA851993:OEA852010 ONW851993:ONW852010 OXS851993:OXS852010 PHO851993:PHO852010 PRK851993:PRK852010 QBG851993:QBG852010 QLC851993:QLC852010 QUY851993:QUY852010 REU851993:REU852010 ROQ851993:ROQ852010 RYM851993:RYM852010 SII851993:SII852010 SSE851993:SSE852010 TCA851993:TCA852010 TLW851993:TLW852010 TVS851993:TVS852010 UFO851993:UFO852010 UPK851993:UPK852010 UZG851993:UZG852010 VJC851993:VJC852010 VSY851993:VSY852010 WCU851993:WCU852010 WMQ851993:WMQ852010 WWM851993:WWM852010 AE917530:AE917547 KA917529:KA917546 TW917529:TW917546 ADS917529:ADS917546 ANO917529:ANO917546 AXK917529:AXK917546 BHG917529:BHG917546 BRC917529:BRC917546 CAY917529:CAY917546 CKU917529:CKU917546 CUQ917529:CUQ917546 DEM917529:DEM917546 DOI917529:DOI917546 DYE917529:DYE917546 EIA917529:EIA917546 ERW917529:ERW917546 FBS917529:FBS917546 FLO917529:FLO917546 FVK917529:FVK917546 GFG917529:GFG917546 GPC917529:GPC917546 GYY917529:GYY917546 HIU917529:HIU917546 HSQ917529:HSQ917546 ICM917529:ICM917546 IMI917529:IMI917546 IWE917529:IWE917546 JGA917529:JGA917546 JPW917529:JPW917546 JZS917529:JZS917546 KJO917529:KJO917546 KTK917529:KTK917546 LDG917529:LDG917546 LNC917529:LNC917546 LWY917529:LWY917546 MGU917529:MGU917546 MQQ917529:MQQ917546 NAM917529:NAM917546 NKI917529:NKI917546 NUE917529:NUE917546 OEA917529:OEA917546 ONW917529:ONW917546 OXS917529:OXS917546 PHO917529:PHO917546 PRK917529:PRK917546 QBG917529:QBG917546 QLC917529:QLC917546 QUY917529:QUY917546 REU917529:REU917546 ROQ917529:ROQ917546 RYM917529:RYM917546 SII917529:SII917546 SSE917529:SSE917546 TCA917529:TCA917546 TLW917529:TLW917546 TVS917529:TVS917546 UFO917529:UFO917546 UPK917529:UPK917546 UZG917529:UZG917546 VJC917529:VJC917546 VSY917529:VSY917546 WCU917529:WCU917546 WMQ917529:WMQ917546 WWM917529:WWM917546 AE983066:AE983083 KA983065:KA983082 TW983065:TW983082 ADS983065:ADS983082 ANO983065:ANO983082 AXK983065:AXK983082 BHG983065:BHG983082 BRC983065:BRC983082 CAY983065:CAY983082 CKU983065:CKU983082 CUQ983065:CUQ983082 DEM983065:DEM983082 DOI983065:DOI983082 DYE983065:DYE983082 EIA983065:EIA983082 ERW983065:ERW983082 FBS983065:FBS983082 FLO983065:FLO983082 FVK983065:FVK983082 GFG983065:GFG983082 GPC983065:GPC983082 GYY983065:GYY983082 HIU983065:HIU983082 HSQ983065:HSQ983082 ICM983065:ICM983082 IMI983065:IMI983082 IWE983065:IWE983082 JGA983065:JGA983082 JPW983065:JPW983082 JZS983065:JZS983082 KJO983065:KJO983082 KTK983065:KTK983082 LDG983065:LDG983082 LNC983065:LNC983082 LWY983065:LWY983082 MGU983065:MGU983082 MQQ983065:MQQ983082 NAM983065:NAM983082 NKI983065:NKI983082 NUE983065:NUE983082 OEA983065:OEA983082 ONW983065:ONW983082 OXS983065:OXS983082 PHO983065:PHO983082 PRK983065:PRK983082 QBG983065:QBG983082 QLC983065:QLC983082 QUY983065:QUY983082 REU983065:REU983082 ROQ983065:ROQ983082 RYM983065:RYM983082 SII983065:SII983082 SSE983065:SSE983082 TCA983065:TCA983082 TLW983065:TLW983082 TVS983065:TVS983082 UFO983065:UFO983082 UPK983065:UPK983082 UZG983065:UZG983082 VJC983065:VJC983082 VSY983065:VSY983082 WCU983065:WCU983082 WMQ983065:WMQ983082 WCU8:WCU43 VSY8:VSY43 VJC8:VJC43 UZG8:UZG43 UPK8:UPK43 UFO8:UFO43 TVS8:TVS43 TLW8:TLW43 TCA8:TCA43 SSE8:SSE43 SII8:SII43 RYM8:RYM43 ROQ8:ROQ43 REU8:REU43 QUY8:QUY43 QLC8:QLC43 QBG8:QBG43 PRK8:PRK43 PHO8:PHO43 OXS8:OXS43 ONW8:ONW43 OEA8:OEA43 NUE8:NUE43 NKI8:NKI43 NAM8:NAM43 MQQ8:MQQ43 MGU8:MGU43 LWY8:LWY43 LNC8:LNC43 LDG8:LDG43 KTK8:KTK43 KJO8:KJO43 JZS8:JZS43 JPW8:JPW43 JGA8:JGA43 IWE8:IWE43 IMI8:IMI43 ICM8:ICM43 HSQ8:HSQ43 HIU8:HIU43 GYY8:GYY43 GPC8:GPC43 GFG8:GFG43 FVK8:FVK43 FLO8:FLO43 FBS8:FBS43 ERW8:ERW43 EIA8:EIA43 DYE8:DYE43 DOI8:DOI43 DEM8:DEM43 CUQ8:CUQ43 CKU8:CKU43 CAY8:CAY43 BRC8:BRC43 BHG8:BHG43 AXK8:AXK43 ANO8:ANO43 ADS8:ADS43 TW8:TW43 KA8:KA43 WWM8:WWM43 AE8:AE43 WMQ8:WMQ43">
      <formula1>$AH$1:$AH$4</formula1>
    </dataValidation>
    <dataValidation type="date" showInputMessage="1" showErrorMessage="1" error="Debe Digitar una Fecha Valida o Verificar la Fecha Inicial" sqref="AC65562 JY65561 TU65561 ADQ65561 ANM65561 AXI65561 BHE65561 BRA65561 CAW65561 CKS65561 CUO65561 DEK65561 DOG65561 DYC65561 EHY65561 ERU65561 FBQ65561 FLM65561 FVI65561 GFE65561 GPA65561 GYW65561 HIS65561 HSO65561 ICK65561 IMG65561 IWC65561 JFY65561 JPU65561 JZQ65561 KJM65561 KTI65561 LDE65561 LNA65561 LWW65561 MGS65561 MQO65561 NAK65561 NKG65561 NUC65561 ODY65561 ONU65561 OXQ65561 PHM65561 PRI65561 QBE65561 QLA65561 QUW65561 RES65561 ROO65561 RYK65561 SIG65561 SSC65561 TBY65561 TLU65561 TVQ65561 UFM65561 UPI65561 UZE65561 VJA65561 VSW65561 WCS65561 WMO65561 WWK65561 AC131098 JY131097 TU131097 ADQ131097 ANM131097 AXI131097 BHE131097 BRA131097 CAW131097 CKS131097 CUO131097 DEK131097 DOG131097 DYC131097 EHY131097 ERU131097 FBQ131097 FLM131097 FVI131097 GFE131097 GPA131097 GYW131097 HIS131097 HSO131097 ICK131097 IMG131097 IWC131097 JFY131097 JPU131097 JZQ131097 KJM131097 KTI131097 LDE131097 LNA131097 LWW131097 MGS131097 MQO131097 NAK131097 NKG131097 NUC131097 ODY131097 ONU131097 OXQ131097 PHM131097 PRI131097 QBE131097 QLA131097 QUW131097 RES131097 ROO131097 RYK131097 SIG131097 SSC131097 TBY131097 TLU131097 TVQ131097 UFM131097 UPI131097 UZE131097 VJA131097 VSW131097 WCS131097 WMO131097 WWK131097 AC196634 JY196633 TU196633 ADQ196633 ANM196633 AXI196633 BHE196633 BRA196633 CAW196633 CKS196633 CUO196633 DEK196633 DOG196633 DYC196633 EHY196633 ERU196633 FBQ196633 FLM196633 FVI196633 GFE196633 GPA196633 GYW196633 HIS196633 HSO196633 ICK196633 IMG196633 IWC196633 JFY196633 JPU196633 JZQ196633 KJM196633 KTI196633 LDE196633 LNA196633 LWW196633 MGS196633 MQO196633 NAK196633 NKG196633 NUC196633 ODY196633 ONU196633 OXQ196633 PHM196633 PRI196633 QBE196633 QLA196633 QUW196633 RES196633 ROO196633 RYK196633 SIG196633 SSC196633 TBY196633 TLU196633 TVQ196633 UFM196633 UPI196633 UZE196633 VJA196633 VSW196633 WCS196633 WMO196633 WWK196633 AC262170 JY262169 TU262169 ADQ262169 ANM262169 AXI262169 BHE262169 BRA262169 CAW262169 CKS262169 CUO262169 DEK262169 DOG262169 DYC262169 EHY262169 ERU262169 FBQ262169 FLM262169 FVI262169 GFE262169 GPA262169 GYW262169 HIS262169 HSO262169 ICK262169 IMG262169 IWC262169 JFY262169 JPU262169 JZQ262169 KJM262169 KTI262169 LDE262169 LNA262169 LWW262169 MGS262169 MQO262169 NAK262169 NKG262169 NUC262169 ODY262169 ONU262169 OXQ262169 PHM262169 PRI262169 QBE262169 QLA262169 QUW262169 RES262169 ROO262169 RYK262169 SIG262169 SSC262169 TBY262169 TLU262169 TVQ262169 UFM262169 UPI262169 UZE262169 VJA262169 VSW262169 WCS262169 WMO262169 WWK262169 AC327706 JY327705 TU327705 ADQ327705 ANM327705 AXI327705 BHE327705 BRA327705 CAW327705 CKS327705 CUO327705 DEK327705 DOG327705 DYC327705 EHY327705 ERU327705 FBQ327705 FLM327705 FVI327705 GFE327705 GPA327705 GYW327705 HIS327705 HSO327705 ICK327705 IMG327705 IWC327705 JFY327705 JPU327705 JZQ327705 KJM327705 KTI327705 LDE327705 LNA327705 LWW327705 MGS327705 MQO327705 NAK327705 NKG327705 NUC327705 ODY327705 ONU327705 OXQ327705 PHM327705 PRI327705 QBE327705 QLA327705 QUW327705 RES327705 ROO327705 RYK327705 SIG327705 SSC327705 TBY327705 TLU327705 TVQ327705 UFM327705 UPI327705 UZE327705 VJA327705 VSW327705 WCS327705 WMO327705 WWK327705 AC393242 JY393241 TU393241 ADQ393241 ANM393241 AXI393241 BHE393241 BRA393241 CAW393241 CKS393241 CUO393241 DEK393241 DOG393241 DYC393241 EHY393241 ERU393241 FBQ393241 FLM393241 FVI393241 GFE393241 GPA393241 GYW393241 HIS393241 HSO393241 ICK393241 IMG393241 IWC393241 JFY393241 JPU393241 JZQ393241 KJM393241 KTI393241 LDE393241 LNA393241 LWW393241 MGS393241 MQO393241 NAK393241 NKG393241 NUC393241 ODY393241 ONU393241 OXQ393241 PHM393241 PRI393241 QBE393241 QLA393241 QUW393241 RES393241 ROO393241 RYK393241 SIG393241 SSC393241 TBY393241 TLU393241 TVQ393241 UFM393241 UPI393241 UZE393241 VJA393241 VSW393241 WCS393241 WMO393241 WWK393241 AC458778 JY458777 TU458777 ADQ458777 ANM458777 AXI458777 BHE458777 BRA458777 CAW458777 CKS458777 CUO458777 DEK458777 DOG458777 DYC458777 EHY458777 ERU458777 FBQ458777 FLM458777 FVI458777 GFE458777 GPA458777 GYW458777 HIS458777 HSO458777 ICK458777 IMG458777 IWC458777 JFY458777 JPU458777 JZQ458777 KJM458777 KTI458777 LDE458777 LNA458777 LWW458777 MGS458777 MQO458777 NAK458777 NKG458777 NUC458777 ODY458777 ONU458777 OXQ458777 PHM458777 PRI458777 QBE458777 QLA458777 QUW458777 RES458777 ROO458777 RYK458777 SIG458777 SSC458777 TBY458777 TLU458777 TVQ458777 UFM458777 UPI458777 UZE458777 VJA458777 VSW458777 WCS458777 WMO458777 WWK458777 AC524314 JY524313 TU524313 ADQ524313 ANM524313 AXI524313 BHE524313 BRA524313 CAW524313 CKS524313 CUO524313 DEK524313 DOG524313 DYC524313 EHY524313 ERU524313 FBQ524313 FLM524313 FVI524313 GFE524313 GPA524313 GYW524313 HIS524313 HSO524313 ICK524313 IMG524313 IWC524313 JFY524313 JPU524313 JZQ524313 KJM524313 KTI524313 LDE524313 LNA524313 LWW524313 MGS524313 MQO524313 NAK524313 NKG524313 NUC524313 ODY524313 ONU524313 OXQ524313 PHM524313 PRI524313 QBE524313 QLA524313 QUW524313 RES524313 ROO524313 RYK524313 SIG524313 SSC524313 TBY524313 TLU524313 TVQ524313 UFM524313 UPI524313 UZE524313 VJA524313 VSW524313 WCS524313 WMO524313 WWK524313 AC589850 JY589849 TU589849 ADQ589849 ANM589849 AXI589849 BHE589849 BRA589849 CAW589849 CKS589849 CUO589849 DEK589849 DOG589849 DYC589849 EHY589849 ERU589849 FBQ589849 FLM589849 FVI589849 GFE589849 GPA589849 GYW589849 HIS589849 HSO589849 ICK589849 IMG589849 IWC589849 JFY589849 JPU589849 JZQ589849 KJM589849 KTI589849 LDE589849 LNA589849 LWW589849 MGS589849 MQO589849 NAK589849 NKG589849 NUC589849 ODY589849 ONU589849 OXQ589849 PHM589849 PRI589849 QBE589849 QLA589849 QUW589849 RES589849 ROO589849 RYK589849 SIG589849 SSC589849 TBY589849 TLU589849 TVQ589849 UFM589849 UPI589849 UZE589849 VJA589849 VSW589849 WCS589849 WMO589849 WWK589849 AC655386 JY655385 TU655385 ADQ655385 ANM655385 AXI655385 BHE655385 BRA655385 CAW655385 CKS655385 CUO655385 DEK655385 DOG655385 DYC655385 EHY655385 ERU655385 FBQ655385 FLM655385 FVI655385 GFE655385 GPA655385 GYW655385 HIS655385 HSO655385 ICK655385 IMG655385 IWC655385 JFY655385 JPU655385 JZQ655385 KJM655385 KTI655385 LDE655385 LNA655385 LWW655385 MGS655385 MQO655385 NAK655385 NKG655385 NUC655385 ODY655385 ONU655385 OXQ655385 PHM655385 PRI655385 QBE655385 QLA655385 QUW655385 RES655385 ROO655385 RYK655385 SIG655385 SSC655385 TBY655385 TLU655385 TVQ655385 UFM655385 UPI655385 UZE655385 VJA655385 VSW655385 WCS655385 WMO655385 WWK655385 AC720922 JY720921 TU720921 ADQ720921 ANM720921 AXI720921 BHE720921 BRA720921 CAW720921 CKS720921 CUO720921 DEK720921 DOG720921 DYC720921 EHY720921 ERU720921 FBQ720921 FLM720921 FVI720921 GFE720921 GPA720921 GYW720921 HIS720921 HSO720921 ICK720921 IMG720921 IWC720921 JFY720921 JPU720921 JZQ720921 KJM720921 KTI720921 LDE720921 LNA720921 LWW720921 MGS720921 MQO720921 NAK720921 NKG720921 NUC720921 ODY720921 ONU720921 OXQ720921 PHM720921 PRI720921 QBE720921 QLA720921 QUW720921 RES720921 ROO720921 RYK720921 SIG720921 SSC720921 TBY720921 TLU720921 TVQ720921 UFM720921 UPI720921 UZE720921 VJA720921 VSW720921 WCS720921 WMO720921 WWK720921 AC786458 JY786457 TU786457 ADQ786457 ANM786457 AXI786457 BHE786457 BRA786457 CAW786457 CKS786457 CUO786457 DEK786457 DOG786457 DYC786457 EHY786457 ERU786457 FBQ786457 FLM786457 FVI786457 GFE786457 GPA786457 GYW786457 HIS786457 HSO786457 ICK786457 IMG786457 IWC786457 JFY786457 JPU786457 JZQ786457 KJM786457 KTI786457 LDE786457 LNA786457 LWW786457 MGS786457 MQO786457 NAK786457 NKG786457 NUC786457 ODY786457 ONU786457 OXQ786457 PHM786457 PRI786457 QBE786457 QLA786457 QUW786457 RES786457 ROO786457 RYK786457 SIG786457 SSC786457 TBY786457 TLU786457 TVQ786457 UFM786457 UPI786457 UZE786457 VJA786457 VSW786457 WCS786457 WMO786457 WWK786457 AC851994 JY851993 TU851993 ADQ851993 ANM851993 AXI851993 BHE851993 BRA851993 CAW851993 CKS851993 CUO851993 DEK851993 DOG851993 DYC851993 EHY851993 ERU851993 FBQ851993 FLM851993 FVI851993 GFE851993 GPA851993 GYW851993 HIS851993 HSO851993 ICK851993 IMG851993 IWC851993 JFY851993 JPU851993 JZQ851993 KJM851993 KTI851993 LDE851993 LNA851993 LWW851993 MGS851993 MQO851993 NAK851993 NKG851993 NUC851993 ODY851993 ONU851993 OXQ851993 PHM851993 PRI851993 QBE851993 QLA851993 QUW851993 RES851993 ROO851993 RYK851993 SIG851993 SSC851993 TBY851993 TLU851993 TVQ851993 UFM851993 UPI851993 UZE851993 VJA851993 VSW851993 WCS851993 WMO851993 WWK851993 AC917530 JY917529 TU917529 ADQ917529 ANM917529 AXI917529 BHE917529 BRA917529 CAW917529 CKS917529 CUO917529 DEK917529 DOG917529 DYC917529 EHY917529 ERU917529 FBQ917529 FLM917529 FVI917529 GFE917529 GPA917529 GYW917529 HIS917529 HSO917529 ICK917529 IMG917529 IWC917529 JFY917529 JPU917529 JZQ917529 KJM917529 KTI917529 LDE917529 LNA917529 LWW917529 MGS917529 MQO917529 NAK917529 NKG917529 NUC917529 ODY917529 ONU917529 OXQ917529 PHM917529 PRI917529 QBE917529 QLA917529 QUW917529 RES917529 ROO917529 RYK917529 SIG917529 SSC917529 TBY917529 TLU917529 TVQ917529 UFM917529 UPI917529 UZE917529 VJA917529 VSW917529 WCS917529 WMO917529 WWK917529 AC983066 JY983065 TU983065 ADQ983065 ANM983065 AXI983065 BHE983065 BRA983065 CAW983065 CKS983065 CUO983065 DEK983065 DOG983065 DYC983065 EHY983065 ERU983065 FBQ983065 FLM983065 FVI983065 GFE983065 GPA983065 GYW983065 HIS983065 HSO983065 ICK983065 IMG983065 IWC983065 JFY983065 JPU983065 JZQ983065 KJM983065 KTI983065 LDE983065 LNA983065 LWW983065 MGS983065 MQO983065 NAK983065 NKG983065 NUC983065 ODY983065 ONU983065 OXQ983065 PHM983065 PRI983065 QBE983065 QLA983065 QUW983065 RES983065 ROO983065 RYK983065 SIG983065 SSC983065 TBY983065 TLU983065 TVQ983065 UFM983065 UPI983065 UZE983065 VJA983065 VSW983065 WCS983065 WMO983065 WWK983065 AC65564 JY65563 TU65563 ADQ65563 ANM65563 AXI65563 BHE65563 BRA65563 CAW65563 CKS65563 CUO65563 DEK65563 DOG65563 DYC65563 EHY65563 ERU65563 FBQ65563 FLM65563 FVI65563 GFE65563 GPA65563 GYW65563 HIS65563 HSO65563 ICK65563 IMG65563 IWC65563 JFY65563 JPU65563 JZQ65563 KJM65563 KTI65563 LDE65563 LNA65563 LWW65563 MGS65563 MQO65563 NAK65563 NKG65563 NUC65563 ODY65563 ONU65563 OXQ65563 PHM65563 PRI65563 QBE65563 QLA65563 QUW65563 RES65563 ROO65563 RYK65563 SIG65563 SSC65563 TBY65563 TLU65563 TVQ65563 UFM65563 UPI65563 UZE65563 VJA65563 VSW65563 WCS65563 WMO65563 WWK65563 AC131100 JY131099 TU131099 ADQ131099 ANM131099 AXI131099 BHE131099 BRA131099 CAW131099 CKS131099 CUO131099 DEK131099 DOG131099 DYC131099 EHY131099 ERU131099 FBQ131099 FLM131099 FVI131099 GFE131099 GPA131099 GYW131099 HIS131099 HSO131099 ICK131099 IMG131099 IWC131099 JFY131099 JPU131099 JZQ131099 KJM131099 KTI131099 LDE131099 LNA131099 LWW131099 MGS131099 MQO131099 NAK131099 NKG131099 NUC131099 ODY131099 ONU131099 OXQ131099 PHM131099 PRI131099 QBE131099 QLA131099 QUW131099 RES131099 ROO131099 RYK131099 SIG131099 SSC131099 TBY131099 TLU131099 TVQ131099 UFM131099 UPI131099 UZE131099 VJA131099 VSW131099 WCS131099 WMO131099 WWK131099 AC196636 JY196635 TU196635 ADQ196635 ANM196635 AXI196635 BHE196635 BRA196635 CAW196635 CKS196635 CUO196635 DEK196635 DOG196635 DYC196635 EHY196635 ERU196635 FBQ196635 FLM196635 FVI196635 GFE196635 GPA196635 GYW196635 HIS196635 HSO196635 ICK196635 IMG196635 IWC196635 JFY196635 JPU196635 JZQ196635 KJM196635 KTI196635 LDE196635 LNA196635 LWW196635 MGS196635 MQO196635 NAK196635 NKG196635 NUC196635 ODY196635 ONU196635 OXQ196635 PHM196635 PRI196635 QBE196635 QLA196635 QUW196635 RES196635 ROO196635 RYK196635 SIG196635 SSC196635 TBY196635 TLU196635 TVQ196635 UFM196635 UPI196635 UZE196635 VJA196635 VSW196635 WCS196635 WMO196635 WWK196635 AC262172 JY262171 TU262171 ADQ262171 ANM262171 AXI262171 BHE262171 BRA262171 CAW262171 CKS262171 CUO262171 DEK262171 DOG262171 DYC262171 EHY262171 ERU262171 FBQ262171 FLM262171 FVI262171 GFE262171 GPA262171 GYW262171 HIS262171 HSO262171 ICK262171 IMG262171 IWC262171 JFY262171 JPU262171 JZQ262171 KJM262171 KTI262171 LDE262171 LNA262171 LWW262171 MGS262171 MQO262171 NAK262171 NKG262171 NUC262171 ODY262171 ONU262171 OXQ262171 PHM262171 PRI262171 QBE262171 QLA262171 QUW262171 RES262171 ROO262171 RYK262171 SIG262171 SSC262171 TBY262171 TLU262171 TVQ262171 UFM262171 UPI262171 UZE262171 VJA262171 VSW262171 WCS262171 WMO262171 WWK262171 AC327708 JY327707 TU327707 ADQ327707 ANM327707 AXI327707 BHE327707 BRA327707 CAW327707 CKS327707 CUO327707 DEK327707 DOG327707 DYC327707 EHY327707 ERU327707 FBQ327707 FLM327707 FVI327707 GFE327707 GPA327707 GYW327707 HIS327707 HSO327707 ICK327707 IMG327707 IWC327707 JFY327707 JPU327707 JZQ327707 KJM327707 KTI327707 LDE327707 LNA327707 LWW327707 MGS327707 MQO327707 NAK327707 NKG327707 NUC327707 ODY327707 ONU327707 OXQ327707 PHM327707 PRI327707 QBE327707 QLA327707 QUW327707 RES327707 ROO327707 RYK327707 SIG327707 SSC327707 TBY327707 TLU327707 TVQ327707 UFM327707 UPI327707 UZE327707 VJA327707 VSW327707 WCS327707 WMO327707 WWK327707 AC393244 JY393243 TU393243 ADQ393243 ANM393243 AXI393243 BHE393243 BRA393243 CAW393243 CKS393243 CUO393243 DEK393243 DOG393243 DYC393243 EHY393243 ERU393243 FBQ393243 FLM393243 FVI393243 GFE393243 GPA393243 GYW393243 HIS393243 HSO393243 ICK393243 IMG393243 IWC393243 JFY393243 JPU393243 JZQ393243 KJM393243 KTI393243 LDE393243 LNA393243 LWW393243 MGS393243 MQO393243 NAK393243 NKG393243 NUC393243 ODY393243 ONU393243 OXQ393243 PHM393243 PRI393243 QBE393243 QLA393243 QUW393243 RES393243 ROO393243 RYK393243 SIG393243 SSC393243 TBY393243 TLU393243 TVQ393243 UFM393243 UPI393243 UZE393243 VJA393243 VSW393243 WCS393243 WMO393243 WWK393243 AC458780 JY458779 TU458779 ADQ458779 ANM458779 AXI458779 BHE458779 BRA458779 CAW458779 CKS458779 CUO458779 DEK458779 DOG458779 DYC458779 EHY458779 ERU458779 FBQ458779 FLM458779 FVI458779 GFE458779 GPA458779 GYW458779 HIS458779 HSO458779 ICK458779 IMG458779 IWC458779 JFY458779 JPU458779 JZQ458779 KJM458779 KTI458779 LDE458779 LNA458779 LWW458779 MGS458779 MQO458779 NAK458779 NKG458779 NUC458779 ODY458779 ONU458779 OXQ458779 PHM458779 PRI458779 QBE458779 QLA458779 QUW458779 RES458779 ROO458779 RYK458779 SIG458779 SSC458779 TBY458779 TLU458779 TVQ458779 UFM458779 UPI458779 UZE458779 VJA458779 VSW458779 WCS458779 WMO458779 WWK458779 AC524316 JY524315 TU524315 ADQ524315 ANM524315 AXI524315 BHE524315 BRA524315 CAW524315 CKS524315 CUO524315 DEK524315 DOG524315 DYC524315 EHY524315 ERU524315 FBQ524315 FLM524315 FVI524315 GFE524315 GPA524315 GYW524315 HIS524315 HSO524315 ICK524315 IMG524315 IWC524315 JFY524315 JPU524315 JZQ524315 KJM524315 KTI524315 LDE524315 LNA524315 LWW524315 MGS524315 MQO524315 NAK524315 NKG524315 NUC524315 ODY524315 ONU524315 OXQ524315 PHM524315 PRI524315 QBE524315 QLA524315 QUW524315 RES524315 ROO524315 RYK524315 SIG524315 SSC524315 TBY524315 TLU524315 TVQ524315 UFM524315 UPI524315 UZE524315 VJA524315 VSW524315 WCS524315 WMO524315 WWK524315 AC589852 JY589851 TU589851 ADQ589851 ANM589851 AXI589851 BHE589851 BRA589851 CAW589851 CKS589851 CUO589851 DEK589851 DOG589851 DYC589851 EHY589851 ERU589851 FBQ589851 FLM589851 FVI589851 GFE589851 GPA589851 GYW589851 HIS589851 HSO589851 ICK589851 IMG589851 IWC589851 JFY589851 JPU589851 JZQ589851 KJM589851 KTI589851 LDE589851 LNA589851 LWW589851 MGS589851 MQO589851 NAK589851 NKG589851 NUC589851 ODY589851 ONU589851 OXQ589851 PHM589851 PRI589851 QBE589851 QLA589851 QUW589851 RES589851 ROO589851 RYK589851 SIG589851 SSC589851 TBY589851 TLU589851 TVQ589851 UFM589851 UPI589851 UZE589851 VJA589851 VSW589851 WCS589851 WMO589851 WWK589851 AC655388 JY655387 TU655387 ADQ655387 ANM655387 AXI655387 BHE655387 BRA655387 CAW655387 CKS655387 CUO655387 DEK655387 DOG655387 DYC655387 EHY655387 ERU655387 FBQ655387 FLM655387 FVI655387 GFE655387 GPA655387 GYW655387 HIS655387 HSO655387 ICK655387 IMG655387 IWC655387 JFY655387 JPU655387 JZQ655387 KJM655387 KTI655387 LDE655387 LNA655387 LWW655387 MGS655387 MQO655387 NAK655387 NKG655387 NUC655387 ODY655387 ONU655387 OXQ655387 PHM655387 PRI655387 QBE655387 QLA655387 QUW655387 RES655387 ROO655387 RYK655387 SIG655387 SSC655387 TBY655387 TLU655387 TVQ655387 UFM655387 UPI655387 UZE655387 VJA655387 VSW655387 WCS655387 WMO655387 WWK655387 AC720924 JY720923 TU720923 ADQ720923 ANM720923 AXI720923 BHE720923 BRA720923 CAW720923 CKS720923 CUO720923 DEK720923 DOG720923 DYC720923 EHY720923 ERU720923 FBQ720923 FLM720923 FVI720923 GFE720923 GPA720923 GYW720923 HIS720923 HSO720923 ICK720923 IMG720923 IWC720923 JFY720923 JPU720923 JZQ720923 KJM720923 KTI720923 LDE720923 LNA720923 LWW720923 MGS720923 MQO720923 NAK720923 NKG720923 NUC720923 ODY720923 ONU720923 OXQ720923 PHM720923 PRI720923 QBE720923 QLA720923 QUW720923 RES720923 ROO720923 RYK720923 SIG720923 SSC720923 TBY720923 TLU720923 TVQ720923 UFM720923 UPI720923 UZE720923 VJA720923 VSW720923 WCS720923 WMO720923 WWK720923 AC786460 JY786459 TU786459 ADQ786459 ANM786459 AXI786459 BHE786459 BRA786459 CAW786459 CKS786459 CUO786459 DEK786459 DOG786459 DYC786459 EHY786459 ERU786459 FBQ786459 FLM786459 FVI786459 GFE786459 GPA786459 GYW786459 HIS786459 HSO786459 ICK786459 IMG786459 IWC786459 JFY786459 JPU786459 JZQ786459 KJM786459 KTI786459 LDE786459 LNA786459 LWW786459 MGS786459 MQO786459 NAK786459 NKG786459 NUC786459 ODY786459 ONU786459 OXQ786459 PHM786459 PRI786459 QBE786459 QLA786459 QUW786459 RES786459 ROO786459 RYK786459 SIG786459 SSC786459 TBY786459 TLU786459 TVQ786459 UFM786459 UPI786459 UZE786459 VJA786459 VSW786459 WCS786459 WMO786459 WWK786459 AC851996 JY851995 TU851995 ADQ851995 ANM851995 AXI851995 BHE851995 BRA851995 CAW851995 CKS851995 CUO851995 DEK851995 DOG851995 DYC851995 EHY851995 ERU851995 FBQ851995 FLM851995 FVI851995 GFE851995 GPA851995 GYW851995 HIS851995 HSO851995 ICK851995 IMG851995 IWC851995 JFY851995 JPU851995 JZQ851995 KJM851995 KTI851995 LDE851995 LNA851995 LWW851995 MGS851995 MQO851995 NAK851995 NKG851995 NUC851995 ODY851995 ONU851995 OXQ851995 PHM851995 PRI851995 QBE851995 QLA851995 QUW851995 RES851995 ROO851995 RYK851995 SIG851995 SSC851995 TBY851995 TLU851995 TVQ851995 UFM851995 UPI851995 UZE851995 VJA851995 VSW851995 WCS851995 WMO851995 WWK851995 AC917532 JY917531 TU917531 ADQ917531 ANM917531 AXI917531 BHE917531 BRA917531 CAW917531 CKS917531 CUO917531 DEK917531 DOG917531 DYC917531 EHY917531 ERU917531 FBQ917531 FLM917531 FVI917531 GFE917531 GPA917531 GYW917531 HIS917531 HSO917531 ICK917531 IMG917531 IWC917531 JFY917531 JPU917531 JZQ917531 KJM917531 KTI917531 LDE917531 LNA917531 LWW917531 MGS917531 MQO917531 NAK917531 NKG917531 NUC917531 ODY917531 ONU917531 OXQ917531 PHM917531 PRI917531 QBE917531 QLA917531 QUW917531 RES917531 ROO917531 RYK917531 SIG917531 SSC917531 TBY917531 TLU917531 TVQ917531 UFM917531 UPI917531 UZE917531 VJA917531 VSW917531 WCS917531 WMO917531 WWK917531 AC983068 JY983067 TU983067 ADQ983067 ANM983067 AXI983067 BHE983067 BRA983067 CAW983067 CKS983067 CUO983067 DEK983067 DOG983067 DYC983067 EHY983067 ERU983067 FBQ983067 FLM983067 FVI983067 GFE983067 GPA983067 GYW983067 HIS983067 HSO983067 ICK983067 IMG983067 IWC983067 JFY983067 JPU983067 JZQ983067 KJM983067 KTI983067 LDE983067 LNA983067 LWW983067 MGS983067 MQO983067 NAK983067 NKG983067 NUC983067 ODY983067 ONU983067 OXQ983067 PHM983067 PRI983067 QBE983067 QLA983067 QUW983067 RES983067 ROO983067 RYK983067 SIG983067 SSC983067 TBY983067 TLU983067 TVQ983067 UFM983067 UPI983067 UZE983067 VJA983067 VSW983067 WCS983067 WMO983067 WWK983067 AC65566:AC65574 JY65565:JY65573 TU65565:TU65573 ADQ65565:ADQ65573 ANM65565:ANM65573 AXI65565:AXI65573 BHE65565:BHE65573 BRA65565:BRA65573 CAW65565:CAW65573 CKS65565:CKS65573 CUO65565:CUO65573 DEK65565:DEK65573 DOG65565:DOG65573 DYC65565:DYC65573 EHY65565:EHY65573 ERU65565:ERU65573 FBQ65565:FBQ65573 FLM65565:FLM65573 FVI65565:FVI65573 GFE65565:GFE65573 GPA65565:GPA65573 GYW65565:GYW65573 HIS65565:HIS65573 HSO65565:HSO65573 ICK65565:ICK65573 IMG65565:IMG65573 IWC65565:IWC65573 JFY65565:JFY65573 JPU65565:JPU65573 JZQ65565:JZQ65573 KJM65565:KJM65573 KTI65565:KTI65573 LDE65565:LDE65573 LNA65565:LNA65573 LWW65565:LWW65573 MGS65565:MGS65573 MQO65565:MQO65573 NAK65565:NAK65573 NKG65565:NKG65573 NUC65565:NUC65573 ODY65565:ODY65573 ONU65565:ONU65573 OXQ65565:OXQ65573 PHM65565:PHM65573 PRI65565:PRI65573 QBE65565:QBE65573 QLA65565:QLA65573 QUW65565:QUW65573 RES65565:RES65573 ROO65565:ROO65573 RYK65565:RYK65573 SIG65565:SIG65573 SSC65565:SSC65573 TBY65565:TBY65573 TLU65565:TLU65573 TVQ65565:TVQ65573 UFM65565:UFM65573 UPI65565:UPI65573 UZE65565:UZE65573 VJA65565:VJA65573 VSW65565:VSW65573 WCS65565:WCS65573 WMO65565:WMO65573 WWK65565:WWK65573 AC131102:AC131110 JY131101:JY131109 TU131101:TU131109 ADQ131101:ADQ131109 ANM131101:ANM131109 AXI131101:AXI131109 BHE131101:BHE131109 BRA131101:BRA131109 CAW131101:CAW131109 CKS131101:CKS131109 CUO131101:CUO131109 DEK131101:DEK131109 DOG131101:DOG131109 DYC131101:DYC131109 EHY131101:EHY131109 ERU131101:ERU131109 FBQ131101:FBQ131109 FLM131101:FLM131109 FVI131101:FVI131109 GFE131101:GFE131109 GPA131101:GPA131109 GYW131101:GYW131109 HIS131101:HIS131109 HSO131101:HSO131109 ICK131101:ICK131109 IMG131101:IMG131109 IWC131101:IWC131109 JFY131101:JFY131109 JPU131101:JPU131109 JZQ131101:JZQ131109 KJM131101:KJM131109 KTI131101:KTI131109 LDE131101:LDE131109 LNA131101:LNA131109 LWW131101:LWW131109 MGS131101:MGS131109 MQO131101:MQO131109 NAK131101:NAK131109 NKG131101:NKG131109 NUC131101:NUC131109 ODY131101:ODY131109 ONU131101:ONU131109 OXQ131101:OXQ131109 PHM131101:PHM131109 PRI131101:PRI131109 QBE131101:QBE131109 QLA131101:QLA131109 QUW131101:QUW131109 RES131101:RES131109 ROO131101:ROO131109 RYK131101:RYK131109 SIG131101:SIG131109 SSC131101:SSC131109 TBY131101:TBY131109 TLU131101:TLU131109 TVQ131101:TVQ131109 UFM131101:UFM131109 UPI131101:UPI131109 UZE131101:UZE131109 VJA131101:VJA131109 VSW131101:VSW131109 WCS131101:WCS131109 WMO131101:WMO131109 WWK131101:WWK131109 AC196638:AC196646 JY196637:JY196645 TU196637:TU196645 ADQ196637:ADQ196645 ANM196637:ANM196645 AXI196637:AXI196645 BHE196637:BHE196645 BRA196637:BRA196645 CAW196637:CAW196645 CKS196637:CKS196645 CUO196637:CUO196645 DEK196637:DEK196645 DOG196637:DOG196645 DYC196637:DYC196645 EHY196637:EHY196645 ERU196637:ERU196645 FBQ196637:FBQ196645 FLM196637:FLM196645 FVI196637:FVI196645 GFE196637:GFE196645 GPA196637:GPA196645 GYW196637:GYW196645 HIS196637:HIS196645 HSO196637:HSO196645 ICK196637:ICK196645 IMG196637:IMG196645 IWC196637:IWC196645 JFY196637:JFY196645 JPU196637:JPU196645 JZQ196637:JZQ196645 KJM196637:KJM196645 KTI196637:KTI196645 LDE196637:LDE196645 LNA196637:LNA196645 LWW196637:LWW196645 MGS196637:MGS196645 MQO196637:MQO196645 NAK196637:NAK196645 NKG196637:NKG196645 NUC196637:NUC196645 ODY196637:ODY196645 ONU196637:ONU196645 OXQ196637:OXQ196645 PHM196637:PHM196645 PRI196637:PRI196645 QBE196637:QBE196645 QLA196637:QLA196645 QUW196637:QUW196645 RES196637:RES196645 ROO196637:ROO196645 RYK196637:RYK196645 SIG196637:SIG196645 SSC196637:SSC196645 TBY196637:TBY196645 TLU196637:TLU196645 TVQ196637:TVQ196645 UFM196637:UFM196645 UPI196637:UPI196645 UZE196637:UZE196645 VJA196637:VJA196645 VSW196637:VSW196645 WCS196637:WCS196645 WMO196637:WMO196645 WWK196637:WWK196645 AC262174:AC262182 JY262173:JY262181 TU262173:TU262181 ADQ262173:ADQ262181 ANM262173:ANM262181 AXI262173:AXI262181 BHE262173:BHE262181 BRA262173:BRA262181 CAW262173:CAW262181 CKS262173:CKS262181 CUO262173:CUO262181 DEK262173:DEK262181 DOG262173:DOG262181 DYC262173:DYC262181 EHY262173:EHY262181 ERU262173:ERU262181 FBQ262173:FBQ262181 FLM262173:FLM262181 FVI262173:FVI262181 GFE262173:GFE262181 GPA262173:GPA262181 GYW262173:GYW262181 HIS262173:HIS262181 HSO262173:HSO262181 ICK262173:ICK262181 IMG262173:IMG262181 IWC262173:IWC262181 JFY262173:JFY262181 JPU262173:JPU262181 JZQ262173:JZQ262181 KJM262173:KJM262181 KTI262173:KTI262181 LDE262173:LDE262181 LNA262173:LNA262181 LWW262173:LWW262181 MGS262173:MGS262181 MQO262173:MQO262181 NAK262173:NAK262181 NKG262173:NKG262181 NUC262173:NUC262181 ODY262173:ODY262181 ONU262173:ONU262181 OXQ262173:OXQ262181 PHM262173:PHM262181 PRI262173:PRI262181 QBE262173:QBE262181 QLA262173:QLA262181 QUW262173:QUW262181 RES262173:RES262181 ROO262173:ROO262181 RYK262173:RYK262181 SIG262173:SIG262181 SSC262173:SSC262181 TBY262173:TBY262181 TLU262173:TLU262181 TVQ262173:TVQ262181 UFM262173:UFM262181 UPI262173:UPI262181 UZE262173:UZE262181 VJA262173:VJA262181 VSW262173:VSW262181 WCS262173:WCS262181 WMO262173:WMO262181 WWK262173:WWK262181 AC327710:AC327718 JY327709:JY327717 TU327709:TU327717 ADQ327709:ADQ327717 ANM327709:ANM327717 AXI327709:AXI327717 BHE327709:BHE327717 BRA327709:BRA327717 CAW327709:CAW327717 CKS327709:CKS327717 CUO327709:CUO327717 DEK327709:DEK327717 DOG327709:DOG327717 DYC327709:DYC327717 EHY327709:EHY327717 ERU327709:ERU327717 FBQ327709:FBQ327717 FLM327709:FLM327717 FVI327709:FVI327717 GFE327709:GFE327717 GPA327709:GPA327717 GYW327709:GYW327717 HIS327709:HIS327717 HSO327709:HSO327717 ICK327709:ICK327717 IMG327709:IMG327717 IWC327709:IWC327717 JFY327709:JFY327717 JPU327709:JPU327717 JZQ327709:JZQ327717 KJM327709:KJM327717 KTI327709:KTI327717 LDE327709:LDE327717 LNA327709:LNA327717 LWW327709:LWW327717 MGS327709:MGS327717 MQO327709:MQO327717 NAK327709:NAK327717 NKG327709:NKG327717 NUC327709:NUC327717 ODY327709:ODY327717 ONU327709:ONU327717 OXQ327709:OXQ327717 PHM327709:PHM327717 PRI327709:PRI327717 QBE327709:QBE327717 QLA327709:QLA327717 QUW327709:QUW327717 RES327709:RES327717 ROO327709:ROO327717 RYK327709:RYK327717 SIG327709:SIG327717 SSC327709:SSC327717 TBY327709:TBY327717 TLU327709:TLU327717 TVQ327709:TVQ327717 UFM327709:UFM327717 UPI327709:UPI327717 UZE327709:UZE327717 VJA327709:VJA327717 VSW327709:VSW327717 WCS327709:WCS327717 WMO327709:WMO327717 WWK327709:WWK327717 AC393246:AC393254 JY393245:JY393253 TU393245:TU393253 ADQ393245:ADQ393253 ANM393245:ANM393253 AXI393245:AXI393253 BHE393245:BHE393253 BRA393245:BRA393253 CAW393245:CAW393253 CKS393245:CKS393253 CUO393245:CUO393253 DEK393245:DEK393253 DOG393245:DOG393253 DYC393245:DYC393253 EHY393245:EHY393253 ERU393245:ERU393253 FBQ393245:FBQ393253 FLM393245:FLM393253 FVI393245:FVI393253 GFE393245:GFE393253 GPA393245:GPA393253 GYW393245:GYW393253 HIS393245:HIS393253 HSO393245:HSO393253 ICK393245:ICK393253 IMG393245:IMG393253 IWC393245:IWC393253 JFY393245:JFY393253 JPU393245:JPU393253 JZQ393245:JZQ393253 KJM393245:KJM393253 KTI393245:KTI393253 LDE393245:LDE393253 LNA393245:LNA393253 LWW393245:LWW393253 MGS393245:MGS393253 MQO393245:MQO393253 NAK393245:NAK393253 NKG393245:NKG393253 NUC393245:NUC393253 ODY393245:ODY393253 ONU393245:ONU393253 OXQ393245:OXQ393253 PHM393245:PHM393253 PRI393245:PRI393253 QBE393245:QBE393253 QLA393245:QLA393253 QUW393245:QUW393253 RES393245:RES393253 ROO393245:ROO393253 RYK393245:RYK393253 SIG393245:SIG393253 SSC393245:SSC393253 TBY393245:TBY393253 TLU393245:TLU393253 TVQ393245:TVQ393253 UFM393245:UFM393253 UPI393245:UPI393253 UZE393245:UZE393253 VJA393245:VJA393253 VSW393245:VSW393253 WCS393245:WCS393253 WMO393245:WMO393253 WWK393245:WWK393253 AC458782:AC458790 JY458781:JY458789 TU458781:TU458789 ADQ458781:ADQ458789 ANM458781:ANM458789 AXI458781:AXI458789 BHE458781:BHE458789 BRA458781:BRA458789 CAW458781:CAW458789 CKS458781:CKS458789 CUO458781:CUO458789 DEK458781:DEK458789 DOG458781:DOG458789 DYC458781:DYC458789 EHY458781:EHY458789 ERU458781:ERU458789 FBQ458781:FBQ458789 FLM458781:FLM458789 FVI458781:FVI458789 GFE458781:GFE458789 GPA458781:GPA458789 GYW458781:GYW458789 HIS458781:HIS458789 HSO458781:HSO458789 ICK458781:ICK458789 IMG458781:IMG458789 IWC458781:IWC458789 JFY458781:JFY458789 JPU458781:JPU458789 JZQ458781:JZQ458789 KJM458781:KJM458789 KTI458781:KTI458789 LDE458781:LDE458789 LNA458781:LNA458789 LWW458781:LWW458789 MGS458781:MGS458789 MQO458781:MQO458789 NAK458781:NAK458789 NKG458781:NKG458789 NUC458781:NUC458789 ODY458781:ODY458789 ONU458781:ONU458789 OXQ458781:OXQ458789 PHM458781:PHM458789 PRI458781:PRI458789 QBE458781:QBE458789 QLA458781:QLA458789 QUW458781:QUW458789 RES458781:RES458789 ROO458781:ROO458789 RYK458781:RYK458789 SIG458781:SIG458789 SSC458781:SSC458789 TBY458781:TBY458789 TLU458781:TLU458789 TVQ458781:TVQ458789 UFM458781:UFM458789 UPI458781:UPI458789 UZE458781:UZE458789 VJA458781:VJA458789 VSW458781:VSW458789 WCS458781:WCS458789 WMO458781:WMO458789 WWK458781:WWK458789 AC524318:AC524326 JY524317:JY524325 TU524317:TU524325 ADQ524317:ADQ524325 ANM524317:ANM524325 AXI524317:AXI524325 BHE524317:BHE524325 BRA524317:BRA524325 CAW524317:CAW524325 CKS524317:CKS524325 CUO524317:CUO524325 DEK524317:DEK524325 DOG524317:DOG524325 DYC524317:DYC524325 EHY524317:EHY524325 ERU524317:ERU524325 FBQ524317:FBQ524325 FLM524317:FLM524325 FVI524317:FVI524325 GFE524317:GFE524325 GPA524317:GPA524325 GYW524317:GYW524325 HIS524317:HIS524325 HSO524317:HSO524325 ICK524317:ICK524325 IMG524317:IMG524325 IWC524317:IWC524325 JFY524317:JFY524325 JPU524317:JPU524325 JZQ524317:JZQ524325 KJM524317:KJM524325 KTI524317:KTI524325 LDE524317:LDE524325 LNA524317:LNA524325 LWW524317:LWW524325 MGS524317:MGS524325 MQO524317:MQO524325 NAK524317:NAK524325 NKG524317:NKG524325 NUC524317:NUC524325 ODY524317:ODY524325 ONU524317:ONU524325 OXQ524317:OXQ524325 PHM524317:PHM524325 PRI524317:PRI524325 QBE524317:QBE524325 QLA524317:QLA524325 QUW524317:QUW524325 RES524317:RES524325 ROO524317:ROO524325 RYK524317:RYK524325 SIG524317:SIG524325 SSC524317:SSC524325 TBY524317:TBY524325 TLU524317:TLU524325 TVQ524317:TVQ524325 UFM524317:UFM524325 UPI524317:UPI524325 UZE524317:UZE524325 VJA524317:VJA524325 VSW524317:VSW524325 WCS524317:WCS524325 WMO524317:WMO524325 WWK524317:WWK524325 AC589854:AC589862 JY589853:JY589861 TU589853:TU589861 ADQ589853:ADQ589861 ANM589853:ANM589861 AXI589853:AXI589861 BHE589853:BHE589861 BRA589853:BRA589861 CAW589853:CAW589861 CKS589853:CKS589861 CUO589853:CUO589861 DEK589853:DEK589861 DOG589853:DOG589861 DYC589853:DYC589861 EHY589853:EHY589861 ERU589853:ERU589861 FBQ589853:FBQ589861 FLM589853:FLM589861 FVI589853:FVI589861 GFE589853:GFE589861 GPA589853:GPA589861 GYW589853:GYW589861 HIS589853:HIS589861 HSO589853:HSO589861 ICK589853:ICK589861 IMG589853:IMG589861 IWC589853:IWC589861 JFY589853:JFY589861 JPU589853:JPU589861 JZQ589853:JZQ589861 KJM589853:KJM589861 KTI589853:KTI589861 LDE589853:LDE589861 LNA589853:LNA589861 LWW589853:LWW589861 MGS589853:MGS589861 MQO589853:MQO589861 NAK589853:NAK589861 NKG589853:NKG589861 NUC589853:NUC589861 ODY589853:ODY589861 ONU589853:ONU589861 OXQ589853:OXQ589861 PHM589853:PHM589861 PRI589853:PRI589861 QBE589853:QBE589861 QLA589853:QLA589861 QUW589853:QUW589861 RES589853:RES589861 ROO589853:ROO589861 RYK589853:RYK589861 SIG589853:SIG589861 SSC589853:SSC589861 TBY589853:TBY589861 TLU589853:TLU589861 TVQ589853:TVQ589861 UFM589853:UFM589861 UPI589853:UPI589861 UZE589853:UZE589861 VJA589853:VJA589861 VSW589853:VSW589861 WCS589853:WCS589861 WMO589853:WMO589861 WWK589853:WWK589861 AC655390:AC655398 JY655389:JY655397 TU655389:TU655397 ADQ655389:ADQ655397 ANM655389:ANM655397 AXI655389:AXI655397 BHE655389:BHE655397 BRA655389:BRA655397 CAW655389:CAW655397 CKS655389:CKS655397 CUO655389:CUO655397 DEK655389:DEK655397 DOG655389:DOG655397 DYC655389:DYC655397 EHY655389:EHY655397 ERU655389:ERU655397 FBQ655389:FBQ655397 FLM655389:FLM655397 FVI655389:FVI655397 GFE655389:GFE655397 GPA655389:GPA655397 GYW655389:GYW655397 HIS655389:HIS655397 HSO655389:HSO655397 ICK655389:ICK655397 IMG655389:IMG655397 IWC655389:IWC655397 JFY655389:JFY655397 JPU655389:JPU655397 JZQ655389:JZQ655397 KJM655389:KJM655397 KTI655389:KTI655397 LDE655389:LDE655397 LNA655389:LNA655397 LWW655389:LWW655397 MGS655389:MGS655397 MQO655389:MQO655397 NAK655389:NAK655397 NKG655389:NKG655397 NUC655389:NUC655397 ODY655389:ODY655397 ONU655389:ONU655397 OXQ655389:OXQ655397 PHM655389:PHM655397 PRI655389:PRI655397 QBE655389:QBE655397 QLA655389:QLA655397 QUW655389:QUW655397 RES655389:RES655397 ROO655389:ROO655397 RYK655389:RYK655397 SIG655389:SIG655397 SSC655389:SSC655397 TBY655389:TBY655397 TLU655389:TLU655397 TVQ655389:TVQ655397 UFM655389:UFM655397 UPI655389:UPI655397 UZE655389:UZE655397 VJA655389:VJA655397 VSW655389:VSW655397 WCS655389:WCS655397 WMO655389:WMO655397 WWK655389:WWK655397 AC720926:AC720934 JY720925:JY720933 TU720925:TU720933 ADQ720925:ADQ720933 ANM720925:ANM720933 AXI720925:AXI720933 BHE720925:BHE720933 BRA720925:BRA720933 CAW720925:CAW720933 CKS720925:CKS720933 CUO720925:CUO720933 DEK720925:DEK720933 DOG720925:DOG720933 DYC720925:DYC720933 EHY720925:EHY720933 ERU720925:ERU720933 FBQ720925:FBQ720933 FLM720925:FLM720933 FVI720925:FVI720933 GFE720925:GFE720933 GPA720925:GPA720933 GYW720925:GYW720933 HIS720925:HIS720933 HSO720925:HSO720933 ICK720925:ICK720933 IMG720925:IMG720933 IWC720925:IWC720933 JFY720925:JFY720933 JPU720925:JPU720933 JZQ720925:JZQ720933 KJM720925:KJM720933 KTI720925:KTI720933 LDE720925:LDE720933 LNA720925:LNA720933 LWW720925:LWW720933 MGS720925:MGS720933 MQO720925:MQO720933 NAK720925:NAK720933 NKG720925:NKG720933 NUC720925:NUC720933 ODY720925:ODY720933 ONU720925:ONU720933 OXQ720925:OXQ720933 PHM720925:PHM720933 PRI720925:PRI720933 QBE720925:QBE720933 QLA720925:QLA720933 QUW720925:QUW720933 RES720925:RES720933 ROO720925:ROO720933 RYK720925:RYK720933 SIG720925:SIG720933 SSC720925:SSC720933 TBY720925:TBY720933 TLU720925:TLU720933 TVQ720925:TVQ720933 UFM720925:UFM720933 UPI720925:UPI720933 UZE720925:UZE720933 VJA720925:VJA720933 VSW720925:VSW720933 WCS720925:WCS720933 WMO720925:WMO720933 WWK720925:WWK720933 AC786462:AC786470 JY786461:JY786469 TU786461:TU786469 ADQ786461:ADQ786469 ANM786461:ANM786469 AXI786461:AXI786469 BHE786461:BHE786469 BRA786461:BRA786469 CAW786461:CAW786469 CKS786461:CKS786469 CUO786461:CUO786469 DEK786461:DEK786469 DOG786461:DOG786469 DYC786461:DYC786469 EHY786461:EHY786469 ERU786461:ERU786469 FBQ786461:FBQ786469 FLM786461:FLM786469 FVI786461:FVI786469 GFE786461:GFE786469 GPA786461:GPA786469 GYW786461:GYW786469 HIS786461:HIS786469 HSO786461:HSO786469 ICK786461:ICK786469 IMG786461:IMG786469 IWC786461:IWC786469 JFY786461:JFY786469 JPU786461:JPU786469 JZQ786461:JZQ786469 KJM786461:KJM786469 KTI786461:KTI786469 LDE786461:LDE786469 LNA786461:LNA786469 LWW786461:LWW786469 MGS786461:MGS786469 MQO786461:MQO786469 NAK786461:NAK786469 NKG786461:NKG786469 NUC786461:NUC786469 ODY786461:ODY786469 ONU786461:ONU786469 OXQ786461:OXQ786469 PHM786461:PHM786469 PRI786461:PRI786469 QBE786461:QBE786469 QLA786461:QLA786469 QUW786461:QUW786469 RES786461:RES786469 ROO786461:ROO786469 RYK786461:RYK786469 SIG786461:SIG786469 SSC786461:SSC786469 TBY786461:TBY786469 TLU786461:TLU786469 TVQ786461:TVQ786469 UFM786461:UFM786469 UPI786461:UPI786469 UZE786461:UZE786469 VJA786461:VJA786469 VSW786461:VSW786469 WCS786461:WCS786469 WMO786461:WMO786469 WWK786461:WWK786469 AC851998:AC852006 JY851997:JY852005 TU851997:TU852005 ADQ851997:ADQ852005 ANM851997:ANM852005 AXI851997:AXI852005 BHE851997:BHE852005 BRA851997:BRA852005 CAW851997:CAW852005 CKS851997:CKS852005 CUO851997:CUO852005 DEK851997:DEK852005 DOG851997:DOG852005 DYC851997:DYC852005 EHY851997:EHY852005 ERU851997:ERU852005 FBQ851997:FBQ852005 FLM851997:FLM852005 FVI851997:FVI852005 GFE851997:GFE852005 GPA851997:GPA852005 GYW851997:GYW852005 HIS851997:HIS852005 HSO851997:HSO852005 ICK851997:ICK852005 IMG851997:IMG852005 IWC851997:IWC852005 JFY851997:JFY852005 JPU851997:JPU852005 JZQ851997:JZQ852005 KJM851997:KJM852005 KTI851997:KTI852005 LDE851997:LDE852005 LNA851997:LNA852005 LWW851997:LWW852005 MGS851997:MGS852005 MQO851997:MQO852005 NAK851997:NAK852005 NKG851997:NKG852005 NUC851997:NUC852005 ODY851997:ODY852005 ONU851997:ONU852005 OXQ851997:OXQ852005 PHM851997:PHM852005 PRI851997:PRI852005 QBE851997:QBE852005 QLA851997:QLA852005 QUW851997:QUW852005 RES851997:RES852005 ROO851997:ROO852005 RYK851997:RYK852005 SIG851997:SIG852005 SSC851997:SSC852005 TBY851997:TBY852005 TLU851997:TLU852005 TVQ851997:TVQ852005 UFM851997:UFM852005 UPI851997:UPI852005 UZE851997:UZE852005 VJA851997:VJA852005 VSW851997:VSW852005 WCS851997:WCS852005 WMO851997:WMO852005 WWK851997:WWK852005 AC917534:AC917542 JY917533:JY917541 TU917533:TU917541 ADQ917533:ADQ917541 ANM917533:ANM917541 AXI917533:AXI917541 BHE917533:BHE917541 BRA917533:BRA917541 CAW917533:CAW917541 CKS917533:CKS917541 CUO917533:CUO917541 DEK917533:DEK917541 DOG917533:DOG917541 DYC917533:DYC917541 EHY917533:EHY917541 ERU917533:ERU917541 FBQ917533:FBQ917541 FLM917533:FLM917541 FVI917533:FVI917541 GFE917533:GFE917541 GPA917533:GPA917541 GYW917533:GYW917541 HIS917533:HIS917541 HSO917533:HSO917541 ICK917533:ICK917541 IMG917533:IMG917541 IWC917533:IWC917541 JFY917533:JFY917541 JPU917533:JPU917541 JZQ917533:JZQ917541 KJM917533:KJM917541 KTI917533:KTI917541 LDE917533:LDE917541 LNA917533:LNA917541 LWW917533:LWW917541 MGS917533:MGS917541 MQO917533:MQO917541 NAK917533:NAK917541 NKG917533:NKG917541 NUC917533:NUC917541 ODY917533:ODY917541 ONU917533:ONU917541 OXQ917533:OXQ917541 PHM917533:PHM917541 PRI917533:PRI917541 QBE917533:QBE917541 QLA917533:QLA917541 QUW917533:QUW917541 RES917533:RES917541 ROO917533:ROO917541 RYK917533:RYK917541 SIG917533:SIG917541 SSC917533:SSC917541 TBY917533:TBY917541 TLU917533:TLU917541 TVQ917533:TVQ917541 UFM917533:UFM917541 UPI917533:UPI917541 UZE917533:UZE917541 VJA917533:VJA917541 VSW917533:VSW917541 WCS917533:WCS917541 WMO917533:WMO917541 WWK917533:WWK917541 AC983070:AC983078 JY983069:JY983077 TU983069:TU983077 ADQ983069:ADQ983077 ANM983069:ANM983077 AXI983069:AXI983077 BHE983069:BHE983077 BRA983069:BRA983077 CAW983069:CAW983077 CKS983069:CKS983077 CUO983069:CUO983077 DEK983069:DEK983077 DOG983069:DOG983077 DYC983069:DYC983077 EHY983069:EHY983077 ERU983069:ERU983077 FBQ983069:FBQ983077 FLM983069:FLM983077 FVI983069:FVI983077 GFE983069:GFE983077 GPA983069:GPA983077 GYW983069:GYW983077 HIS983069:HIS983077 HSO983069:HSO983077 ICK983069:ICK983077 IMG983069:IMG983077 IWC983069:IWC983077 JFY983069:JFY983077 JPU983069:JPU983077 JZQ983069:JZQ983077 KJM983069:KJM983077 KTI983069:KTI983077 LDE983069:LDE983077 LNA983069:LNA983077 LWW983069:LWW983077 MGS983069:MGS983077 MQO983069:MQO983077 NAK983069:NAK983077 NKG983069:NKG983077 NUC983069:NUC983077 ODY983069:ODY983077 ONU983069:ONU983077 OXQ983069:OXQ983077 PHM983069:PHM983077 PRI983069:PRI983077 QBE983069:QBE983077 QLA983069:QLA983077 QUW983069:QUW983077 RES983069:RES983077 ROO983069:ROO983077 RYK983069:RYK983077 SIG983069:SIG983077 SSC983069:SSC983077 TBY983069:TBY983077 TLU983069:TLU983077 TVQ983069:TVQ983077 UFM983069:UFM983077 UPI983069:UPI983077 UZE983069:UZE983077 VJA983069:VJA983077 VSW983069:VSW983077 WCS983069:WCS983077 WMO983069:WMO983077 WWK983069:WWK983077 WWK983081 AC65578 JY65577 TU65577 ADQ65577 ANM65577 AXI65577 BHE65577 BRA65577 CAW65577 CKS65577 CUO65577 DEK65577 DOG65577 DYC65577 EHY65577 ERU65577 FBQ65577 FLM65577 FVI65577 GFE65577 GPA65577 GYW65577 HIS65577 HSO65577 ICK65577 IMG65577 IWC65577 JFY65577 JPU65577 JZQ65577 KJM65577 KTI65577 LDE65577 LNA65577 LWW65577 MGS65577 MQO65577 NAK65577 NKG65577 NUC65577 ODY65577 ONU65577 OXQ65577 PHM65577 PRI65577 QBE65577 QLA65577 QUW65577 RES65577 ROO65577 RYK65577 SIG65577 SSC65577 TBY65577 TLU65577 TVQ65577 UFM65577 UPI65577 UZE65577 VJA65577 VSW65577 WCS65577 WMO65577 WWK65577 AC131114 JY131113 TU131113 ADQ131113 ANM131113 AXI131113 BHE131113 BRA131113 CAW131113 CKS131113 CUO131113 DEK131113 DOG131113 DYC131113 EHY131113 ERU131113 FBQ131113 FLM131113 FVI131113 GFE131113 GPA131113 GYW131113 HIS131113 HSO131113 ICK131113 IMG131113 IWC131113 JFY131113 JPU131113 JZQ131113 KJM131113 KTI131113 LDE131113 LNA131113 LWW131113 MGS131113 MQO131113 NAK131113 NKG131113 NUC131113 ODY131113 ONU131113 OXQ131113 PHM131113 PRI131113 QBE131113 QLA131113 QUW131113 RES131113 ROO131113 RYK131113 SIG131113 SSC131113 TBY131113 TLU131113 TVQ131113 UFM131113 UPI131113 UZE131113 VJA131113 VSW131113 WCS131113 WMO131113 WWK131113 AC196650 JY196649 TU196649 ADQ196649 ANM196649 AXI196649 BHE196649 BRA196649 CAW196649 CKS196649 CUO196649 DEK196649 DOG196649 DYC196649 EHY196649 ERU196649 FBQ196649 FLM196649 FVI196649 GFE196649 GPA196649 GYW196649 HIS196649 HSO196649 ICK196649 IMG196649 IWC196649 JFY196649 JPU196649 JZQ196649 KJM196649 KTI196649 LDE196649 LNA196649 LWW196649 MGS196649 MQO196649 NAK196649 NKG196649 NUC196649 ODY196649 ONU196649 OXQ196649 PHM196649 PRI196649 QBE196649 QLA196649 QUW196649 RES196649 ROO196649 RYK196649 SIG196649 SSC196649 TBY196649 TLU196649 TVQ196649 UFM196649 UPI196649 UZE196649 VJA196649 VSW196649 WCS196649 WMO196649 WWK196649 AC262186 JY262185 TU262185 ADQ262185 ANM262185 AXI262185 BHE262185 BRA262185 CAW262185 CKS262185 CUO262185 DEK262185 DOG262185 DYC262185 EHY262185 ERU262185 FBQ262185 FLM262185 FVI262185 GFE262185 GPA262185 GYW262185 HIS262185 HSO262185 ICK262185 IMG262185 IWC262185 JFY262185 JPU262185 JZQ262185 KJM262185 KTI262185 LDE262185 LNA262185 LWW262185 MGS262185 MQO262185 NAK262185 NKG262185 NUC262185 ODY262185 ONU262185 OXQ262185 PHM262185 PRI262185 QBE262185 QLA262185 QUW262185 RES262185 ROO262185 RYK262185 SIG262185 SSC262185 TBY262185 TLU262185 TVQ262185 UFM262185 UPI262185 UZE262185 VJA262185 VSW262185 WCS262185 WMO262185 WWK262185 AC327722 JY327721 TU327721 ADQ327721 ANM327721 AXI327721 BHE327721 BRA327721 CAW327721 CKS327721 CUO327721 DEK327721 DOG327721 DYC327721 EHY327721 ERU327721 FBQ327721 FLM327721 FVI327721 GFE327721 GPA327721 GYW327721 HIS327721 HSO327721 ICK327721 IMG327721 IWC327721 JFY327721 JPU327721 JZQ327721 KJM327721 KTI327721 LDE327721 LNA327721 LWW327721 MGS327721 MQO327721 NAK327721 NKG327721 NUC327721 ODY327721 ONU327721 OXQ327721 PHM327721 PRI327721 QBE327721 QLA327721 QUW327721 RES327721 ROO327721 RYK327721 SIG327721 SSC327721 TBY327721 TLU327721 TVQ327721 UFM327721 UPI327721 UZE327721 VJA327721 VSW327721 WCS327721 WMO327721 WWK327721 AC393258 JY393257 TU393257 ADQ393257 ANM393257 AXI393257 BHE393257 BRA393257 CAW393257 CKS393257 CUO393257 DEK393257 DOG393257 DYC393257 EHY393257 ERU393257 FBQ393257 FLM393257 FVI393257 GFE393257 GPA393257 GYW393257 HIS393257 HSO393257 ICK393257 IMG393257 IWC393257 JFY393257 JPU393257 JZQ393257 KJM393257 KTI393257 LDE393257 LNA393257 LWW393257 MGS393257 MQO393257 NAK393257 NKG393257 NUC393257 ODY393257 ONU393257 OXQ393257 PHM393257 PRI393257 QBE393257 QLA393257 QUW393257 RES393257 ROO393257 RYK393257 SIG393257 SSC393257 TBY393257 TLU393257 TVQ393257 UFM393257 UPI393257 UZE393257 VJA393257 VSW393257 WCS393257 WMO393257 WWK393257 AC458794 JY458793 TU458793 ADQ458793 ANM458793 AXI458793 BHE458793 BRA458793 CAW458793 CKS458793 CUO458793 DEK458793 DOG458793 DYC458793 EHY458793 ERU458793 FBQ458793 FLM458793 FVI458793 GFE458793 GPA458793 GYW458793 HIS458793 HSO458793 ICK458793 IMG458793 IWC458793 JFY458793 JPU458793 JZQ458793 KJM458793 KTI458793 LDE458793 LNA458793 LWW458793 MGS458793 MQO458793 NAK458793 NKG458793 NUC458793 ODY458793 ONU458793 OXQ458793 PHM458793 PRI458793 QBE458793 QLA458793 QUW458793 RES458793 ROO458793 RYK458793 SIG458793 SSC458793 TBY458793 TLU458793 TVQ458793 UFM458793 UPI458793 UZE458793 VJA458793 VSW458793 WCS458793 WMO458793 WWK458793 AC524330 JY524329 TU524329 ADQ524329 ANM524329 AXI524329 BHE524329 BRA524329 CAW524329 CKS524329 CUO524329 DEK524329 DOG524329 DYC524329 EHY524329 ERU524329 FBQ524329 FLM524329 FVI524329 GFE524329 GPA524329 GYW524329 HIS524329 HSO524329 ICK524329 IMG524329 IWC524329 JFY524329 JPU524329 JZQ524329 KJM524329 KTI524329 LDE524329 LNA524329 LWW524329 MGS524329 MQO524329 NAK524329 NKG524329 NUC524329 ODY524329 ONU524329 OXQ524329 PHM524329 PRI524329 QBE524329 QLA524329 QUW524329 RES524329 ROO524329 RYK524329 SIG524329 SSC524329 TBY524329 TLU524329 TVQ524329 UFM524329 UPI524329 UZE524329 VJA524329 VSW524329 WCS524329 WMO524329 WWK524329 AC589866 JY589865 TU589865 ADQ589865 ANM589865 AXI589865 BHE589865 BRA589865 CAW589865 CKS589865 CUO589865 DEK589865 DOG589865 DYC589865 EHY589865 ERU589865 FBQ589865 FLM589865 FVI589865 GFE589865 GPA589865 GYW589865 HIS589865 HSO589865 ICK589865 IMG589865 IWC589865 JFY589865 JPU589865 JZQ589865 KJM589865 KTI589865 LDE589865 LNA589865 LWW589865 MGS589865 MQO589865 NAK589865 NKG589865 NUC589865 ODY589865 ONU589865 OXQ589865 PHM589865 PRI589865 QBE589865 QLA589865 QUW589865 RES589865 ROO589865 RYK589865 SIG589865 SSC589865 TBY589865 TLU589865 TVQ589865 UFM589865 UPI589865 UZE589865 VJA589865 VSW589865 WCS589865 WMO589865 WWK589865 AC655402 JY655401 TU655401 ADQ655401 ANM655401 AXI655401 BHE655401 BRA655401 CAW655401 CKS655401 CUO655401 DEK655401 DOG655401 DYC655401 EHY655401 ERU655401 FBQ655401 FLM655401 FVI655401 GFE655401 GPA655401 GYW655401 HIS655401 HSO655401 ICK655401 IMG655401 IWC655401 JFY655401 JPU655401 JZQ655401 KJM655401 KTI655401 LDE655401 LNA655401 LWW655401 MGS655401 MQO655401 NAK655401 NKG655401 NUC655401 ODY655401 ONU655401 OXQ655401 PHM655401 PRI655401 QBE655401 QLA655401 QUW655401 RES655401 ROO655401 RYK655401 SIG655401 SSC655401 TBY655401 TLU655401 TVQ655401 UFM655401 UPI655401 UZE655401 VJA655401 VSW655401 WCS655401 WMO655401 WWK655401 AC720938 JY720937 TU720937 ADQ720937 ANM720937 AXI720937 BHE720937 BRA720937 CAW720937 CKS720937 CUO720937 DEK720937 DOG720937 DYC720937 EHY720937 ERU720937 FBQ720937 FLM720937 FVI720937 GFE720937 GPA720937 GYW720937 HIS720937 HSO720937 ICK720937 IMG720937 IWC720937 JFY720937 JPU720937 JZQ720937 KJM720937 KTI720937 LDE720937 LNA720937 LWW720937 MGS720937 MQO720937 NAK720937 NKG720937 NUC720937 ODY720937 ONU720937 OXQ720937 PHM720937 PRI720937 QBE720937 QLA720937 QUW720937 RES720937 ROO720937 RYK720937 SIG720937 SSC720937 TBY720937 TLU720937 TVQ720937 UFM720937 UPI720937 UZE720937 VJA720937 VSW720937 WCS720937 WMO720937 WWK720937 AC786474 JY786473 TU786473 ADQ786473 ANM786473 AXI786473 BHE786473 BRA786473 CAW786473 CKS786473 CUO786473 DEK786473 DOG786473 DYC786473 EHY786473 ERU786473 FBQ786473 FLM786473 FVI786473 GFE786473 GPA786473 GYW786473 HIS786473 HSO786473 ICK786473 IMG786473 IWC786473 JFY786473 JPU786473 JZQ786473 KJM786473 KTI786473 LDE786473 LNA786473 LWW786473 MGS786473 MQO786473 NAK786473 NKG786473 NUC786473 ODY786473 ONU786473 OXQ786473 PHM786473 PRI786473 QBE786473 QLA786473 QUW786473 RES786473 ROO786473 RYK786473 SIG786473 SSC786473 TBY786473 TLU786473 TVQ786473 UFM786473 UPI786473 UZE786473 VJA786473 VSW786473 WCS786473 WMO786473 WWK786473 AC852010 JY852009 TU852009 ADQ852009 ANM852009 AXI852009 BHE852009 BRA852009 CAW852009 CKS852009 CUO852009 DEK852009 DOG852009 DYC852009 EHY852009 ERU852009 FBQ852009 FLM852009 FVI852009 GFE852009 GPA852009 GYW852009 HIS852009 HSO852009 ICK852009 IMG852009 IWC852009 JFY852009 JPU852009 JZQ852009 KJM852009 KTI852009 LDE852009 LNA852009 LWW852009 MGS852009 MQO852009 NAK852009 NKG852009 NUC852009 ODY852009 ONU852009 OXQ852009 PHM852009 PRI852009 QBE852009 QLA852009 QUW852009 RES852009 ROO852009 RYK852009 SIG852009 SSC852009 TBY852009 TLU852009 TVQ852009 UFM852009 UPI852009 UZE852009 VJA852009 VSW852009 WCS852009 WMO852009 WWK852009 AC917546 JY917545 TU917545 ADQ917545 ANM917545 AXI917545 BHE917545 BRA917545 CAW917545 CKS917545 CUO917545 DEK917545 DOG917545 DYC917545 EHY917545 ERU917545 FBQ917545 FLM917545 FVI917545 GFE917545 GPA917545 GYW917545 HIS917545 HSO917545 ICK917545 IMG917545 IWC917545 JFY917545 JPU917545 JZQ917545 KJM917545 KTI917545 LDE917545 LNA917545 LWW917545 MGS917545 MQO917545 NAK917545 NKG917545 NUC917545 ODY917545 ONU917545 OXQ917545 PHM917545 PRI917545 QBE917545 QLA917545 QUW917545 RES917545 ROO917545 RYK917545 SIG917545 SSC917545 TBY917545 TLU917545 TVQ917545 UFM917545 UPI917545 UZE917545 VJA917545 VSW917545 WCS917545 WMO917545 WWK917545 AC983082 JY983081 TU983081 ADQ983081 ANM983081 AXI983081 BHE983081 BRA983081 CAW983081 CKS983081 CUO983081 DEK983081 DOG983081 DYC983081 EHY983081 ERU983081 FBQ983081 FLM983081 FVI983081 GFE983081 GPA983081 GYW983081 HIS983081 HSO983081 ICK983081 IMG983081 IWC983081 JFY983081 JPU983081 JZQ983081 KJM983081 KTI983081 LDE983081 LNA983081 LWW983081 MGS983081 MQO983081 NAK983081 NKG983081 NUC983081 ODY983081 ONU983081 OXQ983081 PHM983081 PRI983081 QBE983081 QLA983081 QUW983081 RES983081 ROO983081 RYK983081 SIG983081 SSC983081 TBY983081 TLU983081 TVQ983081 UFM983081 UPI983081 UZE983081 VJA983081 VSW983081 WCS983081 WMO983081 AB9 WCS8:WCS13 VSW8:VSW13 VJA8:VJA13 UZE8:UZE13 UPI8:UPI13 UFM8:UFM13 TVQ8:TVQ13 TLU8:TLU13 TBY8:TBY13 SSC8:SSC13 SIG8:SIG13 RYK8:RYK13 ROO8:ROO13 RES8:RES13 QUW8:QUW13 QLA8:QLA13 QBE8:QBE13 PRI8:PRI13 PHM8:PHM13 OXQ8:OXQ13 ONU8:ONU13 ODY8:ODY13 NUC8:NUC13 NKG8:NKG13 NAK8:NAK13 MQO8:MQO13 MGS8:MGS13 LWW8:LWW13 LNA8:LNA13 LDE8:LDE13 KTI8:KTI13 KJM8:KJM13 JZQ8:JZQ13 JPU8:JPU13 JFY8:JFY13 IWC8:IWC13 IMG8:IMG13 ICK8:ICK13 HSO8:HSO13 HIS8:HIS13 GYW8:GYW13 GPA8:GPA13 GFE8:GFE13 FVI8:FVI13 FLM8:FLM13 FBQ8:FBQ13 ERU8:ERU13 EHY8:EHY13 DYC8:DYC13 DOG8:DOG13 DEK8:DEK13 CUO8:CUO13 CKS8:CKS13 CAW8:CAW13 BRA8:BRA13 BHE8:BHE13 AXI8:AXI13 ANM8:ANM13 ADQ8:ADQ13 TU8:TU13 JY8:JY13 WMO8:WMO13 AC8:AC13 WWK8:WWK13 WWK18:WWK41 JY18:JY41 TU18:TU41 ADQ18:ADQ41 ANM18:ANM41 AXI18:AXI41 BHE18:BHE41 BRA18:BRA41 CAW18:CAW41 CKS18:CKS41 CUO18:CUO41 DEK18:DEK41 DOG18:DOG41 DYC18:DYC41 EHY18:EHY41 ERU18:ERU41 FBQ18:FBQ41 FLM18:FLM41 FVI18:FVI41 GFE18:GFE41 GPA18:GPA41 GYW18:GYW41 HIS18:HIS41 HSO18:HSO41 ICK18:ICK41 IMG18:IMG41 IWC18:IWC41 JFY18:JFY41 JPU18:JPU41 JZQ18:JZQ41 KJM18:KJM41 KTI18:KTI41 LDE18:LDE41 LNA18:LNA41 LWW18:LWW41 MGS18:MGS41 MQO18:MQO41 NAK18:NAK41 NKG18:NKG41 NUC18:NUC41 ODY18:ODY41 ONU18:ONU41 OXQ18:OXQ41 PHM18:PHM41 PRI18:PRI41 QBE18:QBE41 QLA18:QLA41 QUW18:QUW41 RES18:RES41 ROO18:ROO41 RYK18:RYK41 SIG18:SIG41 SSC18:SSC41 TBY18:TBY41 TLU18:TLU41 TVQ18:TVQ41 UFM18:UFM41 UPI18:UPI41 UZE18:UZE41 VJA18:VJA41 VSW18:VSW41 WCS18:WCS41 WMO18:WMO41 AC18:AC41">
      <formula1>AA8</formula1>
      <formula2>IF(AA8&lt;&gt;0,IF(AB8-AA8&gt;=0,AB8,),)</formula2>
    </dataValidation>
    <dataValidation type="list" allowBlank="1" showInputMessage="1" showErrorMessage="1" sqref="G8:G11 WVO8:WVO11 WLS8:WLS11 WBW8:WBW11 VSA8:VSA11 VIE8:VIE11 UYI8:UYI11 UOM8:UOM11 UEQ8:UEQ11 TUU8:TUU11 TKY8:TKY11 TBC8:TBC11 SRG8:SRG11 SHK8:SHK11 RXO8:RXO11 RNS8:RNS11 RDW8:RDW11 QUA8:QUA11 QKE8:QKE11 QAI8:QAI11 PQM8:PQM11 PGQ8:PGQ11 OWU8:OWU11 OMY8:OMY11 ODC8:ODC11 NTG8:NTG11 NJK8:NJK11 MZO8:MZO11 MPS8:MPS11 MFW8:MFW11 LWA8:LWA11 LME8:LME11 LCI8:LCI11 KSM8:KSM11 KIQ8:KIQ11 JYU8:JYU11 JOY8:JOY11 JFC8:JFC11 IVG8:IVG11 ILK8:ILK11 IBO8:IBO11 HRS8:HRS11 HHW8:HHW11 GYA8:GYA11 GOE8:GOE11 GEI8:GEI11 FUM8:FUM11 FKQ8:FKQ11 FAU8:FAU11 EQY8:EQY11 EHC8:EHC11 DXG8:DXG11 DNK8:DNK11 DDO8:DDO11 CTS8:CTS11 CJW8:CJW11 CAA8:CAA11 BQE8:BQE11 BGI8:BGI11 AWM8:AWM11 AMQ8:AMQ11 ACU8:ACU11 SY8:SY11 JC8:JC11">
      <formula1>$AI$46:$AI$58</formula1>
    </dataValidation>
    <dataValidation type="list" allowBlank="1" showInputMessage="1" showErrorMessage="1" sqref="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G21:G27 JC21:JC27 SY21:SY27 ACU21:ACU27 AMQ21:AMQ27 AWM21:AWM27 BGI21:BGI27 BQE21:BQE27 CAA21:CAA27 CJW21:CJW27 CTS21:CTS27 DDO21:DDO27 DNK21:DNK27 DXG21:DXG27 EHC21:EHC27 EQY21:EQY27 FAU21:FAU27 FKQ21:FKQ27 FUM21:FUM27 GEI21:GEI27 GOE21:GOE27 GYA21:GYA27 HHW21:HHW27 HRS21:HRS27 IBO21:IBO27 ILK21:ILK27 IVG21:IVG27 JFC21:JFC27 JOY21:JOY27 JYU21:JYU27 KIQ21:KIQ27 KSM21:KSM27 LCI21:LCI27 LME21:LME27 LWA21:LWA27 MFW21:MFW27 MPS21:MPS27 MZO21:MZO27 NJK21:NJK27 NTG21:NTG27 ODC21:ODC27 OMY21:OMY27 OWU21:OWU27 PGQ21:PGQ27 PQM21:PQM27 QAI21:QAI27 QKE21:QKE27 QUA21:QUA27 RDW21:RDW27 RNS21:RNS27 RXO21:RXO27 SHK21:SHK27 SRG21:SRG27 TBC21:TBC27 TKY21:TKY27 TUU21:TUU27 UEQ21:UEQ27 UOM21:UOM27 UYI21:UYI27 VIE21:VIE27 VSA21:VSA27 WBW21:WBW27 WLS21:WLS27 WVO21:WVO27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29:G31 JC29:JC31 SY29:SY31 ACU29:ACU31 AMQ29:AMQ31 AWM29:AWM31 BGI29:BGI31 BQE29:BQE31 CAA29:CAA31 CJW29:CJW31 CTS29:CTS31 DDO29:DDO31 DNK29:DNK31 DXG29:DXG31 EHC29:EHC31 EQY29:EQY31 FAU29:FAU31 FKQ29:FKQ31 FUM29:FUM31 GEI29:GEI31 GOE29:GOE31 GYA29:GYA31 HHW29:HHW31 HRS29:HRS31 IBO29:IBO31 ILK29:ILK31 IVG29:IVG31 JFC29:JFC31 JOY29:JOY31 JYU29:JYU31 KIQ29:KIQ31 KSM29:KSM31 LCI29:LCI31 LME29:LME31 LWA29:LWA31 MFW29:MFW31 MPS29:MPS31 MZO29:MZO31 NJK29:NJK31 NTG29:NTG31 ODC29:ODC31 OMY29:OMY31 OWU29:OWU31 PGQ29:PGQ31 PQM29:PQM31 QAI29:QAI31 QKE29:QKE31 QUA29:QUA31 RDW29:RDW31 RNS29:RNS31 RXO29:RXO31 SHK29:SHK31 SRG29:SRG31 TBC29:TBC31 TKY29:TKY31 TUU29:TUU31 UEQ29:UEQ31 UOM29:UOM31 UYI29:UYI31 VIE29:VIE31 VSA29:VSA31 WBW29:WBW31 WLS29:WLS31 WVO29:WVO31 G33:G34 JC33:JC34 SY33:SY34 ACU33:ACU34 AMQ33:AMQ34 AWM33:AWM34 BGI33:BGI34 BQE33:BQE34 CAA33:CAA34 CJW33:CJW34 CTS33:CTS34 DDO33:DDO34 DNK33:DNK34 DXG33:DXG34 EHC33:EHC34 EQY33:EQY34 FAU33:FAU34 FKQ33:FKQ34 FUM33:FUM34 GEI33:GEI34 GOE33:GOE34 GYA33:GYA34 HHW33:HHW34 HRS33:HRS34 IBO33:IBO34 ILK33:ILK34 IVG33:IVG34 JFC33:JFC34 JOY33:JOY34 JYU33:JYU34 KIQ33:KIQ34 KSM33:KSM34 LCI33:LCI34 LME33:LME34 LWA33:LWA34 MFW33:MFW34 MPS33:MPS34 MZO33:MZO34 NJK33:NJK34 NTG33:NTG34 ODC33:ODC34 OMY33:OMY34 OWU33:OWU34 PGQ33:PGQ34 PQM33:PQM34 QAI33:QAI34 QKE33:QKE34 QUA33:QUA34 RDW33:RDW34 RNS33:RNS34 RXO33:RXO34 SHK33:SHK34 SRG33:SRG34 TBC33:TBC34 TKY33:TKY34 TUU33:TUU34 UEQ33:UEQ34 UOM33:UOM34 UYI33:UYI34 VIE33:VIE34 VSA33:VSA34 WBW33:WBW34 WLS33:WLS34 WVO33:WVO34">
      <formula1>$AI$47:$AI$59</formula1>
    </dataValidation>
    <dataValidation showInputMessage="1" showErrorMessage="1" error="Debe Digitar una Fecha Valida o Verificar la Fecha Inicial" sqref="AD13:AD20 JZ13:JZ20 TV13:TV20 ADR13:ADR20 ANN13:ANN20 AXJ13:AXJ20 BHF13:BHF20 BRB13:BRB20 CAX13:CAX20 CKT13:CKT20 CUP13:CUP20 DEL13:DEL20 DOH13:DOH20 DYD13:DYD20 EHZ13:EHZ20 ERV13:ERV20 FBR13:FBR20 FLN13:FLN20 FVJ13:FVJ20 GFF13:GFF20 GPB13:GPB20 GYX13:GYX20 HIT13:HIT20 HSP13:HSP20 ICL13:ICL20 IMH13:IMH20 IWD13:IWD20 JFZ13:JFZ20 JPV13:JPV20 JZR13:JZR20 KJN13:KJN20 KTJ13:KTJ20 LDF13:LDF20 LNB13:LNB20 LWX13:LWX20 MGT13:MGT20 MQP13:MQP20 NAL13:NAL20 NKH13:NKH20 NUD13:NUD20 ODZ13:ODZ20 ONV13:ONV20 OXR13:OXR20 PHN13:PHN20 PRJ13:PRJ20 QBF13:QBF20 QLB13:QLB20 QUX13:QUX20 RET13:RET20 ROP13:ROP20 RYL13:RYL20 SIH13:SIH20 SSD13:SSD20 TBZ13:TBZ20 TLV13:TLV20 TVR13:TVR20 UFN13:UFN20 UPJ13:UPJ20 UZF13:UZF20 VJB13:VJB20 VSX13:VSX20 WCT13:WCT20 WMP13:WMP20 WWL13:WWL20"/>
  </dataValidations>
  <printOptions horizontalCentered="1"/>
  <pageMargins left="0.11811023622047245" right="0.39370078740157483" top="0.27559055118110237" bottom="0.59055118110236227" header="0.31496062992125984" footer="0.31496062992125984"/>
  <pageSetup paperSize="345" scale="40" orientation="landscape" horizontalDpi="4294967293" r:id="rId1"/>
  <headerFooter>
    <oddFooter>&amp;C&amp;"Tahoma,Cursiva"&amp;K365F91Si usted ha accedido a este formato a través de un medio diferente al sitio http://www.unicordoba.edu.co/index.php/documentossigec/documentos-calidad asegúrese que ésta es la versión vigente</oddFooter>
  </headerFooter>
  <rowBreaks count="1" manualBreakCount="1">
    <brk id="7" max="3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AM76"/>
  <sheetViews>
    <sheetView topLeftCell="A48" zoomScale="70" zoomScaleNormal="70" zoomScaleSheetLayoutView="100" zoomScalePageLayoutView="60" workbookViewId="0">
      <selection activeCell="AD50" sqref="AD50"/>
    </sheetView>
  </sheetViews>
  <sheetFormatPr baseColWidth="10" defaultRowHeight="12.75"/>
  <cols>
    <col min="1" max="1" width="10.28515625" customWidth="1"/>
    <col min="2" max="2" width="13.42578125" customWidth="1"/>
    <col min="3" max="3" width="4.28515625" customWidth="1"/>
    <col min="4" max="4" width="5.28515625" customWidth="1"/>
    <col min="5" max="5" width="18" customWidth="1"/>
    <col min="6" max="6" width="4.140625" customWidth="1"/>
    <col min="7" max="7" width="11.28515625" customWidth="1"/>
    <col min="8" max="8" width="16.140625" customWidth="1"/>
    <col min="9" max="9" width="11" customWidth="1"/>
    <col min="10" max="11" width="2.140625" customWidth="1"/>
    <col min="12" max="12" width="3.28515625" customWidth="1"/>
    <col min="13" max="13" width="0.28515625" hidden="1" customWidth="1"/>
    <col min="14" max="14" width="0.42578125" hidden="1" customWidth="1"/>
    <col min="15" max="15" width="2.85546875" customWidth="1"/>
    <col min="16" max="16" width="3.28515625" customWidth="1"/>
    <col min="17" max="17" width="1.42578125" customWidth="1"/>
    <col min="18" max="18" width="1.85546875" hidden="1" customWidth="1"/>
    <col min="19" max="19" width="6.85546875" customWidth="1"/>
    <col min="20" max="20" width="3" hidden="1" customWidth="1"/>
    <col min="21" max="22" width="6.28515625" customWidth="1"/>
    <col min="23" max="24" width="13.85546875" customWidth="1"/>
    <col min="25" max="25" width="10.85546875" customWidth="1"/>
    <col min="26" max="26" width="16" customWidth="1"/>
    <col min="27" max="27" width="0.28515625" hidden="1" customWidth="1"/>
    <col min="28" max="28" width="18.42578125" customWidth="1"/>
    <col min="29" max="29" width="13.140625" customWidth="1"/>
    <col min="30" max="31" width="14" customWidth="1"/>
    <col min="32" max="32" width="11.42578125" customWidth="1"/>
    <col min="33" max="33" width="15.85546875" customWidth="1"/>
    <col min="34" max="34" width="23.7109375" customWidth="1"/>
    <col min="35" max="35" width="12" customWidth="1"/>
    <col min="36" max="36" width="3.28515625" customWidth="1"/>
    <col min="37" max="37" width="7" customWidth="1"/>
    <col min="38" max="38" width="1.42578125" customWidth="1"/>
    <col min="39" max="39" width="1.28515625" hidden="1" customWidth="1"/>
    <col min="257" max="257" width="10.28515625" customWidth="1"/>
    <col min="258" max="258" width="13.42578125" customWidth="1"/>
    <col min="259" max="259" width="4.28515625" customWidth="1"/>
    <col min="260" max="260" width="4" customWidth="1"/>
    <col min="261" max="261" width="15" customWidth="1"/>
    <col min="262" max="262" width="4.140625" customWidth="1"/>
    <col min="263" max="263" width="11.28515625" customWidth="1"/>
    <col min="264" max="264" width="16.140625" customWidth="1"/>
    <col min="265" max="265" width="11" customWidth="1"/>
    <col min="266" max="267" width="2.140625" customWidth="1"/>
    <col min="268" max="268" width="3.28515625" customWidth="1"/>
    <col min="269" max="270" width="0" hidden="1" customWidth="1"/>
    <col min="271" max="271" width="2.85546875" customWidth="1"/>
    <col min="272" max="272" width="3.28515625" customWidth="1"/>
    <col min="273" max="273" width="1.42578125" customWidth="1"/>
    <col min="274" max="274" width="0" hidden="1" customWidth="1"/>
    <col min="275" max="275" width="6.85546875" customWidth="1"/>
    <col min="276" max="276" width="0" hidden="1" customWidth="1"/>
    <col min="277" max="278" width="6.28515625" customWidth="1"/>
    <col min="279" max="280" width="13.85546875" customWidth="1"/>
    <col min="281" max="281" width="10.85546875" customWidth="1"/>
    <col min="282" max="282" width="14.140625" customWidth="1"/>
    <col min="283" max="283" width="4.42578125" customWidth="1"/>
    <col min="284" max="284" width="18.42578125" customWidth="1"/>
    <col min="285" max="285" width="13.140625" customWidth="1"/>
    <col min="286" max="287" width="14" customWidth="1"/>
    <col min="288" max="288" width="11.42578125" customWidth="1"/>
    <col min="289" max="289" width="15.85546875" customWidth="1"/>
    <col min="290" max="290" width="23.7109375" customWidth="1"/>
    <col min="291" max="291" width="12" customWidth="1"/>
    <col min="292" max="293" width="0.28515625" customWidth="1"/>
    <col min="294" max="294" width="1.42578125" customWidth="1"/>
    <col min="295" max="295" width="0" hidden="1" customWidth="1"/>
    <col min="513" max="513" width="10.28515625" customWidth="1"/>
    <col min="514" max="514" width="13.42578125" customWidth="1"/>
    <col min="515" max="515" width="4.28515625" customWidth="1"/>
    <col min="516" max="516" width="4" customWidth="1"/>
    <col min="517" max="517" width="15" customWidth="1"/>
    <col min="518" max="518" width="4.140625" customWidth="1"/>
    <col min="519" max="519" width="11.28515625" customWidth="1"/>
    <col min="520" max="520" width="16.140625" customWidth="1"/>
    <col min="521" max="521" width="11" customWidth="1"/>
    <col min="522" max="523" width="2.140625" customWidth="1"/>
    <col min="524" max="524" width="3.28515625" customWidth="1"/>
    <col min="525" max="526" width="0" hidden="1" customWidth="1"/>
    <col min="527" max="527" width="2.85546875" customWidth="1"/>
    <col min="528" max="528" width="3.28515625" customWidth="1"/>
    <col min="529" max="529" width="1.42578125" customWidth="1"/>
    <col min="530" max="530" width="0" hidden="1" customWidth="1"/>
    <col min="531" max="531" width="6.85546875" customWidth="1"/>
    <col min="532" max="532" width="0" hidden="1" customWidth="1"/>
    <col min="533" max="534" width="6.28515625" customWidth="1"/>
    <col min="535" max="536" width="13.85546875" customWidth="1"/>
    <col min="537" max="537" width="10.85546875" customWidth="1"/>
    <col min="538" max="538" width="14.140625" customWidth="1"/>
    <col min="539" max="539" width="4.42578125" customWidth="1"/>
    <col min="540" max="540" width="18.42578125" customWidth="1"/>
    <col min="541" max="541" width="13.140625" customWidth="1"/>
    <col min="542" max="543" width="14" customWidth="1"/>
    <col min="544" max="544" width="11.42578125" customWidth="1"/>
    <col min="545" max="545" width="15.85546875" customWidth="1"/>
    <col min="546" max="546" width="23.7109375" customWidth="1"/>
    <col min="547" max="547" width="12" customWidth="1"/>
    <col min="548" max="549" width="0.28515625" customWidth="1"/>
    <col min="550" max="550" width="1.42578125" customWidth="1"/>
    <col min="551" max="551" width="0" hidden="1" customWidth="1"/>
    <col min="769" max="769" width="10.28515625" customWidth="1"/>
    <col min="770" max="770" width="13.42578125" customWidth="1"/>
    <col min="771" max="771" width="4.28515625" customWidth="1"/>
    <col min="772" max="772" width="4" customWidth="1"/>
    <col min="773" max="773" width="15" customWidth="1"/>
    <col min="774" max="774" width="4.140625" customWidth="1"/>
    <col min="775" max="775" width="11.28515625" customWidth="1"/>
    <col min="776" max="776" width="16.140625" customWidth="1"/>
    <col min="777" max="777" width="11" customWidth="1"/>
    <col min="778" max="779" width="2.140625" customWidth="1"/>
    <col min="780" max="780" width="3.28515625" customWidth="1"/>
    <col min="781" max="782" width="0" hidden="1" customWidth="1"/>
    <col min="783" max="783" width="2.85546875" customWidth="1"/>
    <col min="784" max="784" width="3.28515625" customWidth="1"/>
    <col min="785" max="785" width="1.42578125" customWidth="1"/>
    <col min="786" max="786" width="0" hidden="1" customWidth="1"/>
    <col min="787" max="787" width="6.85546875" customWidth="1"/>
    <col min="788" max="788" width="0" hidden="1" customWidth="1"/>
    <col min="789" max="790" width="6.28515625" customWidth="1"/>
    <col min="791" max="792" width="13.85546875" customWidth="1"/>
    <col min="793" max="793" width="10.85546875" customWidth="1"/>
    <col min="794" max="794" width="14.140625" customWidth="1"/>
    <col min="795" max="795" width="4.42578125" customWidth="1"/>
    <col min="796" max="796" width="18.42578125" customWidth="1"/>
    <col min="797" max="797" width="13.140625" customWidth="1"/>
    <col min="798" max="799" width="14" customWidth="1"/>
    <col min="800" max="800" width="11.42578125" customWidth="1"/>
    <col min="801" max="801" width="15.85546875" customWidth="1"/>
    <col min="802" max="802" width="23.7109375" customWidth="1"/>
    <col min="803" max="803" width="12" customWidth="1"/>
    <col min="804" max="805" width="0.28515625" customWidth="1"/>
    <col min="806" max="806" width="1.42578125" customWidth="1"/>
    <col min="807" max="807" width="0" hidden="1" customWidth="1"/>
    <col min="1025" max="1025" width="10.28515625" customWidth="1"/>
    <col min="1026" max="1026" width="13.42578125" customWidth="1"/>
    <col min="1027" max="1027" width="4.28515625" customWidth="1"/>
    <col min="1028" max="1028" width="4" customWidth="1"/>
    <col min="1029" max="1029" width="15" customWidth="1"/>
    <col min="1030" max="1030" width="4.140625" customWidth="1"/>
    <col min="1031" max="1031" width="11.28515625" customWidth="1"/>
    <col min="1032" max="1032" width="16.140625" customWidth="1"/>
    <col min="1033" max="1033" width="11" customWidth="1"/>
    <col min="1034" max="1035" width="2.140625" customWidth="1"/>
    <col min="1036" max="1036" width="3.28515625" customWidth="1"/>
    <col min="1037" max="1038" width="0" hidden="1" customWidth="1"/>
    <col min="1039" max="1039" width="2.85546875" customWidth="1"/>
    <col min="1040" max="1040" width="3.28515625" customWidth="1"/>
    <col min="1041" max="1041" width="1.42578125" customWidth="1"/>
    <col min="1042" max="1042" width="0" hidden="1" customWidth="1"/>
    <col min="1043" max="1043" width="6.85546875" customWidth="1"/>
    <col min="1044" max="1044" width="0" hidden="1" customWidth="1"/>
    <col min="1045" max="1046" width="6.28515625" customWidth="1"/>
    <col min="1047" max="1048" width="13.85546875" customWidth="1"/>
    <col min="1049" max="1049" width="10.85546875" customWidth="1"/>
    <col min="1050" max="1050" width="14.140625" customWidth="1"/>
    <col min="1051" max="1051" width="4.42578125" customWidth="1"/>
    <col min="1052" max="1052" width="18.42578125" customWidth="1"/>
    <col min="1053" max="1053" width="13.140625" customWidth="1"/>
    <col min="1054" max="1055" width="14" customWidth="1"/>
    <col min="1056" max="1056" width="11.42578125" customWidth="1"/>
    <col min="1057" max="1057" width="15.85546875" customWidth="1"/>
    <col min="1058" max="1058" width="23.7109375" customWidth="1"/>
    <col min="1059" max="1059" width="12" customWidth="1"/>
    <col min="1060" max="1061" width="0.28515625" customWidth="1"/>
    <col min="1062" max="1062" width="1.42578125" customWidth="1"/>
    <col min="1063" max="1063" width="0" hidden="1" customWidth="1"/>
    <col min="1281" max="1281" width="10.28515625" customWidth="1"/>
    <col min="1282" max="1282" width="13.42578125" customWidth="1"/>
    <col min="1283" max="1283" width="4.28515625" customWidth="1"/>
    <col min="1284" max="1284" width="4" customWidth="1"/>
    <col min="1285" max="1285" width="15" customWidth="1"/>
    <col min="1286" max="1286" width="4.140625" customWidth="1"/>
    <col min="1287" max="1287" width="11.28515625" customWidth="1"/>
    <col min="1288" max="1288" width="16.140625" customWidth="1"/>
    <col min="1289" max="1289" width="11" customWidth="1"/>
    <col min="1290" max="1291" width="2.140625" customWidth="1"/>
    <col min="1292" max="1292" width="3.28515625" customWidth="1"/>
    <col min="1293" max="1294" width="0" hidden="1" customWidth="1"/>
    <col min="1295" max="1295" width="2.85546875" customWidth="1"/>
    <col min="1296" max="1296" width="3.28515625" customWidth="1"/>
    <col min="1297" max="1297" width="1.42578125" customWidth="1"/>
    <col min="1298" max="1298" width="0" hidden="1" customWidth="1"/>
    <col min="1299" max="1299" width="6.85546875" customWidth="1"/>
    <col min="1300" max="1300" width="0" hidden="1" customWidth="1"/>
    <col min="1301" max="1302" width="6.28515625" customWidth="1"/>
    <col min="1303" max="1304" width="13.85546875" customWidth="1"/>
    <col min="1305" max="1305" width="10.85546875" customWidth="1"/>
    <col min="1306" max="1306" width="14.140625" customWidth="1"/>
    <col min="1307" max="1307" width="4.42578125" customWidth="1"/>
    <col min="1308" max="1308" width="18.42578125" customWidth="1"/>
    <col min="1309" max="1309" width="13.140625" customWidth="1"/>
    <col min="1310" max="1311" width="14" customWidth="1"/>
    <col min="1312" max="1312" width="11.42578125" customWidth="1"/>
    <col min="1313" max="1313" width="15.85546875" customWidth="1"/>
    <col min="1314" max="1314" width="23.7109375" customWidth="1"/>
    <col min="1315" max="1315" width="12" customWidth="1"/>
    <col min="1316" max="1317" width="0.28515625" customWidth="1"/>
    <col min="1318" max="1318" width="1.42578125" customWidth="1"/>
    <col min="1319" max="1319" width="0" hidden="1" customWidth="1"/>
    <col min="1537" max="1537" width="10.28515625" customWidth="1"/>
    <col min="1538" max="1538" width="13.42578125" customWidth="1"/>
    <col min="1539" max="1539" width="4.28515625" customWidth="1"/>
    <col min="1540" max="1540" width="4" customWidth="1"/>
    <col min="1541" max="1541" width="15" customWidth="1"/>
    <col min="1542" max="1542" width="4.140625" customWidth="1"/>
    <col min="1543" max="1543" width="11.28515625" customWidth="1"/>
    <col min="1544" max="1544" width="16.140625" customWidth="1"/>
    <col min="1545" max="1545" width="11" customWidth="1"/>
    <col min="1546" max="1547" width="2.140625" customWidth="1"/>
    <col min="1548" max="1548" width="3.28515625" customWidth="1"/>
    <col min="1549" max="1550" width="0" hidden="1" customWidth="1"/>
    <col min="1551" max="1551" width="2.85546875" customWidth="1"/>
    <col min="1552" max="1552" width="3.28515625" customWidth="1"/>
    <col min="1553" max="1553" width="1.42578125" customWidth="1"/>
    <col min="1554" max="1554" width="0" hidden="1" customWidth="1"/>
    <col min="1555" max="1555" width="6.85546875" customWidth="1"/>
    <col min="1556" max="1556" width="0" hidden="1" customWidth="1"/>
    <col min="1557" max="1558" width="6.28515625" customWidth="1"/>
    <col min="1559" max="1560" width="13.85546875" customWidth="1"/>
    <col min="1561" max="1561" width="10.85546875" customWidth="1"/>
    <col min="1562" max="1562" width="14.140625" customWidth="1"/>
    <col min="1563" max="1563" width="4.42578125" customWidth="1"/>
    <col min="1564" max="1564" width="18.42578125" customWidth="1"/>
    <col min="1565" max="1565" width="13.140625" customWidth="1"/>
    <col min="1566" max="1567" width="14" customWidth="1"/>
    <col min="1568" max="1568" width="11.42578125" customWidth="1"/>
    <col min="1569" max="1569" width="15.85546875" customWidth="1"/>
    <col min="1570" max="1570" width="23.7109375" customWidth="1"/>
    <col min="1571" max="1571" width="12" customWidth="1"/>
    <col min="1572" max="1573" width="0.28515625" customWidth="1"/>
    <col min="1574" max="1574" width="1.42578125" customWidth="1"/>
    <col min="1575" max="1575" width="0" hidden="1" customWidth="1"/>
    <col min="1793" max="1793" width="10.28515625" customWidth="1"/>
    <col min="1794" max="1794" width="13.42578125" customWidth="1"/>
    <col min="1795" max="1795" width="4.28515625" customWidth="1"/>
    <col min="1796" max="1796" width="4" customWidth="1"/>
    <col min="1797" max="1797" width="15" customWidth="1"/>
    <col min="1798" max="1798" width="4.140625" customWidth="1"/>
    <col min="1799" max="1799" width="11.28515625" customWidth="1"/>
    <col min="1800" max="1800" width="16.140625" customWidth="1"/>
    <col min="1801" max="1801" width="11" customWidth="1"/>
    <col min="1802" max="1803" width="2.140625" customWidth="1"/>
    <col min="1804" max="1804" width="3.28515625" customWidth="1"/>
    <col min="1805" max="1806" width="0" hidden="1" customWidth="1"/>
    <col min="1807" max="1807" width="2.85546875" customWidth="1"/>
    <col min="1808" max="1808" width="3.28515625" customWidth="1"/>
    <col min="1809" max="1809" width="1.42578125" customWidth="1"/>
    <col min="1810" max="1810" width="0" hidden="1" customWidth="1"/>
    <col min="1811" max="1811" width="6.85546875" customWidth="1"/>
    <col min="1812" max="1812" width="0" hidden="1" customWidth="1"/>
    <col min="1813" max="1814" width="6.28515625" customWidth="1"/>
    <col min="1815" max="1816" width="13.85546875" customWidth="1"/>
    <col min="1817" max="1817" width="10.85546875" customWidth="1"/>
    <col min="1818" max="1818" width="14.140625" customWidth="1"/>
    <col min="1819" max="1819" width="4.42578125" customWidth="1"/>
    <col min="1820" max="1820" width="18.42578125" customWidth="1"/>
    <col min="1821" max="1821" width="13.140625" customWidth="1"/>
    <col min="1822" max="1823" width="14" customWidth="1"/>
    <col min="1824" max="1824" width="11.42578125" customWidth="1"/>
    <col min="1825" max="1825" width="15.85546875" customWidth="1"/>
    <col min="1826" max="1826" width="23.7109375" customWidth="1"/>
    <col min="1827" max="1827" width="12" customWidth="1"/>
    <col min="1828" max="1829" width="0.28515625" customWidth="1"/>
    <col min="1830" max="1830" width="1.42578125" customWidth="1"/>
    <col min="1831" max="1831" width="0" hidden="1" customWidth="1"/>
    <col min="2049" max="2049" width="10.28515625" customWidth="1"/>
    <col min="2050" max="2050" width="13.42578125" customWidth="1"/>
    <col min="2051" max="2051" width="4.28515625" customWidth="1"/>
    <col min="2052" max="2052" width="4" customWidth="1"/>
    <col min="2053" max="2053" width="15" customWidth="1"/>
    <col min="2054" max="2054" width="4.140625" customWidth="1"/>
    <col min="2055" max="2055" width="11.28515625" customWidth="1"/>
    <col min="2056" max="2056" width="16.140625" customWidth="1"/>
    <col min="2057" max="2057" width="11" customWidth="1"/>
    <col min="2058" max="2059" width="2.140625" customWidth="1"/>
    <col min="2060" max="2060" width="3.28515625" customWidth="1"/>
    <col min="2061" max="2062" width="0" hidden="1" customWidth="1"/>
    <col min="2063" max="2063" width="2.85546875" customWidth="1"/>
    <col min="2064" max="2064" width="3.28515625" customWidth="1"/>
    <col min="2065" max="2065" width="1.42578125" customWidth="1"/>
    <col min="2066" max="2066" width="0" hidden="1" customWidth="1"/>
    <col min="2067" max="2067" width="6.85546875" customWidth="1"/>
    <col min="2068" max="2068" width="0" hidden="1" customWidth="1"/>
    <col min="2069" max="2070" width="6.28515625" customWidth="1"/>
    <col min="2071" max="2072" width="13.85546875" customWidth="1"/>
    <col min="2073" max="2073" width="10.85546875" customWidth="1"/>
    <col min="2074" max="2074" width="14.140625" customWidth="1"/>
    <col min="2075" max="2075" width="4.42578125" customWidth="1"/>
    <col min="2076" max="2076" width="18.42578125" customWidth="1"/>
    <col min="2077" max="2077" width="13.140625" customWidth="1"/>
    <col min="2078" max="2079" width="14" customWidth="1"/>
    <col min="2080" max="2080" width="11.42578125" customWidth="1"/>
    <col min="2081" max="2081" width="15.85546875" customWidth="1"/>
    <col min="2082" max="2082" width="23.7109375" customWidth="1"/>
    <col min="2083" max="2083" width="12" customWidth="1"/>
    <col min="2084" max="2085" width="0.28515625" customWidth="1"/>
    <col min="2086" max="2086" width="1.42578125" customWidth="1"/>
    <col min="2087" max="2087" width="0" hidden="1" customWidth="1"/>
    <col min="2305" max="2305" width="10.28515625" customWidth="1"/>
    <col min="2306" max="2306" width="13.42578125" customWidth="1"/>
    <col min="2307" max="2307" width="4.28515625" customWidth="1"/>
    <col min="2308" max="2308" width="4" customWidth="1"/>
    <col min="2309" max="2309" width="15" customWidth="1"/>
    <col min="2310" max="2310" width="4.140625" customWidth="1"/>
    <col min="2311" max="2311" width="11.28515625" customWidth="1"/>
    <col min="2312" max="2312" width="16.140625" customWidth="1"/>
    <col min="2313" max="2313" width="11" customWidth="1"/>
    <col min="2314" max="2315" width="2.140625" customWidth="1"/>
    <col min="2316" max="2316" width="3.28515625" customWidth="1"/>
    <col min="2317" max="2318" width="0" hidden="1" customWidth="1"/>
    <col min="2319" max="2319" width="2.85546875" customWidth="1"/>
    <col min="2320" max="2320" width="3.28515625" customWidth="1"/>
    <col min="2321" max="2321" width="1.42578125" customWidth="1"/>
    <col min="2322" max="2322" width="0" hidden="1" customWidth="1"/>
    <col min="2323" max="2323" width="6.85546875" customWidth="1"/>
    <col min="2324" max="2324" width="0" hidden="1" customWidth="1"/>
    <col min="2325" max="2326" width="6.28515625" customWidth="1"/>
    <col min="2327" max="2328" width="13.85546875" customWidth="1"/>
    <col min="2329" max="2329" width="10.85546875" customWidth="1"/>
    <col min="2330" max="2330" width="14.140625" customWidth="1"/>
    <col min="2331" max="2331" width="4.42578125" customWidth="1"/>
    <col min="2332" max="2332" width="18.42578125" customWidth="1"/>
    <col min="2333" max="2333" width="13.140625" customWidth="1"/>
    <col min="2334" max="2335" width="14" customWidth="1"/>
    <col min="2336" max="2336" width="11.42578125" customWidth="1"/>
    <col min="2337" max="2337" width="15.85546875" customWidth="1"/>
    <col min="2338" max="2338" width="23.7109375" customWidth="1"/>
    <col min="2339" max="2339" width="12" customWidth="1"/>
    <col min="2340" max="2341" width="0.28515625" customWidth="1"/>
    <col min="2342" max="2342" width="1.42578125" customWidth="1"/>
    <col min="2343" max="2343" width="0" hidden="1" customWidth="1"/>
    <col min="2561" max="2561" width="10.28515625" customWidth="1"/>
    <col min="2562" max="2562" width="13.42578125" customWidth="1"/>
    <col min="2563" max="2563" width="4.28515625" customWidth="1"/>
    <col min="2564" max="2564" width="4" customWidth="1"/>
    <col min="2565" max="2565" width="15" customWidth="1"/>
    <col min="2566" max="2566" width="4.140625" customWidth="1"/>
    <col min="2567" max="2567" width="11.28515625" customWidth="1"/>
    <col min="2568" max="2568" width="16.140625" customWidth="1"/>
    <col min="2569" max="2569" width="11" customWidth="1"/>
    <col min="2570" max="2571" width="2.140625" customWidth="1"/>
    <col min="2572" max="2572" width="3.28515625" customWidth="1"/>
    <col min="2573" max="2574" width="0" hidden="1" customWidth="1"/>
    <col min="2575" max="2575" width="2.85546875" customWidth="1"/>
    <col min="2576" max="2576" width="3.28515625" customWidth="1"/>
    <col min="2577" max="2577" width="1.42578125" customWidth="1"/>
    <col min="2578" max="2578" width="0" hidden="1" customWidth="1"/>
    <col min="2579" max="2579" width="6.85546875" customWidth="1"/>
    <col min="2580" max="2580" width="0" hidden="1" customWidth="1"/>
    <col min="2581" max="2582" width="6.28515625" customWidth="1"/>
    <col min="2583" max="2584" width="13.85546875" customWidth="1"/>
    <col min="2585" max="2585" width="10.85546875" customWidth="1"/>
    <col min="2586" max="2586" width="14.140625" customWidth="1"/>
    <col min="2587" max="2587" width="4.42578125" customWidth="1"/>
    <col min="2588" max="2588" width="18.42578125" customWidth="1"/>
    <col min="2589" max="2589" width="13.140625" customWidth="1"/>
    <col min="2590" max="2591" width="14" customWidth="1"/>
    <col min="2592" max="2592" width="11.42578125" customWidth="1"/>
    <col min="2593" max="2593" width="15.85546875" customWidth="1"/>
    <col min="2594" max="2594" width="23.7109375" customWidth="1"/>
    <col min="2595" max="2595" width="12" customWidth="1"/>
    <col min="2596" max="2597" width="0.28515625" customWidth="1"/>
    <col min="2598" max="2598" width="1.42578125" customWidth="1"/>
    <col min="2599" max="2599" width="0" hidden="1" customWidth="1"/>
    <col min="2817" max="2817" width="10.28515625" customWidth="1"/>
    <col min="2818" max="2818" width="13.42578125" customWidth="1"/>
    <col min="2819" max="2819" width="4.28515625" customWidth="1"/>
    <col min="2820" max="2820" width="4" customWidth="1"/>
    <col min="2821" max="2821" width="15" customWidth="1"/>
    <col min="2822" max="2822" width="4.140625" customWidth="1"/>
    <col min="2823" max="2823" width="11.28515625" customWidth="1"/>
    <col min="2824" max="2824" width="16.140625" customWidth="1"/>
    <col min="2825" max="2825" width="11" customWidth="1"/>
    <col min="2826" max="2827" width="2.140625" customWidth="1"/>
    <col min="2828" max="2828" width="3.28515625" customWidth="1"/>
    <col min="2829" max="2830" width="0" hidden="1" customWidth="1"/>
    <col min="2831" max="2831" width="2.85546875" customWidth="1"/>
    <col min="2832" max="2832" width="3.28515625" customWidth="1"/>
    <col min="2833" max="2833" width="1.42578125" customWidth="1"/>
    <col min="2834" max="2834" width="0" hidden="1" customWidth="1"/>
    <col min="2835" max="2835" width="6.85546875" customWidth="1"/>
    <col min="2836" max="2836" width="0" hidden="1" customWidth="1"/>
    <col min="2837" max="2838" width="6.28515625" customWidth="1"/>
    <col min="2839" max="2840" width="13.85546875" customWidth="1"/>
    <col min="2841" max="2841" width="10.85546875" customWidth="1"/>
    <col min="2842" max="2842" width="14.140625" customWidth="1"/>
    <col min="2843" max="2843" width="4.42578125" customWidth="1"/>
    <col min="2844" max="2844" width="18.42578125" customWidth="1"/>
    <col min="2845" max="2845" width="13.140625" customWidth="1"/>
    <col min="2846" max="2847" width="14" customWidth="1"/>
    <col min="2848" max="2848" width="11.42578125" customWidth="1"/>
    <col min="2849" max="2849" width="15.85546875" customWidth="1"/>
    <col min="2850" max="2850" width="23.7109375" customWidth="1"/>
    <col min="2851" max="2851" width="12" customWidth="1"/>
    <col min="2852" max="2853" width="0.28515625" customWidth="1"/>
    <col min="2854" max="2854" width="1.42578125" customWidth="1"/>
    <col min="2855" max="2855" width="0" hidden="1" customWidth="1"/>
    <col min="3073" max="3073" width="10.28515625" customWidth="1"/>
    <col min="3074" max="3074" width="13.42578125" customWidth="1"/>
    <col min="3075" max="3075" width="4.28515625" customWidth="1"/>
    <col min="3076" max="3076" width="4" customWidth="1"/>
    <col min="3077" max="3077" width="15" customWidth="1"/>
    <col min="3078" max="3078" width="4.140625" customWidth="1"/>
    <col min="3079" max="3079" width="11.28515625" customWidth="1"/>
    <col min="3080" max="3080" width="16.140625" customWidth="1"/>
    <col min="3081" max="3081" width="11" customWidth="1"/>
    <col min="3082" max="3083" width="2.140625" customWidth="1"/>
    <col min="3084" max="3084" width="3.28515625" customWidth="1"/>
    <col min="3085" max="3086" width="0" hidden="1" customWidth="1"/>
    <col min="3087" max="3087" width="2.85546875" customWidth="1"/>
    <col min="3088" max="3088" width="3.28515625" customWidth="1"/>
    <col min="3089" max="3089" width="1.42578125" customWidth="1"/>
    <col min="3090" max="3090" width="0" hidden="1" customWidth="1"/>
    <col min="3091" max="3091" width="6.85546875" customWidth="1"/>
    <col min="3092" max="3092" width="0" hidden="1" customWidth="1"/>
    <col min="3093" max="3094" width="6.28515625" customWidth="1"/>
    <col min="3095" max="3096" width="13.85546875" customWidth="1"/>
    <col min="3097" max="3097" width="10.85546875" customWidth="1"/>
    <col min="3098" max="3098" width="14.140625" customWidth="1"/>
    <col min="3099" max="3099" width="4.42578125" customWidth="1"/>
    <col min="3100" max="3100" width="18.42578125" customWidth="1"/>
    <col min="3101" max="3101" width="13.140625" customWidth="1"/>
    <col min="3102" max="3103" width="14" customWidth="1"/>
    <col min="3104" max="3104" width="11.42578125" customWidth="1"/>
    <col min="3105" max="3105" width="15.85546875" customWidth="1"/>
    <col min="3106" max="3106" width="23.7109375" customWidth="1"/>
    <col min="3107" max="3107" width="12" customWidth="1"/>
    <col min="3108" max="3109" width="0.28515625" customWidth="1"/>
    <col min="3110" max="3110" width="1.42578125" customWidth="1"/>
    <col min="3111" max="3111" width="0" hidden="1" customWidth="1"/>
    <col min="3329" max="3329" width="10.28515625" customWidth="1"/>
    <col min="3330" max="3330" width="13.42578125" customWidth="1"/>
    <col min="3331" max="3331" width="4.28515625" customWidth="1"/>
    <col min="3332" max="3332" width="4" customWidth="1"/>
    <col min="3333" max="3333" width="15" customWidth="1"/>
    <col min="3334" max="3334" width="4.140625" customWidth="1"/>
    <col min="3335" max="3335" width="11.28515625" customWidth="1"/>
    <col min="3336" max="3336" width="16.140625" customWidth="1"/>
    <col min="3337" max="3337" width="11" customWidth="1"/>
    <col min="3338" max="3339" width="2.140625" customWidth="1"/>
    <col min="3340" max="3340" width="3.28515625" customWidth="1"/>
    <col min="3341" max="3342" width="0" hidden="1" customWidth="1"/>
    <col min="3343" max="3343" width="2.85546875" customWidth="1"/>
    <col min="3344" max="3344" width="3.28515625" customWidth="1"/>
    <col min="3345" max="3345" width="1.42578125" customWidth="1"/>
    <col min="3346" max="3346" width="0" hidden="1" customWidth="1"/>
    <col min="3347" max="3347" width="6.85546875" customWidth="1"/>
    <col min="3348" max="3348" width="0" hidden="1" customWidth="1"/>
    <col min="3349" max="3350" width="6.28515625" customWidth="1"/>
    <col min="3351" max="3352" width="13.85546875" customWidth="1"/>
    <col min="3353" max="3353" width="10.85546875" customWidth="1"/>
    <col min="3354" max="3354" width="14.140625" customWidth="1"/>
    <col min="3355" max="3355" width="4.42578125" customWidth="1"/>
    <col min="3356" max="3356" width="18.42578125" customWidth="1"/>
    <col min="3357" max="3357" width="13.140625" customWidth="1"/>
    <col min="3358" max="3359" width="14" customWidth="1"/>
    <col min="3360" max="3360" width="11.42578125" customWidth="1"/>
    <col min="3361" max="3361" width="15.85546875" customWidth="1"/>
    <col min="3362" max="3362" width="23.7109375" customWidth="1"/>
    <col min="3363" max="3363" width="12" customWidth="1"/>
    <col min="3364" max="3365" width="0.28515625" customWidth="1"/>
    <col min="3366" max="3366" width="1.42578125" customWidth="1"/>
    <col min="3367" max="3367" width="0" hidden="1" customWidth="1"/>
    <col min="3585" max="3585" width="10.28515625" customWidth="1"/>
    <col min="3586" max="3586" width="13.42578125" customWidth="1"/>
    <col min="3587" max="3587" width="4.28515625" customWidth="1"/>
    <col min="3588" max="3588" width="4" customWidth="1"/>
    <col min="3589" max="3589" width="15" customWidth="1"/>
    <col min="3590" max="3590" width="4.140625" customWidth="1"/>
    <col min="3591" max="3591" width="11.28515625" customWidth="1"/>
    <col min="3592" max="3592" width="16.140625" customWidth="1"/>
    <col min="3593" max="3593" width="11" customWidth="1"/>
    <col min="3594" max="3595" width="2.140625" customWidth="1"/>
    <col min="3596" max="3596" width="3.28515625" customWidth="1"/>
    <col min="3597" max="3598" width="0" hidden="1" customWidth="1"/>
    <col min="3599" max="3599" width="2.85546875" customWidth="1"/>
    <col min="3600" max="3600" width="3.28515625" customWidth="1"/>
    <col min="3601" max="3601" width="1.42578125" customWidth="1"/>
    <col min="3602" max="3602" width="0" hidden="1" customWidth="1"/>
    <col min="3603" max="3603" width="6.85546875" customWidth="1"/>
    <col min="3604" max="3604" width="0" hidden="1" customWidth="1"/>
    <col min="3605" max="3606" width="6.28515625" customWidth="1"/>
    <col min="3607" max="3608" width="13.85546875" customWidth="1"/>
    <col min="3609" max="3609" width="10.85546875" customWidth="1"/>
    <col min="3610" max="3610" width="14.140625" customWidth="1"/>
    <col min="3611" max="3611" width="4.42578125" customWidth="1"/>
    <col min="3612" max="3612" width="18.42578125" customWidth="1"/>
    <col min="3613" max="3613" width="13.140625" customWidth="1"/>
    <col min="3614" max="3615" width="14" customWidth="1"/>
    <col min="3616" max="3616" width="11.42578125" customWidth="1"/>
    <col min="3617" max="3617" width="15.85546875" customWidth="1"/>
    <col min="3618" max="3618" width="23.7109375" customWidth="1"/>
    <col min="3619" max="3619" width="12" customWidth="1"/>
    <col min="3620" max="3621" width="0.28515625" customWidth="1"/>
    <col min="3622" max="3622" width="1.42578125" customWidth="1"/>
    <col min="3623" max="3623" width="0" hidden="1" customWidth="1"/>
    <col min="3841" max="3841" width="10.28515625" customWidth="1"/>
    <col min="3842" max="3842" width="13.42578125" customWidth="1"/>
    <col min="3843" max="3843" width="4.28515625" customWidth="1"/>
    <col min="3844" max="3844" width="4" customWidth="1"/>
    <col min="3845" max="3845" width="15" customWidth="1"/>
    <col min="3846" max="3846" width="4.140625" customWidth="1"/>
    <col min="3847" max="3847" width="11.28515625" customWidth="1"/>
    <col min="3848" max="3848" width="16.140625" customWidth="1"/>
    <col min="3849" max="3849" width="11" customWidth="1"/>
    <col min="3850" max="3851" width="2.140625" customWidth="1"/>
    <col min="3852" max="3852" width="3.28515625" customWidth="1"/>
    <col min="3853" max="3854" width="0" hidden="1" customWidth="1"/>
    <col min="3855" max="3855" width="2.85546875" customWidth="1"/>
    <col min="3856" max="3856" width="3.28515625" customWidth="1"/>
    <col min="3857" max="3857" width="1.42578125" customWidth="1"/>
    <col min="3858" max="3858" width="0" hidden="1" customWidth="1"/>
    <col min="3859" max="3859" width="6.85546875" customWidth="1"/>
    <col min="3860" max="3860" width="0" hidden="1" customWidth="1"/>
    <col min="3861" max="3862" width="6.28515625" customWidth="1"/>
    <col min="3863" max="3864" width="13.85546875" customWidth="1"/>
    <col min="3865" max="3865" width="10.85546875" customWidth="1"/>
    <col min="3866" max="3866" width="14.140625" customWidth="1"/>
    <col min="3867" max="3867" width="4.42578125" customWidth="1"/>
    <col min="3868" max="3868" width="18.42578125" customWidth="1"/>
    <col min="3869" max="3869" width="13.140625" customWidth="1"/>
    <col min="3870" max="3871" width="14" customWidth="1"/>
    <col min="3872" max="3872" width="11.42578125" customWidth="1"/>
    <col min="3873" max="3873" width="15.85546875" customWidth="1"/>
    <col min="3874" max="3874" width="23.7109375" customWidth="1"/>
    <col min="3875" max="3875" width="12" customWidth="1"/>
    <col min="3876" max="3877" width="0.28515625" customWidth="1"/>
    <col min="3878" max="3878" width="1.42578125" customWidth="1"/>
    <col min="3879" max="3879" width="0" hidden="1" customWidth="1"/>
    <col min="4097" max="4097" width="10.28515625" customWidth="1"/>
    <col min="4098" max="4098" width="13.42578125" customWidth="1"/>
    <col min="4099" max="4099" width="4.28515625" customWidth="1"/>
    <col min="4100" max="4100" width="4" customWidth="1"/>
    <col min="4101" max="4101" width="15" customWidth="1"/>
    <col min="4102" max="4102" width="4.140625" customWidth="1"/>
    <col min="4103" max="4103" width="11.28515625" customWidth="1"/>
    <col min="4104" max="4104" width="16.140625" customWidth="1"/>
    <col min="4105" max="4105" width="11" customWidth="1"/>
    <col min="4106" max="4107" width="2.140625" customWidth="1"/>
    <col min="4108" max="4108" width="3.28515625" customWidth="1"/>
    <col min="4109" max="4110" width="0" hidden="1" customWidth="1"/>
    <col min="4111" max="4111" width="2.85546875" customWidth="1"/>
    <col min="4112" max="4112" width="3.28515625" customWidth="1"/>
    <col min="4113" max="4113" width="1.42578125" customWidth="1"/>
    <col min="4114" max="4114" width="0" hidden="1" customWidth="1"/>
    <col min="4115" max="4115" width="6.85546875" customWidth="1"/>
    <col min="4116" max="4116" width="0" hidden="1" customWidth="1"/>
    <col min="4117" max="4118" width="6.28515625" customWidth="1"/>
    <col min="4119" max="4120" width="13.85546875" customWidth="1"/>
    <col min="4121" max="4121" width="10.85546875" customWidth="1"/>
    <col min="4122" max="4122" width="14.140625" customWidth="1"/>
    <col min="4123" max="4123" width="4.42578125" customWidth="1"/>
    <col min="4124" max="4124" width="18.42578125" customWidth="1"/>
    <col min="4125" max="4125" width="13.140625" customWidth="1"/>
    <col min="4126" max="4127" width="14" customWidth="1"/>
    <col min="4128" max="4128" width="11.42578125" customWidth="1"/>
    <col min="4129" max="4129" width="15.85546875" customWidth="1"/>
    <col min="4130" max="4130" width="23.7109375" customWidth="1"/>
    <col min="4131" max="4131" width="12" customWidth="1"/>
    <col min="4132" max="4133" width="0.28515625" customWidth="1"/>
    <col min="4134" max="4134" width="1.42578125" customWidth="1"/>
    <col min="4135" max="4135" width="0" hidden="1" customWidth="1"/>
    <col min="4353" max="4353" width="10.28515625" customWidth="1"/>
    <col min="4354" max="4354" width="13.42578125" customWidth="1"/>
    <col min="4355" max="4355" width="4.28515625" customWidth="1"/>
    <col min="4356" max="4356" width="4" customWidth="1"/>
    <col min="4357" max="4357" width="15" customWidth="1"/>
    <col min="4358" max="4358" width="4.140625" customWidth="1"/>
    <col min="4359" max="4359" width="11.28515625" customWidth="1"/>
    <col min="4360" max="4360" width="16.140625" customWidth="1"/>
    <col min="4361" max="4361" width="11" customWidth="1"/>
    <col min="4362" max="4363" width="2.140625" customWidth="1"/>
    <col min="4364" max="4364" width="3.28515625" customWidth="1"/>
    <col min="4365" max="4366" width="0" hidden="1" customWidth="1"/>
    <col min="4367" max="4367" width="2.85546875" customWidth="1"/>
    <col min="4368" max="4368" width="3.28515625" customWidth="1"/>
    <col min="4369" max="4369" width="1.42578125" customWidth="1"/>
    <col min="4370" max="4370" width="0" hidden="1" customWidth="1"/>
    <col min="4371" max="4371" width="6.85546875" customWidth="1"/>
    <col min="4372" max="4372" width="0" hidden="1" customWidth="1"/>
    <col min="4373" max="4374" width="6.28515625" customWidth="1"/>
    <col min="4375" max="4376" width="13.85546875" customWidth="1"/>
    <col min="4377" max="4377" width="10.85546875" customWidth="1"/>
    <col min="4378" max="4378" width="14.140625" customWidth="1"/>
    <col min="4379" max="4379" width="4.42578125" customWidth="1"/>
    <col min="4380" max="4380" width="18.42578125" customWidth="1"/>
    <col min="4381" max="4381" width="13.140625" customWidth="1"/>
    <col min="4382" max="4383" width="14" customWidth="1"/>
    <col min="4384" max="4384" width="11.42578125" customWidth="1"/>
    <col min="4385" max="4385" width="15.85546875" customWidth="1"/>
    <col min="4386" max="4386" width="23.7109375" customWidth="1"/>
    <col min="4387" max="4387" width="12" customWidth="1"/>
    <col min="4388" max="4389" width="0.28515625" customWidth="1"/>
    <col min="4390" max="4390" width="1.42578125" customWidth="1"/>
    <col min="4391" max="4391" width="0" hidden="1" customWidth="1"/>
    <col min="4609" max="4609" width="10.28515625" customWidth="1"/>
    <col min="4610" max="4610" width="13.42578125" customWidth="1"/>
    <col min="4611" max="4611" width="4.28515625" customWidth="1"/>
    <col min="4612" max="4612" width="4" customWidth="1"/>
    <col min="4613" max="4613" width="15" customWidth="1"/>
    <col min="4614" max="4614" width="4.140625" customWidth="1"/>
    <col min="4615" max="4615" width="11.28515625" customWidth="1"/>
    <col min="4616" max="4616" width="16.140625" customWidth="1"/>
    <col min="4617" max="4617" width="11" customWidth="1"/>
    <col min="4618" max="4619" width="2.140625" customWidth="1"/>
    <col min="4620" max="4620" width="3.28515625" customWidth="1"/>
    <col min="4621" max="4622" width="0" hidden="1" customWidth="1"/>
    <col min="4623" max="4623" width="2.85546875" customWidth="1"/>
    <col min="4624" max="4624" width="3.28515625" customWidth="1"/>
    <col min="4625" max="4625" width="1.42578125" customWidth="1"/>
    <col min="4626" max="4626" width="0" hidden="1" customWidth="1"/>
    <col min="4627" max="4627" width="6.85546875" customWidth="1"/>
    <col min="4628" max="4628" width="0" hidden="1" customWidth="1"/>
    <col min="4629" max="4630" width="6.28515625" customWidth="1"/>
    <col min="4631" max="4632" width="13.85546875" customWidth="1"/>
    <col min="4633" max="4633" width="10.85546875" customWidth="1"/>
    <col min="4634" max="4634" width="14.140625" customWidth="1"/>
    <col min="4635" max="4635" width="4.42578125" customWidth="1"/>
    <col min="4636" max="4636" width="18.42578125" customWidth="1"/>
    <col min="4637" max="4637" width="13.140625" customWidth="1"/>
    <col min="4638" max="4639" width="14" customWidth="1"/>
    <col min="4640" max="4640" width="11.42578125" customWidth="1"/>
    <col min="4641" max="4641" width="15.85546875" customWidth="1"/>
    <col min="4642" max="4642" width="23.7109375" customWidth="1"/>
    <col min="4643" max="4643" width="12" customWidth="1"/>
    <col min="4644" max="4645" width="0.28515625" customWidth="1"/>
    <col min="4646" max="4646" width="1.42578125" customWidth="1"/>
    <col min="4647" max="4647" width="0" hidden="1" customWidth="1"/>
    <col min="4865" max="4865" width="10.28515625" customWidth="1"/>
    <col min="4866" max="4866" width="13.42578125" customWidth="1"/>
    <col min="4867" max="4867" width="4.28515625" customWidth="1"/>
    <col min="4868" max="4868" width="4" customWidth="1"/>
    <col min="4869" max="4869" width="15" customWidth="1"/>
    <col min="4870" max="4870" width="4.140625" customWidth="1"/>
    <col min="4871" max="4871" width="11.28515625" customWidth="1"/>
    <col min="4872" max="4872" width="16.140625" customWidth="1"/>
    <col min="4873" max="4873" width="11" customWidth="1"/>
    <col min="4874" max="4875" width="2.140625" customWidth="1"/>
    <col min="4876" max="4876" width="3.28515625" customWidth="1"/>
    <col min="4877" max="4878" width="0" hidden="1" customWidth="1"/>
    <col min="4879" max="4879" width="2.85546875" customWidth="1"/>
    <col min="4880" max="4880" width="3.28515625" customWidth="1"/>
    <col min="4881" max="4881" width="1.42578125" customWidth="1"/>
    <col min="4882" max="4882" width="0" hidden="1" customWidth="1"/>
    <col min="4883" max="4883" width="6.85546875" customWidth="1"/>
    <col min="4884" max="4884" width="0" hidden="1" customWidth="1"/>
    <col min="4885" max="4886" width="6.28515625" customWidth="1"/>
    <col min="4887" max="4888" width="13.85546875" customWidth="1"/>
    <col min="4889" max="4889" width="10.85546875" customWidth="1"/>
    <col min="4890" max="4890" width="14.140625" customWidth="1"/>
    <col min="4891" max="4891" width="4.42578125" customWidth="1"/>
    <col min="4892" max="4892" width="18.42578125" customWidth="1"/>
    <col min="4893" max="4893" width="13.140625" customWidth="1"/>
    <col min="4894" max="4895" width="14" customWidth="1"/>
    <col min="4896" max="4896" width="11.42578125" customWidth="1"/>
    <col min="4897" max="4897" width="15.85546875" customWidth="1"/>
    <col min="4898" max="4898" width="23.7109375" customWidth="1"/>
    <col min="4899" max="4899" width="12" customWidth="1"/>
    <col min="4900" max="4901" width="0.28515625" customWidth="1"/>
    <col min="4902" max="4902" width="1.42578125" customWidth="1"/>
    <col min="4903" max="4903" width="0" hidden="1" customWidth="1"/>
    <col min="5121" max="5121" width="10.28515625" customWidth="1"/>
    <col min="5122" max="5122" width="13.42578125" customWidth="1"/>
    <col min="5123" max="5123" width="4.28515625" customWidth="1"/>
    <col min="5124" max="5124" width="4" customWidth="1"/>
    <col min="5125" max="5125" width="15" customWidth="1"/>
    <col min="5126" max="5126" width="4.140625" customWidth="1"/>
    <col min="5127" max="5127" width="11.28515625" customWidth="1"/>
    <col min="5128" max="5128" width="16.140625" customWidth="1"/>
    <col min="5129" max="5129" width="11" customWidth="1"/>
    <col min="5130" max="5131" width="2.140625" customWidth="1"/>
    <col min="5132" max="5132" width="3.28515625" customWidth="1"/>
    <col min="5133" max="5134" width="0" hidden="1" customWidth="1"/>
    <col min="5135" max="5135" width="2.85546875" customWidth="1"/>
    <col min="5136" max="5136" width="3.28515625" customWidth="1"/>
    <col min="5137" max="5137" width="1.42578125" customWidth="1"/>
    <col min="5138" max="5138" width="0" hidden="1" customWidth="1"/>
    <col min="5139" max="5139" width="6.85546875" customWidth="1"/>
    <col min="5140" max="5140" width="0" hidden="1" customWidth="1"/>
    <col min="5141" max="5142" width="6.28515625" customWidth="1"/>
    <col min="5143" max="5144" width="13.85546875" customWidth="1"/>
    <col min="5145" max="5145" width="10.85546875" customWidth="1"/>
    <col min="5146" max="5146" width="14.140625" customWidth="1"/>
    <col min="5147" max="5147" width="4.42578125" customWidth="1"/>
    <col min="5148" max="5148" width="18.42578125" customWidth="1"/>
    <col min="5149" max="5149" width="13.140625" customWidth="1"/>
    <col min="5150" max="5151" width="14" customWidth="1"/>
    <col min="5152" max="5152" width="11.42578125" customWidth="1"/>
    <col min="5153" max="5153" width="15.85546875" customWidth="1"/>
    <col min="5154" max="5154" width="23.7109375" customWidth="1"/>
    <col min="5155" max="5155" width="12" customWidth="1"/>
    <col min="5156" max="5157" width="0.28515625" customWidth="1"/>
    <col min="5158" max="5158" width="1.42578125" customWidth="1"/>
    <col min="5159" max="5159" width="0" hidden="1" customWidth="1"/>
    <col min="5377" max="5377" width="10.28515625" customWidth="1"/>
    <col min="5378" max="5378" width="13.42578125" customWidth="1"/>
    <col min="5379" max="5379" width="4.28515625" customWidth="1"/>
    <col min="5380" max="5380" width="4" customWidth="1"/>
    <col min="5381" max="5381" width="15" customWidth="1"/>
    <col min="5382" max="5382" width="4.140625" customWidth="1"/>
    <col min="5383" max="5383" width="11.28515625" customWidth="1"/>
    <col min="5384" max="5384" width="16.140625" customWidth="1"/>
    <col min="5385" max="5385" width="11" customWidth="1"/>
    <col min="5386" max="5387" width="2.140625" customWidth="1"/>
    <col min="5388" max="5388" width="3.28515625" customWidth="1"/>
    <col min="5389" max="5390" width="0" hidden="1" customWidth="1"/>
    <col min="5391" max="5391" width="2.85546875" customWidth="1"/>
    <col min="5392" max="5392" width="3.28515625" customWidth="1"/>
    <col min="5393" max="5393" width="1.42578125" customWidth="1"/>
    <col min="5394" max="5394" width="0" hidden="1" customWidth="1"/>
    <col min="5395" max="5395" width="6.85546875" customWidth="1"/>
    <col min="5396" max="5396" width="0" hidden="1" customWidth="1"/>
    <col min="5397" max="5398" width="6.28515625" customWidth="1"/>
    <col min="5399" max="5400" width="13.85546875" customWidth="1"/>
    <col min="5401" max="5401" width="10.85546875" customWidth="1"/>
    <col min="5402" max="5402" width="14.140625" customWidth="1"/>
    <col min="5403" max="5403" width="4.42578125" customWidth="1"/>
    <col min="5404" max="5404" width="18.42578125" customWidth="1"/>
    <col min="5405" max="5405" width="13.140625" customWidth="1"/>
    <col min="5406" max="5407" width="14" customWidth="1"/>
    <col min="5408" max="5408" width="11.42578125" customWidth="1"/>
    <col min="5409" max="5409" width="15.85546875" customWidth="1"/>
    <col min="5410" max="5410" width="23.7109375" customWidth="1"/>
    <col min="5411" max="5411" width="12" customWidth="1"/>
    <col min="5412" max="5413" width="0.28515625" customWidth="1"/>
    <col min="5414" max="5414" width="1.42578125" customWidth="1"/>
    <col min="5415" max="5415" width="0" hidden="1" customWidth="1"/>
    <col min="5633" max="5633" width="10.28515625" customWidth="1"/>
    <col min="5634" max="5634" width="13.42578125" customWidth="1"/>
    <col min="5635" max="5635" width="4.28515625" customWidth="1"/>
    <col min="5636" max="5636" width="4" customWidth="1"/>
    <col min="5637" max="5637" width="15" customWidth="1"/>
    <col min="5638" max="5638" width="4.140625" customWidth="1"/>
    <col min="5639" max="5639" width="11.28515625" customWidth="1"/>
    <col min="5640" max="5640" width="16.140625" customWidth="1"/>
    <col min="5641" max="5641" width="11" customWidth="1"/>
    <col min="5642" max="5643" width="2.140625" customWidth="1"/>
    <col min="5644" max="5644" width="3.28515625" customWidth="1"/>
    <col min="5645" max="5646" width="0" hidden="1" customWidth="1"/>
    <col min="5647" max="5647" width="2.85546875" customWidth="1"/>
    <col min="5648" max="5648" width="3.28515625" customWidth="1"/>
    <col min="5649" max="5649" width="1.42578125" customWidth="1"/>
    <col min="5650" max="5650" width="0" hidden="1" customWidth="1"/>
    <col min="5651" max="5651" width="6.85546875" customWidth="1"/>
    <col min="5652" max="5652" width="0" hidden="1" customWidth="1"/>
    <col min="5653" max="5654" width="6.28515625" customWidth="1"/>
    <col min="5655" max="5656" width="13.85546875" customWidth="1"/>
    <col min="5657" max="5657" width="10.85546875" customWidth="1"/>
    <col min="5658" max="5658" width="14.140625" customWidth="1"/>
    <col min="5659" max="5659" width="4.42578125" customWidth="1"/>
    <col min="5660" max="5660" width="18.42578125" customWidth="1"/>
    <col min="5661" max="5661" width="13.140625" customWidth="1"/>
    <col min="5662" max="5663" width="14" customWidth="1"/>
    <col min="5664" max="5664" width="11.42578125" customWidth="1"/>
    <col min="5665" max="5665" width="15.85546875" customWidth="1"/>
    <col min="5666" max="5666" width="23.7109375" customWidth="1"/>
    <col min="5667" max="5667" width="12" customWidth="1"/>
    <col min="5668" max="5669" width="0.28515625" customWidth="1"/>
    <col min="5670" max="5670" width="1.42578125" customWidth="1"/>
    <col min="5671" max="5671" width="0" hidden="1" customWidth="1"/>
    <col min="5889" max="5889" width="10.28515625" customWidth="1"/>
    <col min="5890" max="5890" width="13.42578125" customWidth="1"/>
    <col min="5891" max="5891" width="4.28515625" customWidth="1"/>
    <col min="5892" max="5892" width="4" customWidth="1"/>
    <col min="5893" max="5893" width="15" customWidth="1"/>
    <col min="5894" max="5894" width="4.140625" customWidth="1"/>
    <col min="5895" max="5895" width="11.28515625" customWidth="1"/>
    <col min="5896" max="5896" width="16.140625" customWidth="1"/>
    <col min="5897" max="5897" width="11" customWidth="1"/>
    <col min="5898" max="5899" width="2.140625" customWidth="1"/>
    <col min="5900" max="5900" width="3.28515625" customWidth="1"/>
    <col min="5901" max="5902" width="0" hidden="1" customWidth="1"/>
    <col min="5903" max="5903" width="2.85546875" customWidth="1"/>
    <col min="5904" max="5904" width="3.28515625" customWidth="1"/>
    <col min="5905" max="5905" width="1.42578125" customWidth="1"/>
    <col min="5906" max="5906" width="0" hidden="1" customWidth="1"/>
    <col min="5907" max="5907" width="6.85546875" customWidth="1"/>
    <col min="5908" max="5908" width="0" hidden="1" customWidth="1"/>
    <col min="5909" max="5910" width="6.28515625" customWidth="1"/>
    <col min="5911" max="5912" width="13.85546875" customWidth="1"/>
    <col min="5913" max="5913" width="10.85546875" customWidth="1"/>
    <col min="5914" max="5914" width="14.140625" customWidth="1"/>
    <col min="5915" max="5915" width="4.42578125" customWidth="1"/>
    <col min="5916" max="5916" width="18.42578125" customWidth="1"/>
    <col min="5917" max="5917" width="13.140625" customWidth="1"/>
    <col min="5918" max="5919" width="14" customWidth="1"/>
    <col min="5920" max="5920" width="11.42578125" customWidth="1"/>
    <col min="5921" max="5921" width="15.85546875" customWidth="1"/>
    <col min="5922" max="5922" width="23.7109375" customWidth="1"/>
    <col min="5923" max="5923" width="12" customWidth="1"/>
    <col min="5924" max="5925" width="0.28515625" customWidth="1"/>
    <col min="5926" max="5926" width="1.42578125" customWidth="1"/>
    <col min="5927" max="5927" width="0" hidden="1" customWidth="1"/>
    <col min="6145" max="6145" width="10.28515625" customWidth="1"/>
    <col min="6146" max="6146" width="13.42578125" customWidth="1"/>
    <col min="6147" max="6147" width="4.28515625" customWidth="1"/>
    <col min="6148" max="6148" width="4" customWidth="1"/>
    <col min="6149" max="6149" width="15" customWidth="1"/>
    <col min="6150" max="6150" width="4.140625" customWidth="1"/>
    <col min="6151" max="6151" width="11.28515625" customWidth="1"/>
    <col min="6152" max="6152" width="16.140625" customWidth="1"/>
    <col min="6153" max="6153" width="11" customWidth="1"/>
    <col min="6154" max="6155" width="2.140625" customWidth="1"/>
    <col min="6156" max="6156" width="3.28515625" customWidth="1"/>
    <col min="6157" max="6158" width="0" hidden="1" customWidth="1"/>
    <col min="6159" max="6159" width="2.85546875" customWidth="1"/>
    <col min="6160" max="6160" width="3.28515625" customWidth="1"/>
    <col min="6161" max="6161" width="1.42578125" customWidth="1"/>
    <col min="6162" max="6162" width="0" hidden="1" customWidth="1"/>
    <col min="6163" max="6163" width="6.85546875" customWidth="1"/>
    <col min="6164" max="6164" width="0" hidden="1" customWidth="1"/>
    <col min="6165" max="6166" width="6.28515625" customWidth="1"/>
    <col min="6167" max="6168" width="13.85546875" customWidth="1"/>
    <col min="6169" max="6169" width="10.85546875" customWidth="1"/>
    <col min="6170" max="6170" width="14.140625" customWidth="1"/>
    <col min="6171" max="6171" width="4.42578125" customWidth="1"/>
    <col min="6172" max="6172" width="18.42578125" customWidth="1"/>
    <col min="6173" max="6173" width="13.140625" customWidth="1"/>
    <col min="6174" max="6175" width="14" customWidth="1"/>
    <col min="6176" max="6176" width="11.42578125" customWidth="1"/>
    <col min="6177" max="6177" width="15.85546875" customWidth="1"/>
    <col min="6178" max="6178" width="23.7109375" customWidth="1"/>
    <col min="6179" max="6179" width="12" customWidth="1"/>
    <col min="6180" max="6181" width="0.28515625" customWidth="1"/>
    <col min="6182" max="6182" width="1.42578125" customWidth="1"/>
    <col min="6183" max="6183" width="0" hidden="1" customWidth="1"/>
    <col min="6401" max="6401" width="10.28515625" customWidth="1"/>
    <col min="6402" max="6402" width="13.42578125" customWidth="1"/>
    <col min="6403" max="6403" width="4.28515625" customWidth="1"/>
    <col min="6404" max="6404" width="4" customWidth="1"/>
    <col min="6405" max="6405" width="15" customWidth="1"/>
    <col min="6406" max="6406" width="4.140625" customWidth="1"/>
    <col min="6407" max="6407" width="11.28515625" customWidth="1"/>
    <col min="6408" max="6408" width="16.140625" customWidth="1"/>
    <col min="6409" max="6409" width="11" customWidth="1"/>
    <col min="6410" max="6411" width="2.140625" customWidth="1"/>
    <col min="6412" max="6412" width="3.28515625" customWidth="1"/>
    <col min="6413" max="6414" width="0" hidden="1" customWidth="1"/>
    <col min="6415" max="6415" width="2.85546875" customWidth="1"/>
    <col min="6416" max="6416" width="3.28515625" customWidth="1"/>
    <col min="6417" max="6417" width="1.42578125" customWidth="1"/>
    <col min="6418" max="6418" width="0" hidden="1" customWidth="1"/>
    <col min="6419" max="6419" width="6.85546875" customWidth="1"/>
    <col min="6420" max="6420" width="0" hidden="1" customWidth="1"/>
    <col min="6421" max="6422" width="6.28515625" customWidth="1"/>
    <col min="6423" max="6424" width="13.85546875" customWidth="1"/>
    <col min="6425" max="6425" width="10.85546875" customWidth="1"/>
    <col min="6426" max="6426" width="14.140625" customWidth="1"/>
    <col min="6427" max="6427" width="4.42578125" customWidth="1"/>
    <col min="6428" max="6428" width="18.42578125" customWidth="1"/>
    <col min="6429" max="6429" width="13.140625" customWidth="1"/>
    <col min="6430" max="6431" width="14" customWidth="1"/>
    <col min="6432" max="6432" width="11.42578125" customWidth="1"/>
    <col min="6433" max="6433" width="15.85546875" customWidth="1"/>
    <col min="6434" max="6434" width="23.7109375" customWidth="1"/>
    <col min="6435" max="6435" width="12" customWidth="1"/>
    <col min="6436" max="6437" width="0.28515625" customWidth="1"/>
    <col min="6438" max="6438" width="1.42578125" customWidth="1"/>
    <col min="6439" max="6439" width="0" hidden="1" customWidth="1"/>
    <col min="6657" max="6657" width="10.28515625" customWidth="1"/>
    <col min="6658" max="6658" width="13.42578125" customWidth="1"/>
    <col min="6659" max="6659" width="4.28515625" customWidth="1"/>
    <col min="6660" max="6660" width="4" customWidth="1"/>
    <col min="6661" max="6661" width="15" customWidth="1"/>
    <col min="6662" max="6662" width="4.140625" customWidth="1"/>
    <col min="6663" max="6663" width="11.28515625" customWidth="1"/>
    <col min="6664" max="6664" width="16.140625" customWidth="1"/>
    <col min="6665" max="6665" width="11" customWidth="1"/>
    <col min="6666" max="6667" width="2.140625" customWidth="1"/>
    <col min="6668" max="6668" width="3.28515625" customWidth="1"/>
    <col min="6669" max="6670" width="0" hidden="1" customWidth="1"/>
    <col min="6671" max="6671" width="2.85546875" customWidth="1"/>
    <col min="6672" max="6672" width="3.28515625" customWidth="1"/>
    <col min="6673" max="6673" width="1.42578125" customWidth="1"/>
    <col min="6674" max="6674" width="0" hidden="1" customWidth="1"/>
    <col min="6675" max="6675" width="6.85546875" customWidth="1"/>
    <col min="6676" max="6676" width="0" hidden="1" customWidth="1"/>
    <col min="6677" max="6678" width="6.28515625" customWidth="1"/>
    <col min="6679" max="6680" width="13.85546875" customWidth="1"/>
    <col min="6681" max="6681" width="10.85546875" customWidth="1"/>
    <col min="6682" max="6682" width="14.140625" customWidth="1"/>
    <col min="6683" max="6683" width="4.42578125" customWidth="1"/>
    <col min="6684" max="6684" width="18.42578125" customWidth="1"/>
    <col min="6685" max="6685" width="13.140625" customWidth="1"/>
    <col min="6686" max="6687" width="14" customWidth="1"/>
    <col min="6688" max="6688" width="11.42578125" customWidth="1"/>
    <col min="6689" max="6689" width="15.85546875" customWidth="1"/>
    <col min="6690" max="6690" width="23.7109375" customWidth="1"/>
    <col min="6691" max="6691" width="12" customWidth="1"/>
    <col min="6692" max="6693" width="0.28515625" customWidth="1"/>
    <col min="6694" max="6694" width="1.42578125" customWidth="1"/>
    <col min="6695" max="6695" width="0" hidden="1" customWidth="1"/>
    <col min="6913" max="6913" width="10.28515625" customWidth="1"/>
    <col min="6914" max="6914" width="13.42578125" customWidth="1"/>
    <col min="6915" max="6915" width="4.28515625" customWidth="1"/>
    <col min="6916" max="6916" width="4" customWidth="1"/>
    <col min="6917" max="6917" width="15" customWidth="1"/>
    <col min="6918" max="6918" width="4.140625" customWidth="1"/>
    <col min="6919" max="6919" width="11.28515625" customWidth="1"/>
    <col min="6920" max="6920" width="16.140625" customWidth="1"/>
    <col min="6921" max="6921" width="11" customWidth="1"/>
    <col min="6922" max="6923" width="2.140625" customWidth="1"/>
    <col min="6924" max="6924" width="3.28515625" customWidth="1"/>
    <col min="6925" max="6926" width="0" hidden="1" customWidth="1"/>
    <col min="6927" max="6927" width="2.85546875" customWidth="1"/>
    <col min="6928" max="6928" width="3.28515625" customWidth="1"/>
    <col min="6929" max="6929" width="1.42578125" customWidth="1"/>
    <col min="6930" max="6930" width="0" hidden="1" customWidth="1"/>
    <col min="6931" max="6931" width="6.85546875" customWidth="1"/>
    <col min="6932" max="6932" width="0" hidden="1" customWidth="1"/>
    <col min="6933" max="6934" width="6.28515625" customWidth="1"/>
    <col min="6935" max="6936" width="13.85546875" customWidth="1"/>
    <col min="6937" max="6937" width="10.85546875" customWidth="1"/>
    <col min="6938" max="6938" width="14.140625" customWidth="1"/>
    <col min="6939" max="6939" width="4.42578125" customWidth="1"/>
    <col min="6940" max="6940" width="18.42578125" customWidth="1"/>
    <col min="6941" max="6941" width="13.140625" customWidth="1"/>
    <col min="6942" max="6943" width="14" customWidth="1"/>
    <col min="6944" max="6944" width="11.42578125" customWidth="1"/>
    <col min="6945" max="6945" width="15.85546875" customWidth="1"/>
    <col min="6946" max="6946" width="23.7109375" customWidth="1"/>
    <col min="6947" max="6947" width="12" customWidth="1"/>
    <col min="6948" max="6949" width="0.28515625" customWidth="1"/>
    <col min="6950" max="6950" width="1.42578125" customWidth="1"/>
    <col min="6951" max="6951" width="0" hidden="1" customWidth="1"/>
    <col min="7169" max="7169" width="10.28515625" customWidth="1"/>
    <col min="7170" max="7170" width="13.42578125" customWidth="1"/>
    <col min="7171" max="7171" width="4.28515625" customWidth="1"/>
    <col min="7172" max="7172" width="4" customWidth="1"/>
    <col min="7173" max="7173" width="15" customWidth="1"/>
    <col min="7174" max="7174" width="4.140625" customWidth="1"/>
    <col min="7175" max="7175" width="11.28515625" customWidth="1"/>
    <col min="7176" max="7176" width="16.140625" customWidth="1"/>
    <col min="7177" max="7177" width="11" customWidth="1"/>
    <col min="7178" max="7179" width="2.140625" customWidth="1"/>
    <col min="7180" max="7180" width="3.28515625" customWidth="1"/>
    <col min="7181" max="7182" width="0" hidden="1" customWidth="1"/>
    <col min="7183" max="7183" width="2.85546875" customWidth="1"/>
    <col min="7184" max="7184" width="3.28515625" customWidth="1"/>
    <col min="7185" max="7185" width="1.42578125" customWidth="1"/>
    <col min="7186" max="7186" width="0" hidden="1" customWidth="1"/>
    <col min="7187" max="7187" width="6.85546875" customWidth="1"/>
    <col min="7188" max="7188" width="0" hidden="1" customWidth="1"/>
    <col min="7189" max="7190" width="6.28515625" customWidth="1"/>
    <col min="7191" max="7192" width="13.85546875" customWidth="1"/>
    <col min="7193" max="7193" width="10.85546875" customWidth="1"/>
    <col min="7194" max="7194" width="14.140625" customWidth="1"/>
    <col min="7195" max="7195" width="4.42578125" customWidth="1"/>
    <col min="7196" max="7196" width="18.42578125" customWidth="1"/>
    <col min="7197" max="7197" width="13.140625" customWidth="1"/>
    <col min="7198" max="7199" width="14" customWidth="1"/>
    <col min="7200" max="7200" width="11.42578125" customWidth="1"/>
    <col min="7201" max="7201" width="15.85546875" customWidth="1"/>
    <col min="7202" max="7202" width="23.7109375" customWidth="1"/>
    <col min="7203" max="7203" width="12" customWidth="1"/>
    <col min="7204" max="7205" width="0.28515625" customWidth="1"/>
    <col min="7206" max="7206" width="1.42578125" customWidth="1"/>
    <col min="7207" max="7207" width="0" hidden="1" customWidth="1"/>
    <col min="7425" max="7425" width="10.28515625" customWidth="1"/>
    <col min="7426" max="7426" width="13.42578125" customWidth="1"/>
    <col min="7427" max="7427" width="4.28515625" customWidth="1"/>
    <col min="7428" max="7428" width="4" customWidth="1"/>
    <col min="7429" max="7429" width="15" customWidth="1"/>
    <col min="7430" max="7430" width="4.140625" customWidth="1"/>
    <col min="7431" max="7431" width="11.28515625" customWidth="1"/>
    <col min="7432" max="7432" width="16.140625" customWidth="1"/>
    <col min="7433" max="7433" width="11" customWidth="1"/>
    <col min="7434" max="7435" width="2.140625" customWidth="1"/>
    <col min="7436" max="7436" width="3.28515625" customWidth="1"/>
    <col min="7437" max="7438" width="0" hidden="1" customWidth="1"/>
    <col min="7439" max="7439" width="2.85546875" customWidth="1"/>
    <col min="7440" max="7440" width="3.28515625" customWidth="1"/>
    <col min="7441" max="7441" width="1.42578125" customWidth="1"/>
    <col min="7442" max="7442" width="0" hidden="1" customWidth="1"/>
    <col min="7443" max="7443" width="6.85546875" customWidth="1"/>
    <col min="7444" max="7444" width="0" hidden="1" customWidth="1"/>
    <col min="7445" max="7446" width="6.28515625" customWidth="1"/>
    <col min="7447" max="7448" width="13.85546875" customWidth="1"/>
    <col min="7449" max="7449" width="10.85546875" customWidth="1"/>
    <col min="7450" max="7450" width="14.140625" customWidth="1"/>
    <col min="7451" max="7451" width="4.42578125" customWidth="1"/>
    <col min="7452" max="7452" width="18.42578125" customWidth="1"/>
    <col min="7453" max="7453" width="13.140625" customWidth="1"/>
    <col min="7454" max="7455" width="14" customWidth="1"/>
    <col min="7456" max="7456" width="11.42578125" customWidth="1"/>
    <col min="7457" max="7457" width="15.85546875" customWidth="1"/>
    <col min="7458" max="7458" width="23.7109375" customWidth="1"/>
    <col min="7459" max="7459" width="12" customWidth="1"/>
    <col min="7460" max="7461" width="0.28515625" customWidth="1"/>
    <col min="7462" max="7462" width="1.42578125" customWidth="1"/>
    <col min="7463" max="7463" width="0" hidden="1" customWidth="1"/>
    <col min="7681" max="7681" width="10.28515625" customWidth="1"/>
    <col min="7682" max="7682" width="13.42578125" customWidth="1"/>
    <col min="7683" max="7683" width="4.28515625" customWidth="1"/>
    <col min="7684" max="7684" width="4" customWidth="1"/>
    <col min="7685" max="7685" width="15" customWidth="1"/>
    <col min="7686" max="7686" width="4.140625" customWidth="1"/>
    <col min="7687" max="7687" width="11.28515625" customWidth="1"/>
    <col min="7688" max="7688" width="16.140625" customWidth="1"/>
    <col min="7689" max="7689" width="11" customWidth="1"/>
    <col min="7690" max="7691" width="2.140625" customWidth="1"/>
    <col min="7692" max="7692" width="3.28515625" customWidth="1"/>
    <col min="7693" max="7694" width="0" hidden="1" customWidth="1"/>
    <col min="7695" max="7695" width="2.85546875" customWidth="1"/>
    <col min="7696" max="7696" width="3.28515625" customWidth="1"/>
    <col min="7697" max="7697" width="1.42578125" customWidth="1"/>
    <col min="7698" max="7698" width="0" hidden="1" customWidth="1"/>
    <col min="7699" max="7699" width="6.85546875" customWidth="1"/>
    <col min="7700" max="7700" width="0" hidden="1" customWidth="1"/>
    <col min="7701" max="7702" width="6.28515625" customWidth="1"/>
    <col min="7703" max="7704" width="13.85546875" customWidth="1"/>
    <col min="7705" max="7705" width="10.85546875" customWidth="1"/>
    <col min="7706" max="7706" width="14.140625" customWidth="1"/>
    <col min="7707" max="7707" width="4.42578125" customWidth="1"/>
    <col min="7708" max="7708" width="18.42578125" customWidth="1"/>
    <col min="7709" max="7709" width="13.140625" customWidth="1"/>
    <col min="7710" max="7711" width="14" customWidth="1"/>
    <col min="7712" max="7712" width="11.42578125" customWidth="1"/>
    <col min="7713" max="7713" width="15.85546875" customWidth="1"/>
    <col min="7714" max="7714" width="23.7109375" customWidth="1"/>
    <col min="7715" max="7715" width="12" customWidth="1"/>
    <col min="7716" max="7717" width="0.28515625" customWidth="1"/>
    <col min="7718" max="7718" width="1.42578125" customWidth="1"/>
    <col min="7719" max="7719" width="0" hidden="1" customWidth="1"/>
    <col min="7937" max="7937" width="10.28515625" customWidth="1"/>
    <col min="7938" max="7938" width="13.42578125" customWidth="1"/>
    <col min="7939" max="7939" width="4.28515625" customWidth="1"/>
    <col min="7940" max="7940" width="4" customWidth="1"/>
    <col min="7941" max="7941" width="15" customWidth="1"/>
    <col min="7942" max="7942" width="4.140625" customWidth="1"/>
    <col min="7943" max="7943" width="11.28515625" customWidth="1"/>
    <col min="7944" max="7944" width="16.140625" customWidth="1"/>
    <col min="7945" max="7945" width="11" customWidth="1"/>
    <col min="7946" max="7947" width="2.140625" customWidth="1"/>
    <col min="7948" max="7948" width="3.28515625" customWidth="1"/>
    <col min="7949" max="7950" width="0" hidden="1" customWidth="1"/>
    <col min="7951" max="7951" width="2.85546875" customWidth="1"/>
    <col min="7952" max="7952" width="3.28515625" customWidth="1"/>
    <col min="7953" max="7953" width="1.42578125" customWidth="1"/>
    <col min="7954" max="7954" width="0" hidden="1" customWidth="1"/>
    <col min="7955" max="7955" width="6.85546875" customWidth="1"/>
    <col min="7956" max="7956" width="0" hidden="1" customWidth="1"/>
    <col min="7957" max="7958" width="6.28515625" customWidth="1"/>
    <col min="7959" max="7960" width="13.85546875" customWidth="1"/>
    <col min="7961" max="7961" width="10.85546875" customWidth="1"/>
    <col min="7962" max="7962" width="14.140625" customWidth="1"/>
    <col min="7963" max="7963" width="4.42578125" customWidth="1"/>
    <col min="7964" max="7964" width="18.42578125" customWidth="1"/>
    <col min="7965" max="7965" width="13.140625" customWidth="1"/>
    <col min="7966" max="7967" width="14" customWidth="1"/>
    <col min="7968" max="7968" width="11.42578125" customWidth="1"/>
    <col min="7969" max="7969" width="15.85546875" customWidth="1"/>
    <col min="7970" max="7970" width="23.7109375" customWidth="1"/>
    <col min="7971" max="7971" width="12" customWidth="1"/>
    <col min="7972" max="7973" width="0.28515625" customWidth="1"/>
    <col min="7974" max="7974" width="1.42578125" customWidth="1"/>
    <col min="7975" max="7975" width="0" hidden="1" customWidth="1"/>
    <col min="8193" max="8193" width="10.28515625" customWidth="1"/>
    <col min="8194" max="8194" width="13.42578125" customWidth="1"/>
    <col min="8195" max="8195" width="4.28515625" customWidth="1"/>
    <col min="8196" max="8196" width="4" customWidth="1"/>
    <col min="8197" max="8197" width="15" customWidth="1"/>
    <col min="8198" max="8198" width="4.140625" customWidth="1"/>
    <col min="8199" max="8199" width="11.28515625" customWidth="1"/>
    <col min="8200" max="8200" width="16.140625" customWidth="1"/>
    <col min="8201" max="8201" width="11" customWidth="1"/>
    <col min="8202" max="8203" width="2.140625" customWidth="1"/>
    <col min="8204" max="8204" width="3.28515625" customWidth="1"/>
    <col min="8205" max="8206" width="0" hidden="1" customWidth="1"/>
    <col min="8207" max="8207" width="2.85546875" customWidth="1"/>
    <col min="8208" max="8208" width="3.28515625" customWidth="1"/>
    <col min="8209" max="8209" width="1.42578125" customWidth="1"/>
    <col min="8210" max="8210" width="0" hidden="1" customWidth="1"/>
    <col min="8211" max="8211" width="6.85546875" customWidth="1"/>
    <col min="8212" max="8212" width="0" hidden="1" customWidth="1"/>
    <col min="8213" max="8214" width="6.28515625" customWidth="1"/>
    <col min="8215" max="8216" width="13.85546875" customWidth="1"/>
    <col min="8217" max="8217" width="10.85546875" customWidth="1"/>
    <col min="8218" max="8218" width="14.140625" customWidth="1"/>
    <col min="8219" max="8219" width="4.42578125" customWidth="1"/>
    <col min="8220" max="8220" width="18.42578125" customWidth="1"/>
    <col min="8221" max="8221" width="13.140625" customWidth="1"/>
    <col min="8222" max="8223" width="14" customWidth="1"/>
    <col min="8224" max="8224" width="11.42578125" customWidth="1"/>
    <col min="8225" max="8225" width="15.85546875" customWidth="1"/>
    <col min="8226" max="8226" width="23.7109375" customWidth="1"/>
    <col min="8227" max="8227" width="12" customWidth="1"/>
    <col min="8228" max="8229" width="0.28515625" customWidth="1"/>
    <col min="8230" max="8230" width="1.42578125" customWidth="1"/>
    <col min="8231" max="8231" width="0" hidden="1" customWidth="1"/>
    <col min="8449" max="8449" width="10.28515625" customWidth="1"/>
    <col min="8450" max="8450" width="13.42578125" customWidth="1"/>
    <col min="8451" max="8451" width="4.28515625" customWidth="1"/>
    <col min="8452" max="8452" width="4" customWidth="1"/>
    <col min="8453" max="8453" width="15" customWidth="1"/>
    <col min="8454" max="8454" width="4.140625" customWidth="1"/>
    <col min="8455" max="8455" width="11.28515625" customWidth="1"/>
    <col min="8456" max="8456" width="16.140625" customWidth="1"/>
    <col min="8457" max="8457" width="11" customWidth="1"/>
    <col min="8458" max="8459" width="2.140625" customWidth="1"/>
    <col min="8460" max="8460" width="3.28515625" customWidth="1"/>
    <col min="8461" max="8462" width="0" hidden="1" customWidth="1"/>
    <col min="8463" max="8463" width="2.85546875" customWidth="1"/>
    <col min="8464" max="8464" width="3.28515625" customWidth="1"/>
    <col min="8465" max="8465" width="1.42578125" customWidth="1"/>
    <col min="8466" max="8466" width="0" hidden="1" customWidth="1"/>
    <col min="8467" max="8467" width="6.85546875" customWidth="1"/>
    <col min="8468" max="8468" width="0" hidden="1" customWidth="1"/>
    <col min="8469" max="8470" width="6.28515625" customWidth="1"/>
    <col min="8471" max="8472" width="13.85546875" customWidth="1"/>
    <col min="8473" max="8473" width="10.85546875" customWidth="1"/>
    <col min="8474" max="8474" width="14.140625" customWidth="1"/>
    <col min="8475" max="8475" width="4.42578125" customWidth="1"/>
    <col min="8476" max="8476" width="18.42578125" customWidth="1"/>
    <col min="8477" max="8477" width="13.140625" customWidth="1"/>
    <col min="8478" max="8479" width="14" customWidth="1"/>
    <col min="8480" max="8480" width="11.42578125" customWidth="1"/>
    <col min="8481" max="8481" width="15.85546875" customWidth="1"/>
    <col min="8482" max="8482" width="23.7109375" customWidth="1"/>
    <col min="8483" max="8483" width="12" customWidth="1"/>
    <col min="8484" max="8485" width="0.28515625" customWidth="1"/>
    <col min="8486" max="8486" width="1.42578125" customWidth="1"/>
    <col min="8487" max="8487" width="0" hidden="1" customWidth="1"/>
    <col min="8705" max="8705" width="10.28515625" customWidth="1"/>
    <col min="8706" max="8706" width="13.42578125" customWidth="1"/>
    <col min="8707" max="8707" width="4.28515625" customWidth="1"/>
    <col min="8708" max="8708" width="4" customWidth="1"/>
    <col min="8709" max="8709" width="15" customWidth="1"/>
    <col min="8710" max="8710" width="4.140625" customWidth="1"/>
    <col min="8711" max="8711" width="11.28515625" customWidth="1"/>
    <col min="8712" max="8712" width="16.140625" customWidth="1"/>
    <col min="8713" max="8713" width="11" customWidth="1"/>
    <col min="8714" max="8715" width="2.140625" customWidth="1"/>
    <col min="8716" max="8716" width="3.28515625" customWidth="1"/>
    <col min="8717" max="8718" width="0" hidden="1" customWidth="1"/>
    <col min="8719" max="8719" width="2.85546875" customWidth="1"/>
    <col min="8720" max="8720" width="3.28515625" customWidth="1"/>
    <col min="8721" max="8721" width="1.42578125" customWidth="1"/>
    <col min="8722" max="8722" width="0" hidden="1" customWidth="1"/>
    <col min="8723" max="8723" width="6.85546875" customWidth="1"/>
    <col min="8724" max="8724" width="0" hidden="1" customWidth="1"/>
    <col min="8725" max="8726" width="6.28515625" customWidth="1"/>
    <col min="8727" max="8728" width="13.85546875" customWidth="1"/>
    <col min="8729" max="8729" width="10.85546875" customWidth="1"/>
    <col min="8730" max="8730" width="14.140625" customWidth="1"/>
    <col min="8731" max="8731" width="4.42578125" customWidth="1"/>
    <col min="8732" max="8732" width="18.42578125" customWidth="1"/>
    <col min="8733" max="8733" width="13.140625" customWidth="1"/>
    <col min="8734" max="8735" width="14" customWidth="1"/>
    <col min="8736" max="8736" width="11.42578125" customWidth="1"/>
    <col min="8737" max="8737" width="15.85546875" customWidth="1"/>
    <col min="8738" max="8738" width="23.7109375" customWidth="1"/>
    <col min="8739" max="8739" width="12" customWidth="1"/>
    <col min="8740" max="8741" width="0.28515625" customWidth="1"/>
    <col min="8742" max="8742" width="1.42578125" customWidth="1"/>
    <col min="8743" max="8743" width="0" hidden="1" customWidth="1"/>
    <col min="8961" max="8961" width="10.28515625" customWidth="1"/>
    <col min="8962" max="8962" width="13.42578125" customWidth="1"/>
    <col min="8963" max="8963" width="4.28515625" customWidth="1"/>
    <col min="8964" max="8964" width="4" customWidth="1"/>
    <col min="8965" max="8965" width="15" customWidth="1"/>
    <col min="8966" max="8966" width="4.140625" customWidth="1"/>
    <col min="8967" max="8967" width="11.28515625" customWidth="1"/>
    <col min="8968" max="8968" width="16.140625" customWidth="1"/>
    <col min="8969" max="8969" width="11" customWidth="1"/>
    <col min="8970" max="8971" width="2.140625" customWidth="1"/>
    <col min="8972" max="8972" width="3.28515625" customWidth="1"/>
    <col min="8973" max="8974" width="0" hidden="1" customWidth="1"/>
    <col min="8975" max="8975" width="2.85546875" customWidth="1"/>
    <col min="8976" max="8976" width="3.28515625" customWidth="1"/>
    <col min="8977" max="8977" width="1.42578125" customWidth="1"/>
    <col min="8978" max="8978" width="0" hidden="1" customWidth="1"/>
    <col min="8979" max="8979" width="6.85546875" customWidth="1"/>
    <col min="8980" max="8980" width="0" hidden="1" customWidth="1"/>
    <col min="8981" max="8982" width="6.28515625" customWidth="1"/>
    <col min="8983" max="8984" width="13.85546875" customWidth="1"/>
    <col min="8985" max="8985" width="10.85546875" customWidth="1"/>
    <col min="8986" max="8986" width="14.140625" customWidth="1"/>
    <col min="8987" max="8987" width="4.42578125" customWidth="1"/>
    <col min="8988" max="8988" width="18.42578125" customWidth="1"/>
    <col min="8989" max="8989" width="13.140625" customWidth="1"/>
    <col min="8990" max="8991" width="14" customWidth="1"/>
    <col min="8992" max="8992" width="11.42578125" customWidth="1"/>
    <col min="8993" max="8993" width="15.85546875" customWidth="1"/>
    <col min="8994" max="8994" width="23.7109375" customWidth="1"/>
    <col min="8995" max="8995" width="12" customWidth="1"/>
    <col min="8996" max="8997" width="0.28515625" customWidth="1"/>
    <col min="8998" max="8998" width="1.42578125" customWidth="1"/>
    <col min="8999" max="8999" width="0" hidden="1" customWidth="1"/>
    <col min="9217" max="9217" width="10.28515625" customWidth="1"/>
    <col min="9218" max="9218" width="13.42578125" customWidth="1"/>
    <col min="9219" max="9219" width="4.28515625" customWidth="1"/>
    <col min="9220" max="9220" width="4" customWidth="1"/>
    <col min="9221" max="9221" width="15" customWidth="1"/>
    <col min="9222" max="9222" width="4.140625" customWidth="1"/>
    <col min="9223" max="9223" width="11.28515625" customWidth="1"/>
    <col min="9224" max="9224" width="16.140625" customWidth="1"/>
    <col min="9225" max="9225" width="11" customWidth="1"/>
    <col min="9226" max="9227" width="2.140625" customWidth="1"/>
    <col min="9228" max="9228" width="3.28515625" customWidth="1"/>
    <col min="9229" max="9230" width="0" hidden="1" customWidth="1"/>
    <col min="9231" max="9231" width="2.85546875" customWidth="1"/>
    <col min="9232" max="9232" width="3.28515625" customWidth="1"/>
    <col min="9233" max="9233" width="1.42578125" customWidth="1"/>
    <col min="9234" max="9234" width="0" hidden="1" customWidth="1"/>
    <col min="9235" max="9235" width="6.85546875" customWidth="1"/>
    <col min="9236" max="9236" width="0" hidden="1" customWidth="1"/>
    <col min="9237" max="9238" width="6.28515625" customWidth="1"/>
    <col min="9239" max="9240" width="13.85546875" customWidth="1"/>
    <col min="9241" max="9241" width="10.85546875" customWidth="1"/>
    <col min="9242" max="9242" width="14.140625" customWidth="1"/>
    <col min="9243" max="9243" width="4.42578125" customWidth="1"/>
    <col min="9244" max="9244" width="18.42578125" customWidth="1"/>
    <col min="9245" max="9245" width="13.140625" customWidth="1"/>
    <col min="9246" max="9247" width="14" customWidth="1"/>
    <col min="9248" max="9248" width="11.42578125" customWidth="1"/>
    <col min="9249" max="9249" width="15.85546875" customWidth="1"/>
    <col min="9250" max="9250" width="23.7109375" customWidth="1"/>
    <col min="9251" max="9251" width="12" customWidth="1"/>
    <col min="9252" max="9253" width="0.28515625" customWidth="1"/>
    <col min="9254" max="9254" width="1.42578125" customWidth="1"/>
    <col min="9255" max="9255" width="0" hidden="1" customWidth="1"/>
    <col min="9473" max="9473" width="10.28515625" customWidth="1"/>
    <col min="9474" max="9474" width="13.42578125" customWidth="1"/>
    <col min="9475" max="9475" width="4.28515625" customWidth="1"/>
    <col min="9476" max="9476" width="4" customWidth="1"/>
    <col min="9477" max="9477" width="15" customWidth="1"/>
    <col min="9478" max="9478" width="4.140625" customWidth="1"/>
    <col min="9479" max="9479" width="11.28515625" customWidth="1"/>
    <col min="9480" max="9480" width="16.140625" customWidth="1"/>
    <col min="9481" max="9481" width="11" customWidth="1"/>
    <col min="9482" max="9483" width="2.140625" customWidth="1"/>
    <col min="9484" max="9484" width="3.28515625" customWidth="1"/>
    <col min="9485" max="9486" width="0" hidden="1" customWidth="1"/>
    <col min="9487" max="9487" width="2.85546875" customWidth="1"/>
    <col min="9488" max="9488" width="3.28515625" customWidth="1"/>
    <col min="9489" max="9489" width="1.42578125" customWidth="1"/>
    <col min="9490" max="9490" width="0" hidden="1" customWidth="1"/>
    <col min="9491" max="9491" width="6.85546875" customWidth="1"/>
    <col min="9492" max="9492" width="0" hidden="1" customWidth="1"/>
    <col min="9493" max="9494" width="6.28515625" customWidth="1"/>
    <col min="9495" max="9496" width="13.85546875" customWidth="1"/>
    <col min="9497" max="9497" width="10.85546875" customWidth="1"/>
    <col min="9498" max="9498" width="14.140625" customWidth="1"/>
    <col min="9499" max="9499" width="4.42578125" customWidth="1"/>
    <col min="9500" max="9500" width="18.42578125" customWidth="1"/>
    <col min="9501" max="9501" width="13.140625" customWidth="1"/>
    <col min="9502" max="9503" width="14" customWidth="1"/>
    <col min="9504" max="9504" width="11.42578125" customWidth="1"/>
    <col min="9505" max="9505" width="15.85546875" customWidth="1"/>
    <col min="9506" max="9506" width="23.7109375" customWidth="1"/>
    <col min="9507" max="9507" width="12" customWidth="1"/>
    <col min="9508" max="9509" width="0.28515625" customWidth="1"/>
    <col min="9510" max="9510" width="1.42578125" customWidth="1"/>
    <col min="9511" max="9511" width="0" hidden="1" customWidth="1"/>
    <col min="9729" max="9729" width="10.28515625" customWidth="1"/>
    <col min="9730" max="9730" width="13.42578125" customWidth="1"/>
    <col min="9731" max="9731" width="4.28515625" customWidth="1"/>
    <col min="9732" max="9732" width="4" customWidth="1"/>
    <col min="9733" max="9733" width="15" customWidth="1"/>
    <col min="9734" max="9734" width="4.140625" customWidth="1"/>
    <col min="9735" max="9735" width="11.28515625" customWidth="1"/>
    <col min="9736" max="9736" width="16.140625" customWidth="1"/>
    <col min="9737" max="9737" width="11" customWidth="1"/>
    <col min="9738" max="9739" width="2.140625" customWidth="1"/>
    <col min="9740" max="9740" width="3.28515625" customWidth="1"/>
    <col min="9741" max="9742" width="0" hidden="1" customWidth="1"/>
    <col min="9743" max="9743" width="2.85546875" customWidth="1"/>
    <col min="9744" max="9744" width="3.28515625" customWidth="1"/>
    <col min="9745" max="9745" width="1.42578125" customWidth="1"/>
    <col min="9746" max="9746" width="0" hidden="1" customWidth="1"/>
    <col min="9747" max="9747" width="6.85546875" customWidth="1"/>
    <col min="9748" max="9748" width="0" hidden="1" customWidth="1"/>
    <col min="9749" max="9750" width="6.28515625" customWidth="1"/>
    <col min="9751" max="9752" width="13.85546875" customWidth="1"/>
    <col min="9753" max="9753" width="10.85546875" customWidth="1"/>
    <col min="9754" max="9754" width="14.140625" customWidth="1"/>
    <col min="9755" max="9755" width="4.42578125" customWidth="1"/>
    <col min="9756" max="9756" width="18.42578125" customWidth="1"/>
    <col min="9757" max="9757" width="13.140625" customWidth="1"/>
    <col min="9758" max="9759" width="14" customWidth="1"/>
    <col min="9760" max="9760" width="11.42578125" customWidth="1"/>
    <col min="9761" max="9761" width="15.85546875" customWidth="1"/>
    <col min="9762" max="9762" width="23.7109375" customWidth="1"/>
    <col min="9763" max="9763" width="12" customWidth="1"/>
    <col min="9764" max="9765" width="0.28515625" customWidth="1"/>
    <col min="9766" max="9766" width="1.42578125" customWidth="1"/>
    <col min="9767" max="9767" width="0" hidden="1" customWidth="1"/>
    <col min="9985" max="9985" width="10.28515625" customWidth="1"/>
    <col min="9986" max="9986" width="13.42578125" customWidth="1"/>
    <col min="9987" max="9987" width="4.28515625" customWidth="1"/>
    <col min="9988" max="9988" width="4" customWidth="1"/>
    <col min="9989" max="9989" width="15" customWidth="1"/>
    <col min="9990" max="9990" width="4.140625" customWidth="1"/>
    <col min="9991" max="9991" width="11.28515625" customWidth="1"/>
    <col min="9992" max="9992" width="16.140625" customWidth="1"/>
    <col min="9993" max="9993" width="11" customWidth="1"/>
    <col min="9994" max="9995" width="2.140625" customWidth="1"/>
    <col min="9996" max="9996" width="3.28515625" customWidth="1"/>
    <col min="9997" max="9998" width="0" hidden="1" customWidth="1"/>
    <col min="9999" max="9999" width="2.85546875" customWidth="1"/>
    <col min="10000" max="10000" width="3.28515625" customWidth="1"/>
    <col min="10001" max="10001" width="1.42578125" customWidth="1"/>
    <col min="10002" max="10002" width="0" hidden="1" customWidth="1"/>
    <col min="10003" max="10003" width="6.85546875" customWidth="1"/>
    <col min="10004" max="10004" width="0" hidden="1" customWidth="1"/>
    <col min="10005" max="10006" width="6.28515625" customWidth="1"/>
    <col min="10007" max="10008" width="13.85546875" customWidth="1"/>
    <col min="10009" max="10009" width="10.85546875" customWidth="1"/>
    <col min="10010" max="10010" width="14.140625" customWidth="1"/>
    <col min="10011" max="10011" width="4.42578125" customWidth="1"/>
    <col min="10012" max="10012" width="18.42578125" customWidth="1"/>
    <col min="10013" max="10013" width="13.140625" customWidth="1"/>
    <col min="10014" max="10015" width="14" customWidth="1"/>
    <col min="10016" max="10016" width="11.42578125" customWidth="1"/>
    <col min="10017" max="10017" width="15.85546875" customWidth="1"/>
    <col min="10018" max="10018" width="23.7109375" customWidth="1"/>
    <col min="10019" max="10019" width="12" customWidth="1"/>
    <col min="10020" max="10021" width="0.28515625" customWidth="1"/>
    <col min="10022" max="10022" width="1.42578125" customWidth="1"/>
    <col min="10023" max="10023" width="0" hidden="1" customWidth="1"/>
    <col min="10241" max="10241" width="10.28515625" customWidth="1"/>
    <col min="10242" max="10242" width="13.42578125" customWidth="1"/>
    <col min="10243" max="10243" width="4.28515625" customWidth="1"/>
    <col min="10244" max="10244" width="4" customWidth="1"/>
    <col min="10245" max="10245" width="15" customWidth="1"/>
    <col min="10246" max="10246" width="4.140625" customWidth="1"/>
    <col min="10247" max="10247" width="11.28515625" customWidth="1"/>
    <col min="10248" max="10248" width="16.140625" customWidth="1"/>
    <col min="10249" max="10249" width="11" customWidth="1"/>
    <col min="10250" max="10251" width="2.140625" customWidth="1"/>
    <col min="10252" max="10252" width="3.28515625" customWidth="1"/>
    <col min="10253" max="10254" width="0" hidden="1" customWidth="1"/>
    <col min="10255" max="10255" width="2.85546875" customWidth="1"/>
    <col min="10256" max="10256" width="3.28515625" customWidth="1"/>
    <col min="10257" max="10257" width="1.42578125" customWidth="1"/>
    <col min="10258" max="10258" width="0" hidden="1" customWidth="1"/>
    <col min="10259" max="10259" width="6.85546875" customWidth="1"/>
    <col min="10260" max="10260" width="0" hidden="1" customWidth="1"/>
    <col min="10261" max="10262" width="6.28515625" customWidth="1"/>
    <col min="10263" max="10264" width="13.85546875" customWidth="1"/>
    <col min="10265" max="10265" width="10.85546875" customWidth="1"/>
    <col min="10266" max="10266" width="14.140625" customWidth="1"/>
    <col min="10267" max="10267" width="4.42578125" customWidth="1"/>
    <col min="10268" max="10268" width="18.42578125" customWidth="1"/>
    <col min="10269" max="10269" width="13.140625" customWidth="1"/>
    <col min="10270" max="10271" width="14" customWidth="1"/>
    <col min="10272" max="10272" width="11.42578125" customWidth="1"/>
    <col min="10273" max="10273" width="15.85546875" customWidth="1"/>
    <col min="10274" max="10274" width="23.7109375" customWidth="1"/>
    <col min="10275" max="10275" width="12" customWidth="1"/>
    <col min="10276" max="10277" width="0.28515625" customWidth="1"/>
    <col min="10278" max="10278" width="1.42578125" customWidth="1"/>
    <col min="10279" max="10279" width="0" hidden="1" customWidth="1"/>
    <col min="10497" max="10497" width="10.28515625" customWidth="1"/>
    <col min="10498" max="10498" width="13.42578125" customWidth="1"/>
    <col min="10499" max="10499" width="4.28515625" customWidth="1"/>
    <col min="10500" max="10500" width="4" customWidth="1"/>
    <col min="10501" max="10501" width="15" customWidth="1"/>
    <col min="10502" max="10502" width="4.140625" customWidth="1"/>
    <col min="10503" max="10503" width="11.28515625" customWidth="1"/>
    <col min="10504" max="10504" width="16.140625" customWidth="1"/>
    <col min="10505" max="10505" width="11" customWidth="1"/>
    <col min="10506" max="10507" width="2.140625" customWidth="1"/>
    <col min="10508" max="10508" width="3.28515625" customWidth="1"/>
    <col min="10509" max="10510" width="0" hidden="1" customWidth="1"/>
    <col min="10511" max="10511" width="2.85546875" customWidth="1"/>
    <col min="10512" max="10512" width="3.28515625" customWidth="1"/>
    <col min="10513" max="10513" width="1.42578125" customWidth="1"/>
    <col min="10514" max="10514" width="0" hidden="1" customWidth="1"/>
    <col min="10515" max="10515" width="6.85546875" customWidth="1"/>
    <col min="10516" max="10516" width="0" hidden="1" customWidth="1"/>
    <col min="10517" max="10518" width="6.28515625" customWidth="1"/>
    <col min="10519" max="10520" width="13.85546875" customWidth="1"/>
    <col min="10521" max="10521" width="10.85546875" customWidth="1"/>
    <col min="10522" max="10522" width="14.140625" customWidth="1"/>
    <col min="10523" max="10523" width="4.42578125" customWidth="1"/>
    <col min="10524" max="10524" width="18.42578125" customWidth="1"/>
    <col min="10525" max="10525" width="13.140625" customWidth="1"/>
    <col min="10526" max="10527" width="14" customWidth="1"/>
    <col min="10528" max="10528" width="11.42578125" customWidth="1"/>
    <col min="10529" max="10529" width="15.85546875" customWidth="1"/>
    <col min="10530" max="10530" width="23.7109375" customWidth="1"/>
    <col min="10531" max="10531" width="12" customWidth="1"/>
    <col min="10532" max="10533" width="0.28515625" customWidth="1"/>
    <col min="10534" max="10534" width="1.42578125" customWidth="1"/>
    <col min="10535" max="10535" width="0" hidden="1" customWidth="1"/>
    <col min="10753" max="10753" width="10.28515625" customWidth="1"/>
    <col min="10754" max="10754" width="13.42578125" customWidth="1"/>
    <col min="10755" max="10755" width="4.28515625" customWidth="1"/>
    <col min="10756" max="10756" width="4" customWidth="1"/>
    <col min="10757" max="10757" width="15" customWidth="1"/>
    <col min="10758" max="10758" width="4.140625" customWidth="1"/>
    <col min="10759" max="10759" width="11.28515625" customWidth="1"/>
    <col min="10760" max="10760" width="16.140625" customWidth="1"/>
    <col min="10761" max="10761" width="11" customWidth="1"/>
    <col min="10762" max="10763" width="2.140625" customWidth="1"/>
    <col min="10764" max="10764" width="3.28515625" customWidth="1"/>
    <col min="10765" max="10766" width="0" hidden="1" customWidth="1"/>
    <col min="10767" max="10767" width="2.85546875" customWidth="1"/>
    <col min="10768" max="10768" width="3.28515625" customWidth="1"/>
    <col min="10769" max="10769" width="1.42578125" customWidth="1"/>
    <col min="10770" max="10770" width="0" hidden="1" customWidth="1"/>
    <col min="10771" max="10771" width="6.85546875" customWidth="1"/>
    <col min="10772" max="10772" width="0" hidden="1" customWidth="1"/>
    <col min="10773" max="10774" width="6.28515625" customWidth="1"/>
    <col min="10775" max="10776" width="13.85546875" customWidth="1"/>
    <col min="10777" max="10777" width="10.85546875" customWidth="1"/>
    <col min="10778" max="10778" width="14.140625" customWidth="1"/>
    <col min="10779" max="10779" width="4.42578125" customWidth="1"/>
    <col min="10780" max="10780" width="18.42578125" customWidth="1"/>
    <col min="10781" max="10781" width="13.140625" customWidth="1"/>
    <col min="10782" max="10783" width="14" customWidth="1"/>
    <col min="10784" max="10784" width="11.42578125" customWidth="1"/>
    <col min="10785" max="10785" width="15.85546875" customWidth="1"/>
    <col min="10786" max="10786" width="23.7109375" customWidth="1"/>
    <col min="10787" max="10787" width="12" customWidth="1"/>
    <col min="10788" max="10789" width="0.28515625" customWidth="1"/>
    <col min="10790" max="10790" width="1.42578125" customWidth="1"/>
    <col min="10791" max="10791" width="0" hidden="1" customWidth="1"/>
    <col min="11009" max="11009" width="10.28515625" customWidth="1"/>
    <col min="11010" max="11010" width="13.42578125" customWidth="1"/>
    <col min="11011" max="11011" width="4.28515625" customWidth="1"/>
    <col min="11012" max="11012" width="4" customWidth="1"/>
    <col min="11013" max="11013" width="15" customWidth="1"/>
    <col min="11014" max="11014" width="4.140625" customWidth="1"/>
    <col min="11015" max="11015" width="11.28515625" customWidth="1"/>
    <col min="11016" max="11016" width="16.140625" customWidth="1"/>
    <col min="11017" max="11017" width="11" customWidth="1"/>
    <col min="11018" max="11019" width="2.140625" customWidth="1"/>
    <col min="11020" max="11020" width="3.28515625" customWidth="1"/>
    <col min="11021" max="11022" width="0" hidden="1" customWidth="1"/>
    <col min="11023" max="11023" width="2.85546875" customWidth="1"/>
    <col min="11024" max="11024" width="3.28515625" customWidth="1"/>
    <col min="11025" max="11025" width="1.42578125" customWidth="1"/>
    <col min="11026" max="11026" width="0" hidden="1" customWidth="1"/>
    <col min="11027" max="11027" width="6.85546875" customWidth="1"/>
    <col min="11028" max="11028" width="0" hidden="1" customWidth="1"/>
    <col min="11029" max="11030" width="6.28515625" customWidth="1"/>
    <col min="11031" max="11032" width="13.85546875" customWidth="1"/>
    <col min="11033" max="11033" width="10.85546875" customWidth="1"/>
    <col min="11034" max="11034" width="14.140625" customWidth="1"/>
    <col min="11035" max="11035" width="4.42578125" customWidth="1"/>
    <col min="11036" max="11036" width="18.42578125" customWidth="1"/>
    <col min="11037" max="11037" width="13.140625" customWidth="1"/>
    <col min="11038" max="11039" width="14" customWidth="1"/>
    <col min="11040" max="11040" width="11.42578125" customWidth="1"/>
    <col min="11041" max="11041" width="15.85546875" customWidth="1"/>
    <col min="11042" max="11042" width="23.7109375" customWidth="1"/>
    <col min="11043" max="11043" width="12" customWidth="1"/>
    <col min="11044" max="11045" width="0.28515625" customWidth="1"/>
    <col min="11046" max="11046" width="1.42578125" customWidth="1"/>
    <col min="11047" max="11047" width="0" hidden="1" customWidth="1"/>
    <col min="11265" max="11265" width="10.28515625" customWidth="1"/>
    <col min="11266" max="11266" width="13.42578125" customWidth="1"/>
    <col min="11267" max="11267" width="4.28515625" customWidth="1"/>
    <col min="11268" max="11268" width="4" customWidth="1"/>
    <col min="11269" max="11269" width="15" customWidth="1"/>
    <col min="11270" max="11270" width="4.140625" customWidth="1"/>
    <col min="11271" max="11271" width="11.28515625" customWidth="1"/>
    <col min="11272" max="11272" width="16.140625" customWidth="1"/>
    <col min="11273" max="11273" width="11" customWidth="1"/>
    <col min="11274" max="11275" width="2.140625" customWidth="1"/>
    <col min="11276" max="11276" width="3.28515625" customWidth="1"/>
    <col min="11277" max="11278" width="0" hidden="1" customWidth="1"/>
    <col min="11279" max="11279" width="2.85546875" customWidth="1"/>
    <col min="11280" max="11280" width="3.28515625" customWidth="1"/>
    <col min="11281" max="11281" width="1.42578125" customWidth="1"/>
    <col min="11282" max="11282" width="0" hidden="1" customWidth="1"/>
    <col min="11283" max="11283" width="6.85546875" customWidth="1"/>
    <col min="11284" max="11284" width="0" hidden="1" customWidth="1"/>
    <col min="11285" max="11286" width="6.28515625" customWidth="1"/>
    <col min="11287" max="11288" width="13.85546875" customWidth="1"/>
    <col min="11289" max="11289" width="10.85546875" customWidth="1"/>
    <col min="11290" max="11290" width="14.140625" customWidth="1"/>
    <col min="11291" max="11291" width="4.42578125" customWidth="1"/>
    <col min="11292" max="11292" width="18.42578125" customWidth="1"/>
    <col min="11293" max="11293" width="13.140625" customWidth="1"/>
    <col min="11294" max="11295" width="14" customWidth="1"/>
    <col min="11296" max="11296" width="11.42578125" customWidth="1"/>
    <col min="11297" max="11297" width="15.85546875" customWidth="1"/>
    <col min="11298" max="11298" width="23.7109375" customWidth="1"/>
    <col min="11299" max="11299" width="12" customWidth="1"/>
    <col min="11300" max="11301" width="0.28515625" customWidth="1"/>
    <col min="11302" max="11302" width="1.42578125" customWidth="1"/>
    <col min="11303" max="11303" width="0" hidden="1" customWidth="1"/>
    <col min="11521" max="11521" width="10.28515625" customWidth="1"/>
    <col min="11522" max="11522" width="13.42578125" customWidth="1"/>
    <col min="11523" max="11523" width="4.28515625" customWidth="1"/>
    <col min="11524" max="11524" width="4" customWidth="1"/>
    <col min="11525" max="11525" width="15" customWidth="1"/>
    <col min="11526" max="11526" width="4.140625" customWidth="1"/>
    <col min="11527" max="11527" width="11.28515625" customWidth="1"/>
    <col min="11528" max="11528" width="16.140625" customWidth="1"/>
    <col min="11529" max="11529" width="11" customWidth="1"/>
    <col min="11530" max="11531" width="2.140625" customWidth="1"/>
    <col min="11532" max="11532" width="3.28515625" customWidth="1"/>
    <col min="11533" max="11534" width="0" hidden="1" customWidth="1"/>
    <col min="11535" max="11535" width="2.85546875" customWidth="1"/>
    <col min="11536" max="11536" width="3.28515625" customWidth="1"/>
    <col min="11537" max="11537" width="1.42578125" customWidth="1"/>
    <col min="11538" max="11538" width="0" hidden="1" customWidth="1"/>
    <col min="11539" max="11539" width="6.85546875" customWidth="1"/>
    <col min="11540" max="11540" width="0" hidden="1" customWidth="1"/>
    <col min="11541" max="11542" width="6.28515625" customWidth="1"/>
    <col min="11543" max="11544" width="13.85546875" customWidth="1"/>
    <col min="11545" max="11545" width="10.85546875" customWidth="1"/>
    <col min="11546" max="11546" width="14.140625" customWidth="1"/>
    <col min="11547" max="11547" width="4.42578125" customWidth="1"/>
    <col min="11548" max="11548" width="18.42578125" customWidth="1"/>
    <col min="11549" max="11549" width="13.140625" customWidth="1"/>
    <col min="11550" max="11551" width="14" customWidth="1"/>
    <col min="11552" max="11552" width="11.42578125" customWidth="1"/>
    <col min="11553" max="11553" width="15.85546875" customWidth="1"/>
    <col min="11554" max="11554" width="23.7109375" customWidth="1"/>
    <col min="11555" max="11555" width="12" customWidth="1"/>
    <col min="11556" max="11557" width="0.28515625" customWidth="1"/>
    <col min="11558" max="11558" width="1.42578125" customWidth="1"/>
    <col min="11559" max="11559" width="0" hidden="1" customWidth="1"/>
    <col min="11777" max="11777" width="10.28515625" customWidth="1"/>
    <col min="11778" max="11778" width="13.42578125" customWidth="1"/>
    <col min="11779" max="11779" width="4.28515625" customWidth="1"/>
    <col min="11780" max="11780" width="4" customWidth="1"/>
    <col min="11781" max="11781" width="15" customWidth="1"/>
    <col min="11782" max="11782" width="4.140625" customWidth="1"/>
    <col min="11783" max="11783" width="11.28515625" customWidth="1"/>
    <col min="11784" max="11784" width="16.140625" customWidth="1"/>
    <col min="11785" max="11785" width="11" customWidth="1"/>
    <col min="11786" max="11787" width="2.140625" customWidth="1"/>
    <col min="11788" max="11788" width="3.28515625" customWidth="1"/>
    <col min="11789" max="11790" width="0" hidden="1" customWidth="1"/>
    <col min="11791" max="11791" width="2.85546875" customWidth="1"/>
    <col min="11792" max="11792" width="3.28515625" customWidth="1"/>
    <col min="11793" max="11793" width="1.42578125" customWidth="1"/>
    <col min="11794" max="11794" width="0" hidden="1" customWidth="1"/>
    <col min="11795" max="11795" width="6.85546875" customWidth="1"/>
    <col min="11796" max="11796" width="0" hidden="1" customWidth="1"/>
    <col min="11797" max="11798" width="6.28515625" customWidth="1"/>
    <col min="11799" max="11800" width="13.85546875" customWidth="1"/>
    <col min="11801" max="11801" width="10.85546875" customWidth="1"/>
    <col min="11802" max="11802" width="14.140625" customWidth="1"/>
    <col min="11803" max="11803" width="4.42578125" customWidth="1"/>
    <col min="11804" max="11804" width="18.42578125" customWidth="1"/>
    <col min="11805" max="11805" width="13.140625" customWidth="1"/>
    <col min="11806" max="11807" width="14" customWidth="1"/>
    <col min="11808" max="11808" width="11.42578125" customWidth="1"/>
    <col min="11809" max="11809" width="15.85546875" customWidth="1"/>
    <col min="11810" max="11810" width="23.7109375" customWidth="1"/>
    <col min="11811" max="11811" width="12" customWidth="1"/>
    <col min="11812" max="11813" width="0.28515625" customWidth="1"/>
    <col min="11814" max="11814" width="1.42578125" customWidth="1"/>
    <col min="11815" max="11815" width="0" hidden="1" customWidth="1"/>
    <col min="12033" max="12033" width="10.28515625" customWidth="1"/>
    <col min="12034" max="12034" width="13.42578125" customWidth="1"/>
    <col min="12035" max="12035" width="4.28515625" customWidth="1"/>
    <col min="12036" max="12036" width="4" customWidth="1"/>
    <col min="12037" max="12037" width="15" customWidth="1"/>
    <col min="12038" max="12038" width="4.140625" customWidth="1"/>
    <col min="12039" max="12039" width="11.28515625" customWidth="1"/>
    <col min="12040" max="12040" width="16.140625" customWidth="1"/>
    <col min="12041" max="12041" width="11" customWidth="1"/>
    <col min="12042" max="12043" width="2.140625" customWidth="1"/>
    <col min="12044" max="12044" width="3.28515625" customWidth="1"/>
    <col min="12045" max="12046" width="0" hidden="1" customWidth="1"/>
    <col min="12047" max="12047" width="2.85546875" customWidth="1"/>
    <col min="12048" max="12048" width="3.28515625" customWidth="1"/>
    <col min="12049" max="12049" width="1.42578125" customWidth="1"/>
    <col min="12050" max="12050" width="0" hidden="1" customWidth="1"/>
    <col min="12051" max="12051" width="6.85546875" customWidth="1"/>
    <col min="12052" max="12052" width="0" hidden="1" customWidth="1"/>
    <col min="12053" max="12054" width="6.28515625" customWidth="1"/>
    <col min="12055" max="12056" width="13.85546875" customWidth="1"/>
    <col min="12057" max="12057" width="10.85546875" customWidth="1"/>
    <col min="12058" max="12058" width="14.140625" customWidth="1"/>
    <col min="12059" max="12059" width="4.42578125" customWidth="1"/>
    <col min="12060" max="12060" width="18.42578125" customWidth="1"/>
    <col min="12061" max="12061" width="13.140625" customWidth="1"/>
    <col min="12062" max="12063" width="14" customWidth="1"/>
    <col min="12064" max="12064" width="11.42578125" customWidth="1"/>
    <col min="12065" max="12065" width="15.85546875" customWidth="1"/>
    <col min="12066" max="12066" width="23.7109375" customWidth="1"/>
    <col min="12067" max="12067" width="12" customWidth="1"/>
    <col min="12068" max="12069" width="0.28515625" customWidth="1"/>
    <col min="12070" max="12070" width="1.42578125" customWidth="1"/>
    <col min="12071" max="12071" width="0" hidden="1" customWidth="1"/>
    <col min="12289" max="12289" width="10.28515625" customWidth="1"/>
    <col min="12290" max="12290" width="13.42578125" customWidth="1"/>
    <col min="12291" max="12291" width="4.28515625" customWidth="1"/>
    <col min="12292" max="12292" width="4" customWidth="1"/>
    <col min="12293" max="12293" width="15" customWidth="1"/>
    <col min="12294" max="12294" width="4.140625" customWidth="1"/>
    <col min="12295" max="12295" width="11.28515625" customWidth="1"/>
    <col min="12296" max="12296" width="16.140625" customWidth="1"/>
    <col min="12297" max="12297" width="11" customWidth="1"/>
    <col min="12298" max="12299" width="2.140625" customWidth="1"/>
    <col min="12300" max="12300" width="3.28515625" customWidth="1"/>
    <col min="12301" max="12302" width="0" hidden="1" customWidth="1"/>
    <col min="12303" max="12303" width="2.85546875" customWidth="1"/>
    <col min="12304" max="12304" width="3.28515625" customWidth="1"/>
    <col min="12305" max="12305" width="1.42578125" customWidth="1"/>
    <col min="12306" max="12306" width="0" hidden="1" customWidth="1"/>
    <col min="12307" max="12307" width="6.85546875" customWidth="1"/>
    <col min="12308" max="12308" width="0" hidden="1" customWidth="1"/>
    <col min="12309" max="12310" width="6.28515625" customWidth="1"/>
    <col min="12311" max="12312" width="13.85546875" customWidth="1"/>
    <col min="12313" max="12313" width="10.85546875" customWidth="1"/>
    <col min="12314" max="12314" width="14.140625" customWidth="1"/>
    <col min="12315" max="12315" width="4.42578125" customWidth="1"/>
    <col min="12316" max="12316" width="18.42578125" customWidth="1"/>
    <col min="12317" max="12317" width="13.140625" customWidth="1"/>
    <col min="12318" max="12319" width="14" customWidth="1"/>
    <col min="12320" max="12320" width="11.42578125" customWidth="1"/>
    <col min="12321" max="12321" width="15.85546875" customWidth="1"/>
    <col min="12322" max="12322" width="23.7109375" customWidth="1"/>
    <col min="12323" max="12323" width="12" customWidth="1"/>
    <col min="12324" max="12325" width="0.28515625" customWidth="1"/>
    <col min="12326" max="12326" width="1.42578125" customWidth="1"/>
    <col min="12327" max="12327" width="0" hidden="1" customWidth="1"/>
    <col min="12545" max="12545" width="10.28515625" customWidth="1"/>
    <col min="12546" max="12546" width="13.42578125" customWidth="1"/>
    <col min="12547" max="12547" width="4.28515625" customWidth="1"/>
    <col min="12548" max="12548" width="4" customWidth="1"/>
    <col min="12549" max="12549" width="15" customWidth="1"/>
    <col min="12550" max="12550" width="4.140625" customWidth="1"/>
    <col min="12551" max="12551" width="11.28515625" customWidth="1"/>
    <col min="12552" max="12552" width="16.140625" customWidth="1"/>
    <col min="12553" max="12553" width="11" customWidth="1"/>
    <col min="12554" max="12555" width="2.140625" customWidth="1"/>
    <col min="12556" max="12556" width="3.28515625" customWidth="1"/>
    <col min="12557" max="12558" width="0" hidden="1" customWidth="1"/>
    <col min="12559" max="12559" width="2.85546875" customWidth="1"/>
    <col min="12560" max="12560" width="3.28515625" customWidth="1"/>
    <col min="12561" max="12561" width="1.42578125" customWidth="1"/>
    <col min="12562" max="12562" width="0" hidden="1" customWidth="1"/>
    <col min="12563" max="12563" width="6.85546875" customWidth="1"/>
    <col min="12564" max="12564" width="0" hidden="1" customWidth="1"/>
    <col min="12565" max="12566" width="6.28515625" customWidth="1"/>
    <col min="12567" max="12568" width="13.85546875" customWidth="1"/>
    <col min="12569" max="12569" width="10.85546875" customWidth="1"/>
    <col min="12570" max="12570" width="14.140625" customWidth="1"/>
    <col min="12571" max="12571" width="4.42578125" customWidth="1"/>
    <col min="12572" max="12572" width="18.42578125" customWidth="1"/>
    <col min="12573" max="12573" width="13.140625" customWidth="1"/>
    <col min="12574" max="12575" width="14" customWidth="1"/>
    <col min="12576" max="12576" width="11.42578125" customWidth="1"/>
    <col min="12577" max="12577" width="15.85546875" customWidth="1"/>
    <col min="12578" max="12578" width="23.7109375" customWidth="1"/>
    <col min="12579" max="12579" width="12" customWidth="1"/>
    <col min="12580" max="12581" width="0.28515625" customWidth="1"/>
    <col min="12582" max="12582" width="1.42578125" customWidth="1"/>
    <col min="12583" max="12583" width="0" hidden="1" customWidth="1"/>
    <col min="12801" max="12801" width="10.28515625" customWidth="1"/>
    <col min="12802" max="12802" width="13.42578125" customWidth="1"/>
    <col min="12803" max="12803" width="4.28515625" customWidth="1"/>
    <col min="12804" max="12804" width="4" customWidth="1"/>
    <col min="12805" max="12805" width="15" customWidth="1"/>
    <col min="12806" max="12806" width="4.140625" customWidth="1"/>
    <col min="12807" max="12807" width="11.28515625" customWidth="1"/>
    <col min="12808" max="12808" width="16.140625" customWidth="1"/>
    <col min="12809" max="12809" width="11" customWidth="1"/>
    <col min="12810" max="12811" width="2.140625" customWidth="1"/>
    <col min="12812" max="12812" width="3.28515625" customWidth="1"/>
    <col min="12813" max="12814" width="0" hidden="1" customWidth="1"/>
    <col min="12815" max="12815" width="2.85546875" customWidth="1"/>
    <col min="12816" max="12816" width="3.28515625" customWidth="1"/>
    <col min="12817" max="12817" width="1.42578125" customWidth="1"/>
    <col min="12818" max="12818" width="0" hidden="1" customWidth="1"/>
    <col min="12819" max="12819" width="6.85546875" customWidth="1"/>
    <col min="12820" max="12820" width="0" hidden="1" customWidth="1"/>
    <col min="12821" max="12822" width="6.28515625" customWidth="1"/>
    <col min="12823" max="12824" width="13.85546875" customWidth="1"/>
    <col min="12825" max="12825" width="10.85546875" customWidth="1"/>
    <col min="12826" max="12826" width="14.140625" customWidth="1"/>
    <col min="12827" max="12827" width="4.42578125" customWidth="1"/>
    <col min="12828" max="12828" width="18.42578125" customWidth="1"/>
    <col min="12829" max="12829" width="13.140625" customWidth="1"/>
    <col min="12830" max="12831" width="14" customWidth="1"/>
    <col min="12832" max="12832" width="11.42578125" customWidth="1"/>
    <col min="12833" max="12833" width="15.85546875" customWidth="1"/>
    <col min="12834" max="12834" width="23.7109375" customWidth="1"/>
    <col min="12835" max="12835" width="12" customWidth="1"/>
    <col min="12836" max="12837" width="0.28515625" customWidth="1"/>
    <col min="12838" max="12838" width="1.42578125" customWidth="1"/>
    <col min="12839" max="12839" width="0" hidden="1" customWidth="1"/>
    <col min="13057" max="13057" width="10.28515625" customWidth="1"/>
    <col min="13058" max="13058" width="13.42578125" customWidth="1"/>
    <col min="13059" max="13059" width="4.28515625" customWidth="1"/>
    <col min="13060" max="13060" width="4" customWidth="1"/>
    <col min="13061" max="13061" width="15" customWidth="1"/>
    <col min="13062" max="13062" width="4.140625" customWidth="1"/>
    <col min="13063" max="13063" width="11.28515625" customWidth="1"/>
    <col min="13064" max="13064" width="16.140625" customWidth="1"/>
    <col min="13065" max="13065" width="11" customWidth="1"/>
    <col min="13066" max="13067" width="2.140625" customWidth="1"/>
    <col min="13068" max="13068" width="3.28515625" customWidth="1"/>
    <col min="13069" max="13070" width="0" hidden="1" customWidth="1"/>
    <col min="13071" max="13071" width="2.85546875" customWidth="1"/>
    <col min="13072" max="13072" width="3.28515625" customWidth="1"/>
    <col min="13073" max="13073" width="1.42578125" customWidth="1"/>
    <col min="13074" max="13074" width="0" hidden="1" customWidth="1"/>
    <col min="13075" max="13075" width="6.85546875" customWidth="1"/>
    <col min="13076" max="13076" width="0" hidden="1" customWidth="1"/>
    <col min="13077" max="13078" width="6.28515625" customWidth="1"/>
    <col min="13079" max="13080" width="13.85546875" customWidth="1"/>
    <col min="13081" max="13081" width="10.85546875" customWidth="1"/>
    <col min="13082" max="13082" width="14.140625" customWidth="1"/>
    <col min="13083" max="13083" width="4.42578125" customWidth="1"/>
    <col min="13084" max="13084" width="18.42578125" customWidth="1"/>
    <col min="13085" max="13085" width="13.140625" customWidth="1"/>
    <col min="13086" max="13087" width="14" customWidth="1"/>
    <col min="13088" max="13088" width="11.42578125" customWidth="1"/>
    <col min="13089" max="13089" width="15.85546875" customWidth="1"/>
    <col min="13090" max="13090" width="23.7109375" customWidth="1"/>
    <col min="13091" max="13091" width="12" customWidth="1"/>
    <col min="13092" max="13093" width="0.28515625" customWidth="1"/>
    <col min="13094" max="13094" width="1.42578125" customWidth="1"/>
    <col min="13095" max="13095" width="0" hidden="1" customWidth="1"/>
    <col min="13313" max="13313" width="10.28515625" customWidth="1"/>
    <col min="13314" max="13314" width="13.42578125" customWidth="1"/>
    <col min="13315" max="13315" width="4.28515625" customWidth="1"/>
    <col min="13316" max="13316" width="4" customWidth="1"/>
    <col min="13317" max="13317" width="15" customWidth="1"/>
    <col min="13318" max="13318" width="4.140625" customWidth="1"/>
    <col min="13319" max="13319" width="11.28515625" customWidth="1"/>
    <col min="13320" max="13320" width="16.140625" customWidth="1"/>
    <col min="13321" max="13321" width="11" customWidth="1"/>
    <col min="13322" max="13323" width="2.140625" customWidth="1"/>
    <col min="13324" max="13324" width="3.28515625" customWidth="1"/>
    <col min="13325" max="13326" width="0" hidden="1" customWidth="1"/>
    <col min="13327" max="13327" width="2.85546875" customWidth="1"/>
    <col min="13328" max="13328" width="3.28515625" customWidth="1"/>
    <col min="13329" max="13329" width="1.42578125" customWidth="1"/>
    <col min="13330" max="13330" width="0" hidden="1" customWidth="1"/>
    <col min="13331" max="13331" width="6.85546875" customWidth="1"/>
    <col min="13332" max="13332" width="0" hidden="1" customWidth="1"/>
    <col min="13333" max="13334" width="6.28515625" customWidth="1"/>
    <col min="13335" max="13336" width="13.85546875" customWidth="1"/>
    <col min="13337" max="13337" width="10.85546875" customWidth="1"/>
    <col min="13338" max="13338" width="14.140625" customWidth="1"/>
    <col min="13339" max="13339" width="4.42578125" customWidth="1"/>
    <col min="13340" max="13340" width="18.42578125" customWidth="1"/>
    <col min="13341" max="13341" width="13.140625" customWidth="1"/>
    <col min="13342" max="13343" width="14" customWidth="1"/>
    <col min="13344" max="13344" width="11.42578125" customWidth="1"/>
    <col min="13345" max="13345" width="15.85546875" customWidth="1"/>
    <col min="13346" max="13346" width="23.7109375" customWidth="1"/>
    <col min="13347" max="13347" width="12" customWidth="1"/>
    <col min="13348" max="13349" width="0.28515625" customWidth="1"/>
    <col min="13350" max="13350" width="1.42578125" customWidth="1"/>
    <col min="13351" max="13351" width="0" hidden="1" customWidth="1"/>
    <col min="13569" max="13569" width="10.28515625" customWidth="1"/>
    <col min="13570" max="13570" width="13.42578125" customWidth="1"/>
    <col min="13571" max="13571" width="4.28515625" customWidth="1"/>
    <col min="13572" max="13572" width="4" customWidth="1"/>
    <col min="13573" max="13573" width="15" customWidth="1"/>
    <col min="13574" max="13574" width="4.140625" customWidth="1"/>
    <col min="13575" max="13575" width="11.28515625" customWidth="1"/>
    <col min="13576" max="13576" width="16.140625" customWidth="1"/>
    <col min="13577" max="13577" width="11" customWidth="1"/>
    <col min="13578" max="13579" width="2.140625" customWidth="1"/>
    <col min="13580" max="13580" width="3.28515625" customWidth="1"/>
    <col min="13581" max="13582" width="0" hidden="1" customWidth="1"/>
    <col min="13583" max="13583" width="2.85546875" customWidth="1"/>
    <col min="13584" max="13584" width="3.28515625" customWidth="1"/>
    <col min="13585" max="13585" width="1.42578125" customWidth="1"/>
    <col min="13586" max="13586" width="0" hidden="1" customWidth="1"/>
    <col min="13587" max="13587" width="6.85546875" customWidth="1"/>
    <col min="13588" max="13588" width="0" hidden="1" customWidth="1"/>
    <col min="13589" max="13590" width="6.28515625" customWidth="1"/>
    <col min="13591" max="13592" width="13.85546875" customWidth="1"/>
    <col min="13593" max="13593" width="10.85546875" customWidth="1"/>
    <col min="13594" max="13594" width="14.140625" customWidth="1"/>
    <col min="13595" max="13595" width="4.42578125" customWidth="1"/>
    <col min="13596" max="13596" width="18.42578125" customWidth="1"/>
    <col min="13597" max="13597" width="13.140625" customWidth="1"/>
    <col min="13598" max="13599" width="14" customWidth="1"/>
    <col min="13600" max="13600" width="11.42578125" customWidth="1"/>
    <col min="13601" max="13601" width="15.85546875" customWidth="1"/>
    <col min="13602" max="13602" width="23.7109375" customWidth="1"/>
    <col min="13603" max="13603" width="12" customWidth="1"/>
    <col min="13604" max="13605" width="0.28515625" customWidth="1"/>
    <col min="13606" max="13606" width="1.42578125" customWidth="1"/>
    <col min="13607" max="13607" width="0" hidden="1" customWidth="1"/>
    <col min="13825" max="13825" width="10.28515625" customWidth="1"/>
    <col min="13826" max="13826" width="13.42578125" customWidth="1"/>
    <col min="13827" max="13827" width="4.28515625" customWidth="1"/>
    <col min="13828" max="13828" width="4" customWidth="1"/>
    <col min="13829" max="13829" width="15" customWidth="1"/>
    <col min="13830" max="13830" width="4.140625" customWidth="1"/>
    <col min="13831" max="13831" width="11.28515625" customWidth="1"/>
    <col min="13832" max="13832" width="16.140625" customWidth="1"/>
    <col min="13833" max="13833" width="11" customWidth="1"/>
    <col min="13834" max="13835" width="2.140625" customWidth="1"/>
    <col min="13836" max="13836" width="3.28515625" customWidth="1"/>
    <col min="13837" max="13838" width="0" hidden="1" customWidth="1"/>
    <col min="13839" max="13839" width="2.85546875" customWidth="1"/>
    <col min="13840" max="13840" width="3.28515625" customWidth="1"/>
    <col min="13841" max="13841" width="1.42578125" customWidth="1"/>
    <col min="13842" max="13842" width="0" hidden="1" customWidth="1"/>
    <col min="13843" max="13843" width="6.85546875" customWidth="1"/>
    <col min="13844" max="13844" width="0" hidden="1" customWidth="1"/>
    <col min="13845" max="13846" width="6.28515625" customWidth="1"/>
    <col min="13847" max="13848" width="13.85546875" customWidth="1"/>
    <col min="13849" max="13849" width="10.85546875" customWidth="1"/>
    <col min="13850" max="13850" width="14.140625" customWidth="1"/>
    <col min="13851" max="13851" width="4.42578125" customWidth="1"/>
    <col min="13852" max="13852" width="18.42578125" customWidth="1"/>
    <col min="13853" max="13853" width="13.140625" customWidth="1"/>
    <col min="13854" max="13855" width="14" customWidth="1"/>
    <col min="13856" max="13856" width="11.42578125" customWidth="1"/>
    <col min="13857" max="13857" width="15.85546875" customWidth="1"/>
    <col min="13858" max="13858" width="23.7109375" customWidth="1"/>
    <col min="13859" max="13859" width="12" customWidth="1"/>
    <col min="13860" max="13861" width="0.28515625" customWidth="1"/>
    <col min="13862" max="13862" width="1.42578125" customWidth="1"/>
    <col min="13863" max="13863" width="0" hidden="1" customWidth="1"/>
    <col min="14081" max="14081" width="10.28515625" customWidth="1"/>
    <col min="14082" max="14082" width="13.42578125" customWidth="1"/>
    <col min="14083" max="14083" width="4.28515625" customWidth="1"/>
    <col min="14084" max="14084" width="4" customWidth="1"/>
    <col min="14085" max="14085" width="15" customWidth="1"/>
    <col min="14086" max="14086" width="4.140625" customWidth="1"/>
    <col min="14087" max="14087" width="11.28515625" customWidth="1"/>
    <col min="14088" max="14088" width="16.140625" customWidth="1"/>
    <col min="14089" max="14089" width="11" customWidth="1"/>
    <col min="14090" max="14091" width="2.140625" customWidth="1"/>
    <col min="14092" max="14092" width="3.28515625" customWidth="1"/>
    <col min="14093" max="14094" width="0" hidden="1" customWidth="1"/>
    <col min="14095" max="14095" width="2.85546875" customWidth="1"/>
    <col min="14096" max="14096" width="3.28515625" customWidth="1"/>
    <col min="14097" max="14097" width="1.42578125" customWidth="1"/>
    <col min="14098" max="14098" width="0" hidden="1" customWidth="1"/>
    <col min="14099" max="14099" width="6.85546875" customWidth="1"/>
    <col min="14100" max="14100" width="0" hidden="1" customWidth="1"/>
    <col min="14101" max="14102" width="6.28515625" customWidth="1"/>
    <col min="14103" max="14104" width="13.85546875" customWidth="1"/>
    <col min="14105" max="14105" width="10.85546875" customWidth="1"/>
    <col min="14106" max="14106" width="14.140625" customWidth="1"/>
    <col min="14107" max="14107" width="4.42578125" customWidth="1"/>
    <col min="14108" max="14108" width="18.42578125" customWidth="1"/>
    <col min="14109" max="14109" width="13.140625" customWidth="1"/>
    <col min="14110" max="14111" width="14" customWidth="1"/>
    <col min="14112" max="14112" width="11.42578125" customWidth="1"/>
    <col min="14113" max="14113" width="15.85546875" customWidth="1"/>
    <col min="14114" max="14114" width="23.7109375" customWidth="1"/>
    <col min="14115" max="14115" width="12" customWidth="1"/>
    <col min="14116" max="14117" width="0.28515625" customWidth="1"/>
    <col min="14118" max="14118" width="1.42578125" customWidth="1"/>
    <col min="14119" max="14119" width="0" hidden="1" customWidth="1"/>
    <col min="14337" max="14337" width="10.28515625" customWidth="1"/>
    <col min="14338" max="14338" width="13.42578125" customWidth="1"/>
    <col min="14339" max="14339" width="4.28515625" customWidth="1"/>
    <col min="14340" max="14340" width="4" customWidth="1"/>
    <col min="14341" max="14341" width="15" customWidth="1"/>
    <col min="14342" max="14342" width="4.140625" customWidth="1"/>
    <col min="14343" max="14343" width="11.28515625" customWidth="1"/>
    <col min="14344" max="14344" width="16.140625" customWidth="1"/>
    <col min="14345" max="14345" width="11" customWidth="1"/>
    <col min="14346" max="14347" width="2.140625" customWidth="1"/>
    <col min="14348" max="14348" width="3.28515625" customWidth="1"/>
    <col min="14349" max="14350" width="0" hidden="1" customWidth="1"/>
    <col min="14351" max="14351" width="2.85546875" customWidth="1"/>
    <col min="14352" max="14352" width="3.28515625" customWidth="1"/>
    <col min="14353" max="14353" width="1.42578125" customWidth="1"/>
    <col min="14354" max="14354" width="0" hidden="1" customWidth="1"/>
    <col min="14355" max="14355" width="6.85546875" customWidth="1"/>
    <col min="14356" max="14356" width="0" hidden="1" customWidth="1"/>
    <col min="14357" max="14358" width="6.28515625" customWidth="1"/>
    <col min="14359" max="14360" width="13.85546875" customWidth="1"/>
    <col min="14361" max="14361" width="10.85546875" customWidth="1"/>
    <col min="14362" max="14362" width="14.140625" customWidth="1"/>
    <col min="14363" max="14363" width="4.42578125" customWidth="1"/>
    <col min="14364" max="14364" width="18.42578125" customWidth="1"/>
    <col min="14365" max="14365" width="13.140625" customWidth="1"/>
    <col min="14366" max="14367" width="14" customWidth="1"/>
    <col min="14368" max="14368" width="11.42578125" customWidth="1"/>
    <col min="14369" max="14369" width="15.85546875" customWidth="1"/>
    <col min="14370" max="14370" width="23.7109375" customWidth="1"/>
    <col min="14371" max="14371" width="12" customWidth="1"/>
    <col min="14372" max="14373" width="0.28515625" customWidth="1"/>
    <col min="14374" max="14374" width="1.42578125" customWidth="1"/>
    <col min="14375" max="14375" width="0" hidden="1" customWidth="1"/>
    <col min="14593" max="14593" width="10.28515625" customWidth="1"/>
    <col min="14594" max="14594" width="13.42578125" customWidth="1"/>
    <col min="14595" max="14595" width="4.28515625" customWidth="1"/>
    <col min="14596" max="14596" width="4" customWidth="1"/>
    <col min="14597" max="14597" width="15" customWidth="1"/>
    <col min="14598" max="14598" width="4.140625" customWidth="1"/>
    <col min="14599" max="14599" width="11.28515625" customWidth="1"/>
    <col min="14600" max="14600" width="16.140625" customWidth="1"/>
    <col min="14601" max="14601" width="11" customWidth="1"/>
    <col min="14602" max="14603" width="2.140625" customWidth="1"/>
    <col min="14604" max="14604" width="3.28515625" customWidth="1"/>
    <col min="14605" max="14606" width="0" hidden="1" customWidth="1"/>
    <col min="14607" max="14607" width="2.85546875" customWidth="1"/>
    <col min="14608" max="14608" width="3.28515625" customWidth="1"/>
    <col min="14609" max="14609" width="1.42578125" customWidth="1"/>
    <col min="14610" max="14610" width="0" hidden="1" customWidth="1"/>
    <col min="14611" max="14611" width="6.85546875" customWidth="1"/>
    <col min="14612" max="14612" width="0" hidden="1" customWidth="1"/>
    <col min="14613" max="14614" width="6.28515625" customWidth="1"/>
    <col min="14615" max="14616" width="13.85546875" customWidth="1"/>
    <col min="14617" max="14617" width="10.85546875" customWidth="1"/>
    <col min="14618" max="14618" width="14.140625" customWidth="1"/>
    <col min="14619" max="14619" width="4.42578125" customWidth="1"/>
    <col min="14620" max="14620" width="18.42578125" customWidth="1"/>
    <col min="14621" max="14621" width="13.140625" customWidth="1"/>
    <col min="14622" max="14623" width="14" customWidth="1"/>
    <col min="14624" max="14624" width="11.42578125" customWidth="1"/>
    <col min="14625" max="14625" width="15.85546875" customWidth="1"/>
    <col min="14626" max="14626" width="23.7109375" customWidth="1"/>
    <col min="14627" max="14627" width="12" customWidth="1"/>
    <col min="14628" max="14629" width="0.28515625" customWidth="1"/>
    <col min="14630" max="14630" width="1.42578125" customWidth="1"/>
    <col min="14631" max="14631" width="0" hidden="1" customWidth="1"/>
    <col min="14849" max="14849" width="10.28515625" customWidth="1"/>
    <col min="14850" max="14850" width="13.42578125" customWidth="1"/>
    <col min="14851" max="14851" width="4.28515625" customWidth="1"/>
    <col min="14852" max="14852" width="4" customWidth="1"/>
    <col min="14853" max="14853" width="15" customWidth="1"/>
    <col min="14854" max="14854" width="4.140625" customWidth="1"/>
    <col min="14855" max="14855" width="11.28515625" customWidth="1"/>
    <col min="14856" max="14856" width="16.140625" customWidth="1"/>
    <col min="14857" max="14857" width="11" customWidth="1"/>
    <col min="14858" max="14859" width="2.140625" customWidth="1"/>
    <col min="14860" max="14860" width="3.28515625" customWidth="1"/>
    <col min="14861" max="14862" width="0" hidden="1" customWidth="1"/>
    <col min="14863" max="14863" width="2.85546875" customWidth="1"/>
    <col min="14864" max="14864" width="3.28515625" customWidth="1"/>
    <col min="14865" max="14865" width="1.42578125" customWidth="1"/>
    <col min="14866" max="14866" width="0" hidden="1" customWidth="1"/>
    <col min="14867" max="14867" width="6.85546875" customWidth="1"/>
    <col min="14868" max="14868" width="0" hidden="1" customWidth="1"/>
    <col min="14869" max="14870" width="6.28515625" customWidth="1"/>
    <col min="14871" max="14872" width="13.85546875" customWidth="1"/>
    <col min="14873" max="14873" width="10.85546875" customWidth="1"/>
    <col min="14874" max="14874" width="14.140625" customWidth="1"/>
    <col min="14875" max="14875" width="4.42578125" customWidth="1"/>
    <col min="14876" max="14876" width="18.42578125" customWidth="1"/>
    <col min="14877" max="14877" width="13.140625" customWidth="1"/>
    <col min="14878" max="14879" width="14" customWidth="1"/>
    <col min="14880" max="14880" width="11.42578125" customWidth="1"/>
    <col min="14881" max="14881" width="15.85546875" customWidth="1"/>
    <col min="14882" max="14882" width="23.7109375" customWidth="1"/>
    <col min="14883" max="14883" width="12" customWidth="1"/>
    <col min="14884" max="14885" width="0.28515625" customWidth="1"/>
    <col min="14886" max="14886" width="1.42578125" customWidth="1"/>
    <col min="14887" max="14887" width="0" hidden="1" customWidth="1"/>
    <col min="15105" max="15105" width="10.28515625" customWidth="1"/>
    <col min="15106" max="15106" width="13.42578125" customWidth="1"/>
    <col min="15107" max="15107" width="4.28515625" customWidth="1"/>
    <col min="15108" max="15108" width="4" customWidth="1"/>
    <col min="15109" max="15109" width="15" customWidth="1"/>
    <col min="15110" max="15110" width="4.140625" customWidth="1"/>
    <col min="15111" max="15111" width="11.28515625" customWidth="1"/>
    <col min="15112" max="15112" width="16.140625" customWidth="1"/>
    <col min="15113" max="15113" width="11" customWidth="1"/>
    <col min="15114" max="15115" width="2.140625" customWidth="1"/>
    <col min="15116" max="15116" width="3.28515625" customWidth="1"/>
    <col min="15117" max="15118" width="0" hidden="1" customWidth="1"/>
    <col min="15119" max="15119" width="2.85546875" customWidth="1"/>
    <col min="15120" max="15120" width="3.28515625" customWidth="1"/>
    <col min="15121" max="15121" width="1.42578125" customWidth="1"/>
    <col min="15122" max="15122" width="0" hidden="1" customWidth="1"/>
    <col min="15123" max="15123" width="6.85546875" customWidth="1"/>
    <col min="15124" max="15124" width="0" hidden="1" customWidth="1"/>
    <col min="15125" max="15126" width="6.28515625" customWidth="1"/>
    <col min="15127" max="15128" width="13.85546875" customWidth="1"/>
    <col min="15129" max="15129" width="10.85546875" customWidth="1"/>
    <col min="15130" max="15130" width="14.140625" customWidth="1"/>
    <col min="15131" max="15131" width="4.42578125" customWidth="1"/>
    <col min="15132" max="15132" width="18.42578125" customWidth="1"/>
    <col min="15133" max="15133" width="13.140625" customWidth="1"/>
    <col min="15134" max="15135" width="14" customWidth="1"/>
    <col min="15136" max="15136" width="11.42578125" customWidth="1"/>
    <col min="15137" max="15137" width="15.85546875" customWidth="1"/>
    <col min="15138" max="15138" width="23.7109375" customWidth="1"/>
    <col min="15139" max="15139" width="12" customWidth="1"/>
    <col min="15140" max="15141" width="0.28515625" customWidth="1"/>
    <col min="15142" max="15142" width="1.42578125" customWidth="1"/>
    <col min="15143" max="15143" width="0" hidden="1" customWidth="1"/>
    <col min="15361" max="15361" width="10.28515625" customWidth="1"/>
    <col min="15362" max="15362" width="13.42578125" customWidth="1"/>
    <col min="15363" max="15363" width="4.28515625" customWidth="1"/>
    <col min="15364" max="15364" width="4" customWidth="1"/>
    <col min="15365" max="15365" width="15" customWidth="1"/>
    <col min="15366" max="15366" width="4.140625" customWidth="1"/>
    <col min="15367" max="15367" width="11.28515625" customWidth="1"/>
    <col min="15368" max="15368" width="16.140625" customWidth="1"/>
    <col min="15369" max="15369" width="11" customWidth="1"/>
    <col min="15370" max="15371" width="2.140625" customWidth="1"/>
    <col min="15372" max="15372" width="3.28515625" customWidth="1"/>
    <col min="15373" max="15374" width="0" hidden="1" customWidth="1"/>
    <col min="15375" max="15375" width="2.85546875" customWidth="1"/>
    <col min="15376" max="15376" width="3.28515625" customWidth="1"/>
    <col min="15377" max="15377" width="1.42578125" customWidth="1"/>
    <col min="15378" max="15378" width="0" hidden="1" customWidth="1"/>
    <col min="15379" max="15379" width="6.85546875" customWidth="1"/>
    <col min="15380" max="15380" width="0" hidden="1" customWidth="1"/>
    <col min="15381" max="15382" width="6.28515625" customWidth="1"/>
    <col min="15383" max="15384" width="13.85546875" customWidth="1"/>
    <col min="15385" max="15385" width="10.85546875" customWidth="1"/>
    <col min="15386" max="15386" width="14.140625" customWidth="1"/>
    <col min="15387" max="15387" width="4.42578125" customWidth="1"/>
    <col min="15388" max="15388" width="18.42578125" customWidth="1"/>
    <col min="15389" max="15389" width="13.140625" customWidth="1"/>
    <col min="15390" max="15391" width="14" customWidth="1"/>
    <col min="15392" max="15392" width="11.42578125" customWidth="1"/>
    <col min="15393" max="15393" width="15.85546875" customWidth="1"/>
    <col min="15394" max="15394" width="23.7109375" customWidth="1"/>
    <col min="15395" max="15395" width="12" customWidth="1"/>
    <col min="15396" max="15397" width="0.28515625" customWidth="1"/>
    <col min="15398" max="15398" width="1.42578125" customWidth="1"/>
    <col min="15399" max="15399" width="0" hidden="1" customWidth="1"/>
    <col min="15617" max="15617" width="10.28515625" customWidth="1"/>
    <col min="15618" max="15618" width="13.42578125" customWidth="1"/>
    <col min="15619" max="15619" width="4.28515625" customWidth="1"/>
    <col min="15620" max="15620" width="4" customWidth="1"/>
    <col min="15621" max="15621" width="15" customWidth="1"/>
    <col min="15622" max="15622" width="4.140625" customWidth="1"/>
    <col min="15623" max="15623" width="11.28515625" customWidth="1"/>
    <col min="15624" max="15624" width="16.140625" customWidth="1"/>
    <col min="15625" max="15625" width="11" customWidth="1"/>
    <col min="15626" max="15627" width="2.140625" customWidth="1"/>
    <col min="15628" max="15628" width="3.28515625" customWidth="1"/>
    <col min="15629" max="15630" width="0" hidden="1" customWidth="1"/>
    <col min="15631" max="15631" width="2.85546875" customWidth="1"/>
    <col min="15632" max="15632" width="3.28515625" customWidth="1"/>
    <col min="15633" max="15633" width="1.42578125" customWidth="1"/>
    <col min="15634" max="15634" width="0" hidden="1" customWidth="1"/>
    <col min="15635" max="15635" width="6.85546875" customWidth="1"/>
    <col min="15636" max="15636" width="0" hidden="1" customWidth="1"/>
    <col min="15637" max="15638" width="6.28515625" customWidth="1"/>
    <col min="15639" max="15640" width="13.85546875" customWidth="1"/>
    <col min="15641" max="15641" width="10.85546875" customWidth="1"/>
    <col min="15642" max="15642" width="14.140625" customWidth="1"/>
    <col min="15643" max="15643" width="4.42578125" customWidth="1"/>
    <col min="15644" max="15644" width="18.42578125" customWidth="1"/>
    <col min="15645" max="15645" width="13.140625" customWidth="1"/>
    <col min="15646" max="15647" width="14" customWidth="1"/>
    <col min="15648" max="15648" width="11.42578125" customWidth="1"/>
    <col min="15649" max="15649" width="15.85546875" customWidth="1"/>
    <col min="15650" max="15650" width="23.7109375" customWidth="1"/>
    <col min="15651" max="15651" width="12" customWidth="1"/>
    <col min="15652" max="15653" width="0.28515625" customWidth="1"/>
    <col min="15654" max="15654" width="1.42578125" customWidth="1"/>
    <col min="15655" max="15655" width="0" hidden="1" customWidth="1"/>
    <col min="15873" max="15873" width="10.28515625" customWidth="1"/>
    <col min="15874" max="15874" width="13.42578125" customWidth="1"/>
    <col min="15875" max="15875" width="4.28515625" customWidth="1"/>
    <col min="15876" max="15876" width="4" customWidth="1"/>
    <col min="15877" max="15877" width="15" customWidth="1"/>
    <col min="15878" max="15878" width="4.140625" customWidth="1"/>
    <col min="15879" max="15879" width="11.28515625" customWidth="1"/>
    <col min="15880" max="15880" width="16.140625" customWidth="1"/>
    <col min="15881" max="15881" width="11" customWidth="1"/>
    <col min="15882" max="15883" width="2.140625" customWidth="1"/>
    <col min="15884" max="15884" width="3.28515625" customWidth="1"/>
    <col min="15885" max="15886" width="0" hidden="1" customWidth="1"/>
    <col min="15887" max="15887" width="2.85546875" customWidth="1"/>
    <col min="15888" max="15888" width="3.28515625" customWidth="1"/>
    <col min="15889" max="15889" width="1.42578125" customWidth="1"/>
    <col min="15890" max="15890" width="0" hidden="1" customWidth="1"/>
    <col min="15891" max="15891" width="6.85546875" customWidth="1"/>
    <col min="15892" max="15892" width="0" hidden="1" customWidth="1"/>
    <col min="15893" max="15894" width="6.28515625" customWidth="1"/>
    <col min="15895" max="15896" width="13.85546875" customWidth="1"/>
    <col min="15897" max="15897" width="10.85546875" customWidth="1"/>
    <col min="15898" max="15898" width="14.140625" customWidth="1"/>
    <col min="15899" max="15899" width="4.42578125" customWidth="1"/>
    <col min="15900" max="15900" width="18.42578125" customWidth="1"/>
    <col min="15901" max="15901" width="13.140625" customWidth="1"/>
    <col min="15902" max="15903" width="14" customWidth="1"/>
    <col min="15904" max="15904" width="11.42578125" customWidth="1"/>
    <col min="15905" max="15905" width="15.85546875" customWidth="1"/>
    <col min="15906" max="15906" width="23.7109375" customWidth="1"/>
    <col min="15907" max="15907" width="12" customWidth="1"/>
    <col min="15908" max="15909" width="0.28515625" customWidth="1"/>
    <col min="15910" max="15910" width="1.42578125" customWidth="1"/>
    <col min="15911" max="15911" width="0" hidden="1" customWidth="1"/>
    <col min="16129" max="16129" width="10.28515625" customWidth="1"/>
    <col min="16130" max="16130" width="13.42578125" customWidth="1"/>
    <col min="16131" max="16131" width="4.28515625" customWidth="1"/>
    <col min="16132" max="16132" width="4" customWidth="1"/>
    <col min="16133" max="16133" width="15" customWidth="1"/>
    <col min="16134" max="16134" width="4.140625" customWidth="1"/>
    <col min="16135" max="16135" width="11.28515625" customWidth="1"/>
    <col min="16136" max="16136" width="16.140625" customWidth="1"/>
    <col min="16137" max="16137" width="11" customWidth="1"/>
    <col min="16138" max="16139" width="2.140625" customWidth="1"/>
    <col min="16140" max="16140" width="3.28515625" customWidth="1"/>
    <col min="16141" max="16142" width="0" hidden="1" customWidth="1"/>
    <col min="16143" max="16143" width="2.85546875" customWidth="1"/>
    <col min="16144" max="16144" width="3.28515625" customWidth="1"/>
    <col min="16145" max="16145" width="1.42578125" customWidth="1"/>
    <col min="16146" max="16146" width="0" hidden="1" customWidth="1"/>
    <col min="16147" max="16147" width="6.85546875" customWidth="1"/>
    <col min="16148" max="16148" width="0" hidden="1" customWidth="1"/>
    <col min="16149" max="16150" width="6.28515625" customWidth="1"/>
    <col min="16151" max="16152" width="13.85546875" customWidth="1"/>
    <col min="16153" max="16153" width="10.85546875" customWidth="1"/>
    <col min="16154" max="16154" width="14.140625" customWidth="1"/>
    <col min="16155" max="16155" width="4.42578125" customWidth="1"/>
    <col min="16156" max="16156" width="18.42578125" customWidth="1"/>
    <col min="16157" max="16157" width="13.140625" customWidth="1"/>
    <col min="16158" max="16159" width="14" customWidth="1"/>
    <col min="16160" max="16160" width="11.42578125" customWidth="1"/>
    <col min="16161" max="16161" width="15.85546875" customWidth="1"/>
    <col min="16162" max="16162" width="23.7109375" customWidth="1"/>
    <col min="16163" max="16163" width="12" customWidth="1"/>
    <col min="16164" max="16165" width="0.28515625" customWidth="1"/>
    <col min="16166" max="16166" width="1.42578125" customWidth="1"/>
    <col min="16167" max="16167" width="0" hidden="1" customWidth="1"/>
  </cols>
  <sheetData>
    <row r="1" spans="1:37" ht="45" customHeight="1">
      <c r="A1" s="886"/>
      <c r="B1" s="886"/>
      <c r="C1" s="887" t="s">
        <v>0</v>
      </c>
      <c r="D1" s="888"/>
      <c r="E1" s="888"/>
      <c r="F1" s="888"/>
      <c r="G1" s="888"/>
      <c r="H1" s="888"/>
      <c r="I1" s="888"/>
      <c r="J1" s="888"/>
      <c r="K1" s="888"/>
      <c r="L1" s="888"/>
      <c r="M1" s="888"/>
      <c r="N1" s="888"/>
      <c r="O1" s="888"/>
      <c r="P1" s="888"/>
      <c r="Q1" s="888"/>
      <c r="R1" s="888"/>
      <c r="S1" s="888"/>
      <c r="T1" s="888"/>
      <c r="U1" s="888"/>
      <c r="V1" s="888"/>
      <c r="W1" s="888"/>
      <c r="X1" s="888"/>
      <c r="Y1" s="888"/>
      <c r="Z1" s="888"/>
      <c r="AA1" s="888"/>
      <c r="AB1" s="888"/>
      <c r="AC1" s="888"/>
      <c r="AD1" s="888"/>
      <c r="AE1" s="888"/>
      <c r="AF1" s="888"/>
      <c r="AG1" s="889"/>
      <c r="AH1" s="890" t="s">
        <v>45</v>
      </c>
      <c r="AJ1" s="10" t="s">
        <v>17</v>
      </c>
      <c r="AK1" s="11" t="s">
        <v>23</v>
      </c>
    </row>
    <row r="2" spans="1:37" ht="45" customHeight="1">
      <c r="A2" s="886"/>
      <c r="B2" s="886"/>
      <c r="C2" s="891" t="s">
        <v>37</v>
      </c>
      <c r="D2" s="892"/>
      <c r="E2" s="892"/>
      <c r="F2" s="892"/>
      <c r="G2" s="892"/>
      <c r="H2" s="892"/>
      <c r="I2" s="892"/>
      <c r="J2" s="892"/>
      <c r="K2" s="892"/>
      <c r="L2" s="892"/>
      <c r="M2" s="892"/>
      <c r="N2" s="892"/>
      <c r="O2" s="892"/>
      <c r="P2" s="892"/>
      <c r="Q2" s="892"/>
      <c r="R2" s="892"/>
      <c r="S2" s="892"/>
      <c r="T2" s="892"/>
      <c r="U2" s="892"/>
      <c r="V2" s="892"/>
      <c r="W2" s="892"/>
      <c r="X2" s="892"/>
      <c r="Y2" s="892"/>
      <c r="Z2" s="892"/>
      <c r="AA2" s="892"/>
      <c r="AB2" s="892"/>
      <c r="AC2" s="892"/>
      <c r="AD2" s="892"/>
      <c r="AE2" s="892"/>
      <c r="AF2" s="892"/>
      <c r="AG2" s="893"/>
      <c r="AH2" s="890"/>
      <c r="AJ2" t="s">
        <v>18</v>
      </c>
      <c r="AK2" s="12" t="s">
        <v>24</v>
      </c>
    </row>
    <row r="3" spans="1:37" ht="6.75" customHeight="1">
      <c r="A3" s="866"/>
      <c r="B3" s="866"/>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c r="AE3" s="866"/>
      <c r="AF3" s="866"/>
      <c r="AG3" s="866"/>
      <c r="AH3" s="866"/>
      <c r="AJ3" s="10" t="s">
        <v>16</v>
      </c>
      <c r="AK3" s="11" t="s">
        <v>25</v>
      </c>
    </row>
    <row r="4" spans="1:37" ht="30.75" customHeight="1">
      <c r="A4" s="894" t="s">
        <v>5</v>
      </c>
      <c r="B4" s="894"/>
      <c r="C4" s="894"/>
      <c r="D4" s="894"/>
      <c r="E4" s="895" t="s">
        <v>727</v>
      </c>
      <c r="F4" s="895"/>
      <c r="G4" s="895"/>
      <c r="H4" s="895"/>
      <c r="I4" s="895"/>
      <c r="J4" s="895"/>
      <c r="K4" s="895"/>
      <c r="L4" s="895"/>
      <c r="M4" s="895"/>
      <c r="N4" s="895"/>
      <c r="O4" s="895"/>
      <c r="P4" s="895"/>
      <c r="Q4" s="895"/>
      <c r="R4" s="895"/>
      <c r="S4" s="895"/>
      <c r="T4" s="895"/>
      <c r="U4" s="895"/>
      <c r="V4" s="895"/>
      <c r="W4" s="874" t="s">
        <v>20</v>
      </c>
      <c r="X4" s="874"/>
      <c r="Y4" s="874"/>
      <c r="Z4" s="896" t="s">
        <v>688</v>
      </c>
      <c r="AA4" s="897"/>
      <c r="AB4" s="897"/>
      <c r="AC4" s="897"/>
      <c r="AD4" s="897"/>
      <c r="AE4" s="898"/>
      <c r="AF4" s="899" t="s">
        <v>48</v>
      </c>
      <c r="AG4" s="900"/>
      <c r="AH4" s="13" t="s">
        <v>71</v>
      </c>
      <c r="AJ4" s="11" t="s">
        <v>19</v>
      </c>
    </row>
    <row r="5" spans="1:37" ht="4.5" customHeight="1" thickBot="1">
      <c r="A5" s="866"/>
      <c r="B5" s="866"/>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c r="AE5" s="866"/>
      <c r="AF5" s="866"/>
      <c r="AG5" s="866"/>
      <c r="AH5" s="866"/>
    </row>
    <row r="6" spans="1:37" ht="57" customHeight="1">
      <c r="A6" s="881" t="s">
        <v>39</v>
      </c>
      <c r="B6" s="882"/>
      <c r="C6" s="874" t="s">
        <v>1</v>
      </c>
      <c r="D6" s="874" t="s">
        <v>49</v>
      </c>
      <c r="E6" s="874"/>
      <c r="F6" s="883" t="s">
        <v>6</v>
      </c>
      <c r="G6" s="874" t="s">
        <v>9</v>
      </c>
      <c r="H6" s="884" t="s">
        <v>50</v>
      </c>
      <c r="I6" s="874" t="s">
        <v>2</v>
      </c>
      <c r="J6" s="874" t="s">
        <v>21</v>
      </c>
      <c r="K6" s="874"/>
      <c r="L6" s="874"/>
      <c r="M6" s="874"/>
      <c r="N6" s="874"/>
      <c r="O6" s="874"/>
      <c r="P6" s="874"/>
      <c r="Q6" s="874"/>
      <c r="R6" s="874"/>
      <c r="S6" s="874"/>
      <c r="T6" s="874"/>
      <c r="U6" s="874"/>
      <c r="V6" s="874"/>
      <c r="W6" s="874" t="s">
        <v>51</v>
      </c>
      <c r="X6" s="884" t="s">
        <v>52</v>
      </c>
      <c r="Y6" s="874" t="s">
        <v>3</v>
      </c>
      <c r="Z6" s="874"/>
      <c r="AA6" s="874"/>
      <c r="AB6" s="875" t="s">
        <v>53</v>
      </c>
      <c r="AC6" s="875" t="s">
        <v>4</v>
      </c>
      <c r="AD6" s="875"/>
      <c r="AE6" s="876" t="s">
        <v>54</v>
      </c>
      <c r="AF6" s="874" t="s">
        <v>55</v>
      </c>
      <c r="AG6" s="874" t="s">
        <v>56</v>
      </c>
      <c r="AH6" s="874" t="s">
        <v>57</v>
      </c>
    </row>
    <row r="7" spans="1:37" ht="37.5" customHeight="1" thickBot="1">
      <c r="A7" s="355" t="s">
        <v>40</v>
      </c>
      <c r="B7" s="356" t="s">
        <v>41</v>
      </c>
      <c r="C7" s="874"/>
      <c r="D7" s="874"/>
      <c r="E7" s="874"/>
      <c r="F7" s="883"/>
      <c r="G7" s="874"/>
      <c r="H7" s="885"/>
      <c r="I7" s="874"/>
      <c r="J7" s="874" t="s">
        <v>11</v>
      </c>
      <c r="K7" s="874"/>
      <c r="L7" s="874"/>
      <c r="M7" s="874"/>
      <c r="N7" s="874"/>
      <c r="O7" s="874"/>
      <c r="P7" s="858" t="s">
        <v>12</v>
      </c>
      <c r="Q7" s="858"/>
      <c r="R7" s="858"/>
      <c r="S7" s="858"/>
      <c r="T7" s="858"/>
      <c r="U7" s="858" t="s">
        <v>13</v>
      </c>
      <c r="V7" s="858"/>
      <c r="W7" s="874"/>
      <c r="X7" s="885"/>
      <c r="Y7" s="874"/>
      <c r="Z7" s="874"/>
      <c r="AA7" s="874"/>
      <c r="AB7" s="875"/>
      <c r="AC7" s="334" t="s">
        <v>14</v>
      </c>
      <c r="AD7" s="335" t="s">
        <v>15</v>
      </c>
      <c r="AE7" s="877"/>
      <c r="AF7" s="874"/>
      <c r="AG7" s="874"/>
      <c r="AH7" s="874"/>
    </row>
    <row r="8" spans="1:37" ht="170.25" customHeight="1">
      <c r="A8" s="944"/>
      <c r="B8" s="944"/>
      <c r="C8" s="1041">
        <v>1</v>
      </c>
      <c r="D8" s="1042" t="s">
        <v>728</v>
      </c>
      <c r="E8" s="1043"/>
      <c r="F8" s="1046"/>
      <c r="G8" s="1056" t="s">
        <v>28</v>
      </c>
      <c r="H8" s="1056" t="s">
        <v>59</v>
      </c>
      <c r="I8" s="1041" t="s">
        <v>25</v>
      </c>
      <c r="J8" s="1047"/>
      <c r="K8" s="1048"/>
      <c r="L8" s="1048"/>
      <c r="M8" s="1048"/>
      <c r="N8" s="1048"/>
      <c r="O8" s="1049"/>
      <c r="P8" s="1047"/>
      <c r="Q8" s="1048"/>
      <c r="R8" s="1048"/>
      <c r="S8" s="1049"/>
      <c r="T8" s="357"/>
      <c r="U8" s="1047"/>
      <c r="V8" s="1049"/>
      <c r="W8" s="1050" t="s">
        <v>729</v>
      </c>
      <c r="X8" s="1050" t="s">
        <v>730</v>
      </c>
      <c r="Y8" s="1052" t="s">
        <v>731</v>
      </c>
      <c r="Z8" s="1052"/>
      <c r="AA8" s="1053"/>
      <c r="AB8" s="384" t="s">
        <v>732</v>
      </c>
      <c r="AC8" s="34">
        <v>43914</v>
      </c>
      <c r="AD8" s="34">
        <v>44043</v>
      </c>
      <c r="AE8" s="29" t="s">
        <v>70</v>
      </c>
      <c r="AF8" s="336" t="s">
        <v>17</v>
      </c>
      <c r="AG8" s="31">
        <v>1</v>
      </c>
      <c r="AH8" s="32" t="s">
        <v>939</v>
      </c>
    </row>
    <row r="9" spans="1:37" ht="83.25" customHeight="1">
      <c r="A9" s="945"/>
      <c r="B9" s="945"/>
      <c r="C9" s="945"/>
      <c r="D9" s="1044"/>
      <c r="E9" s="1045"/>
      <c r="F9" s="972"/>
      <c r="G9" s="942"/>
      <c r="H9" s="942"/>
      <c r="I9" s="945"/>
      <c r="J9" s="950"/>
      <c r="K9" s="951"/>
      <c r="L9" s="951"/>
      <c r="M9" s="951"/>
      <c r="N9" s="951"/>
      <c r="O9" s="952"/>
      <c r="P9" s="950"/>
      <c r="Q9" s="951"/>
      <c r="R9" s="951"/>
      <c r="S9" s="952"/>
      <c r="T9" s="357"/>
      <c r="U9" s="950"/>
      <c r="V9" s="952"/>
      <c r="W9" s="1051"/>
      <c r="X9" s="1051"/>
      <c r="Y9" s="1039" t="s">
        <v>733</v>
      </c>
      <c r="Z9" s="1039"/>
      <c r="AA9" s="1040"/>
      <c r="AB9" s="384" t="s">
        <v>734</v>
      </c>
      <c r="AC9" s="22">
        <v>44044</v>
      </c>
      <c r="AD9" s="34">
        <v>44172</v>
      </c>
      <c r="AE9" s="29"/>
      <c r="AF9" s="336"/>
      <c r="AG9" s="31"/>
      <c r="AH9" s="32" t="s">
        <v>735</v>
      </c>
    </row>
    <row r="10" spans="1:37" ht="81.75" customHeight="1">
      <c r="A10" s="945"/>
      <c r="B10" s="945"/>
      <c r="C10" s="945"/>
      <c r="D10" s="1044"/>
      <c r="E10" s="1045"/>
      <c r="F10" s="972"/>
      <c r="G10" s="942"/>
      <c r="H10" s="942"/>
      <c r="I10" s="945"/>
      <c r="J10" s="950"/>
      <c r="K10" s="951"/>
      <c r="L10" s="951"/>
      <c r="M10" s="951"/>
      <c r="N10" s="951"/>
      <c r="O10" s="952"/>
      <c r="P10" s="950"/>
      <c r="Q10" s="951"/>
      <c r="R10" s="951"/>
      <c r="S10" s="952"/>
      <c r="T10" s="357"/>
      <c r="U10" s="950"/>
      <c r="V10" s="952"/>
      <c r="W10" s="1051"/>
      <c r="X10" s="1051"/>
      <c r="Y10" s="1039" t="s">
        <v>736</v>
      </c>
      <c r="Z10" s="1039"/>
      <c r="AA10" s="1040"/>
      <c r="AB10" s="361" t="s">
        <v>737</v>
      </c>
      <c r="AC10" s="34">
        <v>44165</v>
      </c>
      <c r="AD10" s="22">
        <v>44316</v>
      </c>
      <c r="AE10" s="29"/>
      <c r="AF10" s="336"/>
      <c r="AG10" s="31"/>
      <c r="AH10" s="32" t="s">
        <v>940</v>
      </c>
    </row>
    <row r="11" spans="1:37" ht="81.75" customHeight="1" thickBot="1">
      <c r="A11" s="945"/>
      <c r="B11" s="945"/>
      <c r="C11" s="945"/>
      <c r="D11" s="1044"/>
      <c r="E11" s="1045"/>
      <c r="F11" s="972"/>
      <c r="G11" s="942"/>
      <c r="H11" s="942"/>
      <c r="I11" s="945"/>
      <c r="J11" s="950"/>
      <c r="K11" s="951"/>
      <c r="L11" s="951"/>
      <c r="M11" s="951"/>
      <c r="N11" s="951"/>
      <c r="O11" s="952"/>
      <c r="P11" s="950"/>
      <c r="Q11" s="951"/>
      <c r="R11" s="951"/>
      <c r="S11" s="952"/>
      <c r="T11" s="484"/>
      <c r="U11" s="950"/>
      <c r="V11" s="952"/>
      <c r="W11" s="1051"/>
      <c r="X11" s="1051"/>
      <c r="Y11" s="1054" t="s">
        <v>738</v>
      </c>
      <c r="Z11" s="1054"/>
      <c r="AA11" s="1055"/>
      <c r="AB11" s="485" t="s">
        <v>739</v>
      </c>
      <c r="AC11" s="486">
        <v>44165</v>
      </c>
      <c r="AD11" s="23">
        <v>44227</v>
      </c>
      <c r="AE11" s="487"/>
      <c r="AF11" s="467"/>
      <c r="AG11" s="488"/>
      <c r="AH11" s="489" t="s">
        <v>735</v>
      </c>
    </row>
    <row r="12" spans="1:37" ht="91.5" customHeight="1">
      <c r="A12" s="1018"/>
      <c r="B12" s="944"/>
      <c r="C12" s="1021">
        <v>2</v>
      </c>
      <c r="D12" s="1024" t="s">
        <v>889</v>
      </c>
      <c r="E12" s="1025"/>
      <c r="F12" s="1030" t="s">
        <v>890</v>
      </c>
      <c r="G12" s="1033" t="s">
        <v>33</v>
      </c>
      <c r="H12" s="1033" t="s">
        <v>59</v>
      </c>
      <c r="I12" s="1021" t="s">
        <v>25</v>
      </c>
      <c r="J12" s="1064" t="s">
        <v>162</v>
      </c>
      <c r="K12" s="1065"/>
      <c r="L12" s="1065"/>
      <c r="M12" s="1065"/>
      <c r="N12" s="1065"/>
      <c r="O12" s="1066"/>
      <c r="P12" s="1064" t="s">
        <v>162</v>
      </c>
      <c r="Q12" s="1065"/>
      <c r="R12" s="1065"/>
      <c r="S12" s="1066"/>
      <c r="T12" s="494"/>
      <c r="U12" s="1064" t="s">
        <v>162</v>
      </c>
      <c r="V12" s="1066"/>
      <c r="W12" s="1057" t="s">
        <v>891</v>
      </c>
      <c r="X12" s="1057" t="s">
        <v>892</v>
      </c>
      <c r="Y12" s="1059" t="s">
        <v>893</v>
      </c>
      <c r="Z12" s="1059"/>
      <c r="AA12" s="1059"/>
      <c r="AB12" s="476" t="s">
        <v>894</v>
      </c>
      <c r="AC12" s="477">
        <v>43787</v>
      </c>
      <c r="AD12" s="477">
        <v>43791</v>
      </c>
      <c r="AE12" s="397" t="s">
        <v>68</v>
      </c>
      <c r="AF12" s="376" t="s">
        <v>17</v>
      </c>
      <c r="AG12" s="496">
        <v>1</v>
      </c>
      <c r="AH12" s="497" t="s">
        <v>895</v>
      </c>
    </row>
    <row r="13" spans="1:37" ht="64.5" customHeight="1">
      <c r="A13" s="1019"/>
      <c r="B13" s="945"/>
      <c r="C13" s="1022"/>
      <c r="D13" s="1026"/>
      <c r="E13" s="1027"/>
      <c r="F13" s="1031"/>
      <c r="G13" s="1034"/>
      <c r="H13" s="1034"/>
      <c r="I13" s="1022"/>
      <c r="J13" s="1011"/>
      <c r="K13" s="1012"/>
      <c r="L13" s="1012"/>
      <c r="M13" s="1012"/>
      <c r="N13" s="1012"/>
      <c r="O13" s="1013"/>
      <c r="P13" s="1011"/>
      <c r="Q13" s="1012"/>
      <c r="R13" s="1012"/>
      <c r="S13" s="1013"/>
      <c r="T13" s="451"/>
      <c r="U13" s="1011"/>
      <c r="V13" s="1013"/>
      <c r="W13" s="1000"/>
      <c r="X13" s="1000"/>
      <c r="Y13" s="1060" t="s">
        <v>896</v>
      </c>
      <c r="Z13" s="1061"/>
      <c r="AA13" s="465"/>
      <c r="AB13" s="452" t="s">
        <v>625</v>
      </c>
      <c r="AC13" s="456">
        <v>43787</v>
      </c>
      <c r="AD13" s="453">
        <v>43799</v>
      </c>
      <c r="AE13" s="465" t="s">
        <v>68</v>
      </c>
      <c r="AF13" s="464" t="s">
        <v>17</v>
      </c>
      <c r="AG13" s="454">
        <v>1</v>
      </c>
      <c r="AH13" s="498" t="s">
        <v>897</v>
      </c>
    </row>
    <row r="14" spans="1:37" ht="210.75" customHeight="1">
      <c r="A14" s="1019"/>
      <c r="B14" s="945"/>
      <c r="C14" s="1022"/>
      <c r="D14" s="1026"/>
      <c r="E14" s="1027"/>
      <c r="F14" s="1031"/>
      <c r="G14" s="1034"/>
      <c r="H14" s="1034"/>
      <c r="I14" s="1022"/>
      <c r="J14" s="1011"/>
      <c r="K14" s="1012"/>
      <c r="L14" s="1012"/>
      <c r="M14" s="1012"/>
      <c r="N14" s="1012"/>
      <c r="O14" s="1013"/>
      <c r="P14" s="1011"/>
      <c r="Q14" s="1012"/>
      <c r="R14" s="1012"/>
      <c r="S14" s="1013"/>
      <c r="T14" s="451"/>
      <c r="U14" s="1011"/>
      <c r="V14" s="1013"/>
      <c r="W14" s="1000"/>
      <c r="X14" s="1000"/>
      <c r="Y14" s="1060" t="s">
        <v>898</v>
      </c>
      <c r="Z14" s="1061"/>
      <c r="AA14" s="465"/>
      <c r="AB14" s="452" t="s">
        <v>899</v>
      </c>
      <c r="AC14" s="456">
        <v>43850</v>
      </c>
      <c r="AD14" s="453">
        <v>43861</v>
      </c>
      <c r="AE14" s="465" t="s">
        <v>68</v>
      </c>
      <c r="AF14" s="464" t="s">
        <v>17</v>
      </c>
      <c r="AG14" s="454">
        <v>1</v>
      </c>
      <c r="AH14" s="498" t="s">
        <v>900</v>
      </c>
    </row>
    <row r="15" spans="1:37" ht="81.75" customHeight="1" thickBot="1">
      <c r="A15" s="1020"/>
      <c r="B15" s="946"/>
      <c r="C15" s="1023"/>
      <c r="D15" s="1028"/>
      <c r="E15" s="1029"/>
      <c r="F15" s="1032"/>
      <c r="G15" s="1035"/>
      <c r="H15" s="1035"/>
      <c r="I15" s="1023"/>
      <c r="J15" s="1067"/>
      <c r="K15" s="1068"/>
      <c r="L15" s="1068"/>
      <c r="M15" s="1068"/>
      <c r="N15" s="1068"/>
      <c r="O15" s="1069"/>
      <c r="P15" s="1067"/>
      <c r="Q15" s="1068"/>
      <c r="R15" s="1068"/>
      <c r="S15" s="1069"/>
      <c r="T15" s="499"/>
      <c r="U15" s="1067"/>
      <c r="V15" s="1069"/>
      <c r="W15" s="1058"/>
      <c r="X15" s="1058"/>
      <c r="Y15" s="1062" t="s">
        <v>901</v>
      </c>
      <c r="Z15" s="1063"/>
      <c r="AA15" s="466"/>
      <c r="AB15" s="500" t="s">
        <v>902</v>
      </c>
      <c r="AC15" s="501" t="s">
        <v>903</v>
      </c>
      <c r="AD15" s="501">
        <v>44180</v>
      </c>
      <c r="AE15" s="466" t="s">
        <v>16</v>
      </c>
      <c r="AF15" s="383" t="s">
        <v>16</v>
      </c>
      <c r="AG15" s="502">
        <v>0</v>
      </c>
      <c r="AH15" s="503" t="s">
        <v>904</v>
      </c>
    </row>
    <row r="16" spans="1:37" ht="73.5" customHeight="1">
      <c r="A16" s="945"/>
      <c r="B16" s="945"/>
      <c r="C16" s="1022">
        <v>3</v>
      </c>
      <c r="D16" s="1026" t="s">
        <v>956</v>
      </c>
      <c r="E16" s="1027"/>
      <c r="F16" s="1031" t="s">
        <v>943</v>
      </c>
      <c r="G16" s="1034" t="s">
        <v>33</v>
      </c>
      <c r="H16" s="1034" t="s">
        <v>59</v>
      </c>
      <c r="I16" s="1022" t="s">
        <v>25</v>
      </c>
      <c r="J16" s="1011" t="s">
        <v>162</v>
      </c>
      <c r="K16" s="1012"/>
      <c r="L16" s="1012"/>
      <c r="M16" s="1012"/>
      <c r="N16" s="1012"/>
      <c r="O16" s="1013"/>
      <c r="P16" s="1011" t="s">
        <v>162</v>
      </c>
      <c r="Q16" s="1012"/>
      <c r="R16" s="1012"/>
      <c r="S16" s="1013"/>
      <c r="T16" s="490"/>
      <c r="U16" s="1011" t="s">
        <v>162</v>
      </c>
      <c r="V16" s="1013"/>
      <c r="W16" s="1000" t="s">
        <v>944</v>
      </c>
      <c r="X16" s="1000" t="s">
        <v>945</v>
      </c>
      <c r="Y16" s="1002" t="s">
        <v>946</v>
      </c>
      <c r="Z16" s="1002"/>
      <c r="AA16" s="1003"/>
      <c r="AB16" s="452" t="s">
        <v>569</v>
      </c>
      <c r="AC16" s="453">
        <v>43984</v>
      </c>
      <c r="AD16" s="453">
        <v>44014</v>
      </c>
      <c r="AE16" s="491"/>
      <c r="AF16" s="468"/>
      <c r="AG16" s="492"/>
      <c r="AH16" s="493"/>
    </row>
    <row r="17" spans="1:34" ht="50.25" customHeight="1">
      <c r="A17" s="945"/>
      <c r="B17" s="945"/>
      <c r="C17" s="1022"/>
      <c r="D17" s="1026"/>
      <c r="E17" s="1027"/>
      <c r="F17" s="1031"/>
      <c r="G17" s="1034"/>
      <c r="H17" s="1034"/>
      <c r="I17" s="1022"/>
      <c r="J17" s="1011"/>
      <c r="K17" s="1014"/>
      <c r="L17" s="1014"/>
      <c r="M17" s="1014"/>
      <c r="N17" s="1014"/>
      <c r="O17" s="1013"/>
      <c r="P17" s="1011"/>
      <c r="Q17" s="1014"/>
      <c r="R17" s="1014"/>
      <c r="S17" s="1013"/>
      <c r="T17" s="451"/>
      <c r="U17" s="1011"/>
      <c r="V17" s="1013"/>
      <c r="W17" s="1000"/>
      <c r="X17" s="1000"/>
      <c r="Y17" s="1004" t="s">
        <v>947</v>
      </c>
      <c r="Z17" s="1005"/>
      <c r="AA17" s="1006"/>
      <c r="AB17" s="478" t="s">
        <v>952</v>
      </c>
      <c r="AC17" s="479">
        <v>44014</v>
      </c>
      <c r="AD17" s="480">
        <v>44165</v>
      </c>
      <c r="AE17" s="465"/>
      <c r="AF17" s="464"/>
      <c r="AG17" s="454"/>
      <c r="AH17" s="455"/>
    </row>
    <row r="18" spans="1:34" ht="97.5" customHeight="1">
      <c r="A18" s="945"/>
      <c r="B18" s="945"/>
      <c r="C18" s="1022"/>
      <c r="D18" s="1026"/>
      <c r="E18" s="1027"/>
      <c r="F18" s="1031"/>
      <c r="G18" s="1034"/>
      <c r="H18" s="1034"/>
      <c r="I18" s="1022"/>
      <c r="J18" s="1011"/>
      <c r="K18" s="1014"/>
      <c r="L18" s="1014"/>
      <c r="M18" s="1014"/>
      <c r="N18" s="1014"/>
      <c r="O18" s="1013"/>
      <c r="P18" s="1011"/>
      <c r="Q18" s="1014"/>
      <c r="R18" s="1014"/>
      <c r="S18" s="1013"/>
      <c r="T18" s="451"/>
      <c r="U18" s="1011"/>
      <c r="V18" s="1013"/>
      <c r="W18" s="1000"/>
      <c r="X18" s="1000"/>
      <c r="Y18" s="1007" t="s">
        <v>948</v>
      </c>
      <c r="Z18" s="1007"/>
      <c r="AA18" s="1007"/>
      <c r="AB18" s="457" t="s">
        <v>569</v>
      </c>
      <c r="AC18" s="456">
        <v>43984</v>
      </c>
      <c r="AD18" s="456">
        <v>44043</v>
      </c>
      <c r="AE18" s="465"/>
      <c r="AF18" s="464"/>
      <c r="AG18" s="454"/>
      <c r="AH18" s="455"/>
    </row>
    <row r="19" spans="1:34" ht="123" customHeight="1">
      <c r="A19" s="945"/>
      <c r="B19" s="945"/>
      <c r="C19" s="1022"/>
      <c r="D19" s="1026"/>
      <c r="E19" s="1027"/>
      <c r="F19" s="1031"/>
      <c r="G19" s="1034"/>
      <c r="H19" s="1034"/>
      <c r="I19" s="1022"/>
      <c r="J19" s="1011"/>
      <c r="K19" s="1014"/>
      <c r="L19" s="1014"/>
      <c r="M19" s="1014"/>
      <c r="N19" s="1014"/>
      <c r="O19" s="1013"/>
      <c r="P19" s="1011"/>
      <c r="Q19" s="1014"/>
      <c r="R19" s="1014"/>
      <c r="S19" s="1013"/>
      <c r="T19" s="451"/>
      <c r="U19" s="1011"/>
      <c r="V19" s="1013"/>
      <c r="W19" s="1000"/>
      <c r="X19" s="1000"/>
      <c r="Y19" s="1008" t="s">
        <v>949</v>
      </c>
      <c r="Z19" s="1009"/>
      <c r="AA19" s="1010"/>
      <c r="AB19" s="452" t="s">
        <v>953</v>
      </c>
      <c r="AC19" s="481">
        <v>44044</v>
      </c>
      <c r="AD19" s="482">
        <v>44104</v>
      </c>
      <c r="AE19" s="465"/>
      <c r="AF19" s="464"/>
      <c r="AG19" s="454"/>
      <c r="AH19" s="455"/>
    </row>
    <row r="20" spans="1:34" ht="110.25" customHeight="1">
      <c r="A20" s="945"/>
      <c r="B20" s="945"/>
      <c r="C20" s="1022"/>
      <c r="D20" s="1026"/>
      <c r="E20" s="1027"/>
      <c r="F20" s="1031"/>
      <c r="G20" s="1034"/>
      <c r="H20" s="1034"/>
      <c r="I20" s="1022"/>
      <c r="J20" s="1011"/>
      <c r="K20" s="1014"/>
      <c r="L20" s="1014"/>
      <c r="M20" s="1014"/>
      <c r="N20" s="1014"/>
      <c r="O20" s="1013"/>
      <c r="P20" s="1011"/>
      <c r="Q20" s="1014"/>
      <c r="R20" s="1014"/>
      <c r="S20" s="1013"/>
      <c r="T20" s="451"/>
      <c r="U20" s="1011"/>
      <c r="V20" s="1013"/>
      <c r="W20" s="1000"/>
      <c r="X20" s="1000"/>
      <c r="Y20" s="1008" t="s">
        <v>950</v>
      </c>
      <c r="Z20" s="1009"/>
      <c r="AA20" s="1010"/>
      <c r="AB20" s="457" t="s">
        <v>954</v>
      </c>
      <c r="AC20" s="453">
        <v>44104</v>
      </c>
      <c r="AD20" s="456">
        <v>44196</v>
      </c>
      <c r="AE20" s="465"/>
      <c r="AF20" s="464"/>
      <c r="AG20" s="454"/>
      <c r="AH20" s="455"/>
    </row>
    <row r="21" spans="1:34" ht="81.75" customHeight="1" thickBot="1">
      <c r="A21" s="945"/>
      <c r="B21" s="945"/>
      <c r="C21" s="1022"/>
      <c r="D21" s="1026"/>
      <c r="E21" s="1027"/>
      <c r="F21" s="1031"/>
      <c r="G21" s="1034"/>
      <c r="H21" s="1034"/>
      <c r="I21" s="1022"/>
      <c r="J21" s="1011"/>
      <c r="K21" s="1012"/>
      <c r="L21" s="1012"/>
      <c r="M21" s="1012"/>
      <c r="N21" s="1012"/>
      <c r="O21" s="1013"/>
      <c r="P21" s="1011"/>
      <c r="Q21" s="1012"/>
      <c r="R21" s="1012"/>
      <c r="S21" s="1013"/>
      <c r="T21" s="1248"/>
      <c r="U21" s="1011"/>
      <c r="V21" s="1013"/>
      <c r="W21" s="1000"/>
      <c r="X21" s="1000"/>
      <c r="Y21" s="1005" t="s">
        <v>951</v>
      </c>
      <c r="Z21" s="1005"/>
      <c r="AA21" s="1006"/>
      <c r="AB21" s="1249" t="s">
        <v>955</v>
      </c>
      <c r="AC21" s="1250">
        <v>44209</v>
      </c>
      <c r="AD21" s="1250">
        <v>44285</v>
      </c>
      <c r="AE21" s="517"/>
      <c r="AF21" s="570"/>
      <c r="AG21" s="1251"/>
      <c r="AH21" s="1252"/>
    </row>
    <row r="22" spans="1:34" ht="152.25" customHeight="1">
      <c r="A22" s="1018"/>
      <c r="B22" s="944"/>
      <c r="C22" s="944">
        <v>4</v>
      </c>
      <c r="D22" s="965" t="s">
        <v>970</v>
      </c>
      <c r="E22" s="966"/>
      <c r="F22" s="1258" t="s">
        <v>971</v>
      </c>
      <c r="G22" s="1259" t="s">
        <v>33</v>
      </c>
      <c r="H22" s="1259" t="s">
        <v>59</v>
      </c>
      <c r="I22" s="1260" t="s">
        <v>25</v>
      </c>
      <c r="J22" s="1261" t="s">
        <v>162</v>
      </c>
      <c r="K22" s="1262"/>
      <c r="L22" s="1262"/>
      <c r="M22" s="1262"/>
      <c r="N22" s="1262"/>
      <c r="O22" s="1263"/>
      <c r="P22" s="1261" t="s">
        <v>162</v>
      </c>
      <c r="Q22" s="1262"/>
      <c r="R22" s="1262"/>
      <c r="S22" s="1263"/>
      <c r="T22" s="1264"/>
      <c r="U22" s="1261" t="s">
        <v>162</v>
      </c>
      <c r="V22" s="1263"/>
      <c r="W22" s="1265" t="s">
        <v>977</v>
      </c>
      <c r="X22" s="956" t="s">
        <v>978</v>
      </c>
      <c r="Y22" s="1240" t="s">
        <v>1002</v>
      </c>
      <c r="Z22" s="1075"/>
      <c r="AA22" s="1076"/>
      <c r="AB22" s="476" t="s">
        <v>569</v>
      </c>
      <c r="AC22" s="524">
        <v>43992</v>
      </c>
      <c r="AD22" s="477">
        <v>44022</v>
      </c>
      <c r="AE22" s="1254"/>
      <c r="AF22" s="376"/>
      <c r="AG22" s="375"/>
      <c r="AH22" s="518"/>
    </row>
    <row r="23" spans="1:34" ht="75" customHeight="1">
      <c r="A23" s="1019"/>
      <c r="B23" s="945"/>
      <c r="C23" s="945"/>
      <c r="D23" s="967"/>
      <c r="E23" s="968"/>
      <c r="F23" s="1220"/>
      <c r="G23" s="1229"/>
      <c r="H23" s="1229"/>
      <c r="I23" s="1231"/>
      <c r="J23" s="1235"/>
      <c r="K23" s="1236"/>
      <c r="L23" s="1236"/>
      <c r="M23" s="1236"/>
      <c r="N23" s="1236"/>
      <c r="O23" s="1237"/>
      <c r="P23" s="1235"/>
      <c r="Q23" s="1236"/>
      <c r="R23" s="1236"/>
      <c r="S23" s="1237"/>
      <c r="T23" s="561"/>
      <c r="U23" s="1235"/>
      <c r="V23" s="1237"/>
      <c r="W23" s="1266"/>
      <c r="X23" s="957"/>
      <c r="Y23" s="1009" t="s">
        <v>972</v>
      </c>
      <c r="Z23" s="1009"/>
      <c r="AA23" s="1010"/>
      <c r="AB23" s="452" t="s">
        <v>973</v>
      </c>
      <c r="AC23" s="456">
        <v>44022</v>
      </c>
      <c r="AD23" s="453">
        <v>44119</v>
      </c>
      <c r="AE23" s="29"/>
      <c r="AF23" s="560"/>
      <c r="AG23" s="31"/>
      <c r="AH23" s="519"/>
    </row>
    <row r="24" spans="1:34" ht="81.75" customHeight="1">
      <c r="A24" s="1019"/>
      <c r="B24" s="945"/>
      <c r="C24" s="945"/>
      <c r="D24" s="967"/>
      <c r="E24" s="968"/>
      <c r="F24" s="1220"/>
      <c r="G24" s="1229"/>
      <c r="H24" s="1229"/>
      <c r="I24" s="1231"/>
      <c r="J24" s="1235"/>
      <c r="K24" s="1236"/>
      <c r="L24" s="1236"/>
      <c r="M24" s="1236"/>
      <c r="N24" s="1236"/>
      <c r="O24" s="1237"/>
      <c r="P24" s="1235"/>
      <c r="Q24" s="1236"/>
      <c r="R24" s="1236"/>
      <c r="S24" s="1237"/>
      <c r="T24" s="561"/>
      <c r="U24" s="1235"/>
      <c r="V24" s="1237"/>
      <c r="W24" s="1266"/>
      <c r="X24" s="957"/>
      <c r="Y24" s="1077" t="s">
        <v>974</v>
      </c>
      <c r="Z24" s="1077"/>
      <c r="AA24" s="1078"/>
      <c r="AB24" s="525" t="s">
        <v>975</v>
      </c>
      <c r="AC24" s="456">
        <v>44022</v>
      </c>
      <c r="AD24" s="453">
        <v>44119</v>
      </c>
      <c r="AE24" s="29"/>
      <c r="AF24" s="560"/>
      <c r="AG24" s="31"/>
      <c r="AH24" s="519"/>
    </row>
    <row r="25" spans="1:34" ht="81.75" customHeight="1" thickBot="1">
      <c r="A25" s="1020"/>
      <c r="B25" s="946"/>
      <c r="C25" s="946"/>
      <c r="D25" s="969"/>
      <c r="E25" s="970"/>
      <c r="F25" s="1267"/>
      <c r="G25" s="1268"/>
      <c r="H25" s="1268"/>
      <c r="I25" s="1269"/>
      <c r="J25" s="1270"/>
      <c r="K25" s="1271"/>
      <c r="L25" s="1271"/>
      <c r="M25" s="1271"/>
      <c r="N25" s="1271"/>
      <c r="O25" s="1272"/>
      <c r="P25" s="1270"/>
      <c r="Q25" s="1271"/>
      <c r="R25" s="1271"/>
      <c r="S25" s="1272"/>
      <c r="T25" s="1273"/>
      <c r="U25" s="1270"/>
      <c r="V25" s="1272"/>
      <c r="W25" s="1274"/>
      <c r="X25" s="958"/>
      <c r="Y25" s="1244" t="s">
        <v>1003</v>
      </c>
      <c r="Z25" s="1245"/>
      <c r="AA25" s="1246"/>
      <c r="AB25" s="500" t="s">
        <v>976</v>
      </c>
      <c r="AC25" s="1256">
        <v>44022</v>
      </c>
      <c r="AD25" s="1256">
        <v>44155</v>
      </c>
      <c r="AE25" s="1257"/>
      <c r="AF25" s="383"/>
      <c r="AG25" s="382"/>
      <c r="AH25" s="523"/>
    </row>
    <row r="26" spans="1:34" ht="73.5" customHeight="1">
      <c r="A26" s="1018"/>
      <c r="B26" s="944"/>
      <c r="C26" s="1021">
        <v>5</v>
      </c>
      <c r="D26" s="1024" t="s">
        <v>1005</v>
      </c>
      <c r="E26" s="1025"/>
      <c r="F26" s="1030" t="s">
        <v>1006</v>
      </c>
      <c r="G26" s="1033" t="s">
        <v>42</v>
      </c>
      <c r="H26" s="1033" t="s">
        <v>59</v>
      </c>
      <c r="I26" s="1021" t="s">
        <v>25</v>
      </c>
      <c r="J26" s="1064" t="s">
        <v>162</v>
      </c>
      <c r="K26" s="1065"/>
      <c r="L26" s="1065"/>
      <c r="M26" s="1065"/>
      <c r="N26" s="1065"/>
      <c r="O26" s="1066"/>
      <c r="P26" s="1064" t="s">
        <v>162</v>
      </c>
      <c r="Q26" s="1065"/>
      <c r="R26" s="1065"/>
      <c r="S26" s="1066"/>
      <c r="T26" s="494"/>
      <c r="U26" s="1064" t="s">
        <v>162</v>
      </c>
      <c r="V26" s="1066"/>
      <c r="W26" s="1057" t="s">
        <v>1004</v>
      </c>
      <c r="X26" s="1057" t="s">
        <v>1007</v>
      </c>
      <c r="Y26" s="1242" t="s">
        <v>1008</v>
      </c>
      <c r="Z26" s="1242"/>
      <c r="AA26" s="1242"/>
      <c r="AB26" s="476" t="s">
        <v>1009</v>
      </c>
      <c r="AC26" s="514">
        <v>44071</v>
      </c>
      <c r="AD26" s="514">
        <v>44085</v>
      </c>
      <c r="AE26" s="571"/>
      <c r="AF26" s="376"/>
      <c r="AG26" s="496"/>
      <c r="AH26" s="497"/>
    </row>
    <row r="27" spans="1:34" ht="50.25" customHeight="1">
      <c r="A27" s="1019"/>
      <c r="B27" s="945"/>
      <c r="C27" s="1022"/>
      <c r="D27" s="1026"/>
      <c r="E27" s="1027"/>
      <c r="F27" s="1031"/>
      <c r="G27" s="1034"/>
      <c r="H27" s="1034"/>
      <c r="I27" s="1022"/>
      <c r="J27" s="1011"/>
      <c r="K27" s="1012"/>
      <c r="L27" s="1012"/>
      <c r="M27" s="1012"/>
      <c r="N27" s="1012"/>
      <c r="O27" s="1013"/>
      <c r="P27" s="1011"/>
      <c r="Q27" s="1012"/>
      <c r="R27" s="1012"/>
      <c r="S27" s="1013"/>
      <c r="T27" s="451"/>
      <c r="U27" s="1011"/>
      <c r="V27" s="1013"/>
      <c r="W27" s="1000"/>
      <c r="X27" s="1000"/>
      <c r="Y27" s="1007" t="s">
        <v>1010</v>
      </c>
      <c r="Z27" s="1007"/>
      <c r="AA27" s="1007"/>
      <c r="AB27" s="575" t="s">
        <v>1011</v>
      </c>
      <c r="AC27" s="481">
        <v>44085</v>
      </c>
      <c r="AD27" s="481">
        <v>44104</v>
      </c>
      <c r="AE27" s="563"/>
      <c r="AF27" s="560"/>
      <c r="AG27" s="454"/>
      <c r="AH27" s="498"/>
    </row>
    <row r="28" spans="1:34" ht="97.5" customHeight="1">
      <c r="A28" s="1019"/>
      <c r="B28" s="945"/>
      <c r="C28" s="1022"/>
      <c r="D28" s="1026"/>
      <c r="E28" s="1027"/>
      <c r="F28" s="1031"/>
      <c r="G28" s="1034"/>
      <c r="H28" s="1034"/>
      <c r="I28" s="1022"/>
      <c r="J28" s="1011"/>
      <c r="K28" s="1012"/>
      <c r="L28" s="1012"/>
      <c r="M28" s="1012"/>
      <c r="N28" s="1012"/>
      <c r="O28" s="1013"/>
      <c r="P28" s="1011"/>
      <c r="Q28" s="1012"/>
      <c r="R28" s="1012"/>
      <c r="S28" s="1013"/>
      <c r="T28" s="451"/>
      <c r="U28" s="1011"/>
      <c r="V28" s="1013"/>
      <c r="W28" s="1000"/>
      <c r="X28" s="1000"/>
      <c r="Y28" s="1007" t="s">
        <v>1012</v>
      </c>
      <c r="Z28" s="1007"/>
      <c r="AA28" s="1007"/>
      <c r="AB28" s="483" t="s">
        <v>165</v>
      </c>
      <c r="AC28" s="481">
        <v>44071</v>
      </c>
      <c r="AD28" s="481">
        <v>44078</v>
      </c>
      <c r="AE28" s="563"/>
      <c r="AF28" s="560"/>
      <c r="AG28" s="454"/>
      <c r="AH28" s="498"/>
    </row>
    <row r="29" spans="1:34" ht="90.75" customHeight="1">
      <c r="A29" s="1019"/>
      <c r="B29" s="945"/>
      <c r="C29" s="1022"/>
      <c r="D29" s="1026"/>
      <c r="E29" s="1027"/>
      <c r="F29" s="1031"/>
      <c r="G29" s="1034"/>
      <c r="H29" s="1034"/>
      <c r="I29" s="1022"/>
      <c r="J29" s="1011"/>
      <c r="K29" s="1012"/>
      <c r="L29" s="1012"/>
      <c r="M29" s="1012"/>
      <c r="N29" s="1012"/>
      <c r="O29" s="1013"/>
      <c r="P29" s="1011"/>
      <c r="Q29" s="1012"/>
      <c r="R29" s="1012"/>
      <c r="S29" s="1013"/>
      <c r="T29" s="451"/>
      <c r="U29" s="1011"/>
      <c r="V29" s="1013"/>
      <c r="W29" s="1000"/>
      <c r="X29" s="1000"/>
      <c r="Y29" s="1243" t="s">
        <v>1013</v>
      </c>
      <c r="Z29" s="1243"/>
      <c r="AA29" s="1243"/>
      <c r="AB29" s="575" t="s">
        <v>1014</v>
      </c>
      <c r="AC29" s="481">
        <v>44071</v>
      </c>
      <c r="AD29" s="481">
        <v>44177</v>
      </c>
      <c r="AE29" s="563"/>
      <c r="AF29" s="560"/>
      <c r="AG29" s="454"/>
      <c r="AH29" s="498"/>
    </row>
    <row r="30" spans="1:34" ht="83.25" customHeight="1">
      <c r="A30" s="1019"/>
      <c r="B30" s="945"/>
      <c r="C30" s="1022"/>
      <c r="D30" s="1026"/>
      <c r="E30" s="1027"/>
      <c r="F30" s="1031"/>
      <c r="G30" s="1034"/>
      <c r="H30" s="1034"/>
      <c r="I30" s="1022"/>
      <c r="J30" s="1011"/>
      <c r="K30" s="1012"/>
      <c r="L30" s="1012"/>
      <c r="M30" s="1012"/>
      <c r="N30" s="1012"/>
      <c r="O30" s="1013"/>
      <c r="P30" s="1011"/>
      <c r="Q30" s="1012"/>
      <c r="R30" s="1012"/>
      <c r="S30" s="1013"/>
      <c r="T30" s="451"/>
      <c r="U30" s="1011"/>
      <c r="V30" s="1013"/>
      <c r="W30" s="1000"/>
      <c r="X30" s="1000"/>
      <c r="Y30" s="1007" t="s">
        <v>1015</v>
      </c>
      <c r="Z30" s="1007"/>
      <c r="AA30" s="1007"/>
      <c r="AB30" s="575" t="s">
        <v>1009</v>
      </c>
      <c r="AC30" s="481">
        <v>44071</v>
      </c>
      <c r="AD30" s="481">
        <v>44177</v>
      </c>
      <c r="AE30" s="563"/>
      <c r="AF30" s="560"/>
      <c r="AG30" s="454"/>
      <c r="AH30" s="498"/>
    </row>
    <row r="31" spans="1:34" ht="81.75" customHeight="1" thickBot="1">
      <c r="A31" s="1020"/>
      <c r="B31" s="946"/>
      <c r="C31" s="1023"/>
      <c r="D31" s="1028"/>
      <c r="E31" s="1029"/>
      <c r="F31" s="1032"/>
      <c r="G31" s="1035"/>
      <c r="H31" s="1035"/>
      <c r="I31" s="1023"/>
      <c r="J31" s="1067"/>
      <c r="K31" s="1068"/>
      <c r="L31" s="1068"/>
      <c r="M31" s="1068"/>
      <c r="N31" s="1068"/>
      <c r="O31" s="1069"/>
      <c r="P31" s="1067"/>
      <c r="Q31" s="1068"/>
      <c r="R31" s="1068"/>
      <c r="S31" s="1069"/>
      <c r="T31" s="499"/>
      <c r="U31" s="1067"/>
      <c r="V31" s="1069"/>
      <c r="W31" s="1058"/>
      <c r="X31" s="1058"/>
      <c r="Y31" s="1244" t="s">
        <v>1016</v>
      </c>
      <c r="Z31" s="1245"/>
      <c r="AA31" s="1246"/>
      <c r="AB31" s="1247" t="s">
        <v>1017</v>
      </c>
      <c r="AC31" s="522">
        <v>44212</v>
      </c>
      <c r="AD31" s="522">
        <v>44285</v>
      </c>
      <c r="AE31" s="564"/>
      <c r="AF31" s="383"/>
      <c r="AG31" s="502"/>
      <c r="AH31" s="503"/>
    </row>
    <row r="32" spans="1:34" ht="81.75" customHeight="1">
      <c r="A32" s="1041"/>
      <c r="B32" s="1041"/>
      <c r="C32" s="1275">
        <v>6</v>
      </c>
      <c r="D32" s="1276" t="s">
        <v>1018</v>
      </c>
      <c r="E32" s="1277"/>
      <c r="F32" s="1278">
        <v>44055</v>
      </c>
      <c r="G32" s="1056" t="s">
        <v>38</v>
      </c>
      <c r="H32" s="1056" t="s">
        <v>65</v>
      </c>
      <c r="I32" s="1041" t="s">
        <v>23</v>
      </c>
      <c r="J32" s="1279" t="s">
        <v>162</v>
      </c>
      <c r="K32" s="1280"/>
      <c r="L32" s="1280"/>
      <c r="M32" s="1280"/>
      <c r="N32" s="1280"/>
      <c r="O32" s="1281"/>
      <c r="P32" s="1279" t="s">
        <v>162</v>
      </c>
      <c r="Q32" s="1280"/>
      <c r="R32" s="1280"/>
      <c r="S32" s="1281"/>
      <c r="T32" s="451"/>
      <c r="U32" s="1279" t="s">
        <v>162</v>
      </c>
      <c r="V32" s="1281"/>
      <c r="W32" s="1282" t="s">
        <v>1019</v>
      </c>
      <c r="X32" s="1282" t="s">
        <v>1020</v>
      </c>
      <c r="Y32" s="1283" t="s">
        <v>1021</v>
      </c>
      <c r="Z32" s="1283"/>
      <c r="AA32" s="1283"/>
      <c r="AB32" s="452" t="s">
        <v>1022</v>
      </c>
      <c r="AC32" s="453">
        <v>44055</v>
      </c>
      <c r="AD32" s="453">
        <v>44377</v>
      </c>
      <c r="AE32" s="29"/>
      <c r="AF32" s="560"/>
      <c r="AG32" s="454"/>
      <c r="AH32" s="455"/>
    </row>
    <row r="33" spans="1:34" ht="81.75" customHeight="1">
      <c r="A33" s="945"/>
      <c r="B33" s="945"/>
      <c r="C33" s="1022"/>
      <c r="D33" s="1026"/>
      <c r="E33" s="1027"/>
      <c r="F33" s="1031"/>
      <c r="G33" s="942"/>
      <c r="H33" s="942"/>
      <c r="I33" s="945"/>
      <c r="J33" s="1011"/>
      <c r="K33" s="1012"/>
      <c r="L33" s="1012"/>
      <c r="M33" s="1012"/>
      <c r="N33" s="1012"/>
      <c r="O33" s="1013"/>
      <c r="P33" s="1011"/>
      <c r="Q33" s="1012"/>
      <c r="R33" s="1012"/>
      <c r="S33" s="1013"/>
      <c r="T33" s="451"/>
      <c r="U33" s="1011"/>
      <c r="V33" s="1013"/>
      <c r="W33" s="1000"/>
      <c r="X33" s="1000"/>
      <c r="Y33" s="1008" t="s">
        <v>1023</v>
      </c>
      <c r="Z33" s="1009"/>
      <c r="AA33" s="1010"/>
      <c r="AB33" s="452" t="s">
        <v>1024</v>
      </c>
      <c r="AC33" s="456">
        <v>44055</v>
      </c>
      <c r="AD33" s="453">
        <v>44126</v>
      </c>
      <c r="AE33" s="29"/>
      <c r="AF33" s="560"/>
      <c r="AG33" s="454"/>
      <c r="AH33" s="455"/>
    </row>
    <row r="34" spans="1:34" ht="81.75" customHeight="1">
      <c r="A34" s="945"/>
      <c r="B34" s="945"/>
      <c r="C34" s="1022"/>
      <c r="D34" s="1026"/>
      <c r="E34" s="1027"/>
      <c r="F34" s="1031"/>
      <c r="G34" s="942"/>
      <c r="H34" s="942"/>
      <c r="I34" s="945"/>
      <c r="J34" s="1011"/>
      <c r="K34" s="1012"/>
      <c r="L34" s="1012"/>
      <c r="M34" s="1012"/>
      <c r="N34" s="1012"/>
      <c r="O34" s="1013"/>
      <c r="P34" s="1011"/>
      <c r="Q34" s="1012"/>
      <c r="R34" s="1012"/>
      <c r="S34" s="1013"/>
      <c r="T34" s="451"/>
      <c r="U34" s="1011"/>
      <c r="V34" s="1013"/>
      <c r="W34" s="1000"/>
      <c r="X34" s="1000"/>
      <c r="Y34" s="1007" t="s">
        <v>1025</v>
      </c>
      <c r="Z34" s="1007"/>
      <c r="AA34" s="1007"/>
      <c r="AB34" s="575" t="s">
        <v>1026</v>
      </c>
      <c r="AC34" s="456">
        <v>44055</v>
      </c>
      <c r="AD34" s="453">
        <v>44126</v>
      </c>
      <c r="AE34" s="29"/>
      <c r="AF34" s="560"/>
      <c r="AG34" s="454"/>
      <c r="AH34" s="455"/>
    </row>
    <row r="35" spans="1:34" ht="81.75" customHeight="1">
      <c r="A35" s="945"/>
      <c r="B35" s="945"/>
      <c r="C35" s="1022"/>
      <c r="D35" s="1026"/>
      <c r="E35" s="1027"/>
      <c r="F35" s="1031"/>
      <c r="G35" s="942"/>
      <c r="H35" s="942"/>
      <c r="I35" s="945"/>
      <c r="J35" s="1011"/>
      <c r="K35" s="1012"/>
      <c r="L35" s="1012"/>
      <c r="M35" s="1012"/>
      <c r="N35" s="1012"/>
      <c r="O35" s="1013"/>
      <c r="P35" s="1011"/>
      <c r="Q35" s="1012"/>
      <c r="R35" s="1012"/>
      <c r="S35" s="1013"/>
      <c r="T35" s="451"/>
      <c r="U35" s="1011"/>
      <c r="V35" s="1013"/>
      <c r="W35" s="1000"/>
      <c r="X35" s="1000"/>
      <c r="Y35" s="1008" t="s">
        <v>1027</v>
      </c>
      <c r="Z35" s="1009"/>
      <c r="AA35" s="1010"/>
      <c r="AB35" s="575" t="s">
        <v>1028</v>
      </c>
      <c r="AC35" s="456">
        <v>44207</v>
      </c>
      <c r="AD35" s="453">
        <v>44377</v>
      </c>
      <c r="AE35" s="29"/>
      <c r="AF35" s="560"/>
      <c r="AG35" s="454"/>
      <c r="AH35" s="455"/>
    </row>
    <row r="36" spans="1:34" ht="81.75" customHeight="1">
      <c r="A36" s="1070"/>
      <c r="B36" s="1070"/>
      <c r="C36" s="1071"/>
      <c r="D36" s="1072"/>
      <c r="E36" s="1073"/>
      <c r="F36" s="1074"/>
      <c r="G36" s="1284"/>
      <c r="H36" s="1284"/>
      <c r="I36" s="1070"/>
      <c r="J36" s="1015"/>
      <c r="K36" s="1016"/>
      <c r="L36" s="1016"/>
      <c r="M36" s="1016"/>
      <c r="N36" s="1016"/>
      <c r="O36" s="1017"/>
      <c r="P36" s="1015"/>
      <c r="Q36" s="1016"/>
      <c r="R36" s="1016"/>
      <c r="S36" s="1017"/>
      <c r="T36" s="451"/>
      <c r="U36" s="1015"/>
      <c r="V36" s="1017"/>
      <c r="W36" s="1001"/>
      <c r="X36" s="1001"/>
      <c r="Y36" s="1060" t="s">
        <v>1029</v>
      </c>
      <c r="Z36" s="1061"/>
      <c r="AA36" s="563"/>
      <c r="AB36" s="1285" t="s">
        <v>270</v>
      </c>
      <c r="AC36" s="456">
        <v>44126</v>
      </c>
      <c r="AD36" s="456">
        <v>44165</v>
      </c>
      <c r="AE36" s="29"/>
      <c r="AF36" s="560"/>
      <c r="AG36" s="454"/>
      <c r="AH36" s="455"/>
    </row>
    <row r="37" spans="1:34" ht="114" customHeight="1">
      <c r="A37" s="1041"/>
      <c r="B37" s="1041"/>
      <c r="C37" s="1275">
        <v>7</v>
      </c>
      <c r="D37" s="1276" t="s">
        <v>1030</v>
      </c>
      <c r="E37" s="1277"/>
      <c r="F37" s="1278">
        <v>44055</v>
      </c>
      <c r="G37" s="1056" t="s">
        <v>38</v>
      </c>
      <c r="H37" s="1056" t="s">
        <v>59</v>
      </c>
      <c r="I37" s="1041" t="s">
        <v>25</v>
      </c>
      <c r="J37" s="1286" t="s">
        <v>162</v>
      </c>
      <c r="K37" s="1287"/>
      <c r="L37" s="1287"/>
      <c r="M37" s="1287"/>
      <c r="N37" s="1287"/>
      <c r="O37" s="1288"/>
      <c r="P37" s="1279" t="s">
        <v>162</v>
      </c>
      <c r="Q37" s="1280"/>
      <c r="R37" s="1280"/>
      <c r="S37" s="1281"/>
      <c r="T37" s="451"/>
      <c r="U37" s="1279" t="s">
        <v>162</v>
      </c>
      <c r="V37" s="1281"/>
      <c r="W37" s="1282" t="s">
        <v>1031</v>
      </c>
      <c r="X37" s="1282" t="s">
        <v>1032</v>
      </c>
      <c r="Y37" s="1060" t="s">
        <v>1033</v>
      </c>
      <c r="Z37" s="1061"/>
      <c r="AA37" s="563"/>
      <c r="AB37" s="1285" t="s">
        <v>165</v>
      </c>
      <c r="AC37" s="456">
        <v>44055</v>
      </c>
      <c r="AD37" s="456">
        <v>44074</v>
      </c>
      <c r="AE37" s="29"/>
      <c r="AF37" s="560"/>
      <c r="AG37" s="454"/>
      <c r="AH37" s="455"/>
    </row>
    <row r="38" spans="1:34" ht="81.75" customHeight="1">
      <c r="A38" s="945"/>
      <c r="B38" s="945"/>
      <c r="C38" s="1022"/>
      <c r="D38" s="1026"/>
      <c r="E38" s="1027"/>
      <c r="F38" s="1031"/>
      <c r="G38" s="942"/>
      <c r="H38" s="942"/>
      <c r="I38" s="945"/>
      <c r="J38" s="1289"/>
      <c r="K38" s="1290"/>
      <c r="L38" s="1290"/>
      <c r="M38" s="1290"/>
      <c r="N38" s="1290"/>
      <c r="O38" s="1291"/>
      <c r="P38" s="1011"/>
      <c r="Q38" s="1012"/>
      <c r="R38" s="1012"/>
      <c r="S38" s="1013"/>
      <c r="T38" s="451"/>
      <c r="U38" s="1011"/>
      <c r="V38" s="1013"/>
      <c r="W38" s="1000"/>
      <c r="X38" s="1000"/>
      <c r="Y38" s="1060" t="s">
        <v>1034</v>
      </c>
      <c r="Z38" s="1061"/>
      <c r="AA38" s="563"/>
      <c r="AB38" s="1285" t="s">
        <v>1035</v>
      </c>
      <c r="AC38" s="456">
        <v>44075</v>
      </c>
      <c r="AD38" s="456">
        <v>44104</v>
      </c>
      <c r="AE38" s="29"/>
      <c r="AF38" s="560"/>
      <c r="AG38" s="454"/>
      <c r="AH38" s="455"/>
    </row>
    <row r="39" spans="1:34" ht="81.75" customHeight="1">
      <c r="A39" s="1070"/>
      <c r="B39" s="1070"/>
      <c r="C39" s="1071"/>
      <c r="D39" s="1072"/>
      <c r="E39" s="1073"/>
      <c r="F39" s="1074"/>
      <c r="G39" s="1284"/>
      <c r="H39" s="1284"/>
      <c r="I39" s="1070"/>
      <c r="J39" s="1292"/>
      <c r="K39" s="1293"/>
      <c r="L39" s="1293"/>
      <c r="M39" s="1293"/>
      <c r="N39" s="1293"/>
      <c r="O39" s="1294"/>
      <c r="P39" s="1015"/>
      <c r="Q39" s="1016"/>
      <c r="R39" s="1016"/>
      <c r="S39" s="1017"/>
      <c r="T39" s="451"/>
      <c r="U39" s="1015"/>
      <c r="V39" s="1017"/>
      <c r="W39" s="1001"/>
      <c r="X39" s="1001"/>
      <c r="Y39" s="1060" t="s">
        <v>1036</v>
      </c>
      <c r="Z39" s="1061"/>
      <c r="AA39" s="563"/>
      <c r="AB39" s="1285" t="s">
        <v>1032</v>
      </c>
      <c r="AC39" s="456">
        <v>44104</v>
      </c>
      <c r="AD39" s="456">
        <v>44119</v>
      </c>
      <c r="AE39" s="29"/>
      <c r="AF39" s="560"/>
      <c r="AG39" s="454"/>
      <c r="AH39" s="455"/>
    </row>
    <row r="40" spans="1:34" ht="129.94999999999999" customHeight="1">
      <c r="A40" s="572"/>
      <c r="B40" s="572"/>
      <c r="C40" s="573">
        <v>8</v>
      </c>
      <c r="D40" s="1295" t="s">
        <v>1037</v>
      </c>
      <c r="E40" s="1296"/>
      <c r="F40" s="1297">
        <v>44055</v>
      </c>
      <c r="G40" s="569" t="s">
        <v>38</v>
      </c>
      <c r="H40" s="569" t="s">
        <v>59</v>
      </c>
      <c r="I40" s="570" t="s">
        <v>25</v>
      </c>
      <c r="J40" s="1298" t="s">
        <v>162</v>
      </c>
      <c r="K40" s="1299"/>
      <c r="L40" s="1299"/>
      <c r="M40" s="1299"/>
      <c r="N40" s="1299"/>
      <c r="O40" s="1300"/>
      <c r="P40" s="1301" t="s">
        <v>162</v>
      </c>
      <c r="Q40" s="1302"/>
      <c r="R40" s="1302"/>
      <c r="S40" s="1303"/>
      <c r="T40" s="451"/>
      <c r="U40" s="1301" t="s">
        <v>162</v>
      </c>
      <c r="V40" s="1303"/>
      <c r="W40" s="574" t="s">
        <v>1038</v>
      </c>
      <c r="X40" s="574" t="s">
        <v>1039</v>
      </c>
      <c r="Y40" s="1060" t="s">
        <v>1040</v>
      </c>
      <c r="Z40" s="1061"/>
      <c r="AA40" s="563"/>
      <c r="AB40" s="1285" t="s">
        <v>1041</v>
      </c>
      <c r="AC40" s="456">
        <v>44055</v>
      </c>
      <c r="AD40" s="456">
        <v>44177</v>
      </c>
      <c r="AE40" s="29"/>
      <c r="AF40" s="560"/>
      <c r="AG40" s="454"/>
      <c r="AH40" s="455"/>
    </row>
    <row r="41" spans="1:34" ht="129.94999999999999" customHeight="1">
      <c r="A41" s="1041"/>
      <c r="B41" s="1041"/>
      <c r="C41" s="1275">
        <v>9</v>
      </c>
      <c r="D41" s="1276" t="s">
        <v>1042</v>
      </c>
      <c r="E41" s="1277"/>
      <c r="F41" s="1031">
        <v>44055</v>
      </c>
      <c r="G41" s="1056" t="s">
        <v>38</v>
      </c>
      <c r="H41" s="1056" t="s">
        <v>59</v>
      </c>
      <c r="I41" s="1041" t="s">
        <v>25</v>
      </c>
      <c r="J41" s="1286" t="s">
        <v>162</v>
      </c>
      <c r="K41" s="1287"/>
      <c r="L41" s="1287"/>
      <c r="M41" s="1287"/>
      <c r="N41" s="1287"/>
      <c r="O41" s="1288"/>
      <c r="P41" s="1279" t="s">
        <v>162</v>
      </c>
      <c r="Q41" s="1280"/>
      <c r="R41" s="1280"/>
      <c r="S41" s="1281"/>
      <c r="T41" s="451"/>
      <c r="U41" s="1279" t="s">
        <v>162</v>
      </c>
      <c r="V41" s="1281"/>
      <c r="W41" s="1282" t="s">
        <v>1043</v>
      </c>
      <c r="X41" s="1282" t="s">
        <v>1044</v>
      </c>
      <c r="Y41" s="1304" t="s">
        <v>1045</v>
      </c>
      <c r="Z41" s="1002"/>
      <c r="AA41" s="1003"/>
      <c r="AB41" s="452" t="s">
        <v>1046</v>
      </c>
      <c r="AC41" s="453">
        <v>44055</v>
      </c>
      <c r="AD41" s="453">
        <v>44177</v>
      </c>
      <c r="AE41" s="29"/>
      <c r="AF41" s="560"/>
      <c r="AG41" s="454"/>
      <c r="AH41" s="455"/>
    </row>
    <row r="42" spans="1:34" ht="129.94999999999999" customHeight="1">
      <c r="A42" s="1070"/>
      <c r="B42" s="1070"/>
      <c r="C42" s="1071"/>
      <c r="D42" s="1072"/>
      <c r="E42" s="1073"/>
      <c r="F42" s="1074"/>
      <c r="G42" s="1284"/>
      <c r="H42" s="1284"/>
      <c r="I42" s="1070"/>
      <c r="J42" s="1292"/>
      <c r="K42" s="1293"/>
      <c r="L42" s="1293"/>
      <c r="M42" s="1293"/>
      <c r="N42" s="1293"/>
      <c r="O42" s="1294"/>
      <c r="P42" s="1015"/>
      <c r="Q42" s="1016"/>
      <c r="R42" s="1016"/>
      <c r="S42" s="1017"/>
      <c r="T42" s="451"/>
      <c r="U42" s="1015"/>
      <c r="V42" s="1017"/>
      <c r="W42" s="1001"/>
      <c r="X42" s="1001"/>
      <c r="Y42" s="1060" t="s">
        <v>1047</v>
      </c>
      <c r="Z42" s="1061"/>
      <c r="AA42" s="563"/>
      <c r="AB42" s="1285" t="s">
        <v>1048</v>
      </c>
      <c r="AC42" s="456">
        <v>44377</v>
      </c>
      <c r="AD42" s="456">
        <v>44548</v>
      </c>
      <c r="AE42" s="29"/>
      <c r="AF42" s="560"/>
      <c r="AG42" s="454"/>
      <c r="AH42" s="455"/>
    </row>
    <row r="43" spans="1:34" ht="129.94999999999999" customHeight="1">
      <c r="A43" s="1041"/>
      <c r="B43" s="1041"/>
      <c r="C43" s="1275">
        <v>10</v>
      </c>
      <c r="D43" s="1276" t="s">
        <v>1049</v>
      </c>
      <c r="E43" s="1277"/>
      <c r="F43" s="1278">
        <v>44055</v>
      </c>
      <c r="G43" s="1056" t="s">
        <v>38</v>
      </c>
      <c r="H43" s="1056" t="s">
        <v>59</v>
      </c>
      <c r="I43" s="1041" t="s">
        <v>25</v>
      </c>
      <c r="J43" s="1286" t="s">
        <v>162</v>
      </c>
      <c r="K43" s="1287"/>
      <c r="L43" s="1287"/>
      <c r="M43" s="1287"/>
      <c r="N43" s="1287"/>
      <c r="O43" s="1288"/>
      <c r="P43" s="1279" t="s">
        <v>162</v>
      </c>
      <c r="Q43" s="1280"/>
      <c r="R43" s="1280"/>
      <c r="S43" s="1281"/>
      <c r="T43" s="451"/>
      <c r="U43" s="1279" t="s">
        <v>162</v>
      </c>
      <c r="V43" s="1281"/>
      <c r="W43" s="1282" t="s">
        <v>1050</v>
      </c>
      <c r="X43" s="1282" t="s">
        <v>1050</v>
      </c>
      <c r="Y43" s="1060" t="s">
        <v>1051</v>
      </c>
      <c r="Z43" s="1061"/>
      <c r="AA43" s="563"/>
      <c r="AB43" s="1285" t="s">
        <v>1052</v>
      </c>
      <c r="AC43" s="456">
        <v>44055</v>
      </c>
      <c r="AD43" s="456">
        <v>44124</v>
      </c>
      <c r="AE43" s="29"/>
      <c r="AF43" s="560"/>
      <c r="AG43" s="454"/>
      <c r="AH43" s="455"/>
    </row>
    <row r="44" spans="1:34" ht="129.94999999999999" customHeight="1">
      <c r="A44" s="945"/>
      <c r="B44" s="945"/>
      <c r="C44" s="1022"/>
      <c r="D44" s="1026"/>
      <c r="E44" s="1027"/>
      <c r="F44" s="1031"/>
      <c r="G44" s="942"/>
      <c r="H44" s="942"/>
      <c r="I44" s="945"/>
      <c r="J44" s="1289"/>
      <c r="K44" s="1290"/>
      <c r="L44" s="1290"/>
      <c r="M44" s="1290"/>
      <c r="N44" s="1290"/>
      <c r="O44" s="1291"/>
      <c r="P44" s="1011"/>
      <c r="Q44" s="1012"/>
      <c r="R44" s="1012"/>
      <c r="S44" s="1013"/>
      <c r="T44" s="451"/>
      <c r="U44" s="1011"/>
      <c r="V44" s="1013"/>
      <c r="W44" s="1000"/>
      <c r="X44" s="1000"/>
      <c r="Y44" s="1060" t="s">
        <v>1053</v>
      </c>
      <c r="Z44" s="1061"/>
      <c r="AA44" s="563"/>
      <c r="AB44" s="1285" t="s">
        <v>1024</v>
      </c>
      <c r="AC44" s="456">
        <v>44124</v>
      </c>
      <c r="AD44" s="456">
        <v>44286</v>
      </c>
      <c r="AE44" s="29"/>
      <c r="AF44" s="560"/>
      <c r="AG44" s="454"/>
      <c r="AH44" s="455"/>
    </row>
    <row r="45" spans="1:34" ht="129.94999999999999" customHeight="1">
      <c r="A45" s="1070"/>
      <c r="B45" s="1070"/>
      <c r="C45" s="1071"/>
      <c r="D45" s="1072"/>
      <c r="E45" s="1073"/>
      <c r="F45" s="1074"/>
      <c r="G45" s="1284"/>
      <c r="H45" s="1284"/>
      <c r="I45" s="1070"/>
      <c r="J45" s="1292"/>
      <c r="K45" s="1293"/>
      <c r="L45" s="1293"/>
      <c r="M45" s="1293"/>
      <c r="N45" s="1293"/>
      <c r="O45" s="1294"/>
      <c r="P45" s="1015"/>
      <c r="Q45" s="1016"/>
      <c r="R45" s="1016"/>
      <c r="S45" s="1017"/>
      <c r="T45" s="451"/>
      <c r="U45" s="1015"/>
      <c r="V45" s="1017"/>
      <c r="W45" s="1001"/>
      <c r="X45" s="1001"/>
      <c r="Y45" s="1060" t="s">
        <v>1054</v>
      </c>
      <c r="Z45" s="1061"/>
      <c r="AA45" s="563"/>
      <c r="AB45" s="1285" t="s">
        <v>1055</v>
      </c>
      <c r="AC45" s="456">
        <v>44227</v>
      </c>
      <c r="AD45" s="456">
        <v>44316</v>
      </c>
      <c r="AE45" s="29"/>
      <c r="AF45" s="560"/>
      <c r="AG45" s="454"/>
      <c r="AH45" s="455"/>
    </row>
    <row r="46" spans="1:34" ht="129.94999999999999" customHeight="1">
      <c r="A46" s="895"/>
      <c r="B46" s="895"/>
      <c r="C46" s="1305">
        <v>11</v>
      </c>
      <c r="D46" s="1306" t="s">
        <v>1056</v>
      </c>
      <c r="E46" s="1306"/>
      <c r="F46" s="1307">
        <v>44055</v>
      </c>
      <c r="G46" s="1308" t="s">
        <v>38</v>
      </c>
      <c r="H46" s="1056" t="s">
        <v>59</v>
      </c>
      <c r="I46" s="1041" t="s">
        <v>25</v>
      </c>
      <c r="J46" s="1309" t="s">
        <v>162</v>
      </c>
      <c r="K46" s="1309"/>
      <c r="L46" s="1309"/>
      <c r="M46" s="1309"/>
      <c r="N46" s="1309"/>
      <c r="O46" s="1309"/>
      <c r="P46" s="1310" t="s">
        <v>162</v>
      </c>
      <c r="Q46" s="1310"/>
      <c r="R46" s="1310"/>
      <c r="S46" s="1310"/>
      <c r="T46" s="451"/>
      <c r="U46" s="1310" t="s">
        <v>162</v>
      </c>
      <c r="V46" s="1310"/>
      <c r="W46" s="1282" t="s">
        <v>1057</v>
      </c>
      <c r="X46" s="1282" t="s">
        <v>1057</v>
      </c>
      <c r="Y46" s="992" t="s">
        <v>1058</v>
      </c>
      <c r="Z46" s="992"/>
      <c r="AA46" s="563"/>
      <c r="AB46" s="1285" t="s">
        <v>1052</v>
      </c>
      <c r="AC46" s="456">
        <v>44055</v>
      </c>
      <c r="AD46" s="456">
        <v>44147</v>
      </c>
      <c r="AE46" s="29"/>
      <c r="AF46" s="560"/>
      <c r="AG46" s="454"/>
      <c r="AH46" s="455"/>
    </row>
    <row r="47" spans="1:34" ht="129.94999999999999" customHeight="1">
      <c r="A47" s="895"/>
      <c r="B47" s="895"/>
      <c r="C47" s="1305"/>
      <c r="D47" s="1306"/>
      <c r="E47" s="1306"/>
      <c r="F47" s="1307"/>
      <c r="G47" s="1308"/>
      <c r="H47" s="942"/>
      <c r="I47" s="945"/>
      <c r="J47" s="1309"/>
      <c r="K47" s="1309"/>
      <c r="L47" s="1309"/>
      <c r="M47" s="1309"/>
      <c r="N47" s="1309"/>
      <c r="O47" s="1309"/>
      <c r="P47" s="1310"/>
      <c r="Q47" s="1310"/>
      <c r="R47" s="1310"/>
      <c r="S47" s="1310"/>
      <c r="T47" s="451"/>
      <c r="U47" s="1310"/>
      <c r="V47" s="1310"/>
      <c r="W47" s="1000"/>
      <c r="X47" s="1000"/>
      <c r="Y47" s="992" t="s">
        <v>1059</v>
      </c>
      <c r="Z47" s="992"/>
      <c r="AA47" s="563"/>
      <c r="AB47" s="1285" t="s">
        <v>1024</v>
      </c>
      <c r="AC47" s="456">
        <v>44147</v>
      </c>
      <c r="AD47" s="456">
        <v>44286</v>
      </c>
      <c r="AE47" s="29"/>
      <c r="AF47" s="560"/>
      <c r="AG47" s="454"/>
      <c r="AH47" s="455"/>
    </row>
    <row r="48" spans="1:34" ht="129.94999999999999" customHeight="1">
      <c r="A48" s="895"/>
      <c r="B48" s="895"/>
      <c r="C48" s="1305"/>
      <c r="D48" s="1306"/>
      <c r="E48" s="1306"/>
      <c r="F48" s="1307"/>
      <c r="G48" s="1308"/>
      <c r="H48" s="1284"/>
      <c r="I48" s="1070"/>
      <c r="J48" s="1309"/>
      <c r="K48" s="1309"/>
      <c r="L48" s="1309"/>
      <c r="M48" s="1309"/>
      <c r="N48" s="1309"/>
      <c r="O48" s="1309"/>
      <c r="P48" s="1310"/>
      <c r="Q48" s="1310"/>
      <c r="R48" s="1310"/>
      <c r="S48" s="1310"/>
      <c r="T48" s="451"/>
      <c r="U48" s="1310"/>
      <c r="V48" s="1310"/>
      <c r="W48" s="1001"/>
      <c r="X48" s="1001"/>
      <c r="Y48" s="992" t="s">
        <v>1060</v>
      </c>
      <c r="Z48" s="992"/>
      <c r="AA48" s="563"/>
      <c r="AB48" s="1285" t="s">
        <v>1055</v>
      </c>
      <c r="AC48" s="456">
        <v>44227</v>
      </c>
      <c r="AD48" s="456">
        <v>44227</v>
      </c>
      <c r="AE48" s="29"/>
      <c r="AF48" s="560"/>
      <c r="AG48" s="454"/>
      <c r="AH48" s="455"/>
    </row>
    <row r="49" spans="1:37" ht="129.94999999999999" customHeight="1">
      <c r="A49" s="895"/>
      <c r="B49" s="895"/>
      <c r="C49" s="1305">
        <v>12</v>
      </c>
      <c r="D49" s="1306" t="s">
        <v>1061</v>
      </c>
      <c r="E49" s="1306"/>
      <c r="F49" s="1307">
        <v>44055</v>
      </c>
      <c r="G49" s="1308" t="s">
        <v>38</v>
      </c>
      <c r="H49" s="1056" t="s">
        <v>59</v>
      </c>
      <c r="I49" s="1041" t="s">
        <v>25</v>
      </c>
      <c r="J49" s="1309" t="s">
        <v>162</v>
      </c>
      <c r="K49" s="1309"/>
      <c r="L49" s="1309"/>
      <c r="M49" s="1309"/>
      <c r="N49" s="1309"/>
      <c r="O49" s="1309"/>
      <c r="P49" s="1310" t="s">
        <v>162</v>
      </c>
      <c r="Q49" s="1310"/>
      <c r="R49" s="1310"/>
      <c r="S49" s="1310"/>
      <c r="T49" s="451"/>
      <c r="U49" s="1310" t="s">
        <v>162</v>
      </c>
      <c r="V49" s="1310"/>
      <c r="W49" s="1282" t="s">
        <v>1062</v>
      </c>
      <c r="X49" s="1282" t="s">
        <v>1063</v>
      </c>
      <c r="Y49" s="992" t="s">
        <v>1064</v>
      </c>
      <c r="Z49" s="992"/>
      <c r="AA49" s="563"/>
      <c r="AB49" s="1285" t="s">
        <v>1065</v>
      </c>
      <c r="AC49" s="456">
        <v>44055</v>
      </c>
      <c r="AD49" s="456">
        <v>44124</v>
      </c>
      <c r="AE49" s="29"/>
      <c r="AF49" s="560"/>
      <c r="AG49" s="454"/>
      <c r="AH49" s="455"/>
    </row>
    <row r="50" spans="1:37" ht="129.94999999999999" customHeight="1">
      <c r="A50" s="895"/>
      <c r="B50" s="895"/>
      <c r="C50" s="1305"/>
      <c r="D50" s="1306"/>
      <c r="E50" s="1306"/>
      <c r="F50" s="1307"/>
      <c r="G50" s="1308"/>
      <c r="H50" s="1284"/>
      <c r="I50" s="1070"/>
      <c r="J50" s="1309"/>
      <c r="K50" s="1309"/>
      <c r="L50" s="1309"/>
      <c r="M50" s="1309"/>
      <c r="N50" s="1309"/>
      <c r="O50" s="1309"/>
      <c r="P50" s="1310"/>
      <c r="Q50" s="1310"/>
      <c r="R50" s="1310"/>
      <c r="S50" s="1310"/>
      <c r="T50" s="451"/>
      <c r="U50" s="1310"/>
      <c r="V50" s="1310"/>
      <c r="W50" s="1001"/>
      <c r="X50" s="1001"/>
      <c r="Y50" s="992" t="s">
        <v>1066</v>
      </c>
      <c r="Z50" s="992"/>
      <c r="AA50" s="563"/>
      <c r="AB50" s="1285" t="s">
        <v>1067</v>
      </c>
      <c r="AC50" s="456">
        <v>44089</v>
      </c>
      <c r="AD50" s="456">
        <v>44177</v>
      </c>
      <c r="AE50" s="29"/>
      <c r="AF50" s="560"/>
      <c r="AG50" s="454"/>
      <c r="AH50" s="455"/>
    </row>
    <row r="51" spans="1:37" ht="6" customHeight="1">
      <c r="A51" s="1143"/>
      <c r="B51" s="1143"/>
      <c r="C51" s="1143"/>
      <c r="D51" s="1143"/>
      <c r="E51" s="1143"/>
      <c r="F51" s="1143"/>
      <c r="G51" s="1143"/>
      <c r="H51" s="1143"/>
      <c r="I51" s="1143"/>
      <c r="J51" s="1143"/>
      <c r="K51" s="1143"/>
      <c r="L51" s="1143"/>
      <c r="M51" s="1143"/>
      <c r="N51" s="1143"/>
      <c r="O51" s="1143"/>
      <c r="P51" s="1143"/>
      <c r="Q51" s="1143"/>
      <c r="R51" s="1143"/>
      <c r="S51" s="1143"/>
      <c r="T51" s="1143"/>
      <c r="U51" s="1143"/>
      <c r="V51" s="1143"/>
      <c r="W51" s="1143"/>
      <c r="X51" s="1143"/>
      <c r="Y51" s="1143"/>
      <c r="Z51" s="1143"/>
      <c r="AA51" s="1143"/>
      <c r="AB51" s="1143"/>
      <c r="AC51" s="1143"/>
      <c r="AD51" s="1143"/>
      <c r="AE51" s="1143"/>
      <c r="AF51" s="1143"/>
      <c r="AG51" s="1143"/>
      <c r="AH51" s="1143"/>
    </row>
    <row r="52" spans="1:37" ht="12.75" customHeight="1">
      <c r="A52" s="858" t="s">
        <v>22</v>
      </c>
      <c r="B52" s="858"/>
      <c r="C52" s="858"/>
      <c r="D52" s="858"/>
      <c r="E52" s="858"/>
      <c r="F52" s="858"/>
      <c r="G52" s="858"/>
      <c r="H52" s="858"/>
      <c r="I52" s="858"/>
      <c r="J52" s="858"/>
      <c r="K52" s="858"/>
      <c r="L52" s="858"/>
      <c r="M52" s="35"/>
      <c r="N52" s="35"/>
      <c r="O52" s="859" t="s">
        <v>34</v>
      </c>
      <c r="P52" s="859"/>
      <c r="Q52" s="859"/>
      <c r="R52" s="859"/>
      <c r="S52" s="859"/>
      <c r="T52" s="859"/>
      <c r="U52" s="859"/>
      <c r="V52" s="859"/>
      <c r="W52" s="859"/>
      <c r="X52" s="859"/>
      <c r="Y52" s="859"/>
      <c r="Z52" s="859"/>
      <c r="AA52" s="859"/>
      <c r="AB52" s="859"/>
      <c r="AC52" s="859"/>
      <c r="AD52" s="860" t="s">
        <v>35</v>
      </c>
      <c r="AE52" s="860"/>
      <c r="AF52" s="860"/>
      <c r="AG52" s="860"/>
      <c r="AH52" s="860"/>
    </row>
    <row r="53" spans="1:37">
      <c r="A53" s="858"/>
      <c r="B53" s="858"/>
      <c r="C53" s="858"/>
      <c r="D53" s="858"/>
      <c r="E53" s="858"/>
      <c r="F53" s="858"/>
      <c r="G53" s="858"/>
      <c r="H53" s="858"/>
      <c r="I53" s="858"/>
      <c r="J53" s="858"/>
      <c r="K53" s="858"/>
      <c r="L53" s="858"/>
      <c r="M53" s="35"/>
      <c r="N53" s="35"/>
      <c r="O53" s="859"/>
      <c r="P53" s="859"/>
      <c r="Q53" s="859"/>
      <c r="R53" s="859"/>
      <c r="S53" s="859"/>
      <c r="T53" s="859"/>
      <c r="U53" s="859"/>
      <c r="V53" s="859"/>
      <c r="W53" s="859"/>
      <c r="X53" s="859"/>
      <c r="Y53" s="859"/>
      <c r="Z53" s="859"/>
      <c r="AA53" s="859"/>
      <c r="AB53" s="859"/>
      <c r="AC53" s="859"/>
      <c r="AD53" s="860"/>
      <c r="AE53" s="860"/>
      <c r="AF53" s="860"/>
      <c r="AG53" s="860"/>
      <c r="AH53" s="860"/>
    </row>
    <row r="54" spans="1:37" ht="38.25" customHeight="1">
      <c r="A54" s="1036" t="s">
        <v>740</v>
      </c>
      <c r="B54" s="1036"/>
      <c r="C54" s="1036"/>
      <c r="D54" s="1036"/>
      <c r="E54" s="1036"/>
      <c r="F54" s="1036"/>
      <c r="G54" s="1036"/>
      <c r="H54" s="1036"/>
      <c r="I54" s="1036"/>
      <c r="J54" s="1036"/>
      <c r="K54" s="1036"/>
      <c r="L54" s="1036"/>
      <c r="M54" s="35"/>
      <c r="N54" s="35"/>
      <c r="O54" s="1037" t="s">
        <v>702</v>
      </c>
      <c r="P54" s="1037"/>
      <c r="Q54" s="1037"/>
      <c r="R54" s="1037"/>
      <c r="S54" s="1037"/>
      <c r="T54" s="1037"/>
      <c r="U54" s="1037"/>
      <c r="V54" s="1037"/>
      <c r="W54" s="1037"/>
      <c r="X54" s="1037"/>
      <c r="Y54" s="1037"/>
      <c r="Z54" s="1037"/>
      <c r="AA54" s="1037"/>
      <c r="AB54" s="1037"/>
      <c r="AC54" s="1037"/>
      <c r="AD54" s="1038" t="s">
        <v>460</v>
      </c>
      <c r="AE54" s="1038"/>
      <c r="AF54" s="1038"/>
      <c r="AG54" s="1038"/>
      <c r="AH54" s="1038"/>
    </row>
    <row r="55" spans="1:37" ht="15" customHeight="1">
      <c r="A55" s="856" t="s">
        <v>36</v>
      </c>
      <c r="B55" s="856"/>
      <c r="C55" s="856"/>
      <c r="D55" s="856"/>
      <c r="E55" s="856"/>
      <c r="F55" s="856"/>
      <c r="G55" s="856"/>
      <c r="H55" s="856"/>
      <c r="I55" s="856"/>
      <c r="J55" s="856"/>
      <c r="K55" s="856"/>
      <c r="L55" s="856"/>
      <c r="M55" s="856"/>
      <c r="N55" s="856"/>
      <c r="O55" s="856"/>
      <c r="P55" s="856"/>
      <c r="Q55" s="856"/>
      <c r="R55" s="856"/>
      <c r="S55" s="856"/>
      <c r="T55" s="856"/>
      <c r="U55" s="856"/>
      <c r="V55" s="856"/>
      <c r="W55" s="856"/>
      <c r="X55" s="856"/>
      <c r="Y55" s="856"/>
      <c r="Z55" s="856"/>
      <c r="AA55" s="856"/>
      <c r="AB55" s="856"/>
      <c r="AC55" s="856"/>
      <c r="AD55" s="856"/>
      <c r="AE55" s="856"/>
      <c r="AF55" s="856"/>
      <c r="AG55" s="856"/>
      <c r="AH55" s="856"/>
    </row>
    <row r="56" spans="1:37" ht="0.95" customHeight="1">
      <c r="A56" s="857"/>
      <c r="B56" s="857"/>
      <c r="C56" s="857"/>
      <c r="D56" s="857"/>
      <c r="E56" s="857"/>
      <c r="F56" s="857"/>
      <c r="G56" s="857"/>
      <c r="H56" s="857"/>
      <c r="I56" s="857"/>
      <c r="J56" s="857"/>
      <c r="K56" s="857"/>
      <c r="L56" s="857"/>
      <c r="M56" s="857"/>
      <c r="N56" s="857"/>
      <c r="O56" s="857"/>
      <c r="P56" s="857"/>
      <c r="Q56" s="857"/>
      <c r="R56" s="857"/>
      <c r="S56" s="857"/>
      <c r="T56" s="857"/>
      <c r="U56" s="857"/>
      <c r="V56" s="857"/>
      <c r="W56" s="857"/>
      <c r="X56" s="857"/>
      <c r="Y56" s="857"/>
      <c r="Z56" s="857"/>
      <c r="AA56" s="857"/>
      <c r="AB56" s="857"/>
      <c r="AC56" s="857"/>
      <c r="AD56" s="857"/>
      <c r="AE56" s="857"/>
      <c r="AF56" s="857"/>
      <c r="AG56" s="857"/>
      <c r="AH56" s="857"/>
      <c r="AI56" s="857"/>
    </row>
    <row r="57" spans="1:37">
      <c r="A57" s="857"/>
      <c r="B57" s="857"/>
      <c r="C57" s="857"/>
      <c r="D57" s="857"/>
      <c r="E57" s="857"/>
      <c r="F57" s="857"/>
      <c r="G57" s="857"/>
      <c r="H57" s="857"/>
      <c r="I57" s="857"/>
      <c r="J57" s="857"/>
      <c r="K57" s="857"/>
      <c r="L57" s="857"/>
      <c r="M57" s="857"/>
      <c r="N57" s="857"/>
      <c r="O57" s="857"/>
      <c r="P57" s="857"/>
      <c r="Q57" s="857"/>
      <c r="R57" s="857"/>
      <c r="S57" s="857"/>
      <c r="T57" s="857"/>
      <c r="U57" s="857"/>
      <c r="V57" s="857"/>
      <c r="W57" s="857"/>
      <c r="X57" s="857"/>
      <c r="Y57" s="857"/>
      <c r="Z57" s="857"/>
      <c r="AA57" s="857"/>
      <c r="AB57" s="857"/>
      <c r="AC57" s="857"/>
      <c r="AD57" s="857"/>
      <c r="AE57" s="857"/>
      <c r="AF57" s="857"/>
      <c r="AG57" s="857"/>
      <c r="AH57" s="857"/>
      <c r="AI57" s="36"/>
      <c r="AJ57" s="36"/>
    </row>
    <row r="58" spans="1:37" ht="24" customHeight="1">
      <c r="A58" s="37"/>
      <c r="B58" s="38"/>
      <c r="C58" s="37"/>
      <c r="D58" s="37"/>
      <c r="E58" s="37"/>
      <c r="F58" s="37"/>
      <c r="G58" s="37"/>
      <c r="H58" s="39" t="s">
        <v>66</v>
      </c>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6"/>
      <c r="AJ58" s="36"/>
    </row>
    <row r="59" spans="1:37" ht="54.95" customHeight="1">
      <c r="A59" s="37"/>
      <c r="B59" s="38"/>
      <c r="C59" s="37"/>
      <c r="D59" s="37"/>
      <c r="E59" s="37"/>
      <c r="F59" s="37"/>
      <c r="G59" s="37"/>
      <c r="H59" s="39" t="s">
        <v>67</v>
      </c>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6"/>
      <c r="AJ59" s="36"/>
    </row>
    <row r="60" spans="1:37" ht="0.95" customHeight="1">
      <c r="A60" s="37"/>
      <c r="B60" s="38" t="s">
        <v>68</v>
      </c>
      <c r="C60" s="37"/>
      <c r="D60" s="37"/>
      <c r="E60" s="37"/>
      <c r="F60" s="37"/>
      <c r="G60" s="37"/>
      <c r="H60" s="39" t="s">
        <v>69</v>
      </c>
      <c r="I60" s="37"/>
      <c r="J60" s="37"/>
      <c r="K60" s="37"/>
      <c r="L60" s="37"/>
      <c r="M60" s="37"/>
      <c r="N60" s="37"/>
      <c r="O60" s="37"/>
      <c r="P60" s="37"/>
      <c r="Q60" s="37"/>
      <c r="R60" s="37"/>
      <c r="S60" s="37"/>
      <c r="T60" s="37"/>
      <c r="U60" s="37"/>
      <c r="V60" s="37"/>
      <c r="W60" s="37"/>
      <c r="X60" s="39" t="s">
        <v>23</v>
      </c>
      <c r="Y60" s="37"/>
      <c r="Z60" s="37"/>
      <c r="AA60" s="37"/>
      <c r="AB60" s="37"/>
      <c r="AC60" s="37"/>
      <c r="AD60" s="37"/>
      <c r="AE60" s="37"/>
      <c r="AF60" s="37"/>
      <c r="AG60" s="37"/>
      <c r="AH60" s="37"/>
      <c r="AI60" s="36"/>
      <c r="AJ60" s="36"/>
    </row>
    <row r="61" spans="1:37" ht="0.95" customHeight="1">
      <c r="A61" s="37"/>
      <c r="B61" s="38" t="s">
        <v>70</v>
      </c>
      <c r="C61" s="37"/>
      <c r="D61" s="37"/>
      <c r="E61" s="37"/>
      <c r="F61" s="37"/>
      <c r="G61" s="37"/>
      <c r="H61" s="40" t="s">
        <v>59</v>
      </c>
      <c r="I61" s="37"/>
      <c r="J61" s="37"/>
      <c r="K61" s="37"/>
      <c r="L61" s="37"/>
      <c r="M61" s="37"/>
      <c r="N61" s="37"/>
      <c r="O61" s="37"/>
      <c r="P61" s="37"/>
      <c r="Q61" s="37"/>
      <c r="R61" s="37"/>
      <c r="S61" s="37"/>
      <c r="T61" s="37"/>
      <c r="U61" s="37"/>
      <c r="V61" s="37"/>
      <c r="W61" s="37"/>
      <c r="X61" s="39" t="s">
        <v>25</v>
      </c>
      <c r="Y61" s="37"/>
      <c r="Z61" s="37"/>
      <c r="AA61" s="37"/>
      <c r="AB61" s="37"/>
      <c r="AC61" s="37"/>
      <c r="AD61" s="37"/>
      <c r="AE61" s="37"/>
      <c r="AF61" s="37"/>
      <c r="AG61" s="37"/>
      <c r="AH61" s="37"/>
      <c r="AI61" s="36"/>
      <c r="AJ61" s="36"/>
    </row>
    <row r="62" spans="1:37" ht="0.95" customHeight="1">
      <c r="A62" s="41"/>
      <c r="B62" s="42" t="s">
        <v>16</v>
      </c>
      <c r="C62" s="41"/>
      <c r="D62" s="41"/>
      <c r="E62" s="41"/>
      <c r="F62" s="41"/>
      <c r="G62" s="41"/>
      <c r="H62" s="43" t="s">
        <v>65</v>
      </c>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row>
    <row r="64" spans="1:37" ht="24.75" customHeight="1">
      <c r="AK64" s="11" t="s">
        <v>38</v>
      </c>
    </row>
    <row r="65" spans="37:37" ht="24.75" customHeight="1">
      <c r="AK65" s="11" t="s">
        <v>10</v>
      </c>
    </row>
    <row r="66" spans="37:37" ht="24.75" customHeight="1">
      <c r="AK66" s="11" t="s">
        <v>42</v>
      </c>
    </row>
    <row r="67" spans="37:37" ht="24.75" customHeight="1">
      <c r="AK67" s="11" t="s">
        <v>43</v>
      </c>
    </row>
    <row r="68" spans="37:37" ht="24.75" customHeight="1">
      <c r="AK68" s="11" t="s">
        <v>44</v>
      </c>
    </row>
    <row r="69" spans="37:37" ht="24.75" customHeight="1">
      <c r="AK69" s="11" t="s">
        <v>26</v>
      </c>
    </row>
    <row r="70" spans="37:37" ht="24.75" customHeight="1">
      <c r="AK70" s="11" t="s">
        <v>27</v>
      </c>
    </row>
    <row r="71" spans="37:37" ht="24.75" customHeight="1">
      <c r="AK71" s="11" t="s">
        <v>28</v>
      </c>
    </row>
    <row r="72" spans="37:37" ht="24.75" customHeight="1">
      <c r="AK72" s="11" t="s">
        <v>30</v>
      </c>
    </row>
    <row r="73" spans="37:37" ht="24.75" customHeight="1">
      <c r="AK73" s="11" t="s">
        <v>29</v>
      </c>
    </row>
    <row r="74" spans="37:37" ht="24.75" customHeight="1">
      <c r="AK74" s="11" t="s">
        <v>31</v>
      </c>
    </row>
    <row r="75" spans="37:37" ht="24.75" customHeight="1">
      <c r="AK75" s="11" t="s">
        <v>32</v>
      </c>
    </row>
    <row r="76" spans="37:37">
      <c r="AK76" s="11" t="s">
        <v>33</v>
      </c>
    </row>
  </sheetData>
  <mergeCells count="231">
    <mergeCell ref="P46:S48"/>
    <mergeCell ref="U46:V48"/>
    <mergeCell ref="W46:W48"/>
    <mergeCell ref="X46:X48"/>
    <mergeCell ref="Y46:Z46"/>
    <mergeCell ref="Y47:Z47"/>
    <mergeCell ref="Y48:Z48"/>
    <mergeCell ref="A49:A50"/>
    <mergeCell ref="B49:B50"/>
    <mergeCell ref="C49:C50"/>
    <mergeCell ref="D49:E50"/>
    <mergeCell ref="F49:F50"/>
    <mergeCell ref="G49:G50"/>
    <mergeCell ref="H49:H50"/>
    <mergeCell ref="I49:I50"/>
    <mergeCell ref="J49:O50"/>
    <mergeCell ref="P49:S50"/>
    <mergeCell ref="U49:V50"/>
    <mergeCell ref="W49:W50"/>
    <mergeCell ref="X49:X50"/>
    <mergeCell ref="Y49:Z49"/>
    <mergeCell ref="Y50:Z50"/>
    <mergeCell ref="A46:A48"/>
    <mergeCell ref="B46:B48"/>
    <mergeCell ref="C46:C48"/>
    <mergeCell ref="D46:E48"/>
    <mergeCell ref="F46:F48"/>
    <mergeCell ref="G46:G48"/>
    <mergeCell ref="H46:H48"/>
    <mergeCell ref="I46:I48"/>
    <mergeCell ref="J46:O48"/>
    <mergeCell ref="P41:S42"/>
    <mergeCell ref="U41:V42"/>
    <mergeCell ref="W41:W42"/>
    <mergeCell ref="X41:X42"/>
    <mergeCell ref="Y41:AA41"/>
    <mergeCell ref="Y42:Z42"/>
    <mergeCell ref="A43:A45"/>
    <mergeCell ref="B43:B45"/>
    <mergeCell ref="C43:C45"/>
    <mergeCell ref="D43:E45"/>
    <mergeCell ref="F43:F45"/>
    <mergeCell ref="G43:G45"/>
    <mergeCell ref="H43:H45"/>
    <mergeCell ref="I43:I45"/>
    <mergeCell ref="J43:O45"/>
    <mergeCell ref="P43:S45"/>
    <mergeCell ref="U43:V45"/>
    <mergeCell ref="W43:W45"/>
    <mergeCell ref="X43:X45"/>
    <mergeCell ref="Y43:Z43"/>
    <mergeCell ref="Y44:Z44"/>
    <mergeCell ref="Y45:Z45"/>
    <mergeCell ref="A41:A42"/>
    <mergeCell ref="B41:B42"/>
    <mergeCell ref="C41:C42"/>
    <mergeCell ref="D41:E42"/>
    <mergeCell ref="F41:F42"/>
    <mergeCell ref="G41:G42"/>
    <mergeCell ref="H41:H42"/>
    <mergeCell ref="I41:I42"/>
    <mergeCell ref="J41:O42"/>
    <mergeCell ref="P37:S39"/>
    <mergeCell ref="U37:V39"/>
    <mergeCell ref="W37:W39"/>
    <mergeCell ref="X37:X39"/>
    <mergeCell ref="Y37:Z37"/>
    <mergeCell ref="Y38:Z38"/>
    <mergeCell ref="Y39:Z39"/>
    <mergeCell ref="D40:E40"/>
    <mergeCell ref="J40:O40"/>
    <mergeCell ref="P40:S40"/>
    <mergeCell ref="U40:V40"/>
    <mergeCell ref="Y40:Z40"/>
    <mergeCell ref="A37:A39"/>
    <mergeCell ref="B37:B39"/>
    <mergeCell ref="C37:C39"/>
    <mergeCell ref="D37:E39"/>
    <mergeCell ref="F37:F39"/>
    <mergeCell ref="G37:G39"/>
    <mergeCell ref="H37:H39"/>
    <mergeCell ref="I37:I39"/>
    <mergeCell ref="J37:O39"/>
    <mergeCell ref="P32:S36"/>
    <mergeCell ref="U32:V36"/>
    <mergeCell ref="W32:W36"/>
    <mergeCell ref="X32:X36"/>
    <mergeCell ref="Y32:AA32"/>
    <mergeCell ref="Y33:AA33"/>
    <mergeCell ref="Y34:AA34"/>
    <mergeCell ref="Y35:AA35"/>
    <mergeCell ref="Y36:Z36"/>
    <mergeCell ref="A32:A36"/>
    <mergeCell ref="B32:B36"/>
    <mergeCell ref="C32:C36"/>
    <mergeCell ref="D32:E36"/>
    <mergeCell ref="F32:F36"/>
    <mergeCell ref="G32:G36"/>
    <mergeCell ref="H32:H36"/>
    <mergeCell ref="I32:I36"/>
    <mergeCell ref="J32:O36"/>
    <mergeCell ref="P26:S31"/>
    <mergeCell ref="U26:V31"/>
    <mergeCell ref="W26:W31"/>
    <mergeCell ref="X26:X31"/>
    <mergeCell ref="Y26:AA26"/>
    <mergeCell ref="Y27:AA27"/>
    <mergeCell ref="Y28:AA28"/>
    <mergeCell ref="Y29:AA29"/>
    <mergeCell ref="Y30:AA30"/>
    <mergeCell ref="Y31:AA31"/>
    <mergeCell ref="A26:A31"/>
    <mergeCell ref="B26:B31"/>
    <mergeCell ref="C26:C31"/>
    <mergeCell ref="D26:E31"/>
    <mergeCell ref="F26:F31"/>
    <mergeCell ref="G26:G31"/>
    <mergeCell ref="H26:H31"/>
    <mergeCell ref="I26:I31"/>
    <mergeCell ref="J26:O31"/>
    <mergeCell ref="U22:V25"/>
    <mergeCell ref="W22:W25"/>
    <mergeCell ref="X22:X25"/>
    <mergeCell ref="Y22:AA22"/>
    <mergeCell ref="Y23:AA23"/>
    <mergeCell ref="Y24:AA24"/>
    <mergeCell ref="Y25:AA25"/>
    <mergeCell ref="G22:G25"/>
    <mergeCell ref="H22:H25"/>
    <mergeCell ref="I22:I25"/>
    <mergeCell ref="J22:O25"/>
    <mergeCell ref="P22:S25"/>
    <mergeCell ref="U12:V15"/>
    <mergeCell ref="A16:A21"/>
    <mergeCell ref="B16:B21"/>
    <mergeCell ref="C16:C21"/>
    <mergeCell ref="D16:E21"/>
    <mergeCell ref="F16:F21"/>
    <mergeCell ref="G16:G21"/>
    <mergeCell ref="H16:H21"/>
    <mergeCell ref="I16:I21"/>
    <mergeCell ref="A4:D4"/>
    <mergeCell ref="E4:V4"/>
    <mergeCell ref="W4:Y4"/>
    <mergeCell ref="Z4:AE4"/>
    <mergeCell ref="AF4:AG4"/>
    <mergeCell ref="A1:B2"/>
    <mergeCell ref="C1:AG1"/>
    <mergeCell ref="AH1:AH2"/>
    <mergeCell ref="C2:AG2"/>
    <mergeCell ref="A3:AH3"/>
    <mergeCell ref="A5:AH5"/>
    <mergeCell ref="A6:B6"/>
    <mergeCell ref="C6:C7"/>
    <mergeCell ref="D6:E7"/>
    <mergeCell ref="F6:F7"/>
    <mergeCell ref="G6:G7"/>
    <mergeCell ref="H6:H7"/>
    <mergeCell ref="I6:I7"/>
    <mergeCell ref="J6:V6"/>
    <mergeCell ref="W6:W7"/>
    <mergeCell ref="AG6:AG7"/>
    <mergeCell ref="AH6:AH7"/>
    <mergeCell ref="J7:O7"/>
    <mergeCell ref="P7:T7"/>
    <mergeCell ref="U7:V7"/>
    <mergeCell ref="X6:X7"/>
    <mergeCell ref="Y6:AA7"/>
    <mergeCell ref="AB6:AB7"/>
    <mergeCell ref="AC6:AD6"/>
    <mergeCell ref="AE6:AE7"/>
    <mergeCell ref="AF6:AF7"/>
    <mergeCell ref="Y9:AA9"/>
    <mergeCell ref="A8:A11"/>
    <mergeCell ref="B8:B11"/>
    <mergeCell ref="C8:C11"/>
    <mergeCell ref="D8:E11"/>
    <mergeCell ref="F8:F11"/>
    <mergeCell ref="P8:S11"/>
    <mergeCell ref="U8:V11"/>
    <mergeCell ref="W8:W11"/>
    <mergeCell ref="X8:X11"/>
    <mergeCell ref="Y8:AA8"/>
    <mergeCell ref="Y10:AA10"/>
    <mergeCell ref="Y11:AA11"/>
    <mergeCell ref="G8:G11"/>
    <mergeCell ref="H8:H11"/>
    <mergeCell ref="I8:I11"/>
    <mergeCell ref="J8:O11"/>
    <mergeCell ref="A56:AI56"/>
    <mergeCell ref="A57:AH57"/>
    <mergeCell ref="A51:AH51"/>
    <mergeCell ref="A52:L53"/>
    <mergeCell ref="O52:AC53"/>
    <mergeCell ref="AD52:AH53"/>
    <mergeCell ref="A54:L54"/>
    <mergeCell ref="O54:AC54"/>
    <mergeCell ref="AD54:AH54"/>
    <mergeCell ref="A12:A15"/>
    <mergeCell ref="B12:B15"/>
    <mergeCell ref="C12:C15"/>
    <mergeCell ref="D12:E15"/>
    <mergeCell ref="F12:F15"/>
    <mergeCell ref="G12:G15"/>
    <mergeCell ref="P16:S21"/>
    <mergeCell ref="U16:V21"/>
    <mergeCell ref="A55:AH55"/>
    <mergeCell ref="A22:A25"/>
    <mergeCell ref="B22:B25"/>
    <mergeCell ref="C22:C25"/>
    <mergeCell ref="D22:E25"/>
    <mergeCell ref="F22:F25"/>
    <mergeCell ref="W12:W15"/>
    <mergeCell ref="X12:X15"/>
    <mergeCell ref="Y12:AA12"/>
    <mergeCell ref="Y13:Z13"/>
    <mergeCell ref="Y14:Z14"/>
    <mergeCell ref="Y15:Z15"/>
    <mergeCell ref="H12:H15"/>
    <mergeCell ref="I12:I15"/>
    <mergeCell ref="J12:O15"/>
    <mergeCell ref="P12:S15"/>
    <mergeCell ref="W16:W21"/>
    <mergeCell ref="X16:X21"/>
    <mergeCell ref="Y16:AA16"/>
    <mergeCell ref="Y17:AA17"/>
    <mergeCell ref="Y18:AA18"/>
    <mergeCell ref="Y19:AA19"/>
    <mergeCell ref="Y20:AA20"/>
    <mergeCell ref="Y21:AA21"/>
    <mergeCell ref="J16:O21"/>
  </mergeCells>
  <conditionalFormatting sqref="AG8:AG11">
    <cfRule type="cellIs" dxfId="171" priority="41" operator="between">
      <formula>0.001</formula>
      <formula>0.99</formula>
    </cfRule>
    <cfRule type="cellIs" dxfId="170" priority="42" operator="equal">
      <formula>1</formula>
    </cfRule>
    <cfRule type="cellIs" dxfId="169" priority="43" operator="equal">
      <formula>0</formula>
    </cfRule>
  </conditionalFormatting>
  <conditionalFormatting sqref="AG8:AG11">
    <cfRule type="cellIs" dxfId="168" priority="44" operator="between">
      <formula>0.01</formula>
      <formula>0.99</formula>
    </cfRule>
    <cfRule type="cellIs" dxfId="167" priority="45" operator="equal">
      <formula>1</formula>
    </cfRule>
    <cfRule type="cellIs" dxfId="166" priority="46" operator="equal">
      <formula>0</formula>
    </cfRule>
  </conditionalFormatting>
  <conditionalFormatting sqref="AG12:AG15">
    <cfRule type="cellIs" dxfId="165" priority="29" operator="between">
      <formula>0.001</formula>
      <formula>0.99</formula>
    </cfRule>
    <cfRule type="cellIs" dxfId="164" priority="30" operator="equal">
      <formula>1</formula>
    </cfRule>
    <cfRule type="cellIs" dxfId="163" priority="31" operator="equal">
      <formula>0</formula>
    </cfRule>
  </conditionalFormatting>
  <conditionalFormatting sqref="AG12:AG15">
    <cfRule type="cellIs" dxfId="162" priority="32" operator="between">
      <formula>0.01</formula>
      <formula>0.99</formula>
    </cfRule>
    <cfRule type="cellIs" dxfId="161" priority="33" operator="equal">
      <formula>1</formula>
    </cfRule>
    <cfRule type="cellIs" dxfId="160" priority="34" operator="equal">
      <formula>0</formula>
    </cfRule>
  </conditionalFormatting>
  <conditionalFormatting sqref="AG16:AG21">
    <cfRule type="cellIs" dxfId="159" priority="23" operator="between">
      <formula>0.001</formula>
      <formula>0.99</formula>
    </cfRule>
    <cfRule type="cellIs" dxfId="158" priority="24" operator="equal">
      <formula>1</formula>
    </cfRule>
    <cfRule type="cellIs" dxfId="157" priority="25" operator="equal">
      <formula>0</formula>
    </cfRule>
  </conditionalFormatting>
  <conditionalFormatting sqref="AG16:AG21">
    <cfRule type="cellIs" dxfId="156" priority="26" operator="between">
      <formula>0.01</formula>
      <formula>0.99</formula>
    </cfRule>
    <cfRule type="cellIs" dxfId="155" priority="27" operator="equal">
      <formula>1</formula>
    </cfRule>
    <cfRule type="cellIs" dxfId="154" priority="28" operator="equal">
      <formula>0</formula>
    </cfRule>
  </conditionalFormatting>
  <conditionalFormatting sqref="AC16:AD16">
    <cfRule type="timePeriod" dxfId="153" priority="22" timePeriod="lastWeek">
      <formula>AND(TODAY()-ROUNDDOWN(AC16,0)&gt;=(WEEKDAY(TODAY())),TODAY()-ROUNDDOWN(AC16,0)&lt;(WEEKDAY(TODAY())+7))</formula>
    </cfRule>
  </conditionalFormatting>
  <conditionalFormatting sqref="AC18:AD18">
    <cfRule type="timePeriod" dxfId="152" priority="21" timePeriod="lastWeek">
      <formula>AND(TODAY()-ROUNDDOWN(AC18,0)&gt;=(WEEKDAY(TODAY())),TODAY()-ROUNDDOWN(AC18,0)&lt;(WEEKDAY(TODAY())+7))</formula>
    </cfRule>
  </conditionalFormatting>
  <conditionalFormatting sqref="AG22:AG25">
    <cfRule type="cellIs" dxfId="151" priority="15" operator="between">
      <formula>0.001</formula>
      <formula>0.99</formula>
    </cfRule>
    <cfRule type="cellIs" dxfId="150" priority="16" operator="equal">
      <formula>1</formula>
    </cfRule>
    <cfRule type="cellIs" dxfId="149" priority="17" operator="equal">
      <formula>0</formula>
    </cfRule>
  </conditionalFormatting>
  <conditionalFormatting sqref="AG22:AG25">
    <cfRule type="cellIs" dxfId="148" priority="18" operator="between">
      <formula>0.01</formula>
      <formula>0.99</formula>
    </cfRule>
    <cfRule type="cellIs" dxfId="147" priority="19" operator="equal">
      <formula>1</formula>
    </cfRule>
    <cfRule type="cellIs" dxfId="146" priority="20" operator="equal">
      <formula>0</formula>
    </cfRule>
  </conditionalFormatting>
  <conditionalFormatting sqref="AG26:AG31">
    <cfRule type="cellIs" dxfId="145" priority="9" operator="between">
      <formula>0.001</formula>
      <formula>0.99</formula>
    </cfRule>
    <cfRule type="cellIs" dxfId="144" priority="10" operator="equal">
      <formula>1</formula>
    </cfRule>
    <cfRule type="cellIs" dxfId="143" priority="11" operator="equal">
      <formula>0</formula>
    </cfRule>
  </conditionalFormatting>
  <conditionalFormatting sqref="AG26:AG31">
    <cfRule type="cellIs" dxfId="142" priority="12" operator="between">
      <formula>0.01</formula>
      <formula>0.99</formula>
    </cfRule>
    <cfRule type="cellIs" dxfId="141" priority="13" operator="equal">
      <formula>1</formula>
    </cfRule>
    <cfRule type="cellIs" dxfId="140" priority="14" operator="equal">
      <formula>0</formula>
    </cfRule>
  </conditionalFormatting>
  <conditionalFormatting sqref="AC26:AD26">
    <cfRule type="timePeriod" dxfId="139" priority="8" timePeriod="lastWeek">
      <formula>AND(TODAY()-ROUNDDOWN(AC26,0)&gt;=(WEEKDAY(TODAY())),TODAY()-ROUNDDOWN(AC26,0)&lt;(WEEKDAY(TODAY())+7))</formula>
    </cfRule>
  </conditionalFormatting>
  <conditionalFormatting sqref="AC28:AD28">
    <cfRule type="timePeriod" dxfId="138" priority="7" timePeriod="lastWeek">
      <formula>AND(TODAY()-ROUNDDOWN(AC28,0)&gt;=(WEEKDAY(TODAY())),TODAY()-ROUNDDOWN(AC28,0)&lt;(WEEKDAY(TODAY())+7))</formula>
    </cfRule>
  </conditionalFormatting>
  <conditionalFormatting sqref="AG32:AG50">
    <cfRule type="cellIs" dxfId="137" priority="1" operator="between">
      <formula>0.001</formula>
      <formula>0.99</formula>
    </cfRule>
    <cfRule type="cellIs" dxfId="136" priority="2" operator="equal">
      <formula>1</formula>
    </cfRule>
    <cfRule type="cellIs" dxfId="135" priority="3" operator="equal">
      <formula>0</formula>
    </cfRule>
  </conditionalFormatting>
  <conditionalFormatting sqref="AG32:AG50">
    <cfRule type="cellIs" dxfId="134" priority="4" operator="between">
      <formula>0.01</formula>
      <formula>0.99</formula>
    </cfRule>
    <cfRule type="cellIs" dxfId="133" priority="5" operator="equal">
      <formula>1</formula>
    </cfRule>
    <cfRule type="cellIs" dxfId="132" priority="6" operator="equal">
      <formula>0</formula>
    </cfRule>
  </conditionalFormatting>
  <dataValidations count="9">
    <dataValidation type="list" allowBlank="1" showInputMessage="1" showErrorMessage="1" sqref="G8 SY22 JC8 WVO983087 WLS983087 WBW983087 VSA983087 VIE983087 UYI983087 UOM983087 UEQ983087 TUU983087 TKY983087 TBC983087 SRG983087 SHK983087 RXO983087 RNS983087 RDW983087 QUA983087 QKE983087 QAI983087 PQM983087 PGQ983087 OWU983087 OMY983087 ODC983087 NTG983087 NJK983087 MZO983087 MPS983087 MFW983087 LWA983087 LME983087 LCI983087 KSM983087 KIQ983087 JYU983087 JOY983087 JFC983087 IVG983087 ILK983087 IBO983087 HRS983087 HHW983087 GYA983087 GOE983087 GEI983087 FUM983087 FKQ983087 FAU983087 EQY983087 EHC983087 DXG983087 DNK983087 DDO983087 CTS983087 CJW983087 CAA983087 BQE983087 BGI983087 AWM983087 AMQ983087 ACU983087 SY983087 JC983087 G983087 WVO917551 WLS917551 WBW917551 VSA917551 VIE917551 UYI917551 UOM917551 UEQ917551 TUU917551 TKY917551 TBC917551 SRG917551 SHK917551 RXO917551 RNS917551 RDW917551 QUA917551 QKE917551 QAI917551 PQM917551 PGQ917551 OWU917551 OMY917551 ODC917551 NTG917551 NJK917551 MZO917551 MPS917551 MFW917551 LWA917551 LME917551 LCI917551 KSM917551 KIQ917551 JYU917551 JOY917551 JFC917551 IVG917551 ILK917551 IBO917551 HRS917551 HHW917551 GYA917551 GOE917551 GEI917551 FUM917551 FKQ917551 FAU917551 EQY917551 EHC917551 DXG917551 DNK917551 DDO917551 CTS917551 CJW917551 CAA917551 BQE917551 BGI917551 AWM917551 AMQ917551 ACU917551 SY917551 JC917551 G917551 WVO852015 WLS852015 WBW852015 VSA852015 VIE852015 UYI852015 UOM852015 UEQ852015 TUU852015 TKY852015 TBC852015 SRG852015 SHK852015 RXO852015 RNS852015 RDW852015 QUA852015 QKE852015 QAI852015 PQM852015 PGQ852015 OWU852015 OMY852015 ODC852015 NTG852015 NJK852015 MZO852015 MPS852015 MFW852015 LWA852015 LME852015 LCI852015 KSM852015 KIQ852015 JYU852015 JOY852015 JFC852015 IVG852015 ILK852015 IBO852015 HRS852015 HHW852015 GYA852015 GOE852015 GEI852015 FUM852015 FKQ852015 FAU852015 EQY852015 EHC852015 DXG852015 DNK852015 DDO852015 CTS852015 CJW852015 CAA852015 BQE852015 BGI852015 AWM852015 AMQ852015 ACU852015 SY852015 JC852015 G852015 WVO786479 WLS786479 WBW786479 VSA786479 VIE786479 UYI786479 UOM786479 UEQ786479 TUU786479 TKY786479 TBC786479 SRG786479 SHK786479 RXO786479 RNS786479 RDW786479 QUA786479 QKE786479 QAI786479 PQM786479 PGQ786479 OWU786479 OMY786479 ODC786479 NTG786479 NJK786479 MZO786479 MPS786479 MFW786479 LWA786479 LME786479 LCI786479 KSM786479 KIQ786479 JYU786479 JOY786479 JFC786479 IVG786479 ILK786479 IBO786479 HRS786479 HHW786479 GYA786479 GOE786479 GEI786479 FUM786479 FKQ786479 FAU786479 EQY786479 EHC786479 DXG786479 DNK786479 DDO786479 CTS786479 CJW786479 CAA786479 BQE786479 BGI786479 AWM786479 AMQ786479 ACU786479 SY786479 JC786479 G786479 WVO720943 WLS720943 WBW720943 VSA720943 VIE720943 UYI720943 UOM720943 UEQ720943 TUU720943 TKY720943 TBC720943 SRG720943 SHK720943 RXO720943 RNS720943 RDW720943 QUA720943 QKE720943 QAI720943 PQM720943 PGQ720943 OWU720943 OMY720943 ODC720943 NTG720943 NJK720943 MZO720943 MPS720943 MFW720943 LWA720943 LME720943 LCI720943 KSM720943 KIQ720943 JYU720943 JOY720943 JFC720943 IVG720943 ILK720943 IBO720943 HRS720943 HHW720943 GYA720943 GOE720943 GEI720943 FUM720943 FKQ720943 FAU720943 EQY720943 EHC720943 DXG720943 DNK720943 DDO720943 CTS720943 CJW720943 CAA720943 BQE720943 BGI720943 AWM720943 AMQ720943 ACU720943 SY720943 JC720943 G720943 WVO655407 WLS655407 WBW655407 VSA655407 VIE655407 UYI655407 UOM655407 UEQ655407 TUU655407 TKY655407 TBC655407 SRG655407 SHK655407 RXO655407 RNS655407 RDW655407 QUA655407 QKE655407 QAI655407 PQM655407 PGQ655407 OWU655407 OMY655407 ODC655407 NTG655407 NJK655407 MZO655407 MPS655407 MFW655407 LWA655407 LME655407 LCI655407 KSM655407 KIQ655407 JYU655407 JOY655407 JFC655407 IVG655407 ILK655407 IBO655407 HRS655407 HHW655407 GYA655407 GOE655407 GEI655407 FUM655407 FKQ655407 FAU655407 EQY655407 EHC655407 DXG655407 DNK655407 DDO655407 CTS655407 CJW655407 CAA655407 BQE655407 BGI655407 AWM655407 AMQ655407 ACU655407 SY655407 JC655407 G655407 WVO589871 WLS589871 WBW589871 VSA589871 VIE589871 UYI589871 UOM589871 UEQ589871 TUU589871 TKY589871 TBC589871 SRG589871 SHK589871 RXO589871 RNS589871 RDW589871 QUA589871 QKE589871 QAI589871 PQM589871 PGQ589871 OWU589871 OMY589871 ODC589871 NTG589871 NJK589871 MZO589871 MPS589871 MFW589871 LWA589871 LME589871 LCI589871 KSM589871 KIQ589871 JYU589871 JOY589871 JFC589871 IVG589871 ILK589871 IBO589871 HRS589871 HHW589871 GYA589871 GOE589871 GEI589871 FUM589871 FKQ589871 FAU589871 EQY589871 EHC589871 DXG589871 DNK589871 DDO589871 CTS589871 CJW589871 CAA589871 BQE589871 BGI589871 AWM589871 AMQ589871 ACU589871 SY589871 JC589871 G589871 WVO524335 WLS524335 WBW524335 VSA524335 VIE524335 UYI524335 UOM524335 UEQ524335 TUU524335 TKY524335 TBC524335 SRG524335 SHK524335 RXO524335 RNS524335 RDW524335 QUA524335 QKE524335 QAI524335 PQM524335 PGQ524335 OWU524335 OMY524335 ODC524335 NTG524335 NJK524335 MZO524335 MPS524335 MFW524335 LWA524335 LME524335 LCI524335 KSM524335 KIQ524335 JYU524335 JOY524335 JFC524335 IVG524335 ILK524335 IBO524335 HRS524335 HHW524335 GYA524335 GOE524335 GEI524335 FUM524335 FKQ524335 FAU524335 EQY524335 EHC524335 DXG524335 DNK524335 DDO524335 CTS524335 CJW524335 CAA524335 BQE524335 BGI524335 AWM524335 AMQ524335 ACU524335 SY524335 JC524335 G524335 WVO458799 WLS458799 WBW458799 VSA458799 VIE458799 UYI458799 UOM458799 UEQ458799 TUU458799 TKY458799 TBC458799 SRG458799 SHK458799 RXO458799 RNS458799 RDW458799 QUA458799 QKE458799 QAI458799 PQM458799 PGQ458799 OWU458799 OMY458799 ODC458799 NTG458799 NJK458799 MZO458799 MPS458799 MFW458799 LWA458799 LME458799 LCI458799 KSM458799 KIQ458799 JYU458799 JOY458799 JFC458799 IVG458799 ILK458799 IBO458799 HRS458799 HHW458799 GYA458799 GOE458799 GEI458799 FUM458799 FKQ458799 FAU458799 EQY458799 EHC458799 DXG458799 DNK458799 DDO458799 CTS458799 CJW458799 CAA458799 BQE458799 BGI458799 AWM458799 AMQ458799 ACU458799 SY458799 JC458799 G458799 WVO393263 WLS393263 WBW393263 VSA393263 VIE393263 UYI393263 UOM393263 UEQ393263 TUU393263 TKY393263 TBC393263 SRG393263 SHK393263 RXO393263 RNS393263 RDW393263 QUA393263 QKE393263 QAI393263 PQM393263 PGQ393263 OWU393263 OMY393263 ODC393263 NTG393263 NJK393263 MZO393263 MPS393263 MFW393263 LWA393263 LME393263 LCI393263 KSM393263 KIQ393263 JYU393263 JOY393263 JFC393263 IVG393263 ILK393263 IBO393263 HRS393263 HHW393263 GYA393263 GOE393263 GEI393263 FUM393263 FKQ393263 FAU393263 EQY393263 EHC393263 DXG393263 DNK393263 DDO393263 CTS393263 CJW393263 CAA393263 BQE393263 BGI393263 AWM393263 AMQ393263 ACU393263 SY393263 JC393263 G393263 WVO327727 WLS327727 WBW327727 VSA327727 VIE327727 UYI327727 UOM327727 UEQ327727 TUU327727 TKY327727 TBC327727 SRG327727 SHK327727 RXO327727 RNS327727 RDW327727 QUA327727 QKE327727 QAI327727 PQM327727 PGQ327727 OWU327727 OMY327727 ODC327727 NTG327727 NJK327727 MZO327727 MPS327727 MFW327727 LWA327727 LME327727 LCI327727 KSM327727 KIQ327727 JYU327727 JOY327727 JFC327727 IVG327727 ILK327727 IBO327727 HRS327727 HHW327727 GYA327727 GOE327727 GEI327727 FUM327727 FKQ327727 FAU327727 EQY327727 EHC327727 DXG327727 DNK327727 DDO327727 CTS327727 CJW327727 CAA327727 BQE327727 BGI327727 AWM327727 AMQ327727 ACU327727 SY327727 JC327727 G327727 WVO262191 WLS262191 WBW262191 VSA262191 VIE262191 UYI262191 UOM262191 UEQ262191 TUU262191 TKY262191 TBC262191 SRG262191 SHK262191 RXO262191 RNS262191 RDW262191 QUA262191 QKE262191 QAI262191 PQM262191 PGQ262191 OWU262191 OMY262191 ODC262191 NTG262191 NJK262191 MZO262191 MPS262191 MFW262191 LWA262191 LME262191 LCI262191 KSM262191 KIQ262191 JYU262191 JOY262191 JFC262191 IVG262191 ILK262191 IBO262191 HRS262191 HHW262191 GYA262191 GOE262191 GEI262191 FUM262191 FKQ262191 FAU262191 EQY262191 EHC262191 DXG262191 DNK262191 DDO262191 CTS262191 CJW262191 CAA262191 BQE262191 BGI262191 AWM262191 AMQ262191 ACU262191 SY262191 JC262191 G262191 WVO196655 WLS196655 WBW196655 VSA196655 VIE196655 UYI196655 UOM196655 UEQ196655 TUU196655 TKY196655 TBC196655 SRG196655 SHK196655 RXO196655 RNS196655 RDW196655 QUA196655 QKE196655 QAI196655 PQM196655 PGQ196655 OWU196655 OMY196655 ODC196655 NTG196655 NJK196655 MZO196655 MPS196655 MFW196655 LWA196655 LME196655 LCI196655 KSM196655 KIQ196655 JYU196655 JOY196655 JFC196655 IVG196655 ILK196655 IBO196655 HRS196655 HHW196655 GYA196655 GOE196655 GEI196655 FUM196655 FKQ196655 FAU196655 EQY196655 EHC196655 DXG196655 DNK196655 DDO196655 CTS196655 CJW196655 CAA196655 BQE196655 BGI196655 AWM196655 AMQ196655 ACU196655 SY196655 JC196655 G196655 WVO131119 WLS131119 WBW131119 VSA131119 VIE131119 UYI131119 UOM131119 UEQ131119 TUU131119 TKY131119 TBC131119 SRG131119 SHK131119 RXO131119 RNS131119 RDW131119 QUA131119 QKE131119 QAI131119 PQM131119 PGQ131119 OWU131119 OMY131119 ODC131119 NTG131119 NJK131119 MZO131119 MPS131119 MFW131119 LWA131119 LME131119 LCI131119 KSM131119 KIQ131119 JYU131119 JOY131119 JFC131119 IVG131119 ILK131119 IBO131119 HRS131119 HHW131119 GYA131119 GOE131119 GEI131119 FUM131119 FKQ131119 FAU131119 EQY131119 EHC131119 DXG131119 DNK131119 DDO131119 CTS131119 CJW131119 CAA131119 BQE131119 BGI131119 AWM131119 AMQ131119 ACU131119 SY131119 JC131119 G131119 WVO65583 WLS65583 WBW65583 VSA65583 VIE65583 UYI65583 UOM65583 UEQ65583 TUU65583 TKY65583 TBC65583 SRG65583 SHK65583 RXO65583 RNS65583 RDW65583 QUA65583 QKE65583 QAI65583 PQM65583 PGQ65583 OWU65583 OMY65583 ODC65583 NTG65583 NJK65583 MZO65583 MPS65583 MFW65583 LWA65583 LME65583 LCI65583 KSM65583 KIQ65583 JYU65583 JOY65583 JFC65583 IVG65583 ILK65583 IBO65583 HRS65583 HHW65583 GYA65583 GOE65583 GEI65583 FUM65583 FKQ65583 FAU65583 EQY65583 EHC65583 DXG65583 DNK65583 DDO65583 CTS65583 CJW65583 CAA65583 BQE65583 BGI65583 AWM65583 AMQ65583 ACU65583 SY65583 JC65583 G65583 WVO8 WLS8 WBW8 VSA8 VIE8 UYI8 UOM8 UEQ8 TUU8 TKY8 TBC8 SRG8 SHK8 RXO8 RNS8 RDW8 QUA8 QKE8 QAI8 PQM8 PGQ8 OWU8 OMY8 ODC8 NTG8 NJK8 MZO8 MPS8 MFW8 LWA8 LME8 LCI8 KSM8 KIQ8 JYU8 JOY8 JFC8 IVG8 ILK8 IBO8 HRS8 HHW8 GYA8 GOE8 GEI8 FUM8 FKQ8 FAU8 EQY8 EHC8 DXG8 DNK8 DDO8 CTS8 CJW8 CAA8 BQE8 BGI8 AWM8 AMQ8 ACU8 SY8 G12:G22 JC22 WVO22 WLS22 WBW22 VSA22 VIE22 UYI22 UOM22 UEQ22 TUU22 TKY22 TBC22 SRG22 SHK22 RXO22 RNS22 RDW22 QUA22 QKE22 QAI22 PQM22 PGQ22 OWU22 OMY22 ODC22 NTG22 NJK22 MZO22 MPS22 MFW22 LWA22 LME22 LCI22 KSM22 KIQ22 JYU22 JOY22 JFC22 IVG22 ILK22 IBO22 HRS22 HHW22 GYA22 GOE22 GEI22 FUM22 FKQ22 FAU22 EQY22 EHC22 DXG22 DNK22 DDO22 CTS22 CJW22 CAA22 BQE22 BGI22 AWM22 AMQ22 ACU22 G26:G32 G49 G46 G40:G41 G37 G43">
      <formula1>$AK$64:$AK$76</formula1>
    </dataValidation>
    <dataValidation type="list" allowBlank="1" showInputMessage="1" showErrorMessage="1" sqref="I8 WVQ983087 WLU983087 WBY983087 VSC983087 VIG983087 UYK983087 UOO983087 UES983087 TUW983087 TLA983087 TBE983087 SRI983087 SHM983087 RXQ983087 RNU983087 RDY983087 QUC983087 QKG983087 QAK983087 PQO983087 PGS983087 OWW983087 ONA983087 ODE983087 NTI983087 NJM983087 MZQ983087 MPU983087 MFY983087 LWC983087 LMG983087 LCK983087 KSO983087 KIS983087 JYW983087 JPA983087 JFE983087 IVI983087 ILM983087 IBQ983087 HRU983087 HHY983087 GYC983087 GOG983087 GEK983087 FUO983087 FKS983087 FAW983087 ERA983087 EHE983087 DXI983087 DNM983087 DDQ983087 CTU983087 CJY983087 CAC983087 BQG983087 BGK983087 AWO983087 AMS983087 ACW983087 TA983087 JE983087 I983087 WVQ917551 WLU917551 WBY917551 VSC917551 VIG917551 UYK917551 UOO917551 UES917551 TUW917551 TLA917551 TBE917551 SRI917551 SHM917551 RXQ917551 RNU917551 RDY917551 QUC917551 QKG917551 QAK917551 PQO917551 PGS917551 OWW917551 ONA917551 ODE917551 NTI917551 NJM917551 MZQ917551 MPU917551 MFY917551 LWC917551 LMG917551 LCK917551 KSO917551 KIS917551 JYW917551 JPA917551 JFE917551 IVI917551 ILM917551 IBQ917551 HRU917551 HHY917551 GYC917551 GOG917551 GEK917551 FUO917551 FKS917551 FAW917551 ERA917551 EHE917551 DXI917551 DNM917551 DDQ917551 CTU917551 CJY917551 CAC917551 BQG917551 BGK917551 AWO917551 AMS917551 ACW917551 TA917551 JE917551 I917551 WVQ852015 WLU852015 WBY852015 VSC852015 VIG852015 UYK852015 UOO852015 UES852015 TUW852015 TLA852015 TBE852015 SRI852015 SHM852015 RXQ852015 RNU852015 RDY852015 QUC852015 QKG852015 QAK852015 PQO852015 PGS852015 OWW852015 ONA852015 ODE852015 NTI852015 NJM852015 MZQ852015 MPU852015 MFY852015 LWC852015 LMG852015 LCK852015 KSO852015 KIS852015 JYW852015 JPA852015 JFE852015 IVI852015 ILM852015 IBQ852015 HRU852015 HHY852015 GYC852015 GOG852015 GEK852015 FUO852015 FKS852015 FAW852015 ERA852015 EHE852015 DXI852015 DNM852015 DDQ852015 CTU852015 CJY852015 CAC852015 BQG852015 BGK852015 AWO852015 AMS852015 ACW852015 TA852015 JE852015 I852015 WVQ786479 WLU786479 WBY786479 VSC786479 VIG786479 UYK786479 UOO786479 UES786479 TUW786479 TLA786479 TBE786479 SRI786479 SHM786479 RXQ786479 RNU786479 RDY786479 QUC786479 QKG786479 QAK786479 PQO786479 PGS786479 OWW786479 ONA786479 ODE786479 NTI786479 NJM786479 MZQ786479 MPU786479 MFY786479 LWC786479 LMG786479 LCK786479 KSO786479 KIS786479 JYW786479 JPA786479 JFE786479 IVI786479 ILM786479 IBQ786479 HRU786479 HHY786479 GYC786479 GOG786479 GEK786479 FUO786479 FKS786479 FAW786479 ERA786479 EHE786479 DXI786479 DNM786479 DDQ786479 CTU786479 CJY786479 CAC786479 BQG786479 BGK786479 AWO786479 AMS786479 ACW786479 TA786479 JE786479 I786479 WVQ720943 WLU720943 WBY720943 VSC720943 VIG720943 UYK720943 UOO720943 UES720943 TUW720943 TLA720943 TBE720943 SRI720943 SHM720943 RXQ720943 RNU720943 RDY720943 QUC720943 QKG720943 QAK720943 PQO720943 PGS720943 OWW720943 ONA720943 ODE720943 NTI720943 NJM720943 MZQ720943 MPU720943 MFY720943 LWC720943 LMG720943 LCK720943 KSO720943 KIS720943 JYW720943 JPA720943 JFE720943 IVI720943 ILM720943 IBQ720943 HRU720943 HHY720943 GYC720943 GOG720943 GEK720943 FUO720943 FKS720943 FAW720943 ERA720943 EHE720943 DXI720943 DNM720943 DDQ720943 CTU720943 CJY720943 CAC720943 BQG720943 BGK720943 AWO720943 AMS720943 ACW720943 TA720943 JE720943 I720943 WVQ655407 WLU655407 WBY655407 VSC655407 VIG655407 UYK655407 UOO655407 UES655407 TUW655407 TLA655407 TBE655407 SRI655407 SHM655407 RXQ655407 RNU655407 RDY655407 QUC655407 QKG655407 QAK655407 PQO655407 PGS655407 OWW655407 ONA655407 ODE655407 NTI655407 NJM655407 MZQ655407 MPU655407 MFY655407 LWC655407 LMG655407 LCK655407 KSO655407 KIS655407 JYW655407 JPA655407 JFE655407 IVI655407 ILM655407 IBQ655407 HRU655407 HHY655407 GYC655407 GOG655407 GEK655407 FUO655407 FKS655407 FAW655407 ERA655407 EHE655407 DXI655407 DNM655407 DDQ655407 CTU655407 CJY655407 CAC655407 BQG655407 BGK655407 AWO655407 AMS655407 ACW655407 TA655407 JE655407 I655407 WVQ589871 WLU589871 WBY589871 VSC589871 VIG589871 UYK589871 UOO589871 UES589871 TUW589871 TLA589871 TBE589871 SRI589871 SHM589871 RXQ589871 RNU589871 RDY589871 QUC589871 QKG589871 QAK589871 PQO589871 PGS589871 OWW589871 ONA589871 ODE589871 NTI589871 NJM589871 MZQ589871 MPU589871 MFY589871 LWC589871 LMG589871 LCK589871 KSO589871 KIS589871 JYW589871 JPA589871 JFE589871 IVI589871 ILM589871 IBQ589871 HRU589871 HHY589871 GYC589871 GOG589871 GEK589871 FUO589871 FKS589871 FAW589871 ERA589871 EHE589871 DXI589871 DNM589871 DDQ589871 CTU589871 CJY589871 CAC589871 BQG589871 BGK589871 AWO589871 AMS589871 ACW589871 TA589871 JE589871 I589871 WVQ524335 WLU524335 WBY524335 VSC524335 VIG524335 UYK524335 UOO524335 UES524335 TUW524335 TLA524335 TBE524335 SRI524335 SHM524335 RXQ524335 RNU524335 RDY524335 QUC524335 QKG524335 QAK524335 PQO524335 PGS524335 OWW524335 ONA524335 ODE524335 NTI524335 NJM524335 MZQ524335 MPU524335 MFY524335 LWC524335 LMG524335 LCK524335 KSO524335 KIS524335 JYW524335 JPA524335 JFE524335 IVI524335 ILM524335 IBQ524335 HRU524335 HHY524335 GYC524335 GOG524335 GEK524335 FUO524335 FKS524335 FAW524335 ERA524335 EHE524335 DXI524335 DNM524335 DDQ524335 CTU524335 CJY524335 CAC524335 BQG524335 BGK524335 AWO524335 AMS524335 ACW524335 TA524335 JE524335 I524335 WVQ458799 WLU458799 WBY458799 VSC458799 VIG458799 UYK458799 UOO458799 UES458799 TUW458799 TLA458799 TBE458799 SRI458799 SHM458799 RXQ458799 RNU458799 RDY458799 QUC458799 QKG458799 QAK458799 PQO458799 PGS458799 OWW458799 ONA458799 ODE458799 NTI458799 NJM458799 MZQ458799 MPU458799 MFY458799 LWC458799 LMG458799 LCK458799 KSO458799 KIS458799 JYW458799 JPA458799 JFE458799 IVI458799 ILM458799 IBQ458799 HRU458799 HHY458799 GYC458799 GOG458799 GEK458799 FUO458799 FKS458799 FAW458799 ERA458799 EHE458799 DXI458799 DNM458799 DDQ458799 CTU458799 CJY458799 CAC458799 BQG458799 BGK458799 AWO458799 AMS458799 ACW458799 TA458799 JE458799 I458799 WVQ393263 WLU393263 WBY393263 VSC393263 VIG393263 UYK393263 UOO393263 UES393263 TUW393263 TLA393263 TBE393263 SRI393263 SHM393263 RXQ393263 RNU393263 RDY393263 QUC393263 QKG393263 QAK393263 PQO393263 PGS393263 OWW393263 ONA393263 ODE393263 NTI393263 NJM393263 MZQ393263 MPU393263 MFY393263 LWC393263 LMG393263 LCK393263 KSO393263 KIS393263 JYW393263 JPA393263 JFE393263 IVI393263 ILM393263 IBQ393263 HRU393263 HHY393263 GYC393263 GOG393263 GEK393263 FUO393263 FKS393263 FAW393263 ERA393263 EHE393263 DXI393263 DNM393263 DDQ393263 CTU393263 CJY393263 CAC393263 BQG393263 BGK393263 AWO393263 AMS393263 ACW393263 TA393263 JE393263 I393263 WVQ327727 WLU327727 WBY327727 VSC327727 VIG327727 UYK327727 UOO327727 UES327727 TUW327727 TLA327727 TBE327727 SRI327727 SHM327727 RXQ327727 RNU327727 RDY327727 QUC327727 QKG327727 QAK327727 PQO327727 PGS327727 OWW327727 ONA327727 ODE327727 NTI327727 NJM327727 MZQ327727 MPU327727 MFY327727 LWC327727 LMG327727 LCK327727 KSO327727 KIS327727 JYW327727 JPA327727 JFE327727 IVI327727 ILM327727 IBQ327727 HRU327727 HHY327727 GYC327727 GOG327727 GEK327727 FUO327727 FKS327727 FAW327727 ERA327727 EHE327727 DXI327727 DNM327727 DDQ327727 CTU327727 CJY327727 CAC327727 BQG327727 BGK327727 AWO327727 AMS327727 ACW327727 TA327727 JE327727 I327727 WVQ262191 WLU262191 WBY262191 VSC262191 VIG262191 UYK262191 UOO262191 UES262191 TUW262191 TLA262191 TBE262191 SRI262191 SHM262191 RXQ262191 RNU262191 RDY262191 QUC262191 QKG262191 QAK262191 PQO262191 PGS262191 OWW262191 ONA262191 ODE262191 NTI262191 NJM262191 MZQ262191 MPU262191 MFY262191 LWC262191 LMG262191 LCK262191 KSO262191 KIS262191 JYW262191 JPA262191 JFE262191 IVI262191 ILM262191 IBQ262191 HRU262191 HHY262191 GYC262191 GOG262191 GEK262191 FUO262191 FKS262191 FAW262191 ERA262191 EHE262191 DXI262191 DNM262191 DDQ262191 CTU262191 CJY262191 CAC262191 BQG262191 BGK262191 AWO262191 AMS262191 ACW262191 TA262191 JE262191 I262191 WVQ196655 WLU196655 WBY196655 VSC196655 VIG196655 UYK196655 UOO196655 UES196655 TUW196655 TLA196655 TBE196655 SRI196655 SHM196655 RXQ196655 RNU196655 RDY196655 QUC196655 QKG196655 QAK196655 PQO196655 PGS196655 OWW196655 ONA196655 ODE196655 NTI196655 NJM196655 MZQ196655 MPU196655 MFY196655 LWC196655 LMG196655 LCK196655 KSO196655 KIS196655 JYW196655 JPA196655 JFE196655 IVI196655 ILM196655 IBQ196655 HRU196655 HHY196655 GYC196655 GOG196655 GEK196655 FUO196655 FKS196655 FAW196655 ERA196655 EHE196655 DXI196655 DNM196655 DDQ196655 CTU196655 CJY196655 CAC196655 BQG196655 BGK196655 AWO196655 AMS196655 ACW196655 TA196655 JE196655 I196655 WVQ131119 WLU131119 WBY131119 VSC131119 VIG131119 UYK131119 UOO131119 UES131119 TUW131119 TLA131119 TBE131119 SRI131119 SHM131119 RXQ131119 RNU131119 RDY131119 QUC131119 QKG131119 QAK131119 PQO131119 PGS131119 OWW131119 ONA131119 ODE131119 NTI131119 NJM131119 MZQ131119 MPU131119 MFY131119 LWC131119 LMG131119 LCK131119 KSO131119 KIS131119 JYW131119 JPA131119 JFE131119 IVI131119 ILM131119 IBQ131119 HRU131119 HHY131119 GYC131119 GOG131119 GEK131119 FUO131119 FKS131119 FAW131119 ERA131119 EHE131119 DXI131119 DNM131119 DDQ131119 CTU131119 CJY131119 CAC131119 BQG131119 BGK131119 AWO131119 AMS131119 ACW131119 TA131119 JE131119 I131119 WVQ65583 WLU65583 WBY65583 VSC65583 VIG65583 UYK65583 UOO65583 UES65583 TUW65583 TLA65583 TBE65583 SRI65583 SHM65583 RXQ65583 RNU65583 RDY65583 QUC65583 QKG65583 QAK65583 PQO65583 PGS65583 OWW65583 ONA65583 ODE65583 NTI65583 NJM65583 MZQ65583 MPU65583 MFY65583 LWC65583 LMG65583 LCK65583 KSO65583 KIS65583 JYW65583 JPA65583 JFE65583 IVI65583 ILM65583 IBQ65583 HRU65583 HHY65583 GYC65583 GOG65583 GEK65583 FUO65583 FKS65583 FAW65583 ERA65583 EHE65583 DXI65583 DNM65583 DDQ65583 CTU65583 CJY65583 CAC65583 BQG65583 BGK65583 AWO65583 AMS65583 ACW65583 TA65583 JE65583 I65583 WVQ8 WLU8 WBY8 VSC8 VIG8 UYK8 UOO8 UES8 TUW8 TLA8 TBE8 SRI8 SHM8 RXQ8 RNU8 RDY8 QUC8 QKG8 QAK8 PQO8 PGS8 OWW8 ONA8 ODE8 NTI8 NJM8 MZQ8 MPU8 MFY8 LWC8 LMG8 LCK8 KSO8 KIS8 JYW8 JPA8 JFE8 IVI8 ILM8 IBQ8 HRU8 HHY8 GYC8 GOG8 GEK8 FUO8 FKS8 FAW8 ERA8 EHE8 DXI8 DNM8 DDQ8 CTU8 CJY8 CAC8 BQG8 BGK8 AWO8 AMS8 ACW8 TA8 JE8 I22 WVQ22 WLU22 WBY22 VSC22 VIG22 UYK22 UOO22 UES22 TUW22 TLA22 TBE22 SRI22 SHM22 RXQ22 RNU22 RDY22 QUC22 QKG22 QAK22 PQO22 PGS22 OWW22 ONA22 ODE22 NTI22 NJM22 MZQ22 MPU22 MFY22 LWC22 LMG22 LCK22 KSO22 KIS22 JYW22 JPA22 JFE22 IVI22 ILM22 IBQ22 HRU22 HHY22 GYC22 GOG22 GEK22 FUO22 FKS22 FAW22 ERA22 EHE22 DXI22 DNM22 DDQ22 CTU22 CJY22 CAC22 BQG22 BGK22 AWO22 AMS22 ACW22 TA22 JE22 I49 I46 I40:I41 I37 I32 I43">
      <formula1>$X$60:$X$61</formula1>
    </dataValidation>
    <dataValidation type="list" allowBlank="1" showInputMessage="1" showErrorMessage="1" sqref="WWN983087:WWN983090 AF65583:AF65586 KB65583:KB65586 TX65583:TX65586 ADT65583:ADT65586 ANP65583:ANP65586 AXL65583:AXL65586 BHH65583:BHH65586 BRD65583:BRD65586 CAZ65583:CAZ65586 CKV65583:CKV65586 CUR65583:CUR65586 DEN65583:DEN65586 DOJ65583:DOJ65586 DYF65583:DYF65586 EIB65583:EIB65586 ERX65583:ERX65586 FBT65583:FBT65586 FLP65583:FLP65586 FVL65583:FVL65586 GFH65583:GFH65586 GPD65583:GPD65586 GYZ65583:GYZ65586 HIV65583:HIV65586 HSR65583:HSR65586 ICN65583:ICN65586 IMJ65583:IMJ65586 IWF65583:IWF65586 JGB65583:JGB65586 JPX65583:JPX65586 JZT65583:JZT65586 KJP65583:KJP65586 KTL65583:KTL65586 LDH65583:LDH65586 LND65583:LND65586 LWZ65583:LWZ65586 MGV65583:MGV65586 MQR65583:MQR65586 NAN65583:NAN65586 NKJ65583:NKJ65586 NUF65583:NUF65586 OEB65583:OEB65586 ONX65583:ONX65586 OXT65583:OXT65586 PHP65583:PHP65586 PRL65583:PRL65586 QBH65583:QBH65586 QLD65583:QLD65586 QUZ65583:QUZ65586 REV65583:REV65586 ROR65583:ROR65586 RYN65583:RYN65586 SIJ65583:SIJ65586 SSF65583:SSF65586 TCB65583:TCB65586 TLX65583:TLX65586 TVT65583:TVT65586 UFP65583:UFP65586 UPL65583:UPL65586 UZH65583:UZH65586 VJD65583:VJD65586 VSZ65583:VSZ65586 WCV65583:WCV65586 WMR65583:WMR65586 WWN65583:WWN65586 AF131119:AF131122 KB131119:KB131122 TX131119:TX131122 ADT131119:ADT131122 ANP131119:ANP131122 AXL131119:AXL131122 BHH131119:BHH131122 BRD131119:BRD131122 CAZ131119:CAZ131122 CKV131119:CKV131122 CUR131119:CUR131122 DEN131119:DEN131122 DOJ131119:DOJ131122 DYF131119:DYF131122 EIB131119:EIB131122 ERX131119:ERX131122 FBT131119:FBT131122 FLP131119:FLP131122 FVL131119:FVL131122 GFH131119:GFH131122 GPD131119:GPD131122 GYZ131119:GYZ131122 HIV131119:HIV131122 HSR131119:HSR131122 ICN131119:ICN131122 IMJ131119:IMJ131122 IWF131119:IWF131122 JGB131119:JGB131122 JPX131119:JPX131122 JZT131119:JZT131122 KJP131119:KJP131122 KTL131119:KTL131122 LDH131119:LDH131122 LND131119:LND131122 LWZ131119:LWZ131122 MGV131119:MGV131122 MQR131119:MQR131122 NAN131119:NAN131122 NKJ131119:NKJ131122 NUF131119:NUF131122 OEB131119:OEB131122 ONX131119:ONX131122 OXT131119:OXT131122 PHP131119:PHP131122 PRL131119:PRL131122 QBH131119:QBH131122 QLD131119:QLD131122 QUZ131119:QUZ131122 REV131119:REV131122 ROR131119:ROR131122 RYN131119:RYN131122 SIJ131119:SIJ131122 SSF131119:SSF131122 TCB131119:TCB131122 TLX131119:TLX131122 TVT131119:TVT131122 UFP131119:UFP131122 UPL131119:UPL131122 UZH131119:UZH131122 VJD131119:VJD131122 VSZ131119:VSZ131122 WCV131119:WCV131122 WMR131119:WMR131122 WWN131119:WWN131122 AF196655:AF196658 KB196655:KB196658 TX196655:TX196658 ADT196655:ADT196658 ANP196655:ANP196658 AXL196655:AXL196658 BHH196655:BHH196658 BRD196655:BRD196658 CAZ196655:CAZ196658 CKV196655:CKV196658 CUR196655:CUR196658 DEN196655:DEN196658 DOJ196655:DOJ196658 DYF196655:DYF196658 EIB196655:EIB196658 ERX196655:ERX196658 FBT196655:FBT196658 FLP196655:FLP196658 FVL196655:FVL196658 GFH196655:GFH196658 GPD196655:GPD196658 GYZ196655:GYZ196658 HIV196655:HIV196658 HSR196655:HSR196658 ICN196655:ICN196658 IMJ196655:IMJ196658 IWF196655:IWF196658 JGB196655:JGB196658 JPX196655:JPX196658 JZT196655:JZT196658 KJP196655:KJP196658 KTL196655:KTL196658 LDH196655:LDH196658 LND196655:LND196658 LWZ196655:LWZ196658 MGV196655:MGV196658 MQR196655:MQR196658 NAN196655:NAN196658 NKJ196655:NKJ196658 NUF196655:NUF196658 OEB196655:OEB196658 ONX196655:ONX196658 OXT196655:OXT196658 PHP196655:PHP196658 PRL196655:PRL196658 QBH196655:QBH196658 QLD196655:QLD196658 QUZ196655:QUZ196658 REV196655:REV196658 ROR196655:ROR196658 RYN196655:RYN196658 SIJ196655:SIJ196658 SSF196655:SSF196658 TCB196655:TCB196658 TLX196655:TLX196658 TVT196655:TVT196658 UFP196655:UFP196658 UPL196655:UPL196658 UZH196655:UZH196658 VJD196655:VJD196658 VSZ196655:VSZ196658 WCV196655:WCV196658 WMR196655:WMR196658 WWN196655:WWN196658 AF262191:AF262194 KB262191:KB262194 TX262191:TX262194 ADT262191:ADT262194 ANP262191:ANP262194 AXL262191:AXL262194 BHH262191:BHH262194 BRD262191:BRD262194 CAZ262191:CAZ262194 CKV262191:CKV262194 CUR262191:CUR262194 DEN262191:DEN262194 DOJ262191:DOJ262194 DYF262191:DYF262194 EIB262191:EIB262194 ERX262191:ERX262194 FBT262191:FBT262194 FLP262191:FLP262194 FVL262191:FVL262194 GFH262191:GFH262194 GPD262191:GPD262194 GYZ262191:GYZ262194 HIV262191:HIV262194 HSR262191:HSR262194 ICN262191:ICN262194 IMJ262191:IMJ262194 IWF262191:IWF262194 JGB262191:JGB262194 JPX262191:JPX262194 JZT262191:JZT262194 KJP262191:KJP262194 KTL262191:KTL262194 LDH262191:LDH262194 LND262191:LND262194 LWZ262191:LWZ262194 MGV262191:MGV262194 MQR262191:MQR262194 NAN262191:NAN262194 NKJ262191:NKJ262194 NUF262191:NUF262194 OEB262191:OEB262194 ONX262191:ONX262194 OXT262191:OXT262194 PHP262191:PHP262194 PRL262191:PRL262194 QBH262191:QBH262194 QLD262191:QLD262194 QUZ262191:QUZ262194 REV262191:REV262194 ROR262191:ROR262194 RYN262191:RYN262194 SIJ262191:SIJ262194 SSF262191:SSF262194 TCB262191:TCB262194 TLX262191:TLX262194 TVT262191:TVT262194 UFP262191:UFP262194 UPL262191:UPL262194 UZH262191:UZH262194 VJD262191:VJD262194 VSZ262191:VSZ262194 WCV262191:WCV262194 WMR262191:WMR262194 WWN262191:WWN262194 AF327727:AF327730 KB327727:KB327730 TX327727:TX327730 ADT327727:ADT327730 ANP327727:ANP327730 AXL327727:AXL327730 BHH327727:BHH327730 BRD327727:BRD327730 CAZ327727:CAZ327730 CKV327727:CKV327730 CUR327727:CUR327730 DEN327727:DEN327730 DOJ327727:DOJ327730 DYF327727:DYF327730 EIB327727:EIB327730 ERX327727:ERX327730 FBT327727:FBT327730 FLP327727:FLP327730 FVL327727:FVL327730 GFH327727:GFH327730 GPD327727:GPD327730 GYZ327727:GYZ327730 HIV327727:HIV327730 HSR327727:HSR327730 ICN327727:ICN327730 IMJ327727:IMJ327730 IWF327727:IWF327730 JGB327727:JGB327730 JPX327727:JPX327730 JZT327727:JZT327730 KJP327727:KJP327730 KTL327727:KTL327730 LDH327727:LDH327730 LND327727:LND327730 LWZ327727:LWZ327730 MGV327727:MGV327730 MQR327727:MQR327730 NAN327727:NAN327730 NKJ327727:NKJ327730 NUF327727:NUF327730 OEB327727:OEB327730 ONX327727:ONX327730 OXT327727:OXT327730 PHP327727:PHP327730 PRL327727:PRL327730 QBH327727:QBH327730 QLD327727:QLD327730 QUZ327727:QUZ327730 REV327727:REV327730 ROR327727:ROR327730 RYN327727:RYN327730 SIJ327727:SIJ327730 SSF327727:SSF327730 TCB327727:TCB327730 TLX327727:TLX327730 TVT327727:TVT327730 UFP327727:UFP327730 UPL327727:UPL327730 UZH327727:UZH327730 VJD327727:VJD327730 VSZ327727:VSZ327730 WCV327727:WCV327730 WMR327727:WMR327730 WWN327727:WWN327730 AF393263:AF393266 KB393263:KB393266 TX393263:TX393266 ADT393263:ADT393266 ANP393263:ANP393266 AXL393263:AXL393266 BHH393263:BHH393266 BRD393263:BRD393266 CAZ393263:CAZ393266 CKV393263:CKV393266 CUR393263:CUR393266 DEN393263:DEN393266 DOJ393263:DOJ393266 DYF393263:DYF393266 EIB393263:EIB393266 ERX393263:ERX393266 FBT393263:FBT393266 FLP393263:FLP393266 FVL393263:FVL393266 GFH393263:GFH393266 GPD393263:GPD393266 GYZ393263:GYZ393266 HIV393263:HIV393266 HSR393263:HSR393266 ICN393263:ICN393266 IMJ393263:IMJ393266 IWF393263:IWF393266 JGB393263:JGB393266 JPX393263:JPX393266 JZT393263:JZT393266 KJP393263:KJP393266 KTL393263:KTL393266 LDH393263:LDH393266 LND393263:LND393266 LWZ393263:LWZ393266 MGV393263:MGV393266 MQR393263:MQR393266 NAN393263:NAN393266 NKJ393263:NKJ393266 NUF393263:NUF393266 OEB393263:OEB393266 ONX393263:ONX393266 OXT393263:OXT393266 PHP393263:PHP393266 PRL393263:PRL393266 QBH393263:QBH393266 QLD393263:QLD393266 QUZ393263:QUZ393266 REV393263:REV393266 ROR393263:ROR393266 RYN393263:RYN393266 SIJ393263:SIJ393266 SSF393263:SSF393266 TCB393263:TCB393266 TLX393263:TLX393266 TVT393263:TVT393266 UFP393263:UFP393266 UPL393263:UPL393266 UZH393263:UZH393266 VJD393263:VJD393266 VSZ393263:VSZ393266 WCV393263:WCV393266 WMR393263:WMR393266 WWN393263:WWN393266 AF458799:AF458802 KB458799:KB458802 TX458799:TX458802 ADT458799:ADT458802 ANP458799:ANP458802 AXL458799:AXL458802 BHH458799:BHH458802 BRD458799:BRD458802 CAZ458799:CAZ458802 CKV458799:CKV458802 CUR458799:CUR458802 DEN458799:DEN458802 DOJ458799:DOJ458802 DYF458799:DYF458802 EIB458799:EIB458802 ERX458799:ERX458802 FBT458799:FBT458802 FLP458799:FLP458802 FVL458799:FVL458802 GFH458799:GFH458802 GPD458799:GPD458802 GYZ458799:GYZ458802 HIV458799:HIV458802 HSR458799:HSR458802 ICN458799:ICN458802 IMJ458799:IMJ458802 IWF458799:IWF458802 JGB458799:JGB458802 JPX458799:JPX458802 JZT458799:JZT458802 KJP458799:KJP458802 KTL458799:KTL458802 LDH458799:LDH458802 LND458799:LND458802 LWZ458799:LWZ458802 MGV458799:MGV458802 MQR458799:MQR458802 NAN458799:NAN458802 NKJ458799:NKJ458802 NUF458799:NUF458802 OEB458799:OEB458802 ONX458799:ONX458802 OXT458799:OXT458802 PHP458799:PHP458802 PRL458799:PRL458802 QBH458799:QBH458802 QLD458799:QLD458802 QUZ458799:QUZ458802 REV458799:REV458802 ROR458799:ROR458802 RYN458799:RYN458802 SIJ458799:SIJ458802 SSF458799:SSF458802 TCB458799:TCB458802 TLX458799:TLX458802 TVT458799:TVT458802 UFP458799:UFP458802 UPL458799:UPL458802 UZH458799:UZH458802 VJD458799:VJD458802 VSZ458799:VSZ458802 WCV458799:WCV458802 WMR458799:WMR458802 WWN458799:WWN458802 AF524335:AF524338 KB524335:KB524338 TX524335:TX524338 ADT524335:ADT524338 ANP524335:ANP524338 AXL524335:AXL524338 BHH524335:BHH524338 BRD524335:BRD524338 CAZ524335:CAZ524338 CKV524335:CKV524338 CUR524335:CUR524338 DEN524335:DEN524338 DOJ524335:DOJ524338 DYF524335:DYF524338 EIB524335:EIB524338 ERX524335:ERX524338 FBT524335:FBT524338 FLP524335:FLP524338 FVL524335:FVL524338 GFH524335:GFH524338 GPD524335:GPD524338 GYZ524335:GYZ524338 HIV524335:HIV524338 HSR524335:HSR524338 ICN524335:ICN524338 IMJ524335:IMJ524338 IWF524335:IWF524338 JGB524335:JGB524338 JPX524335:JPX524338 JZT524335:JZT524338 KJP524335:KJP524338 KTL524335:KTL524338 LDH524335:LDH524338 LND524335:LND524338 LWZ524335:LWZ524338 MGV524335:MGV524338 MQR524335:MQR524338 NAN524335:NAN524338 NKJ524335:NKJ524338 NUF524335:NUF524338 OEB524335:OEB524338 ONX524335:ONX524338 OXT524335:OXT524338 PHP524335:PHP524338 PRL524335:PRL524338 QBH524335:QBH524338 QLD524335:QLD524338 QUZ524335:QUZ524338 REV524335:REV524338 ROR524335:ROR524338 RYN524335:RYN524338 SIJ524335:SIJ524338 SSF524335:SSF524338 TCB524335:TCB524338 TLX524335:TLX524338 TVT524335:TVT524338 UFP524335:UFP524338 UPL524335:UPL524338 UZH524335:UZH524338 VJD524335:VJD524338 VSZ524335:VSZ524338 WCV524335:WCV524338 WMR524335:WMR524338 WWN524335:WWN524338 AF589871:AF589874 KB589871:KB589874 TX589871:TX589874 ADT589871:ADT589874 ANP589871:ANP589874 AXL589871:AXL589874 BHH589871:BHH589874 BRD589871:BRD589874 CAZ589871:CAZ589874 CKV589871:CKV589874 CUR589871:CUR589874 DEN589871:DEN589874 DOJ589871:DOJ589874 DYF589871:DYF589874 EIB589871:EIB589874 ERX589871:ERX589874 FBT589871:FBT589874 FLP589871:FLP589874 FVL589871:FVL589874 GFH589871:GFH589874 GPD589871:GPD589874 GYZ589871:GYZ589874 HIV589871:HIV589874 HSR589871:HSR589874 ICN589871:ICN589874 IMJ589871:IMJ589874 IWF589871:IWF589874 JGB589871:JGB589874 JPX589871:JPX589874 JZT589871:JZT589874 KJP589871:KJP589874 KTL589871:KTL589874 LDH589871:LDH589874 LND589871:LND589874 LWZ589871:LWZ589874 MGV589871:MGV589874 MQR589871:MQR589874 NAN589871:NAN589874 NKJ589871:NKJ589874 NUF589871:NUF589874 OEB589871:OEB589874 ONX589871:ONX589874 OXT589871:OXT589874 PHP589871:PHP589874 PRL589871:PRL589874 QBH589871:QBH589874 QLD589871:QLD589874 QUZ589871:QUZ589874 REV589871:REV589874 ROR589871:ROR589874 RYN589871:RYN589874 SIJ589871:SIJ589874 SSF589871:SSF589874 TCB589871:TCB589874 TLX589871:TLX589874 TVT589871:TVT589874 UFP589871:UFP589874 UPL589871:UPL589874 UZH589871:UZH589874 VJD589871:VJD589874 VSZ589871:VSZ589874 WCV589871:WCV589874 WMR589871:WMR589874 WWN589871:WWN589874 AF655407:AF655410 KB655407:KB655410 TX655407:TX655410 ADT655407:ADT655410 ANP655407:ANP655410 AXL655407:AXL655410 BHH655407:BHH655410 BRD655407:BRD655410 CAZ655407:CAZ655410 CKV655407:CKV655410 CUR655407:CUR655410 DEN655407:DEN655410 DOJ655407:DOJ655410 DYF655407:DYF655410 EIB655407:EIB655410 ERX655407:ERX655410 FBT655407:FBT655410 FLP655407:FLP655410 FVL655407:FVL655410 GFH655407:GFH655410 GPD655407:GPD655410 GYZ655407:GYZ655410 HIV655407:HIV655410 HSR655407:HSR655410 ICN655407:ICN655410 IMJ655407:IMJ655410 IWF655407:IWF655410 JGB655407:JGB655410 JPX655407:JPX655410 JZT655407:JZT655410 KJP655407:KJP655410 KTL655407:KTL655410 LDH655407:LDH655410 LND655407:LND655410 LWZ655407:LWZ655410 MGV655407:MGV655410 MQR655407:MQR655410 NAN655407:NAN655410 NKJ655407:NKJ655410 NUF655407:NUF655410 OEB655407:OEB655410 ONX655407:ONX655410 OXT655407:OXT655410 PHP655407:PHP655410 PRL655407:PRL655410 QBH655407:QBH655410 QLD655407:QLD655410 QUZ655407:QUZ655410 REV655407:REV655410 ROR655407:ROR655410 RYN655407:RYN655410 SIJ655407:SIJ655410 SSF655407:SSF655410 TCB655407:TCB655410 TLX655407:TLX655410 TVT655407:TVT655410 UFP655407:UFP655410 UPL655407:UPL655410 UZH655407:UZH655410 VJD655407:VJD655410 VSZ655407:VSZ655410 WCV655407:WCV655410 WMR655407:WMR655410 WWN655407:WWN655410 AF720943:AF720946 KB720943:KB720946 TX720943:TX720946 ADT720943:ADT720946 ANP720943:ANP720946 AXL720943:AXL720946 BHH720943:BHH720946 BRD720943:BRD720946 CAZ720943:CAZ720946 CKV720943:CKV720946 CUR720943:CUR720946 DEN720943:DEN720946 DOJ720943:DOJ720946 DYF720943:DYF720946 EIB720943:EIB720946 ERX720943:ERX720946 FBT720943:FBT720946 FLP720943:FLP720946 FVL720943:FVL720946 GFH720943:GFH720946 GPD720943:GPD720946 GYZ720943:GYZ720946 HIV720943:HIV720946 HSR720943:HSR720946 ICN720943:ICN720946 IMJ720943:IMJ720946 IWF720943:IWF720946 JGB720943:JGB720946 JPX720943:JPX720946 JZT720943:JZT720946 KJP720943:KJP720946 KTL720943:KTL720946 LDH720943:LDH720946 LND720943:LND720946 LWZ720943:LWZ720946 MGV720943:MGV720946 MQR720943:MQR720946 NAN720943:NAN720946 NKJ720943:NKJ720946 NUF720943:NUF720946 OEB720943:OEB720946 ONX720943:ONX720946 OXT720943:OXT720946 PHP720943:PHP720946 PRL720943:PRL720946 QBH720943:QBH720946 QLD720943:QLD720946 QUZ720943:QUZ720946 REV720943:REV720946 ROR720943:ROR720946 RYN720943:RYN720946 SIJ720943:SIJ720946 SSF720943:SSF720946 TCB720943:TCB720946 TLX720943:TLX720946 TVT720943:TVT720946 UFP720943:UFP720946 UPL720943:UPL720946 UZH720943:UZH720946 VJD720943:VJD720946 VSZ720943:VSZ720946 WCV720943:WCV720946 WMR720943:WMR720946 WWN720943:WWN720946 AF786479:AF786482 KB786479:KB786482 TX786479:TX786482 ADT786479:ADT786482 ANP786479:ANP786482 AXL786479:AXL786482 BHH786479:BHH786482 BRD786479:BRD786482 CAZ786479:CAZ786482 CKV786479:CKV786482 CUR786479:CUR786482 DEN786479:DEN786482 DOJ786479:DOJ786482 DYF786479:DYF786482 EIB786479:EIB786482 ERX786479:ERX786482 FBT786479:FBT786482 FLP786479:FLP786482 FVL786479:FVL786482 GFH786479:GFH786482 GPD786479:GPD786482 GYZ786479:GYZ786482 HIV786479:HIV786482 HSR786479:HSR786482 ICN786479:ICN786482 IMJ786479:IMJ786482 IWF786479:IWF786482 JGB786479:JGB786482 JPX786479:JPX786482 JZT786479:JZT786482 KJP786479:KJP786482 KTL786479:KTL786482 LDH786479:LDH786482 LND786479:LND786482 LWZ786479:LWZ786482 MGV786479:MGV786482 MQR786479:MQR786482 NAN786479:NAN786482 NKJ786479:NKJ786482 NUF786479:NUF786482 OEB786479:OEB786482 ONX786479:ONX786482 OXT786479:OXT786482 PHP786479:PHP786482 PRL786479:PRL786482 QBH786479:QBH786482 QLD786479:QLD786482 QUZ786479:QUZ786482 REV786479:REV786482 ROR786479:ROR786482 RYN786479:RYN786482 SIJ786479:SIJ786482 SSF786479:SSF786482 TCB786479:TCB786482 TLX786479:TLX786482 TVT786479:TVT786482 UFP786479:UFP786482 UPL786479:UPL786482 UZH786479:UZH786482 VJD786479:VJD786482 VSZ786479:VSZ786482 WCV786479:WCV786482 WMR786479:WMR786482 WWN786479:WWN786482 AF852015:AF852018 KB852015:KB852018 TX852015:TX852018 ADT852015:ADT852018 ANP852015:ANP852018 AXL852015:AXL852018 BHH852015:BHH852018 BRD852015:BRD852018 CAZ852015:CAZ852018 CKV852015:CKV852018 CUR852015:CUR852018 DEN852015:DEN852018 DOJ852015:DOJ852018 DYF852015:DYF852018 EIB852015:EIB852018 ERX852015:ERX852018 FBT852015:FBT852018 FLP852015:FLP852018 FVL852015:FVL852018 GFH852015:GFH852018 GPD852015:GPD852018 GYZ852015:GYZ852018 HIV852015:HIV852018 HSR852015:HSR852018 ICN852015:ICN852018 IMJ852015:IMJ852018 IWF852015:IWF852018 JGB852015:JGB852018 JPX852015:JPX852018 JZT852015:JZT852018 KJP852015:KJP852018 KTL852015:KTL852018 LDH852015:LDH852018 LND852015:LND852018 LWZ852015:LWZ852018 MGV852015:MGV852018 MQR852015:MQR852018 NAN852015:NAN852018 NKJ852015:NKJ852018 NUF852015:NUF852018 OEB852015:OEB852018 ONX852015:ONX852018 OXT852015:OXT852018 PHP852015:PHP852018 PRL852015:PRL852018 QBH852015:QBH852018 QLD852015:QLD852018 QUZ852015:QUZ852018 REV852015:REV852018 ROR852015:ROR852018 RYN852015:RYN852018 SIJ852015:SIJ852018 SSF852015:SSF852018 TCB852015:TCB852018 TLX852015:TLX852018 TVT852015:TVT852018 UFP852015:UFP852018 UPL852015:UPL852018 UZH852015:UZH852018 VJD852015:VJD852018 VSZ852015:VSZ852018 WCV852015:WCV852018 WMR852015:WMR852018 WWN852015:WWN852018 AF917551:AF917554 KB917551:KB917554 TX917551:TX917554 ADT917551:ADT917554 ANP917551:ANP917554 AXL917551:AXL917554 BHH917551:BHH917554 BRD917551:BRD917554 CAZ917551:CAZ917554 CKV917551:CKV917554 CUR917551:CUR917554 DEN917551:DEN917554 DOJ917551:DOJ917554 DYF917551:DYF917554 EIB917551:EIB917554 ERX917551:ERX917554 FBT917551:FBT917554 FLP917551:FLP917554 FVL917551:FVL917554 GFH917551:GFH917554 GPD917551:GPD917554 GYZ917551:GYZ917554 HIV917551:HIV917554 HSR917551:HSR917554 ICN917551:ICN917554 IMJ917551:IMJ917554 IWF917551:IWF917554 JGB917551:JGB917554 JPX917551:JPX917554 JZT917551:JZT917554 KJP917551:KJP917554 KTL917551:KTL917554 LDH917551:LDH917554 LND917551:LND917554 LWZ917551:LWZ917554 MGV917551:MGV917554 MQR917551:MQR917554 NAN917551:NAN917554 NKJ917551:NKJ917554 NUF917551:NUF917554 OEB917551:OEB917554 ONX917551:ONX917554 OXT917551:OXT917554 PHP917551:PHP917554 PRL917551:PRL917554 QBH917551:QBH917554 QLD917551:QLD917554 QUZ917551:QUZ917554 REV917551:REV917554 ROR917551:ROR917554 RYN917551:RYN917554 SIJ917551:SIJ917554 SSF917551:SSF917554 TCB917551:TCB917554 TLX917551:TLX917554 TVT917551:TVT917554 UFP917551:UFP917554 UPL917551:UPL917554 UZH917551:UZH917554 VJD917551:VJD917554 VSZ917551:VSZ917554 WCV917551:WCV917554 WMR917551:WMR917554 WWN917551:WWN917554 AF983087:AF983090 KB983087:KB983090 TX983087:TX983090 ADT983087:ADT983090 ANP983087:ANP983090 AXL983087:AXL983090 BHH983087:BHH983090 BRD983087:BRD983090 CAZ983087:CAZ983090 CKV983087:CKV983090 CUR983087:CUR983090 DEN983087:DEN983090 DOJ983087:DOJ983090 DYF983087:DYF983090 EIB983087:EIB983090 ERX983087:ERX983090 FBT983087:FBT983090 FLP983087:FLP983090 FVL983087:FVL983090 GFH983087:GFH983090 GPD983087:GPD983090 GYZ983087:GYZ983090 HIV983087:HIV983090 HSR983087:HSR983090 ICN983087:ICN983090 IMJ983087:IMJ983090 IWF983087:IWF983090 JGB983087:JGB983090 JPX983087:JPX983090 JZT983087:JZT983090 KJP983087:KJP983090 KTL983087:KTL983090 LDH983087:LDH983090 LND983087:LND983090 LWZ983087:LWZ983090 MGV983087:MGV983090 MQR983087:MQR983090 NAN983087:NAN983090 NKJ983087:NKJ983090 NUF983087:NUF983090 OEB983087:OEB983090 ONX983087:ONX983090 OXT983087:OXT983090 PHP983087:PHP983090 PRL983087:PRL983090 QBH983087:QBH983090 QLD983087:QLD983090 QUZ983087:QUZ983090 REV983087:REV983090 ROR983087:ROR983090 RYN983087:RYN983090 SIJ983087:SIJ983090 SSF983087:SSF983090 TCB983087:TCB983090 TLX983087:TLX983090 TVT983087:TVT983090 UFP983087:UFP983090 UPL983087:UPL983090 UZH983087:UZH983090 VJD983087:VJD983090 VSZ983087:VSZ983090 WCV983087:WCV983090 WMR983087:WMR983090 WCV8:WCV50 VSZ8:VSZ50 VJD8:VJD50 UZH8:UZH50 UPL8:UPL50 UFP8:UFP50 TVT8:TVT50 TLX8:TLX50 TCB8:TCB50 SSF8:SSF50 SIJ8:SIJ50 RYN8:RYN50 ROR8:ROR50 REV8:REV50 QUZ8:QUZ50 QLD8:QLD50 QBH8:QBH50 PRL8:PRL50 PHP8:PHP50 OXT8:OXT50 ONX8:ONX50 OEB8:OEB50 NUF8:NUF50 NKJ8:NKJ50 NAN8:NAN50 MQR8:MQR50 MGV8:MGV50 LWZ8:LWZ50 LND8:LND50 LDH8:LDH50 KTL8:KTL50 KJP8:KJP50 JZT8:JZT50 JPX8:JPX50 JGB8:JGB50 IWF8:IWF50 IMJ8:IMJ50 ICN8:ICN50 HSR8:HSR50 HIV8:HIV50 GYZ8:GYZ50 GPD8:GPD50 GFH8:GFH50 FVL8:FVL50 FLP8:FLP50 FBT8:FBT50 ERX8:ERX50 EIB8:EIB50 DYF8:DYF50 DOJ8:DOJ50 DEN8:DEN50 CUR8:CUR50 CKV8:CKV50 CAZ8:CAZ50 BRD8:BRD50 BHH8:BHH50 AXL8:AXL50 ANP8:ANP50 ADT8:ADT50 TX8:TX50 KB8:KB50 AF8:AF50 WWN8:WWN50 WMR8:WMR50">
      <formula1>$AJ$1:$AJ$4</formula1>
    </dataValidation>
    <dataValidation type="list" allowBlank="1" showInputMessage="1" showErrorMessage="1" sqref="AE8 WWM983087 WMQ983087 WCU983087 VSY983087 VJC983087 UZG983087 UPK983087 UFO983087 TVS983087 TLW983087 TCA983087 SSE983087 SII983087 RYM983087 ROQ983087 REU983087 QUY983087 QLC983087 QBG983087 PRK983087 PHO983087 OXS983087 ONW983087 OEA983087 NUE983087 NKI983087 NAM983087 MQQ983087 MGU983087 LWY983087 LNC983087 LDG983087 KTK983087 KJO983087 JZS983087 JPW983087 JGA983087 IWE983087 IMI983087 ICM983087 HSQ983087 HIU983087 GYY983087 GPC983087 GFG983087 FVK983087 FLO983087 FBS983087 ERW983087 EIA983087 DYE983087 DOI983087 DEM983087 CUQ983087 CKU983087 CAY983087 BRC983087 BHG983087 AXK983087 ANO983087 ADS983087 TW983087 KA983087 AE983087 WWM917551 WMQ917551 WCU917551 VSY917551 VJC917551 UZG917551 UPK917551 UFO917551 TVS917551 TLW917551 TCA917551 SSE917551 SII917551 RYM917551 ROQ917551 REU917551 QUY917551 QLC917551 QBG917551 PRK917551 PHO917551 OXS917551 ONW917551 OEA917551 NUE917551 NKI917551 NAM917551 MQQ917551 MGU917551 LWY917551 LNC917551 LDG917551 KTK917551 KJO917551 JZS917551 JPW917551 JGA917551 IWE917551 IMI917551 ICM917551 HSQ917551 HIU917551 GYY917551 GPC917551 GFG917551 FVK917551 FLO917551 FBS917551 ERW917551 EIA917551 DYE917551 DOI917551 DEM917551 CUQ917551 CKU917551 CAY917551 BRC917551 BHG917551 AXK917551 ANO917551 ADS917551 TW917551 KA917551 AE917551 WWM852015 WMQ852015 WCU852015 VSY852015 VJC852015 UZG852015 UPK852015 UFO852015 TVS852015 TLW852015 TCA852015 SSE852015 SII852015 RYM852015 ROQ852015 REU852015 QUY852015 QLC852015 QBG852015 PRK852015 PHO852015 OXS852015 ONW852015 OEA852015 NUE852015 NKI852015 NAM852015 MQQ852015 MGU852015 LWY852015 LNC852015 LDG852015 KTK852015 KJO852015 JZS852015 JPW852015 JGA852015 IWE852015 IMI852015 ICM852015 HSQ852015 HIU852015 GYY852015 GPC852015 GFG852015 FVK852015 FLO852015 FBS852015 ERW852015 EIA852015 DYE852015 DOI852015 DEM852015 CUQ852015 CKU852015 CAY852015 BRC852015 BHG852015 AXK852015 ANO852015 ADS852015 TW852015 KA852015 AE852015 WWM786479 WMQ786479 WCU786479 VSY786479 VJC786479 UZG786479 UPK786479 UFO786479 TVS786479 TLW786479 TCA786479 SSE786479 SII786479 RYM786479 ROQ786479 REU786479 QUY786479 QLC786479 QBG786479 PRK786479 PHO786479 OXS786479 ONW786479 OEA786479 NUE786479 NKI786479 NAM786479 MQQ786479 MGU786479 LWY786479 LNC786479 LDG786479 KTK786479 KJO786479 JZS786479 JPW786479 JGA786479 IWE786479 IMI786479 ICM786479 HSQ786479 HIU786479 GYY786479 GPC786479 GFG786479 FVK786479 FLO786479 FBS786479 ERW786479 EIA786479 DYE786479 DOI786479 DEM786479 CUQ786479 CKU786479 CAY786479 BRC786479 BHG786479 AXK786479 ANO786479 ADS786479 TW786479 KA786479 AE786479 WWM720943 WMQ720943 WCU720943 VSY720943 VJC720943 UZG720943 UPK720943 UFO720943 TVS720943 TLW720943 TCA720943 SSE720943 SII720943 RYM720943 ROQ720943 REU720943 QUY720943 QLC720943 QBG720943 PRK720943 PHO720943 OXS720943 ONW720943 OEA720943 NUE720943 NKI720943 NAM720943 MQQ720943 MGU720943 LWY720943 LNC720943 LDG720943 KTK720943 KJO720943 JZS720943 JPW720943 JGA720943 IWE720943 IMI720943 ICM720943 HSQ720943 HIU720943 GYY720943 GPC720943 GFG720943 FVK720943 FLO720943 FBS720943 ERW720943 EIA720943 DYE720943 DOI720943 DEM720943 CUQ720943 CKU720943 CAY720943 BRC720943 BHG720943 AXK720943 ANO720943 ADS720943 TW720943 KA720943 AE720943 WWM655407 WMQ655407 WCU655407 VSY655407 VJC655407 UZG655407 UPK655407 UFO655407 TVS655407 TLW655407 TCA655407 SSE655407 SII655407 RYM655407 ROQ655407 REU655407 QUY655407 QLC655407 QBG655407 PRK655407 PHO655407 OXS655407 ONW655407 OEA655407 NUE655407 NKI655407 NAM655407 MQQ655407 MGU655407 LWY655407 LNC655407 LDG655407 KTK655407 KJO655407 JZS655407 JPW655407 JGA655407 IWE655407 IMI655407 ICM655407 HSQ655407 HIU655407 GYY655407 GPC655407 GFG655407 FVK655407 FLO655407 FBS655407 ERW655407 EIA655407 DYE655407 DOI655407 DEM655407 CUQ655407 CKU655407 CAY655407 BRC655407 BHG655407 AXK655407 ANO655407 ADS655407 TW655407 KA655407 AE655407 WWM589871 WMQ589871 WCU589871 VSY589871 VJC589871 UZG589871 UPK589871 UFO589871 TVS589871 TLW589871 TCA589871 SSE589871 SII589871 RYM589871 ROQ589871 REU589871 QUY589871 QLC589871 QBG589871 PRK589871 PHO589871 OXS589871 ONW589871 OEA589871 NUE589871 NKI589871 NAM589871 MQQ589871 MGU589871 LWY589871 LNC589871 LDG589871 KTK589871 KJO589871 JZS589871 JPW589871 JGA589871 IWE589871 IMI589871 ICM589871 HSQ589871 HIU589871 GYY589871 GPC589871 GFG589871 FVK589871 FLO589871 FBS589871 ERW589871 EIA589871 DYE589871 DOI589871 DEM589871 CUQ589871 CKU589871 CAY589871 BRC589871 BHG589871 AXK589871 ANO589871 ADS589871 TW589871 KA589871 AE589871 WWM524335 WMQ524335 WCU524335 VSY524335 VJC524335 UZG524335 UPK524335 UFO524335 TVS524335 TLW524335 TCA524335 SSE524335 SII524335 RYM524335 ROQ524335 REU524335 QUY524335 QLC524335 QBG524335 PRK524335 PHO524335 OXS524335 ONW524335 OEA524335 NUE524335 NKI524335 NAM524335 MQQ524335 MGU524335 LWY524335 LNC524335 LDG524335 KTK524335 KJO524335 JZS524335 JPW524335 JGA524335 IWE524335 IMI524335 ICM524335 HSQ524335 HIU524335 GYY524335 GPC524335 GFG524335 FVK524335 FLO524335 FBS524335 ERW524335 EIA524335 DYE524335 DOI524335 DEM524335 CUQ524335 CKU524335 CAY524335 BRC524335 BHG524335 AXK524335 ANO524335 ADS524335 TW524335 KA524335 AE524335 WWM458799 WMQ458799 WCU458799 VSY458799 VJC458799 UZG458799 UPK458799 UFO458799 TVS458799 TLW458799 TCA458799 SSE458799 SII458799 RYM458799 ROQ458799 REU458799 QUY458799 QLC458799 QBG458799 PRK458799 PHO458799 OXS458799 ONW458799 OEA458799 NUE458799 NKI458799 NAM458799 MQQ458799 MGU458799 LWY458799 LNC458799 LDG458799 KTK458799 KJO458799 JZS458799 JPW458799 JGA458799 IWE458799 IMI458799 ICM458799 HSQ458799 HIU458799 GYY458799 GPC458799 GFG458799 FVK458799 FLO458799 FBS458799 ERW458799 EIA458799 DYE458799 DOI458799 DEM458799 CUQ458799 CKU458799 CAY458799 BRC458799 BHG458799 AXK458799 ANO458799 ADS458799 TW458799 KA458799 AE458799 WWM393263 WMQ393263 WCU393263 VSY393263 VJC393263 UZG393263 UPK393263 UFO393263 TVS393263 TLW393263 TCA393263 SSE393263 SII393263 RYM393263 ROQ393263 REU393263 QUY393263 QLC393263 QBG393263 PRK393263 PHO393263 OXS393263 ONW393263 OEA393263 NUE393263 NKI393263 NAM393263 MQQ393263 MGU393263 LWY393263 LNC393263 LDG393263 KTK393263 KJO393263 JZS393263 JPW393263 JGA393263 IWE393263 IMI393263 ICM393263 HSQ393263 HIU393263 GYY393263 GPC393263 GFG393263 FVK393263 FLO393263 FBS393263 ERW393263 EIA393263 DYE393263 DOI393263 DEM393263 CUQ393263 CKU393263 CAY393263 BRC393263 BHG393263 AXK393263 ANO393263 ADS393263 TW393263 KA393263 AE393263 WWM327727 WMQ327727 WCU327727 VSY327727 VJC327727 UZG327727 UPK327727 UFO327727 TVS327727 TLW327727 TCA327727 SSE327727 SII327727 RYM327727 ROQ327727 REU327727 QUY327727 QLC327727 QBG327727 PRK327727 PHO327727 OXS327727 ONW327727 OEA327727 NUE327727 NKI327727 NAM327727 MQQ327727 MGU327727 LWY327727 LNC327727 LDG327727 KTK327727 KJO327727 JZS327727 JPW327727 JGA327727 IWE327727 IMI327727 ICM327727 HSQ327727 HIU327727 GYY327727 GPC327727 GFG327727 FVK327727 FLO327727 FBS327727 ERW327727 EIA327727 DYE327727 DOI327727 DEM327727 CUQ327727 CKU327727 CAY327727 BRC327727 BHG327727 AXK327727 ANO327727 ADS327727 TW327727 KA327727 AE327727 WWM262191 WMQ262191 WCU262191 VSY262191 VJC262191 UZG262191 UPK262191 UFO262191 TVS262191 TLW262191 TCA262191 SSE262191 SII262191 RYM262191 ROQ262191 REU262191 QUY262191 QLC262191 QBG262191 PRK262191 PHO262191 OXS262191 ONW262191 OEA262191 NUE262191 NKI262191 NAM262191 MQQ262191 MGU262191 LWY262191 LNC262191 LDG262191 KTK262191 KJO262191 JZS262191 JPW262191 JGA262191 IWE262191 IMI262191 ICM262191 HSQ262191 HIU262191 GYY262191 GPC262191 GFG262191 FVK262191 FLO262191 FBS262191 ERW262191 EIA262191 DYE262191 DOI262191 DEM262191 CUQ262191 CKU262191 CAY262191 BRC262191 BHG262191 AXK262191 ANO262191 ADS262191 TW262191 KA262191 AE262191 WWM196655 WMQ196655 WCU196655 VSY196655 VJC196655 UZG196655 UPK196655 UFO196655 TVS196655 TLW196655 TCA196655 SSE196655 SII196655 RYM196655 ROQ196655 REU196655 QUY196655 QLC196655 QBG196655 PRK196655 PHO196655 OXS196655 ONW196655 OEA196655 NUE196655 NKI196655 NAM196655 MQQ196655 MGU196655 LWY196655 LNC196655 LDG196655 KTK196655 KJO196655 JZS196655 JPW196655 JGA196655 IWE196655 IMI196655 ICM196655 HSQ196655 HIU196655 GYY196655 GPC196655 GFG196655 FVK196655 FLO196655 FBS196655 ERW196655 EIA196655 DYE196655 DOI196655 DEM196655 CUQ196655 CKU196655 CAY196655 BRC196655 BHG196655 AXK196655 ANO196655 ADS196655 TW196655 KA196655 AE196655 WWM131119 WMQ131119 WCU131119 VSY131119 VJC131119 UZG131119 UPK131119 UFO131119 TVS131119 TLW131119 TCA131119 SSE131119 SII131119 RYM131119 ROQ131119 REU131119 QUY131119 QLC131119 QBG131119 PRK131119 PHO131119 OXS131119 ONW131119 OEA131119 NUE131119 NKI131119 NAM131119 MQQ131119 MGU131119 LWY131119 LNC131119 LDG131119 KTK131119 KJO131119 JZS131119 JPW131119 JGA131119 IWE131119 IMI131119 ICM131119 HSQ131119 HIU131119 GYY131119 GPC131119 GFG131119 FVK131119 FLO131119 FBS131119 ERW131119 EIA131119 DYE131119 DOI131119 DEM131119 CUQ131119 CKU131119 CAY131119 BRC131119 BHG131119 AXK131119 ANO131119 ADS131119 TW131119 KA131119 AE131119 WWM65583 WMQ65583 WCU65583 VSY65583 VJC65583 UZG65583 UPK65583 UFO65583 TVS65583 TLW65583 TCA65583 SSE65583 SII65583 RYM65583 ROQ65583 REU65583 QUY65583 QLC65583 QBG65583 PRK65583 PHO65583 OXS65583 ONW65583 OEA65583 NUE65583 NKI65583 NAM65583 MQQ65583 MGU65583 LWY65583 LNC65583 LDG65583 KTK65583 KJO65583 JZS65583 JPW65583 JGA65583 IWE65583 IMI65583 ICM65583 HSQ65583 HIU65583 GYY65583 GPC65583 GFG65583 FVK65583 FLO65583 FBS65583 ERW65583 EIA65583 DYE65583 DOI65583 DEM65583 CUQ65583 CKU65583 CAY65583 BRC65583 BHG65583 AXK65583 ANO65583 ADS65583 TW65583 KA65583 AE65583 WWM8 WMQ8 WCU8 VSY8 VJC8 UZG8 UPK8 UFO8 TVS8 TLW8 TCA8 SSE8 SII8 RYM8 ROQ8 REU8 QUY8 QLC8 QBG8 PRK8 PHO8 OXS8 ONW8 OEA8 NUE8 NKI8 NAM8 MQQ8 MGU8 LWY8 LNC8 LDG8 KTK8 KJO8 JZS8 JPW8 JGA8 IWE8 IMI8 ICM8 HSQ8 HIU8 GYY8 GPC8 GFG8 FVK8 FLO8 FBS8 ERW8 EIA8 DYE8 DOI8 DEM8 CUQ8 CKU8 CAY8 BRC8 BHG8 AXK8 ANO8 ADS8 TW8 KA8 AE22 WWM22 WMQ22 WCU22 VSY22 VJC22 UZG22 UPK22 UFO22 TVS22 TLW22 TCA22 SSE22 SII22 RYM22 ROQ22 REU22 QUY22 QLC22 QBG22 PRK22 PHO22 OXS22 ONW22 OEA22 NUE22 NKI22 NAM22 MQQ22 MGU22 LWY22 LNC22 LDG22 KTK22 KJO22 JZS22 JPW22 JGA22 IWE22 IMI22 ICM22 HSQ22 HIU22 GYY22 GPC22 GFG22 FVK22 FLO22 FBS22 ERW22 EIA22 DYE22 DOI22 DEM22 CUQ22 CKU22 CAY22 BRC22 BHG22 AXK22 ANO22 ADS22 TW22 KA22 AE32:AE50">
      <formula1>$B$60:$B$62</formula1>
    </dataValidation>
    <dataValidation type="list" allowBlank="1" showInputMessage="1" showErrorMessage="1" sqref="H8 WVP983087 WLT983087 WBX983087 VSB983087 VIF983087 UYJ983087 UON983087 UER983087 TUV983087 TKZ983087 TBD983087 SRH983087 SHL983087 RXP983087 RNT983087 RDX983087 QUB983087 QKF983087 QAJ983087 PQN983087 PGR983087 OWV983087 OMZ983087 ODD983087 NTH983087 NJL983087 MZP983087 MPT983087 MFX983087 LWB983087 LMF983087 LCJ983087 KSN983087 KIR983087 JYV983087 JOZ983087 JFD983087 IVH983087 ILL983087 IBP983087 HRT983087 HHX983087 GYB983087 GOF983087 GEJ983087 FUN983087 FKR983087 FAV983087 EQZ983087 EHD983087 DXH983087 DNL983087 DDP983087 CTT983087 CJX983087 CAB983087 BQF983087 BGJ983087 AWN983087 AMR983087 ACV983087 SZ983087 JD983087 H983087 WVP917551 WLT917551 WBX917551 VSB917551 VIF917551 UYJ917551 UON917551 UER917551 TUV917551 TKZ917551 TBD917551 SRH917551 SHL917551 RXP917551 RNT917551 RDX917551 QUB917551 QKF917551 QAJ917551 PQN917551 PGR917551 OWV917551 OMZ917551 ODD917551 NTH917551 NJL917551 MZP917551 MPT917551 MFX917551 LWB917551 LMF917551 LCJ917551 KSN917551 KIR917551 JYV917551 JOZ917551 JFD917551 IVH917551 ILL917551 IBP917551 HRT917551 HHX917551 GYB917551 GOF917551 GEJ917551 FUN917551 FKR917551 FAV917551 EQZ917551 EHD917551 DXH917551 DNL917551 DDP917551 CTT917551 CJX917551 CAB917551 BQF917551 BGJ917551 AWN917551 AMR917551 ACV917551 SZ917551 JD917551 H917551 WVP852015 WLT852015 WBX852015 VSB852015 VIF852015 UYJ852015 UON852015 UER852015 TUV852015 TKZ852015 TBD852015 SRH852015 SHL852015 RXP852015 RNT852015 RDX852015 QUB852015 QKF852015 QAJ852015 PQN852015 PGR852015 OWV852015 OMZ852015 ODD852015 NTH852015 NJL852015 MZP852015 MPT852015 MFX852015 LWB852015 LMF852015 LCJ852015 KSN852015 KIR852015 JYV852015 JOZ852015 JFD852015 IVH852015 ILL852015 IBP852015 HRT852015 HHX852015 GYB852015 GOF852015 GEJ852015 FUN852015 FKR852015 FAV852015 EQZ852015 EHD852015 DXH852015 DNL852015 DDP852015 CTT852015 CJX852015 CAB852015 BQF852015 BGJ852015 AWN852015 AMR852015 ACV852015 SZ852015 JD852015 H852015 WVP786479 WLT786479 WBX786479 VSB786479 VIF786479 UYJ786479 UON786479 UER786479 TUV786479 TKZ786479 TBD786479 SRH786479 SHL786479 RXP786479 RNT786479 RDX786479 QUB786479 QKF786479 QAJ786479 PQN786479 PGR786479 OWV786479 OMZ786479 ODD786479 NTH786479 NJL786479 MZP786479 MPT786479 MFX786479 LWB786479 LMF786479 LCJ786479 KSN786479 KIR786479 JYV786479 JOZ786479 JFD786479 IVH786479 ILL786479 IBP786479 HRT786479 HHX786479 GYB786479 GOF786479 GEJ786479 FUN786479 FKR786479 FAV786479 EQZ786479 EHD786479 DXH786479 DNL786479 DDP786479 CTT786479 CJX786479 CAB786479 BQF786479 BGJ786479 AWN786479 AMR786479 ACV786479 SZ786479 JD786479 H786479 WVP720943 WLT720943 WBX720943 VSB720943 VIF720943 UYJ720943 UON720943 UER720943 TUV720943 TKZ720943 TBD720943 SRH720943 SHL720943 RXP720943 RNT720943 RDX720943 QUB720943 QKF720943 QAJ720943 PQN720943 PGR720943 OWV720943 OMZ720943 ODD720943 NTH720943 NJL720943 MZP720943 MPT720943 MFX720943 LWB720943 LMF720943 LCJ720943 KSN720943 KIR720943 JYV720943 JOZ720943 JFD720943 IVH720943 ILL720943 IBP720943 HRT720943 HHX720943 GYB720943 GOF720943 GEJ720943 FUN720943 FKR720943 FAV720943 EQZ720943 EHD720943 DXH720943 DNL720943 DDP720943 CTT720943 CJX720943 CAB720943 BQF720943 BGJ720943 AWN720943 AMR720943 ACV720943 SZ720943 JD720943 H720943 WVP655407 WLT655407 WBX655407 VSB655407 VIF655407 UYJ655407 UON655407 UER655407 TUV655407 TKZ655407 TBD655407 SRH655407 SHL655407 RXP655407 RNT655407 RDX655407 QUB655407 QKF655407 QAJ655407 PQN655407 PGR655407 OWV655407 OMZ655407 ODD655407 NTH655407 NJL655407 MZP655407 MPT655407 MFX655407 LWB655407 LMF655407 LCJ655407 KSN655407 KIR655407 JYV655407 JOZ655407 JFD655407 IVH655407 ILL655407 IBP655407 HRT655407 HHX655407 GYB655407 GOF655407 GEJ655407 FUN655407 FKR655407 FAV655407 EQZ655407 EHD655407 DXH655407 DNL655407 DDP655407 CTT655407 CJX655407 CAB655407 BQF655407 BGJ655407 AWN655407 AMR655407 ACV655407 SZ655407 JD655407 H655407 WVP589871 WLT589871 WBX589871 VSB589871 VIF589871 UYJ589871 UON589871 UER589871 TUV589871 TKZ589871 TBD589871 SRH589871 SHL589871 RXP589871 RNT589871 RDX589871 QUB589871 QKF589871 QAJ589871 PQN589871 PGR589871 OWV589871 OMZ589871 ODD589871 NTH589871 NJL589871 MZP589871 MPT589871 MFX589871 LWB589871 LMF589871 LCJ589871 KSN589871 KIR589871 JYV589871 JOZ589871 JFD589871 IVH589871 ILL589871 IBP589871 HRT589871 HHX589871 GYB589871 GOF589871 GEJ589871 FUN589871 FKR589871 FAV589871 EQZ589871 EHD589871 DXH589871 DNL589871 DDP589871 CTT589871 CJX589871 CAB589871 BQF589871 BGJ589871 AWN589871 AMR589871 ACV589871 SZ589871 JD589871 H589871 WVP524335 WLT524335 WBX524335 VSB524335 VIF524335 UYJ524335 UON524335 UER524335 TUV524335 TKZ524335 TBD524335 SRH524335 SHL524335 RXP524335 RNT524335 RDX524335 QUB524335 QKF524335 QAJ524335 PQN524335 PGR524335 OWV524335 OMZ524335 ODD524335 NTH524335 NJL524335 MZP524335 MPT524335 MFX524335 LWB524335 LMF524335 LCJ524335 KSN524335 KIR524335 JYV524335 JOZ524335 JFD524335 IVH524335 ILL524335 IBP524335 HRT524335 HHX524335 GYB524335 GOF524335 GEJ524335 FUN524335 FKR524335 FAV524335 EQZ524335 EHD524335 DXH524335 DNL524335 DDP524335 CTT524335 CJX524335 CAB524335 BQF524335 BGJ524335 AWN524335 AMR524335 ACV524335 SZ524335 JD524335 H524335 WVP458799 WLT458799 WBX458799 VSB458799 VIF458799 UYJ458799 UON458799 UER458799 TUV458799 TKZ458799 TBD458799 SRH458799 SHL458799 RXP458799 RNT458799 RDX458799 QUB458799 QKF458799 QAJ458799 PQN458799 PGR458799 OWV458799 OMZ458799 ODD458799 NTH458799 NJL458799 MZP458799 MPT458799 MFX458799 LWB458799 LMF458799 LCJ458799 KSN458799 KIR458799 JYV458799 JOZ458799 JFD458799 IVH458799 ILL458799 IBP458799 HRT458799 HHX458799 GYB458799 GOF458799 GEJ458799 FUN458799 FKR458799 FAV458799 EQZ458799 EHD458799 DXH458799 DNL458799 DDP458799 CTT458799 CJX458799 CAB458799 BQF458799 BGJ458799 AWN458799 AMR458799 ACV458799 SZ458799 JD458799 H458799 WVP393263 WLT393263 WBX393263 VSB393263 VIF393263 UYJ393263 UON393263 UER393263 TUV393263 TKZ393263 TBD393263 SRH393263 SHL393263 RXP393263 RNT393263 RDX393263 QUB393263 QKF393263 QAJ393263 PQN393263 PGR393263 OWV393263 OMZ393263 ODD393263 NTH393263 NJL393263 MZP393263 MPT393263 MFX393263 LWB393263 LMF393263 LCJ393263 KSN393263 KIR393263 JYV393263 JOZ393263 JFD393263 IVH393263 ILL393263 IBP393263 HRT393263 HHX393263 GYB393263 GOF393263 GEJ393263 FUN393263 FKR393263 FAV393263 EQZ393263 EHD393263 DXH393263 DNL393263 DDP393263 CTT393263 CJX393263 CAB393263 BQF393263 BGJ393263 AWN393263 AMR393263 ACV393263 SZ393263 JD393263 H393263 WVP327727 WLT327727 WBX327727 VSB327727 VIF327727 UYJ327727 UON327727 UER327727 TUV327727 TKZ327727 TBD327727 SRH327727 SHL327727 RXP327727 RNT327727 RDX327727 QUB327727 QKF327727 QAJ327727 PQN327727 PGR327727 OWV327727 OMZ327727 ODD327727 NTH327727 NJL327727 MZP327727 MPT327727 MFX327727 LWB327727 LMF327727 LCJ327727 KSN327727 KIR327727 JYV327727 JOZ327727 JFD327727 IVH327727 ILL327727 IBP327727 HRT327727 HHX327727 GYB327727 GOF327727 GEJ327727 FUN327727 FKR327727 FAV327727 EQZ327727 EHD327727 DXH327727 DNL327727 DDP327727 CTT327727 CJX327727 CAB327727 BQF327727 BGJ327727 AWN327727 AMR327727 ACV327727 SZ327727 JD327727 H327727 WVP262191 WLT262191 WBX262191 VSB262191 VIF262191 UYJ262191 UON262191 UER262191 TUV262191 TKZ262191 TBD262191 SRH262191 SHL262191 RXP262191 RNT262191 RDX262191 QUB262191 QKF262191 QAJ262191 PQN262191 PGR262191 OWV262191 OMZ262191 ODD262191 NTH262191 NJL262191 MZP262191 MPT262191 MFX262191 LWB262191 LMF262191 LCJ262191 KSN262191 KIR262191 JYV262191 JOZ262191 JFD262191 IVH262191 ILL262191 IBP262191 HRT262191 HHX262191 GYB262191 GOF262191 GEJ262191 FUN262191 FKR262191 FAV262191 EQZ262191 EHD262191 DXH262191 DNL262191 DDP262191 CTT262191 CJX262191 CAB262191 BQF262191 BGJ262191 AWN262191 AMR262191 ACV262191 SZ262191 JD262191 H262191 WVP196655 WLT196655 WBX196655 VSB196655 VIF196655 UYJ196655 UON196655 UER196655 TUV196655 TKZ196655 TBD196655 SRH196655 SHL196655 RXP196655 RNT196655 RDX196655 QUB196655 QKF196655 QAJ196655 PQN196655 PGR196655 OWV196655 OMZ196655 ODD196655 NTH196655 NJL196655 MZP196655 MPT196655 MFX196655 LWB196655 LMF196655 LCJ196655 KSN196655 KIR196655 JYV196655 JOZ196655 JFD196655 IVH196655 ILL196655 IBP196655 HRT196655 HHX196655 GYB196655 GOF196655 GEJ196655 FUN196655 FKR196655 FAV196655 EQZ196655 EHD196655 DXH196655 DNL196655 DDP196655 CTT196655 CJX196655 CAB196655 BQF196655 BGJ196655 AWN196655 AMR196655 ACV196655 SZ196655 JD196655 H196655 WVP131119 WLT131119 WBX131119 VSB131119 VIF131119 UYJ131119 UON131119 UER131119 TUV131119 TKZ131119 TBD131119 SRH131119 SHL131119 RXP131119 RNT131119 RDX131119 QUB131119 QKF131119 QAJ131119 PQN131119 PGR131119 OWV131119 OMZ131119 ODD131119 NTH131119 NJL131119 MZP131119 MPT131119 MFX131119 LWB131119 LMF131119 LCJ131119 KSN131119 KIR131119 JYV131119 JOZ131119 JFD131119 IVH131119 ILL131119 IBP131119 HRT131119 HHX131119 GYB131119 GOF131119 GEJ131119 FUN131119 FKR131119 FAV131119 EQZ131119 EHD131119 DXH131119 DNL131119 DDP131119 CTT131119 CJX131119 CAB131119 BQF131119 BGJ131119 AWN131119 AMR131119 ACV131119 SZ131119 JD131119 H131119 WVP65583 WLT65583 WBX65583 VSB65583 VIF65583 UYJ65583 UON65583 UER65583 TUV65583 TKZ65583 TBD65583 SRH65583 SHL65583 RXP65583 RNT65583 RDX65583 QUB65583 QKF65583 QAJ65583 PQN65583 PGR65583 OWV65583 OMZ65583 ODD65583 NTH65583 NJL65583 MZP65583 MPT65583 MFX65583 LWB65583 LMF65583 LCJ65583 KSN65583 KIR65583 JYV65583 JOZ65583 JFD65583 IVH65583 ILL65583 IBP65583 HRT65583 HHX65583 GYB65583 GOF65583 GEJ65583 FUN65583 FKR65583 FAV65583 EQZ65583 EHD65583 DXH65583 DNL65583 DDP65583 CTT65583 CJX65583 CAB65583 BQF65583 BGJ65583 AWN65583 AMR65583 ACV65583 SZ65583 JD65583 H65583 WVP8 WLT8 WBX8 VSB8 VIF8 UYJ8 UON8 UER8 TUV8 TKZ8 TBD8 SRH8 SHL8 RXP8 RNT8 RDX8 QUB8 QKF8 QAJ8 PQN8 PGR8 OWV8 OMZ8 ODD8 NTH8 NJL8 MZP8 MPT8 MFX8 LWB8 LMF8 LCJ8 KSN8 KIR8 JYV8 JOZ8 JFD8 IVH8 ILL8 IBP8 HRT8 HHX8 GYB8 GOF8 GEJ8 FUN8 FKR8 FAV8 EQZ8 EHD8 DXH8 DNL8 DDP8 CTT8 CJX8 CAB8 BQF8 BGJ8 AWN8 AMR8 ACV8 SZ8 JD8 H22 WVP22 WLT22 WBX22 VSB22 VIF22 UYJ22 UON22 UER22 TUV22 TKZ22 TBD22 SRH22 SHL22 RXP22 RNT22 RDX22 QUB22 QKF22 QAJ22 PQN22 PGR22 OWV22 OMZ22 ODD22 NTH22 NJL22 MZP22 MPT22 MFX22 LWB22 LMF22 LCJ22 KSN22 KIR22 JYV22 JOZ22 JFD22 IVH22 ILL22 IBP22 HRT22 HHX22 GYB22 GOF22 GEJ22 FUN22 FKR22 FAV22 EQZ22 EHD22 DXH22 DNL22 DDP22 CTT22 CJX22 CAB22 BQF22 BGJ22 AWN22 AMR22 ACV22 SZ22 JD22 H49 H46 H40:H41 H37 H32 H43">
      <formula1>$H$58:$H$62</formula1>
    </dataValidation>
    <dataValidation type="list" allowBlank="1" showInputMessage="1" showErrorMessage="1" sqref="WLS16 WBW26 VSA26 VIE26 UYI26 UOM26 UEQ26 TUU26 TKY26 TBC26 SRG26 SHK26 RXO26 RNS26 RDW26 QUA26 QKE26 QAI26 PQM26 PGQ26 OWU26 OMY26 ODC26 NTG26 NJK26 MZO26 MPS26 MFW26 LWA26 LME26 LCI26 KSM26 KIQ26 JYU26 JOY26 JFC26 IVG26 ILK26 IBO26 HRS26 HHW26 GYA26 GOE26 GEI26 FUM26 FKQ26 FAU26 EQY26 EHC26 DXG26 DNK26 DDO26 CTS26 CJW26 CAA26 BQE26 BGI26 AWM26 AMQ26 ACU26 SY26 JC26 WVO26 WLS26 WBW16 VSA16 VIE16 UYI16 UOM16 UEQ16 TUU16 TKY16 TBC16 SRG16 SHK16 RXO16 RNS16 RDW16 QUA16 QKE16 QAI16 PQM16 PGQ16 OWU16 OMY16 ODC16 NTG16 NJK16 MZO16 MPS16 MFW16 LWA16 LME16 LCI16 KSM16 KIQ16 JYU16 JOY16 JFC16 IVG16 ILK16 IBO16 HRS16 HHW16 GYA16 GOE16 GEI16 FUM16 FKQ16 FAU16 EQY16 EHC16 DXG16 DNK16 DDO16 CTS16 CJW16 CAA16 BQE16 BGI16 AWM16 AMQ16 ACU16 SY16 JC16 WVO16 WVO12 WLS12 WBW12 VSA12 VIE12 UYI12 UOM12 UEQ12 TUU12 TKY12 TBC12 SRG12 SHK12 RXO12 RNS12 RDW12 QUA12 QKE12 QAI12 PQM12 PGQ12 OWU12 OMY12 ODC12 NTG12 NJK12 MZO12 MPS12 MFW12 LWA12 LME12 LCI12 KSM12 KIQ12 JYU12 JOY12 JFC12 IVG12 ILK12 IBO12 HRS12 HHW12 GYA12 GOE12 GEI12 FUM12 FKQ12 FAU12 EQY12 EHC12 DXG12 DNK12 DDO12 CTS12 CJW12 CAA12 BQE12 BGI12 AWM12 AMQ12 ACU12 SY12 JC12">
      <formula1>$AK$56:$AK$68</formula1>
    </dataValidation>
    <dataValidation type="list" allowBlank="1" showInputMessage="1" showErrorMessage="1" sqref="I12 WVQ26 WLU26 WBY26 VSC26 VIG26 UYK26 UOO26 UES26 TUW26 TLA26 TBE26 SRI26 SHM26 RXQ26 RNU26 RDY26 QUC26 QKG26 QAK26 PQO26 PGS26 OWW26 ONA26 ODE26 NTI26 NJM26 MZQ26 MPU26 MFY26 LWC26 LMG26 LCK26 KSO26 KIS26 JYW26 JPA26 JFE26 IVI26 ILM26 IBQ26 HRU26 HHY26 GYC26 GOG26 GEK26 FUO26 FKS26 FAW26 ERA26 EHE26 DXI26 DNM26 DDQ26 CTU26 CJY26 CAC26 BQG26 BGK26 AWO26 AMS26 ACW26 TA26 JE26 I26 WVQ16 WLU16 WBY16 VSC16 VIG16 UYK16 UOO16 UES16 TUW16 TLA16 TBE16 SRI16 SHM16 RXQ16 RNU16 RDY16 QUC16 QKG16 QAK16 PQO16 PGS16 OWW16 ONA16 ODE16 NTI16 NJM16 MZQ16 MPU16 MFY16 LWC16 LMG16 LCK16 KSO16 KIS16 JYW16 JPA16 JFE16 IVI16 ILM16 IBQ16 HRU16 HHY16 GYC16 GOG16 GEK16 FUO16 FKS16 FAW16 ERA16 EHE16 DXI16 DNM16 DDQ16 CTU16 CJY16 CAC16 BQG16 BGK16 AWO16 AMS16 ACW16 TA16 JE16 I16 WVQ12 WLU12 WBY12 VSC12 VIG12 UYK12 UOO12 UES12 TUW12 TLA12 TBE12 SRI12 SHM12 RXQ12 RNU12 RDY12 QUC12 QKG12 QAK12 PQO12 PGS12 OWW12 ONA12 ODE12 NTI12 NJM12 MZQ12 MPU12 MFY12 LWC12 LMG12 LCK12 KSO12 KIS12 JYW12 JPA12 JFE12 IVI12 ILM12 IBQ12 HRU12 HHY12 GYC12 GOG12 GEK12 FUO12 FKS12 FAW12 ERA12 EHE12 DXI12 DNM12 DDQ12 CTU12 CJY12 CAC12 BQG12 BGK12 AWO12 AMS12 ACW12 TA12 JE12">
      <formula1>$X$52:$X$53</formula1>
    </dataValidation>
    <dataValidation type="list" allowBlank="1" showInputMessage="1" showErrorMessage="1" sqref="H12 WVP26 WLT26 WBX26 VSB26 VIF26 UYJ26 UON26 UER26 TUV26 TKZ26 TBD26 SRH26 SHL26 RXP26 RNT26 RDX26 QUB26 QKF26 QAJ26 PQN26 PGR26 OWV26 OMZ26 ODD26 NTH26 NJL26 MZP26 MPT26 MFX26 LWB26 LMF26 LCJ26 KSN26 KIR26 JYV26 JOZ26 JFD26 IVH26 ILL26 IBP26 HRT26 HHX26 GYB26 GOF26 GEJ26 FUN26 FKR26 FAV26 EQZ26 EHD26 DXH26 DNL26 DDP26 CTT26 CJX26 CAB26 BQF26 BGJ26 AWN26 AMR26 ACV26 SZ26 JD26 H26 WVP16 WLT16 WBX16 VSB16 VIF16 UYJ16 UON16 UER16 TUV16 TKZ16 TBD16 SRH16 SHL16 RXP16 RNT16 RDX16 QUB16 QKF16 QAJ16 PQN16 PGR16 OWV16 OMZ16 ODD16 NTH16 NJL16 MZP16 MPT16 MFX16 LWB16 LMF16 LCJ16 KSN16 KIR16 JYV16 JOZ16 JFD16 IVH16 ILL16 IBP16 HRT16 HHX16 GYB16 GOF16 GEJ16 FUN16 FKR16 FAV16 EQZ16 EHD16 DXH16 DNL16 DDP16 CTT16 CJX16 CAB16 BQF16 BGJ16 AWN16 AMR16 ACV16 SZ16 JD16 H16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formula1>$H$15:$H$54</formula1>
    </dataValidation>
    <dataValidation type="list" allowBlank="1" showInputMessage="1" showErrorMessage="1" sqref="AE12:AE21 WMQ26:WMQ50 WCU26:WCU50 VSY26:VSY50 VJC26:VJC50 UZG26:UZG50 UPK26:UPK50 UFO26:UFO50 TVS26:TVS50 TLW26:TLW50 TCA26:TCA50 SSE26:SSE50 SII26:SII50 RYM26:RYM50 ROQ26:ROQ50 REU26:REU50 QUY26:QUY50 QLC26:QLC50 QBG26:QBG50 PRK26:PRK50 PHO26:PHO50 OXS26:OXS50 ONW26:ONW50 OEA26:OEA50 NUE26:NUE50 NKI26:NKI50 NAM26:NAM50 MQQ26:MQQ50 MGU26:MGU50 LWY26:LWY50 LNC26:LNC50 LDG26:LDG50 KTK26:KTK50 KJO26:KJO50 JZS26:JZS50 JPW26:JPW50 JGA26:JGA50 IWE26:IWE50 IMI26:IMI50 ICM26:ICM50 HSQ26:HSQ50 HIU26:HIU50 GYY26:GYY50 GPC26:GPC50 GFG26:GFG50 FVK26:FVK50 FLO26:FLO50 FBS26:FBS50 ERW26:ERW50 EIA26:EIA50 DYE26:DYE50 DOI26:DOI50 DEM26:DEM50 CUQ26:CUQ50 CKU26:CKU50 CAY26:CAY50 BRC26:BRC50 BHG26:BHG50 AXK26:AXK50 ANO26:ANO50 ADS26:ADS50 TW26:TW50 KA26:KA50 AE26:AE31 KA12:KA21 WWM12:WWM21 WMQ12:WMQ21 WCU12:WCU21 VSY12:VSY21 VJC12:VJC21 UZG12:UZG21 UPK12:UPK21 UFO12:UFO21 TVS12:TVS21 TLW12:TLW21 TCA12:TCA21 SSE12:SSE21 SII12:SII21 RYM12:RYM21 ROQ12:ROQ21 REU12:REU21 QUY12:QUY21 QLC12:QLC21 QBG12:QBG21 PRK12:PRK21 PHO12:PHO21 OXS12:OXS21 ONW12:ONW21 OEA12:OEA21 NUE12:NUE21 NKI12:NKI21 NAM12:NAM21 MQQ12:MQQ21 MGU12:MGU21 LWY12:LWY21 LNC12:LNC21 LDG12:LDG21 KTK12:KTK21 KJO12:KJO21 JZS12:JZS21 JPW12:JPW21 JGA12:JGA21 IWE12:IWE21 IMI12:IMI21 ICM12:ICM21 HSQ12:HSQ21 HIU12:HIU21 GYY12:GYY21 GPC12:GPC21 GFG12:GFG21 FVK12:FVK21 FLO12:FLO21 FBS12:FBS21 ERW12:ERW21 EIA12:EIA21 DYE12:DYE21 DOI12:DOI21 DEM12:DEM21 CUQ12:CUQ21 CKU12:CKU21 CAY12:CAY21 BRC12:BRC21 BHG12:BHG21 AXK12:AXK21 ANO12:ANO21 ADS12:ADS21 TW12:TW21 WWM26:WWM50">
      <formula1>$B$52:$B$54</formula1>
    </dataValidation>
  </dataValidations>
  <printOptions horizontalCentered="1"/>
  <pageMargins left="0.25" right="0.25" top="0.75" bottom="0.75" header="0.3" footer="0.3"/>
  <pageSetup scale="45" orientation="landscape" copies="2" r:id="rId1"/>
  <headerFooter>
    <oddFooter>&amp;C&amp;"Tahoma,Cursiva"&amp;9Si usted ha accedido a este formato a través de un medio diferente al sitio web del Sistema de Control Documental del SIGEC asegúrese que ésta es la versión vigente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AL31"/>
  <sheetViews>
    <sheetView view="pageBreakPreview" topLeftCell="C7" zoomScale="90" zoomScaleNormal="100" zoomScaleSheetLayoutView="90" workbookViewId="0">
      <selection activeCell="C8" sqref="C8:C9"/>
    </sheetView>
  </sheetViews>
  <sheetFormatPr baseColWidth="10" defaultRowHeight="12.75"/>
  <cols>
    <col min="1" max="1" width="8" style="2" customWidth="1"/>
    <col min="2" max="2" width="13.42578125" style="2" customWidth="1"/>
    <col min="3" max="3" width="4.28515625" style="2" customWidth="1"/>
    <col min="4" max="4" width="6.42578125" style="2" customWidth="1"/>
    <col min="5" max="5" width="19.7109375" style="2" customWidth="1"/>
    <col min="6" max="6" width="4.140625" style="2" customWidth="1"/>
    <col min="7" max="7" width="11.28515625" style="2" customWidth="1"/>
    <col min="8" max="8" width="11" style="2" customWidth="1"/>
    <col min="9" max="10" width="2.140625" style="2" customWidth="1"/>
    <col min="11" max="11" width="3.28515625" style="2" customWidth="1"/>
    <col min="12" max="12" width="0.28515625" style="2" hidden="1" customWidth="1"/>
    <col min="13" max="13" width="0.42578125" style="2" hidden="1" customWidth="1"/>
    <col min="14" max="14" width="2.85546875" style="2" customWidth="1"/>
    <col min="15" max="15" width="3.28515625" style="2" customWidth="1"/>
    <col min="16" max="16" width="1.42578125" style="2" customWidth="1"/>
    <col min="17" max="17" width="1.85546875" style="2" hidden="1" customWidth="1"/>
    <col min="18" max="18" width="6.85546875" style="2" customWidth="1"/>
    <col min="19" max="19" width="3" style="2" hidden="1" customWidth="1"/>
    <col min="20" max="21" width="6.28515625" style="2" customWidth="1"/>
    <col min="22" max="22" width="13.85546875" style="2" customWidth="1"/>
    <col min="23" max="23" width="18" style="2" customWidth="1"/>
    <col min="24" max="24" width="13.28515625" style="2" customWidth="1"/>
    <col min="25" max="25" width="0.42578125" style="2" hidden="1" customWidth="1"/>
    <col min="26" max="26" width="11.42578125" style="2" customWidth="1"/>
    <col min="27" max="27" width="9.7109375" style="2" customWidth="1"/>
    <col min="28" max="28" width="11.42578125" style="2" customWidth="1"/>
    <col min="29" max="29" width="12.7109375" style="2" customWidth="1"/>
    <col min="30" max="30" width="8.140625" style="2" customWidth="1"/>
    <col min="31" max="31" width="11.42578125" style="2" customWidth="1"/>
    <col min="32" max="32" width="29" style="2" customWidth="1"/>
    <col min="33" max="33" width="12" style="2" customWidth="1"/>
    <col min="34" max="35" width="0.28515625" style="2" customWidth="1"/>
    <col min="36" max="36" width="1.42578125" style="2" customWidth="1"/>
    <col min="37" max="37" width="1.28515625" style="2" hidden="1" customWidth="1"/>
    <col min="38" max="256" width="11.42578125" style="2"/>
    <col min="257" max="257" width="8" style="2" customWidth="1"/>
    <col min="258" max="258" width="13.42578125" style="2" customWidth="1"/>
    <col min="259" max="259" width="4.28515625" style="2" customWidth="1"/>
    <col min="260" max="260" width="4" style="2" customWidth="1"/>
    <col min="261" max="261" width="17" style="2" customWidth="1"/>
    <col min="262" max="262" width="4.140625" style="2" customWidth="1"/>
    <col min="263" max="263" width="11.28515625" style="2" customWidth="1"/>
    <col min="264" max="264" width="11" style="2" customWidth="1"/>
    <col min="265" max="266" width="2.140625" style="2" customWidth="1"/>
    <col min="267" max="267" width="3.28515625" style="2" customWidth="1"/>
    <col min="268" max="269" width="0" style="2" hidden="1" customWidth="1"/>
    <col min="270" max="270" width="2.85546875" style="2" customWidth="1"/>
    <col min="271" max="271" width="3.28515625" style="2" customWidth="1"/>
    <col min="272" max="272" width="1.42578125" style="2" customWidth="1"/>
    <col min="273" max="273" width="0" style="2" hidden="1" customWidth="1"/>
    <col min="274" max="274" width="6.85546875" style="2" customWidth="1"/>
    <col min="275" max="275" width="0" style="2" hidden="1" customWidth="1"/>
    <col min="276" max="277" width="6.28515625" style="2" customWidth="1"/>
    <col min="278" max="278" width="13.85546875" style="2" customWidth="1"/>
    <col min="279" max="279" width="10.85546875" style="2" customWidth="1"/>
    <col min="280" max="280" width="14.7109375" style="2" customWidth="1"/>
    <col min="281" max="281" width="0" style="2" hidden="1" customWidth="1"/>
    <col min="282" max="282" width="13" style="2" customWidth="1"/>
    <col min="283" max="283" width="12.7109375" style="2" customWidth="1"/>
    <col min="284" max="284" width="13.140625" style="2" customWidth="1"/>
    <col min="285" max="285" width="14" style="2" customWidth="1"/>
    <col min="286" max="286" width="8.140625" style="2" customWidth="1"/>
    <col min="287" max="287" width="11.42578125" style="2" customWidth="1"/>
    <col min="288" max="288" width="24.7109375" style="2" customWidth="1"/>
    <col min="289" max="289" width="12" style="2" customWidth="1"/>
    <col min="290" max="291" width="0.28515625" style="2" customWidth="1"/>
    <col min="292" max="292" width="1.42578125" style="2" customWidth="1"/>
    <col min="293" max="293" width="0" style="2" hidden="1" customWidth="1"/>
    <col min="294" max="512" width="11.42578125" style="2"/>
    <col min="513" max="513" width="8" style="2" customWidth="1"/>
    <col min="514" max="514" width="13.42578125" style="2" customWidth="1"/>
    <col min="515" max="515" width="4.28515625" style="2" customWidth="1"/>
    <col min="516" max="516" width="4" style="2" customWidth="1"/>
    <col min="517" max="517" width="17" style="2" customWidth="1"/>
    <col min="518" max="518" width="4.140625" style="2" customWidth="1"/>
    <col min="519" max="519" width="11.28515625" style="2" customWidth="1"/>
    <col min="520" max="520" width="11" style="2" customWidth="1"/>
    <col min="521" max="522" width="2.140625" style="2" customWidth="1"/>
    <col min="523" max="523" width="3.28515625" style="2" customWidth="1"/>
    <col min="524" max="525" width="0" style="2" hidden="1" customWidth="1"/>
    <col min="526" max="526" width="2.85546875" style="2" customWidth="1"/>
    <col min="527" max="527" width="3.28515625" style="2" customWidth="1"/>
    <col min="528" max="528" width="1.42578125" style="2" customWidth="1"/>
    <col min="529" max="529" width="0" style="2" hidden="1" customWidth="1"/>
    <col min="530" max="530" width="6.85546875" style="2" customWidth="1"/>
    <col min="531" max="531" width="0" style="2" hidden="1" customWidth="1"/>
    <col min="532" max="533" width="6.28515625" style="2" customWidth="1"/>
    <col min="534" max="534" width="13.85546875" style="2" customWidth="1"/>
    <col min="535" max="535" width="10.85546875" style="2" customWidth="1"/>
    <col min="536" max="536" width="14.7109375" style="2" customWidth="1"/>
    <col min="537" max="537" width="0" style="2" hidden="1" customWidth="1"/>
    <col min="538" max="538" width="13" style="2" customWidth="1"/>
    <col min="539" max="539" width="12.7109375" style="2" customWidth="1"/>
    <col min="540" max="540" width="13.140625" style="2" customWidth="1"/>
    <col min="541" max="541" width="14" style="2" customWidth="1"/>
    <col min="542" max="542" width="8.140625" style="2" customWidth="1"/>
    <col min="543" max="543" width="11.42578125" style="2" customWidth="1"/>
    <col min="544" max="544" width="24.7109375" style="2" customWidth="1"/>
    <col min="545" max="545" width="12" style="2" customWidth="1"/>
    <col min="546" max="547" width="0.28515625" style="2" customWidth="1"/>
    <col min="548" max="548" width="1.42578125" style="2" customWidth="1"/>
    <col min="549" max="549" width="0" style="2" hidden="1" customWidth="1"/>
    <col min="550" max="768" width="11.42578125" style="2"/>
    <col min="769" max="769" width="8" style="2" customWidth="1"/>
    <col min="770" max="770" width="13.42578125" style="2" customWidth="1"/>
    <col min="771" max="771" width="4.28515625" style="2" customWidth="1"/>
    <col min="772" max="772" width="4" style="2" customWidth="1"/>
    <col min="773" max="773" width="17" style="2" customWidth="1"/>
    <col min="774" max="774" width="4.140625" style="2" customWidth="1"/>
    <col min="775" max="775" width="11.28515625" style="2" customWidth="1"/>
    <col min="776" max="776" width="11" style="2" customWidth="1"/>
    <col min="777" max="778" width="2.140625" style="2" customWidth="1"/>
    <col min="779" max="779" width="3.28515625" style="2" customWidth="1"/>
    <col min="780" max="781" width="0" style="2" hidden="1" customWidth="1"/>
    <col min="782" max="782" width="2.85546875" style="2" customWidth="1"/>
    <col min="783" max="783" width="3.28515625" style="2" customWidth="1"/>
    <col min="784" max="784" width="1.42578125" style="2" customWidth="1"/>
    <col min="785" max="785" width="0" style="2" hidden="1" customWidth="1"/>
    <col min="786" max="786" width="6.85546875" style="2" customWidth="1"/>
    <col min="787" max="787" width="0" style="2" hidden="1" customWidth="1"/>
    <col min="788" max="789" width="6.28515625" style="2" customWidth="1"/>
    <col min="790" max="790" width="13.85546875" style="2" customWidth="1"/>
    <col min="791" max="791" width="10.85546875" style="2" customWidth="1"/>
    <col min="792" max="792" width="14.7109375" style="2" customWidth="1"/>
    <col min="793" max="793" width="0" style="2" hidden="1" customWidth="1"/>
    <col min="794" max="794" width="13" style="2" customWidth="1"/>
    <col min="795" max="795" width="12.7109375" style="2" customWidth="1"/>
    <col min="796" max="796" width="13.140625" style="2" customWidth="1"/>
    <col min="797" max="797" width="14" style="2" customWidth="1"/>
    <col min="798" max="798" width="8.140625" style="2" customWidth="1"/>
    <col min="799" max="799" width="11.42578125" style="2" customWidth="1"/>
    <col min="800" max="800" width="24.7109375" style="2" customWidth="1"/>
    <col min="801" max="801" width="12" style="2" customWidth="1"/>
    <col min="802" max="803" width="0.28515625" style="2" customWidth="1"/>
    <col min="804" max="804" width="1.42578125" style="2" customWidth="1"/>
    <col min="805" max="805" width="0" style="2" hidden="1" customWidth="1"/>
    <col min="806" max="1024" width="11.42578125" style="2"/>
    <col min="1025" max="1025" width="8" style="2" customWidth="1"/>
    <col min="1026" max="1026" width="13.42578125" style="2" customWidth="1"/>
    <col min="1027" max="1027" width="4.28515625" style="2" customWidth="1"/>
    <col min="1028" max="1028" width="4" style="2" customWidth="1"/>
    <col min="1029" max="1029" width="17" style="2" customWidth="1"/>
    <col min="1030" max="1030" width="4.140625" style="2" customWidth="1"/>
    <col min="1031" max="1031" width="11.28515625" style="2" customWidth="1"/>
    <col min="1032" max="1032" width="11" style="2" customWidth="1"/>
    <col min="1033" max="1034" width="2.140625" style="2" customWidth="1"/>
    <col min="1035" max="1035" width="3.28515625" style="2" customWidth="1"/>
    <col min="1036" max="1037" width="0" style="2" hidden="1" customWidth="1"/>
    <col min="1038" max="1038" width="2.85546875" style="2" customWidth="1"/>
    <col min="1039" max="1039" width="3.28515625" style="2" customWidth="1"/>
    <col min="1040" max="1040" width="1.42578125" style="2" customWidth="1"/>
    <col min="1041" max="1041" width="0" style="2" hidden="1" customWidth="1"/>
    <col min="1042" max="1042" width="6.85546875" style="2" customWidth="1"/>
    <col min="1043" max="1043" width="0" style="2" hidden="1" customWidth="1"/>
    <col min="1044" max="1045" width="6.28515625" style="2" customWidth="1"/>
    <col min="1046" max="1046" width="13.85546875" style="2" customWidth="1"/>
    <col min="1047" max="1047" width="10.85546875" style="2" customWidth="1"/>
    <col min="1048" max="1048" width="14.7109375" style="2" customWidth="1"/>
    <col min="1049" max="1049" width="0" style="2" hidden="1" customWidth="1"/>
    <col min="1050" max="1050" width="13" style="2" customWidth="1"/>
    <col min="1051" max="1051" width="12.7109375" style="2" customWidth="1"/>
    <col min="1052" max="1052" width="13.140625" style="2" customWidth="1"/>
    <col min="1053" max="1053" width="14" style="2" customWidth="1"/>
    <col min="1054" max="1054" width="8.140625" style="2" customWidth="1"/>
    <col min="1055" max="1055" width="11.42578125" style="2" customWidth="1"/>
    <col min="1056" max="1056" width="24.7109375" style="2" customWidth="1"/>
    <col min="1057" max="1057" width="12" style="2" customWidth="1"/>
    <col min="1058" max="1059" width="0.28515625" style="2" customWidth="1"/>
    <col min="1060" max="1060" width="1.42578125" style="2" customWidth="1"/>
    <col min="1061" max="1061" width="0" style="2" hidden="1" customWidth="1"/>
    <col min="1062" max="1280" width="11.42578125" style="2"/>
    <col min="1281" max="1281" width="8" style="2" customWidth="1"/>
    <col min="1282" max="1282" width="13.42578125" style="2" customWidth="1"/>
    <col min="1283" max="1283" width="4.28515625" style="2" customWidth="1"/>
    <col min="1284" max="1284" width="4" style="2" customWidth="1"/>
    <col min="1285" max="1285" width="17" style="2" customWidth="1"/>
    <col min="1286" max="1286" width="4.140625" style="2" customWidth="1"/>
    <col min="1287" max="1287" width="11.28515625" style="2" customWidth="1"/>
    <col min="1288" max="1288" width="11" style="2" customWidth="1"/>
    <col min="1289" max="1290" width="2.140625" style="2" customWidth="1"/>
    <col min="1291" max="1291" width="3.28515625" style="2" customWidth="1"/>
    <col min="1292" max="1293" width="0" style="2" hidden="1" customWidth="1"/>
    <col min="1294" max="1294" width="2.85546875" style="2" customWidth="1"/>
    <col min="1295" max="1295" width="3.28515625" style="2" customWidth="1"/>
    <col min="1296" max="1296" width="1.42578125" style="2" customWidth="1"/>
    <col min="1297" max="1297" width="0" style="2" hidden="1" customWidth="1"/>
    <col min="1298" max="1298" width="6.85546875" style="2" customWidth="1"/>
    <col min="1299" max="1299" width="0" style="2" hidden="1" customWidth="1"/>
    <col min="1300" max="1301" width="6.28515625" style="2" customWidth="1"/>
    <col min="1302" max="1302" width="13.85546875" style="2" customWidth="1"/>
    <col min="1303" max="1303" width="10.85546875" style="2" customWidth="1"/>
    <col min="1304" max="1304" width="14.7109375" style="2" customWidth="1"/>
    <col min="1305" max="1305" width="0" style="2" hidden="1" customWidth="1"/>
    <col min="1306" max="1306" width="13" style="2" customWidth="1"/>
    <col min="1307" max="1307" width="12.7109375" style="2" customWidth="1"/>
    <col min="1308" max="1308" width="13.140625" style="2" customWidth="1"/>
    <col min="1309" max="1309" width="14" style="2" customWidth="1"/>
    <col min="1310" max="1310" width="8.140625" style="2" customWidth="1"/>
    <col min="1311" max="1311" width="11.42578125" style="2" customWidth="1"/>
    <col min="1312" max="1312" width="24.7109375" style="2" customWidth="1"/>
    <col min="1313" max="1313" width="12" style="2" customWidth="1"/>
    <col min="1314" max="1315" width="0.28515625" style="2" customWidth="1"/>
    <col min="1316" max="1316" width="1.42578125" style="2" customWidth="1"/>
    <col min="1317" max="1317" width="0" style="2" hidden="1" customWidth="1"/>
    <col min="1318" max="1536" width="11.42578125" style="2"/>
    <col min="1537" max="1537" width="8" style="2" customWidth="1"/>
    <col min="1538" max="1538" width="13.42578125" style="2" customWidth="1"/>
    <col min="1539" max="1539" width="4.28515625" style="2" customWidth="1"/>
    <col min="1540" max="1540" width="4" style="2" customWidth="1"/>
    <col min="1541" max="1541" width="17" style="2" customWidth="1"/>
    <col min="1542" max="1542" width="4.140625" style="2" customWidth="1"/>
    <col min="1543" max="1543" width="11.28515625" style="2" customWidth="1"/>
    <col min="1544" max="1544" width="11" style="2" customWidth="1"/>
    <col min="1545" max="1546" width="2.140625" style="2" customWidth="1"/>
    <col min="1547" max="1547" width="3.28515625" style="2" customWidth="1"/>
    <col min="1548" max="1549" width="0" style="2" hidden="1" customWidth="1"/>
    <col min="1550" max="1550" width="2.85546875" style="2" customWidth="1"/>
    <col min="1551" max="1551" width="3.28515625" style="2" customWidth="1"/>
    <col min="1552" max="1552" width="1.42578125" style="2" customWidth="1"/>
    <col min="1553" max="1553" width="0" style="2" hidden="1" customWidth="1"/>
    <col min="1554" max="1554" width="6.85546875" style="2" customWidth="1"/>
    <col min="1555" max="1555" width="0" style="2" hidden="1" customWidth="1"/>
    <col min="1556" max="1557" width="6.28515625" style="2" customWidth="1"/>
    <col min="1558" max="1558" width="13.85546875" style="2" customWidth="1"/>
    <col min="1559" max="1559" width="10.85546875" style="2" customWidth="1"/>
    <col min="1560" max="1560" width="14.7109375" style="2" customWidth="1"/>
    <col min="1561" max="1561" width="0" style="2" hidden="1" customWidth="1"/>
    <col min="1562" max="1562" width="13" style="2" customWidth="1"/>
    <col min="1563" max="1563" width="12.7109375" style="2" customWidth="1"/>
    <col min="1564" max="1564" width="13.140625" style="2" customWidth="1"/>
    <col min="1565" max="1565" width="14" style="2" customWidth="1"/>
    <col min="1566" max="1566" width="8.140625" style="2" customWidth="1"/>
    <col min="1567" max="1567" width="11.42578125" style="2" customWidth="1"/>
    <col min="1568" max="1568" width="24.7109375" style="2" customWidth="1"/>
    <col min="1569" max="1569" width="12" style="2" customWidth="1"/>
    <col min="1570" max="1571" width="0.28515625" style="2" customWidth="1"/>
    <col min="1572" max="1572" width="1.42578125" style="2" customWidth="1"/>
    <col min="1573" max="1573" width="0" style="2" hidden="1" customWidth="1"/>
    <col min="1574" max="1792" width="11.42578125" style="2"/>
    <col min="1793" max="1793" width="8" style="2" customWidth="1"/>
    <col min="1794" max="1794" width="13.42578125" style="2" customWidth="1"/>
    <col min="1795" max="1795" width="4.28515625" style="2" customWidth="1"/>
    <col min="1796" max="1796" width="4" style="2" customWidth="1"/>
    <col min="1797" max="1797" width="17" style="2" customWidth="1"/>
    <col min="1798" max="1798" width="4.140625" style="2" customWidth="1"/>
    <col min="1799" max="1799" width="11.28515625" style="2" customWidth="1"/>
    <col min="1800" max="1800" width="11" style="2" customWidth="1"/>
    <col min="1801" max="1802" width="2.140625" style="2" customWidth="1"/>
    <col min="1803" max="1803" width="3.28515625" style="2" customWidth="1"/>
    <col min="1804" max="1805" width="0" style="2" hidden="1" customWidth="1"/>
    <col min="1806" max="1806" width="2.85546875" style="2" customWidth="1"/>
    <col min="1807" max="1807" width="3.28515625" style="2" customWidth="1"/>
    <col min="1808" max="1808" width="1.42578125" style="2" customWidth="1"/>
    <col min="1809" max="1809" width="0" style="2" hidden="1" customWidth="1"/>
    <col min="1810" max="1810" width="6.85546875" style="2" customWidth="1"/>
    <col min="1811" max="1811" width="0" style="2" hidden="1" customWidth="1"/>
    <col min="1812" max="1813" width="6.28515625" style="2" customWidth="1"/>
    <col min="1814" max="1814" width="13.85546875" style="2" customWidth="1"/>
    <col min="1815" max="1815" width="10.85546875" style="2" customWidth="1"/>
    <col min="1816" max="1816" width="14.7109375" style="2" customWidth="1"/>
    <col min="1817" max="1817" width="0" style="2" hidden="1" customWidth="1"/>
    <col min="1818" max="1818" width="13" style="2" customWidth="1"/>
    <col min="1819" max="1819" width="12.7109375" style="2" customWidth="1"/>
    <col min="1820" max="1820" width="13.140625" style="2" customWidth="1"/>
    <col min="1821" max="1821" width="14" style="2" customWidth="1"/>
    <col min="1822" max="1822" width="8.140625" style="2" customWidth="1"/>
    <col min="1823" max="1823" width="11.42578125" style="2" customWidth="1"/>
    <col min="1824" max="1824" width="24.7109375" style="2" customWidth="1"/>
    <col min="1825" max="1825" width="12" style="2" customWidth="1"/>
    <col min="1826" max="1827" width="0.28515625" style="2" customWidth="1"/>
    <col min="1828" max="1828" width="1.42578125" style="2" customWidth="1"/>
    <col min="1829" max="1829" width="0" style="2" hidden="1" customWidth="1"/>
    <col min="1830" max="2048" width="11.42578125" style="2"/>
    <col min="2049" max="2049" width="8" style="2" customWidth="1"/>
    <col min="2050" max="2050" width="13.42578125" style="2" customWidth="1"/>
    <col min="2051" max="2051" width="4.28515625" style="2" customWidth="1"/>
    <col min="2052" max="2052" width="4" style="2" customWidth="1"/>
    <col min="2053" max="2053" width="17" style="2" customWidth="1"/>
    <col min="2054" max="2054" width="4.140625" style="2" customWidth="1"/>
    <col min="2055" max="2055" width="11.28515625" style="2" customWidth="1"/>
    <col min="2056" max="2056" width="11" style="2" customWidth="1"/>
    <col min="2057" max="2058" width="2.140625" style="2" customWidth="1"/>
    <col min="2059" max="2059" width="3.28515625" style="2" customWidth="1"/>
    <col min="2060" max="2061" width="0" style="2" hidden="1" customWidth="1"/>
    <col min="2062" max="2062" width="2.85546875" style="2" customWidth="1"/>
    <col min="2063" max="2063" width="3.28515625" style="2" customWidth="1"/>
    <col min="2064" max="2064" width="1.42578125" style="2" customWidth="1"/>
    <col min="2065" max="2065" width="0" style="2" hidden="1" customWidth="1"/>
    <col min="2066" max="2066" width="6.85546875" style="2" customWidth="1"/>
    <col min="2067" max="2067" width="0" style="2" hidden="1" customWidth="1"/>
    <col min="2068" max="2069" width="6.28515625" style="2" customWidth="1"/>
    <col min="2070" max="2070" width="13.85546875" style="2" customWidth="1"/>
    <col min="2071" max="2071" width="10.85546875" style="2" customWidth="1"/>
    <col min="2072" max="2072" width="14.7109375" style="2" customWidth="1"/>
    <col min="2073" max="2073" width="0" style="2" hidden="1" customWidth="1"/>
    <col min="2074" max="2074" width="13" style="2" customWidth="1"/>
    <col min="2075" max="2075" width="12.7109375" style="2" customWidth="1"/>
    <col min="2076" max="2076" width="13.140625" style="2" customWidth="1"/>
    <col min="2077" max="2077" width="14" style="2" customWidth="1"/>
    <col min="2078" max="2078" width="8.140625" style="2" customWidth="1"/>
    <col min="2079" max="2079" width="11.42578125" style="2" customWidth="1"/>
    <col min="2080" max="2080" width="24.7109375" style="2" customWidth="1"/>
    <col min="2081" max="2081" width="12" style="2" customWidth="1"/>
    <col min="2082" max="2083" width="0.28515625" style="2" customWidth="1"/>
    <col min="2084" max="2084" width="1.42578125" style="2" customWidth="1"/>
    <col min="2085" max="2085" width="0" style="2" hidden="1" customWidth="1"/>
    <col min="2086" max="2304" width="11.42578125" style="2"/>
    <col min="2305" max="2305" width="8" style="2" customWidth="1"/>
    <col min="2306" max="2306" width="13.42578125" style="2" customWidth="1"/>
    <col min="2307" max="2307" width="4.28515625" style="2" customWidth="1"/>
    <col min="2308" max="2308" width="4" style="2" customWidth="1"/>
    <col min="2309" max="2309" width="17" style="2" customWidth="1"/>
    <col min="2310" max="2310" width="4.140625" style="2" customWidth="1"/>
    <col min="2311" max="2311" width="11.28515625" style="2" customWidth="1"/>
    <col min="2312" max="2312" width="11" style="2" customWidth="1"/>
    <col min="2313" max="2314" width="2.140625" style="2" customWidth="1"/>
    <col min="2315" max="2315" width="3.28515625" style="2" customWidth="1"/>
    <col min="2316" max="2317" width="0" style="2" hidden="1" customWidth="1"/>
    <col min="2318" max="2318" width="2.85546875" style="2" customWidth="1"/>
    <col min="2319" max="2319" width="3.28515625" style="2" customWidth="1"/>
    <col min="2320" max="2320" width="1.42578125" style="2" customWidth="1"/>
    <col min="2321" max="2321" width="0" style="2" hidden="1" customWidth="1"/>
    <col min="2322" max="2322" width="6.85546875" style="2" customWidth="1"/>
    <col min="2323" max="2323" width="0" style="2" hidden="1" customWidth="1"/>
    <col min="2324" max="2325" width="6.28515625" style="2" customWidth="1"/>
    <col min="2326" max="2326" width="13.85546875" style="2" customWidth="1"/>
    <col min="2327" max="2327" width="10.85546875" style="2" customWidth="1"/>
    <col min="2328" max="2328" width="14.7109375" style="2" customWidth="1"/>
    <col min="2329" max="2329" width="0" style="2" hidden="1" customWidth="1"/>
    <col min="2330" max="2330" width="13" style="2" customWidth="1"/>
    <col min="2331" max="2331" width="12.7109375" style="2" customWidth="1"/>
    <col min="2332" max="2332" width="13.140625" style="2" customWidth="1"/>
    <col min="2333" max="2333" width="14" style="2" customWidth="1"/>
    <col min="2334" max="2334" width="8.140625" style="2" customWidth="1"/>
    <col min="2335" max="2335" width="11.42578125" style="2" customWidth="1"/>
    <col min="2336" max="2336" width="24.7109375" style="2" customWidth="1"/>
    <col min="2337" max="2337" width="12" style="2" customWidth="1"/>
    <col min="2338" max="2339" width="0.28515625" style="2" customWidth="1"/>
    <col min="2340" max="2340" width="1.42578125" style="2" customWidth="1"/>
    <col min="2341" max="2341" width="0" style="2" hidden="1" customWidth="1"/>
    <col min="2342" max="2560" width="11.42578125" style="2"/>
    <col min="2561" max="2561" width="8" style="2" customWidth="1"/>
    <col min="2562" max="2562" width="13.42578125" style="2" customWidth="1"/>
    <col min="2563" max="2563" width="4.28515625" style="2" customWidth="1"/>
    <col min="2564" max="2564" width="4" style="2" customWidth="1"/>
    <col min="2565" max="2565" width="17" style="2" customWidth="1"/>
    <col min="2566" max="2566" width="4.140625" style="2" customWidth="1"/>
    <col min="2567" max="2567" width="11.28515625" style="2" customWidth="1"/>
    <col min="2568" max="2568" width="11" style="2" customWidth="1"/>
    <col min="2569" max="2570" width="2.140625" style="2" customWidth="1"/>
    <col min="2571" max="2571" width="3.28515625" style="2" customWidth="1"/>
    <col min="2572" max="2573" width="0" style="2" hidden="1" customWidth="1"/>
    <col min="2574" max="2574" width="2.85546875" style="2" customWidth="1"/>
    <col min="2575" max="2575" width="3.28515625" style="2" customWidth="1"/>
    <col min="2576" max="2576" width="1.42578125" style="2" customWidth="1"/>
    <col min="2577" max="2577" width="0" style="2" hidden="1" customWidth="1"/>
    <col min="2578" max="2578" width="6.85546875" style="2" customWidth="1"/>
    <col min="2579" max="2579" width="0" style="2" hidden="1" customWidth="1"/>
    <col min="2580" max="2581" width="6.28515625" style="2" customWidth="1"/>
    <col min="2582" max="2582" width="13.85546875" style="2" customWidth="1"/>
    <col min="2583" max="2583" width="10.85546875" style="2" customWidth="1"/>
    <col min="2584" max="2584" width="14.7109375" style="2" customWidth="1"/>
    <col min="2585" max="2585" width="0" style="2" hidden="1" customWidth="1"/>
    <col min="2586" max="2586" width="13" style="2" customWidth="1"/>
    <col min="2587" max="2587" width="12.7109375" style="2" customWidth="1"/>
    <col min="2588" max="2588" width="13.140625" style="2" customWidth="1"/>
    <col min="2589" max="2589" width="14" style="2" customWidth="1"/>
    <col min="2590" max="2590" width="8.140625" style="2" customWidth="1"/>
    <col min="2591" max="2591" width="11.42578125" style="2" customWidth="1"/>
    <col min="2592" max="2592" width="24.7109375" style="2" customWidth="1"/>
    <col min="2593" max="2593" width="12" style="2" customWidth="1"/>
    <col min="2594" max="2595" width="0.28515625" style="2" customWidth="1"/>
    <col min="2596" max="2596" width="1.42578125" style="2" customWidth="1"/>
    <col min="2597" max="2597" width="0" style="2" hidden="1" customWidth="1"/>
    <col min="2598" max="2816" width="11.42578125" style="2"/>
    <col min="2817" max="2817" width="8" style="2" customWidth="1"/>
    <col min="2818" max="2818" width="13.42578125" style="2" customWidth="1"/>
    <col min="2819" max="2819" width="4.28515625" style="2" customWidth="1"/>
    <col min="2820" max="2820" width="4" style="2" customWidth="1"/>
    <col min="2821" max="2821" width="17" style="2" customWidth="1"/>
    <col min="2822" max="2822" width="4.140625" style="2" customWidth="1"/>
    <col min="2823" max="2823" width="11.28515625" style="2" customWidth="1"/>
    <col min="2824" max="2824" width="11" style="2" customWidth="1"/>
    <col min="2825" max="2826" width="2.140625" style="2" customWidth="1"/>
    <col min="2827" max="2827" width="3.28515625" style="2" customWidth="1"/>
    <col min="2828" max="2829" width="0" style="2" hidden="1" customWidth="1"/>
    <col min="2830" max="2830" width="2.85546875" style="2" customWidth="1"/>
    <col min="2831" max="2831" width="3.28515625" style="2" customWidth="1"/>
    <col min="2832" max="2832" width="1.42578125" style="2" customWidth="1"/>
    <col min="2833" max="2833" width="0" style="2" hidden="1" customWidth="1"/>
    <col min="2834" max="2834" width="6.85546875" style="2" customWidth="1"/>
    <col min="2835" max="2835" width="0" style="2" hidden="1" customWidth="1"/>
    <col min="2836" max="2837" width="6.28515625" style="2" customWidth="1"/>
    <col min="2838" max="2838" width="13.85546875" style="2" customWidth="1"/>
    <col min="2839" max="2839" width="10.85546875" style="2" customWidth="1"/>
    <col min="2840" max="2840" width="14.7109375" style="2" customWidth="1"/>
    <col min="2841" max="2841" width="0" style="2" hidden="1" customWidth="1"/>
    <col min="2842" max="2842" width="13" style="2" customWidth="1"/>
    <col min="2843" max="2843" width="12.7109375" style="2" customWidth="1"/>
    <col min="2844" max="2844" width="13.140625" style="2" customWidth="1"/>
    <col min="2845" max="2845" width="14" style="2" customWidth="1"/>
    <col min="2846" max="2846" width="8.140625" style="2" customWidth="1"/>
    <col min="2847" max="2847" width="11.42578125" style="2" customWidth="1"/>
    <col min="2848" max="2848" width="24.7109375" style="2" customWidth="1"/>
    <col min="2849" max="2849" width="12" style="2" customWidth="1"/>
    <col min="2850" max="2851" width="0.28515625" style="2" customWidth="1"/>
    <col min="2852" max="2852" width="1.42578125" style="2" customWidth="1"/>
    <col min="2853" max="2853" width="0" style="2" hidden="1" customWidth="1"/>
    <col min="2854" max="3072" width="11.42578125" style="2"/>
    <col min="3073" max="3073" width="8" style="2" customWidth="1"/>
    <col min="3074" max="3074" width="13.42578125" style="2" customWidth="1"/>
    <col min="3075" max="3075" width="4.28515625" style="2" customWidth="1"/>
    <col min="3076" max="3076" width="4" style="2" customWidth="1"/>
    <col min="3077" max="3077" width="17" style="2" customWidth="1"/>
    <col min="3078" max="3078" width="4.140625" style="2" customWidth="1"/>
    <col min="3079" max="3079" width="11.28515625" style="2" customWidth="1"/>
    <col min="3080" max="3080" width="11" style="2" customWidth="1"/>
    <col min="3081" max="3082" width="2.140625" style="2" customWidth="1"/>
    <col min="3083" max="3083" width="3.28515625" style="2" customWidth="1"/>
    <col min="3084" max="3085" width="0" style="2" hidden="1" customWidth="1"/>
    <col min="3086" max="3086" width="2.85546875" style="2" customWidth="1"/>
    <col min="3087" max="3087" width="3.28515625" style="2" customWidth="1"/>
    <col min="3088" max="3088" width="1.42578125" style="2" customWidth="1"/>
    <col min="3089" max="3089" width="0" style="2" hidden="1" customWidth="1"/>
    <col min="3090" max="3090" width="6.85546875" style="2" customWidth="1"/>
    <col min="3091" max="3091" width="0" style="2" hidden="1" customWidth="1"/>
    <col min="3092" max="3093" width="6.28515625" style="2" customWidth="1"/>
    <col min="3094" max="3094" width="13.85546875" style="2" customWidth="1"/>
    <col min="3095" max="3095" width="10.85546875" style="2" customWidth="1"/>
    <col min="3096" max="3096" width="14.7109375" style="2" customWidth="1"/>
    <col min="3097" max="3097" width="0" style="2" hidden="1" customWidth="1"/>
    <col min="3098" max="3098" width="13" style="2" customWidth="1"/>
    <col min="3099" max="3099" width="12.7109375" style="2" customWidth="1"/>
    <col min="3100" max="3100" width="13.140625" style="2" customWidth="1"/>
    <col min="3101" max="3101" width="14" style="2" customWidth="1"/>
    <col min="3102" max="3102" width="8.140625" style="2" customWidth="1"/>
    <col min="3103" max="3103" width="11.42578125" style="2" customWidth="1"/>
    <col min="3104" max="3104" width="24.7109375" style="2" customWidth="1"/>
    <col min="3105" max="3105" width="12" style="2" customWidth="1"/>
    <col min="3106" max="3107" width="0.28515625" style="2" customWidth="1"/>
    <col min="3108" max="3108" width="1.42578125" style="2" customWidth="1"/>
    <col min="3109" max="3109" width="0" style="2" hidden="1" customWidth="1"/>
    <col min="3110" max="3328" width="11.42578125" style="2"/>
    <col min="3329" max="3329" width="8" style="2" customWidth="1"/>
    <col min="3330" max="3330" width="13.42578125" style="2" customWidth="1"/>
    <col min="3331" max="3331" width="4.28515625" style="2" customWidth="1"/>
    <col min="3332" max="3332" width="4" style="2" customWidth="1"/>
    <col min="3333" max="3333" width="17" style="2" customWidth="1"/>
    <col min="3334" max="3334" width="4.140625" style="2" customWidth="1"/>
    <col min="3335" max="3335" width="11.28515625" style="2" customWidth="1"/>
    <col min="3336" max="3336" width="11" style="2" customWidth="1"/>
    <col min="3337" max="3338" width="2.140625" style="2" customWidth="1"/>
    <col min="3339" max="3339" width="3.28515625" style="2" customWidth="1"/>
    <col min="3340" max="3341" width="0" style="2" hidden="1" customWidth="1"/>
    <col min="3342" max="3342" width="2.85546875" style="2" customWidth="1"/>
    <col min="3343" max="3343" width="3.28515625" style="2" customWidth="1"/>
    <col min="3344" max="3344" width="1.42578125" style="2" customWidth="1"/>
    <col min="3345" max="3345" width="0" style="2" hidden="1" customWidth="1"/>
    <col min="3346" max="3346" width="6.85546875" style="2" customWidth="1"/>
    <col min="3347" max="3347" width="0" style="2" hidden="1" customWidth="1"/>
    <col min="3348" max="3349" width="6.28515625" style="2" customWidth="1"/>
    <col min="3350" max="3350" width="13.85546875" style="2" customWidth="1"/>
    <col min="3351" max="3351" width="10.85546875" style="2" customWidth="1"/>
    <col min="3352" max="3352" width="14.7109375" style="2" customWidth="1"/>
    <col min="3353" max="3353" width="0" style="2" hidden="1" customWidth="1"/>
    <col min="3354" max="3354" width="13" style="2" customWidth="1"/>
    <col min="3355" max="3355" width="12.7109375" style="2" customWidth="1"/>
    <col min="3356" max="3356" width="13.140625" style="2" customWidth="1"/>
    <col min="3357" max="3357" width="14" style="2" customWidth="1"/>
    <col min="3358" max="3358" width="8.140625" style="2" customWidth="1"/>
    <col min="3359" max="3359" width="11.42578125" style="2" customWidth="1"/>
    <col min="3360" max="3360" width="24.7109375" style="2" customWidth="1"/>
    <col min="3361" max="3361" width="12" style="2" customWidth="1"/>
    <col min="3362" max="3363" width="0.28515625" style="2" customWidth="1"/>
    <col min="3364" max="3364" width="1.42578125" style="2" customWidth="1"/>
    <col min="3365" max="3365" width="0" style="2" hidden="1" customWidth="1"/>
    <col min="3366" max="3584" width="11.42578125" style="2"/>
    <col min="3585" max="3585" width="8" style="2" customWidth="1"/>
    <col min="3586" max="3586" width="13.42578125" style="2" customWidth="1"/>
    <col min="3587" max="3587" width="4.28515625" style="2" customWidth="1"/>
    <col min="3588" max="3588" width="4" style="2" customWidth="1"/>
    <col min="3589" max="3589" width="17" style="2" customWidth="1"/>
    <col min="3590" max="3590" width="4.140625" style="2" customWidth="1"/>
    <col min="3591" max="3591" width="11.28515625" style="2" customWidth="1"/>
    <col min="3592" max="3592" width="11" style="2" customWidth="1"/>
    <col min="3593" max="3594" width="2.140625" style="2" customWidth="1"/>
    <col min="3595" max="3595" width="3.28515625" style="2" customWidth="1"/>
    <col min="3596" max="3597" width="0" style="2" hidden="1" customWidth="1"/>
    <col min="3598" max="3598" width="2.85546875" style="2" customWidth="1"/>
    <col min="3599" max="3599" width="3.28515625" style="2" customWidth="1"/>
    <col min="3600" max="3600" width="1.42578125" style="2" customWidth="1"/>
    <col min="3601" max="3601" width="0" style="2" hidden="1" customWidth="1"/>
    <col min="3602" max="3602" width="6.85546875" style="2" customWidth="1"/>
    <col min="3603" max="3603" width="0" style="2" hidden="1" customWidth="1"/>
    <col min="3604" max="3605" width="6.28515625" style="2" customWidth="1"/>
    <col min="3606" max="3606" width="13.85546875" style="2" customWidth="1"/>
    <col min="3607" max="3607" width="10.85546875" style="2" customWidth="1"/>
    <col min="3608" max="3608" width="14.7109375" style="2" customWidth="1"/>
    <col min="3609" max="3609" width="0" style="2" hidden="1" customWidth="1"/>
    <col min="3610" max="3610" width="13" style="2" customWidth="1"/>
    <col min="3611" max="3611" width="12.7109375" style="2" customWidth="1"/>
    <col min="3612" max="3612" width="13.140625" style="2" customWidth="1"/>
    <col min="3613" max="3613" width="14" style="2" customWidth="1"/>
    <col min="3614" max="3614" width="8.140625" style="2" customWidth="1"/>
    <col min="3615" max="3615" width="11.42578125" style="2" customWidth="1"/>
    <col min="3616" max="3616" width="24.7109375" style="2" customWidth="1"/>
    <col min="3617" max="3617" width="12" style="2" customWidth="1"/>
    <col min="3618" max="3619" width="0.28515625" style="2" customWidth="1"/>
    <col min="3620" max="3620" width="1.42578125" style="2" customWidth="1"/>
    <col min="3621" max="3621" width="0" style="2" hidden="1" customWidth="1"/>
    <col min="3622" max="3840" width="11.42578125" style="2"/>
    <col min="3841" max="3841" width="8" style="2" customWidth="1"/>
    <col min="3842" max="3842" width="13.42578125" style="2" customWidth="1"/>
    <col min="3843" max="3843" width="4.28515625" style="2" customWidth="1"/>
    <col min="3844" max="3844" width="4" style="2" customWidth="1"/>
    <col min="3845" max="3845" width="17" style="2" customWidth="1"/>
    <col min="3846" max="3846" width="4.140625" style="2" customWidth="1"/>
    <col min="3847" max="3847" width="11.28515625" style="2" customWidth="1"/>
    <col min="3848" max="3848" width="11" style="2" customWidth="1"/>
    <col min="3849" max="3850" width="2.140625" style="2" customWidth="1"/>
    <col min="3851" max="3851" width="3.28515625" style="2" customWidth="1"/>
    <col min="3852" max="3853" width="0" style="2" hidden="1" customWidth="1"/>
    <col min="3854" max="3854" width="2.85546875" style="2" customWidth="1"/>
    <col min="3855" max="3855" width="3.28515625" style="2" customWidth="1"/>
    <col min="3856" max="3856" width="1.42578125" style="2" customWidth="1"/>
    <col min="3857" max="3857" width="0" style="2" hidden="1" customWidth="1"/>
    <col min="3858" max="3858" width="6.85546875" style="2" customWidth="1"/>
    <col min="3859" max="3859" width="0" style="2" hidden="1" customWidth="1"/>
    <col min="3860" max="3861" width="6.28515625" style="2" customWidth="1"/>
    <col min="3862" max="3862" width="13.85546875" style="2" customWidth="1"/>
    <col min="3863" max="3863" width="10.85546875" style="2" customWidth="1"/>
    <col min="3864" max="3864" width="14.7109375" style="2" customWidth="1"/>
    <col min="3865" max="3865" width="0" style="2" hidden="1" customWidth="1"/>
    <col min="3866" max="3866" width="13" style="2" customWidth="1"/>
    <col min="3867" max="3867" width="12.7109375" style="2" customWidth="1"/>
    <col min="3868" max="3868" width="13.140625" style="2" customWidth="1"/>
    <col min="3869" max="3869" width="14" style="2" customWidth="1"/>
    <col min="3870" max="3870" width="8.140625" style="2" customWidth="1"/>
    <col min="3871" max="3871" width="11.42578125" style="2" customWidth="1"/>
    <col min="3872" max="3872" width="24.7109375" style="2" customWidth="1"/>
    <col min="3873" max="3873" width="12" style="2" customWidth="1"/>
    <col min="3874" max="3875" width="0.28515625" style="2" customWidth="1"/>
    <col min="3876" max="3876" width="1.42578125" style="2" customWidth="1"/>
    <col min="3877" max="3877" width="0" style="2" hidden="1" customWidth="1"/>
    <col min="3878" max="4096" width="11.42578125" style="2"/>
    <col min="4097" max="4097" width="8" style="2" customWidth="1"/>
    <col min="4098" max="4098" width="13.42578125" style="2" customWidth="1"/>
    <col min="4099" max="4099" width="4.28515625" style="2" customWidth="1"/>
    <col min="4100" max="4100" width="4" style="2" customWidth="1"/>
    <col min="4101" max="4101" width="17" style="2" customWidth="1"/>
    <col min="4102" max="4102" width="4.140625" style="2" customWidth="1"/>
    <col min="4103" max="4103" width="11.28515625" style="2" customWidth="1"/>
    <col min="4104" max="4104" width="11" style="2" customWidth="1"/>
    <col min="4105" max="4106" width="2.140625" style="2" customWidth="1"/>
    <col min="4107" max="4107" width="3.28515625" style="2" customWidth="1"/>
    <col min="4108" max="4109" width="0" style="2" hidden="1" customWidth="1"/>
    <col min="4110" max="4110" width="2.85546875" style="2" customWidth="1"/>
    <col min="4111" max="4111" width="3.28515625" style="2" customWidth="1"/>
    <col min="4112" max="4112" width="1.42578125" style="2" customWidth="1"/>
    <col min="4113" max="4113" width="0" style="2" hidden="1" customWidth="1"/>
    <col min="4114" max="4114" width="6.85546875" style="2" customWidth="1"/>
    <col min="4115" max="4115" width="0" style="2" hidden="1" customWidth="1"/>
    <col min="4116" max="4117" width="6.28515625" style="2" customWidth="1"/>
    <col min="4118" max="4118" width="13.85546875" style="2" customWidth="1"/>
    <col min="4119" max="4119" width="10.85546875" style="2" customWidth="1"/>
    <col min="4120" max="4120" width="14.7109375" style="2" customWidth="1"/>
    <col min="4121" max="4121" width="0" style="2" hidden="1" customWidth="1"/>
    <col min="4122" max="4122" width="13" style="2" customWidth="1"/>
    <col min="4123" max="4123" width="12.7109375" style="2" customWidth="1"/>
    <col min="4124" max="4124" width="13.140625" style="2" customWidth="1"/>
    <col min="4125" max="4125" width="14" style="2" customWidth="1"/>
    <col min="4126" max="4126" width="8.140625" style="2" customWidth="1"/>
    <col min="4127" max="4127" width="11.42578125" style="2" customWidth="1"/>
    <col min="4128" max="4128" width="24.7109375" style="2" customWidth="1"/>
    <col min="4129" max="4129" width="12" style="2" customWidth="1"/>
    <col min="4130" max="4131" width="0.28515625" style="2" customWidth="1"/>
    <col min="4132" max="4132" width="1.42578125" style="2" customWidth="1"/>
    <col min="4133" max="4133" width="0" style="2" hidden="1" customWidth="1"/>
    <col min="4134" max="4352" width="11.42578125" style="2"/>
    <col min="4353" max="4353" width="8" style="2" customWidth="1"/>
    <col min="4354" max="4354" width="13.42578125" style="2" customWidth="1"/>
    <col min="4355" max="4355" width="4.28515625" style="2" customWidth="1"/>
    <col min="4356" max="4356" width="4" style="2" customWidth="1"/>
    <col min="4357" max="4357" width="17" style="2" customWidth="1"/>
    <col min="4358" max="4358" width="4.140625" style="2" customWidth="1"/>
    <col min="4359" max="4359" width="11.28515625" style="2" customWidth="1"/>
    <col min="4360" max="4360" width="11" style="2" customWidth="1"/>
    <col min="4361" max="4362" width="2.140625" style="2" customWidth="1"/>
    <col min="4363" max="4363" width="3.28515625" style="2" customWidth="1"/>
    <col min="4364" max="4365" width="0" style="2" hidden="1" customWidth="1"/>
    <col min="4366" max="4366" width="2.85546875" style="2" customWidth="1"/>
    <col min="4367" max="4367" width="3.28515625" style="2" customWidth="1"/>
    <col min="4368" max="4368" width="1.42578125" style="2" customWidth="1"/>
    <col min="4369" max="4369" width="0" style="2" hidden="1" customWidth="1"/>
    <col min="4370" max="4370" width="6.85546875" style="2" customWidth="1"/>
    <col min="4371" max="4371" width="0" style="2" hidden="1" customWidth="1"/>
    <col min="4372" max="4373" width="6.28515625" style="2" customWidth="1"/>
    <col min="4374" max="4374" width="13.85546875" style="2" customWidth="1"/>
    <col min="4375" max="4375" width="10.85546875" style="2" customWidth="1"/>
    <col min="4376" max="4376" width="14.7109375" style="2" customWidth="1"/>
    <col min="4377" max="4377" width="0" style="2" hidden="1" customWidth="1"/>
    <col min="4378" max="4378" width="13" style="2" customWidth="1"/>
    <col min="4379" max="4379" width="12.7109375" style="2" customWidth="1"/>
    <col min="4380" max="4380" width="13.140625" style="2" customWidth="1"/>
    <col min="4381" max="4381" width="14" style="2" customWidth="1"/>
    <col min="4382" max="4382" width="8.140625" style="2" customWidth="1"/>
    <col min="4383" max="4383" width="11.42578125" style="2" customWidth="1"/>
    <col min="4384" max="4384" width="24.7109375" style="2" customWidth="1"/>
    <col min="4385" max="4385" width="12" style="2" customWidth="1"/>
    <col min="4386" max="4387" width="0.28515625" style="2" customWidth="1"/>
    <col min="4388" max="4388" width="1.42578125" style="2" customWidth="1"/>
    <col min="4389" max="4389" width="0" style="2" hidden="1" customWidth="1"/>
    <col min="4390" max="4608" width="11.42578125" style="2"/>
    <col min="4609" max="4609" width="8" style="2" customWidth="1"/>
    <col min="4610" max="4610" width="13.42578125" style="2" customWidth="1"/>
    <col min="4611" max="4611" width="4.28515625" style="2" customWidth="1"/>
    <col min="4612" max="4612" width="4" style="2" customWidth="1"/>
    <col min="4613" max="4613" width="17" style="2" customWidth="1"/>
    <col min="4614" max="4614" width="4.140625" style="2" customWidth="1"/>
    <col min="4615" max="4615" width="11.28515625" style="2" customWidth="1"/>
    <col min="4616" max="4616" width="11" style="2" customWidth="1"/>
    <col min="4617" max="4618" width="2.140625" style="2" customWidth="1"/>
    <col min="4619" max="4619" width="3.28515625" style="2" customWidth="1"/>
    <col min="4620" max="4621" width="0" style="2" hidden="1" customWidth="1"/>
    <col min="4622" max="4622" width="2.85546875" style="2" customWidth="1"/>
    <col min="4623" max="4623" width="3.28515625" style="2" customWidth="1"/>
    <col min="4624" max="4624" width="1.42578125" style="2" customWidth="1"/>
    <col min="4625" max="4625" width="0" style="2" hidden="1" customWidth="1"/>
    <col min="4626" max="4626" width="6.85546875" style="2" customWidth="1"/>
    <col min="4627" max="4627" width="0" style="2" hidden="1" customWidth="1"/>
    <col min="4628" max="4629" width="6.28515625" style="2" customWidth="1"/>
    <col min="4630" max="4630" width="13.85546875" style="2" customWidth="1"/>
    <col min="4631" max="4631" width="10.85546875" style="2" customWidth="1"/>
    <col min="4632" max="4632" width="14.7109375" style="2" customWidth="1"/>
    <col min="4633" max="4633" width="0" style="2" hidden="1" customWidth="1"/>
    <col min="4634" max="4634" width="13" style="2" customWidth="1"/>
    <col min="4635" max="4635" width="12.7109375" style="2" customWidth="1"/>
    <col min="4636" max="4636" width="13.140625" style="2" customWidth="1"/>
    <col min="4637" max="4637" width="14" style="2" customWidth="1"/>
    <col min="4638" max="4638" width="8.140625" style="2" customWidth="1"/>
    <col min="4639" max="4639" width="11.42578125" style="2" customWidth="1"/>
    <col min="4640" max="4640" width="24.7109375" style="2" customWidth="1"/>
    <col min="4641" max="4641" width="12" style="2" customWidth="1"/>
    <col min="4642" max="4643" width="0.28515625" style="2" customWidth="1"/>
    <col min="4644" max="4644" width="1.42578125" style="2" customWidth="1"/>
    <col min="4645" max="4645" width="0" style="2" hidden="1" customWidth="1"/>
    <col min="4646" max="4864" width="11.42578125" style="2"/>
    <col min="4865" max="4865" width="8" style="2" customWidth="1"/>
    <col min="4866" max="4866" width="13.42578125" style="2" customWidth="1"/>
    <col min="4867" max="4867" width="4.28515625" style="2" customWidth="1"/>
    <col min="4868" max="4868" width="4" style="2" customWidth="1"/>
    <col min="4869" max="4869" width="17" style="2" customWidth="1"/>
    <col min="4870" max="4870" width="4.140625" style="2" customWidth="1"/>
    <col min="4871" max="4871" width="11.28515625" style="2" customWidth="1"/>
    <col min="4872" max="4872" width="11" style="2" customWidth="1"/>
    <col min="4873" max="4874" width="2.140625" style="2" customWidth="1"/>
    <col min="4875" max="4875" width="3.28515625" style="2" customWidth="1"/>
    <col min="4876" max="4877" width="0" style="2" hidden="1" customWidth="1"/>
    <col min="4878" max="4878" width="2.85546875" style="2" customWidth="1"/>
    <col min="4879" max="4879" width="3.28515625" style="2" customWidth="1"/>
    <col min="4880" max="4880" width="1.42578125" style="2" customWidth="1"/>
    <col min="4881" max="4881" width="0" style="2" hidden="1" customWidth="1"/>
    <col min="4882" max="4882" width="6.85546875" style="2" customWidth="1"/>
    <col min="4883" max="4883" width="0" style="2" hidden="1" customWidth="1"/>
    <col min="4884" max="4885" width="6.28515625" style="2" customWidth="1"/>
    <col min="4886" max="4886" width="13.85546875" style="2" customWidth="1"/>
    <col min="4887" max="4887" width="10.85546875" style="2" customWidth="1"/>
    <col min="4888" max="4888" width="14.7109375" style="2" customWidth="1"/>
    <col min="4889" max="4889" width="0" style="2" hidden="1" customWidth="1"/>
    <col min="4890" max="4890" width="13" style="2" customWidth="1"/>
    <col min="4891" max="4891" width="12.7109375" style="2" customWidth="1"/>
    <col min="4892" max="4892" width="13.140625" style="2" customWidth="1"/>
    <col min="4893" max="4893" width="14" style="2" customWidth="1"/>
    <col min="4894" max="4894" width="8.140625" style="2" customWidth="1"/>
    <col min="4895" max="4895" width="11.42578125" style="2" customWidth="1"/>
    <col min="4896" max="4896" width="24.7109375" style="2" customWidth="1"/>
    <col min="4897" max="4897" width="12" style="2" customWidth="1"/>
    <col min="4898" max="4899" width="0.28515625" style="2" customWidth="1"/>
    <col min="4900" max="4900" width="1.42578125" style="2" customWidth="1"/>
    <col min="4901" max="4901" width="0" style="2" hidden="1" customWidth="1"/>
    <col min="4902" max="5120" width="11.42578125" style="2"/>
    <col min="5121" max="5121" width="8" style="2" customWidth="1"/>
    <col min="5122" max="5122" width="13.42578125" style="2" customWidth="1"/>
    <col min="5123" max="5123" width="4.28515625" style="2" customWidth="1"/>
    <col min="5124" max="5124" width="4" style="2" customWidth="1"/>
    <col min="5125" max="5125" width="17" style="2" customWidth="1"/>
    <col min="5126" max="5126" width="4.140625" style="2" customWidth="1"/>
    <col min="5127" max="5127" width="11.28515625" style="2" customWidth="1"/>
    <col min="5128" max="5128" width="11" style="2" customWidth="1"/>
    <col min="5129" max="5130" width="2.140625" style="2" customWidth="1"/>
    <col min="5131" max="5131" width="3.28515625" style="2" customWidth="1"/>
    <col min="5132" max="5133" width="0" style="2" hidden="1" customWidth="1"/>
    <col min="5134" max="5134" width="2.85546875" style="2" customWidth="1"/>
    <col min="5135" max="5135" width="3.28515625" style="2" customWidth="1"/>
    <col min="5136" max="5136" width="1.42578125" style="2" customWidth="1"/>
    <col min="5137" max="5137" width="0" style="2" hidden="1" customWidth="1"/>
    <col min="5138" max="5138" width="6.85546875" style="2" customWidth="1"/>
    <col min="5139" max="5139" width="0" style="2" hidden="1" customWidth="1"/>
    <col min="5140" max="5141" width="6.28515625" style="2" customWidth="1"/>
    <col min="5142" max="5142" width="13.85546875" style="2" customWidth="1"/>
    <col min="5143" max="5143" width="10.85546875" style="2" customWidth="1"/>
    <col min="5144" max="5144" width="14.7109375" style="2" customWidth="1"/>
    <col min="5145" max="5145" width="0" style="2" hidden="1" customWidth="1"/>
    <col min="5146" max="5146" width="13" style="2" customWidth="1"/>
    <col min="5147" max="5147" width="12.7109375" style="2" customWidth="1"/>
    <col min="5148" max="5148" width="13.140625" style="2" customWidth="1"/>
    <col min="5149" max="5149" width="14" style="2" customWidth="1"/>
    <col min="5150" max="5150" width="8.140625" style="2" customWidth="1"/>
    <col min="5151" max="5151" width="11.42578125" style="2" customWidth="1"/>
    <col min="5152" max="5152" width="24.7109375" style="2" customWidth="1"/>
    <col min="5153" max="5153" width="12" style="2" customWidth="1"/>
    <col min="5154" max="5155" width="0.28515625" style="2" customWidth="1"/>
    <col min="5156" max="5156" width="1.42578125" style="2" customWidth="1"/>
    <col min="5157" max="5157" width="0" style="2" hidden="1" customWidth="1"/>
    <col min="5158" max="5376" width="11.42578125" style="2"/>
    <col min="5377" max="5377" width="8" style="2" customWidth="1"/>
    <col min="5378" max="5378" width="13.42578125" style="2" customWidth="1"/>
    <col min="5379" max="5379" width="4.28515625" style="2" customWidth="1"/>
    <col min="5380" max="5380" width="4" style="2" customWidth="1"/>
    <col min="5381" max="5381" width="17" style="2" customWidth="1"/>
    <col min="5382" max="5382" width="4.140625" style="2" customWidth="1"/>
    <col min="5383" max="5383" width="11.28515625" style="2" customWidth="1"/>
    <col min="5384" max="5384" width="11" style="2" customWidth="1"/>
    <col min="5385" max="5386" width="2.140625" style="2" customWidth="1"/>
    <col min="5387" max="5387" width="3.28515625" style="2" customWidth="1"/>
    <col min="5388" max="5389" width="0" style="2" hidden="1" customWidth="1"/>
    <col min="5390" max="5390" width="2.85546875" style="2" customWidth="1"/>
    <col min="5391" max="5391" width="3.28515625" style="2" customWidth="1"/>
    <col min="5392" max="5392" width="1.42578125" style="2" customWidth="1"/>
    <col min="5393" max="5393" width="0" style="2" hidden="1" customWidth="1"/>
    <col min="5394" max="5394" width="6.85546875" style="2" customWidth="1"/>
    <col min="5395" max="5395" width="0" style="2" hidden="1" customWidth="1"/>
    <col min="5396" max="5397" width="6.28515625" style="2" customWidth="1"/>
    <col min="5398" max="5398" width="13.85546875" style="2" customWidth="1"/>
    <col min="5399" max="5399" width="10.85546875" style="2" customWidth="1"/>
    <col min="5400" max="5400" width="14.7109375" style="2" customWidth="1"/>
    <col min="5401" max="5401" width="0" style="2" hidden="1" customWidth="1"/>
    <col min="5402" max="5402" width="13" style="2" customWidth="1"/>
    <col min="5403" max="5403" width="12.7109375" style="2" customWidth="1"/>
    <col min="5404" max="5404" width="13.140625" style="2" customWidth="1"/>
    <col min="5405" max="5405" width="14" style="2" customWidth="1"/>
    <col min="5406" max="5406" width="8.140625" style="2" customWidth="1"/>
    <col min="5407" max="5407" width="11.42578125" style="2" customWidth="1"/>
    <col min="5408" max="5408" width="24.7109375" style="2" customWidth="1"/>
    <col min="5409" max="5409" width="12" style="2" customWidth="1"/>
    <col min="5410" max="5411" width="0.28515625" style="2" customWidth="1"/>
    <col min="5412" max="5412" width="1.42578125" style="2" customWidth="1"/>
    <col min="5413" max="5413" width="0" style="2" hidden="1" customWidth="1"/>
    <col min="5414" max="5632" width="11.42578125" style="2"/>
    <col min="5633" max="5633" width="8" style="2" customWidth="1"/>
    <col min="5634" max="5634" width="13.42578125" style="2" customWidth="1"/>
    <col min="5635" max="5635" width="4.28515625" style="2" customWidth="1"/>
    <col min="5636" max="5636" width="4" style="2" customWidth="1"/>
    <col min="5637" max="5637" width="17" style="2" customWidth="1"/>
    <col min="5638" max="5638" width="4.140625" style="2" customWidth="1"/>
    <col min="5639" max="5639" width="11.28515625" style="2" customWidth="1"/>
    <col min="5640" max="5640" width="11" style="2" customWidth="1"/>
    <col min="5641" max="5642" width="2.140625" style="2" customWidth="1"/>
    <col min="5643" max="5643" width="3.28515625" style="2" customWidth="1"/>
    <col min="5644" max="5645" width="0" style="2" hidden="1" customWidth="1"/>
    <col min="5646" max="5646" width="2.85546875" style="2" customWidth="1"/>
    <col min="5647" max="5647" width="3.28515625" style="2" customWidth="1"/>
    <col min="5648" max="5648" width="1.42578125" style="2" customWidth="1"/>
    <col min="5649" max="5649" width="0" style="2" hidden="1" customWidth="1"/>
    <col min="5650" max="5650" width="6.85546875" style="2" customWidth="1"/>
    <col min="5651" max="5651" width="0" style="2" hidden="1" customWidth="1"/>
    <col min="5652" max="5653" width="6.28515625" style="2" customWidth="1"/>
    <col min="5654" max="5654" width="13.85546875" style="2" customWidth="1"/>
    <col min="5655" max="5655" width="10.85546875" style="2" customWidth="1"/>
    <col min="5656" max="5656" width="14.7109375" style="2" customWidth="1"/>
    <col min="5657" max="5657" width="0" style="2" hidden="1" customWidth="1"/>
    <col min="5658" max="5658" width="13" style="2" customWidth="1"/>
    <col min="5659" max="5659" width="12.7109375" style="2" customWidth="1"/>
    <col min="5660" max="5660" width="13.140625" style="2" customWidth="1"/>
    <col min="5661" max="5661" width="14" style="2" customWidth="1"/>
    <col min="5662" max="5662" width="8.140625" style="2" customWidth="1"/>
    <col min="5663" max="5663" width="11.42578125" style="2" customWidth="1"/>
    <col min="5664" max="5664" width="24.7109375" style="2" customWidth="1"/>
    <col min="5665" max="5665" width="12" style="2" customWidth="1"/>
    <col min="5666" max="5667" width="0.28515625" style="2" customWidth="1"/>
    <col min="5668" max="5668" width="1.42578125" style="2" customWidth="1"/>
    <col min="5669" max="5669" width="0" style="2" hidden="1" customWidth="1"/>
    <col min="5670" max="5888" width="11.42578125" style="2"/>
    <col min="5889" max="5889" width="8" style="2" customWidth="1"/>
    <col min="5890" max="5890" width="13.42578125" style="2" customWidth="1"/>
    <col min="5891" max="5891" width="4.28515625" style="2" customWidth="1"/>
    <col min="5892" max="5892" width="4" style="2" customWidth="1"/>
    <col min="5893" max="5893" width="17" style="2" customWidth="1"/>
    <col min="5894" max="5894" width="4.140625" style="2" customWidth="1"/>
    <col min="5895" max="5895" width="11.28515625" style="2" customWidth="1"/>
    <col min="5896" max="5896" width="11" style="2" customWidth="1"/>
    <col min="5897" max="5898" width="2.140625" style="2" customWidth="1"/>
    <col min="5899" max="5899" width="3.28515625" style="2" customWidth="1"/>
    <col min="5900" max="5901" width="0" style="2" hidden="1" customWidth="1"/>
    <col min="5902" max="5902" width="2.85546875" style="2" customWidth="1"/>
    <col min="5903" max="5903" width="3.28515625" style="2" customWidth="1"/>
    <col min="5904" max="5904" width="1.42578125" style="2" customWidth="1"/>
    <col min="5905" max="5905" width="0" style="2" hidden="1" customWidth="1"/>
    <col min="5906" max="5906" width="6.85546875" style="2" customWidth="1"/>
    <col min="5907" max="5907" width="0" style="2" hidden="1" customWidth="1"/>
    <col min="5908" max="5909" width="6.28515625" style="2" customWidth="1"/>
    <col min="5910" max="5910" width="13.85546875" style="2" customWidth="1"/>
    <col min="5911" max="5911" width="10.85546875" style="2" customWidth="1"/>
    <col min="5912" max="5912" width="14.7109375" style="2" customWidth="1"/>
    <col min="5913" max="5913" width="0" style="2" hidden="1" customWidth="1"/>
    <col min="5914" max="5914" width="13" style="2" customWidth="1"/>
    <col min="5915" max="5915" width="12.7109375" style="2" customWidth="1"/>
    <col min="5916" max="5916" width="13.140625" style="2" customWidth="1"/>
    <col min="5917" max="5917" width="14" style="2" customWidth="1"/>
    <col min="5918" max="5918" width="8.140625" style="2" customWidth="1"/>
    <col min="5919" max="5919" width="11.42578125" style="2" customWidth="1"/>
    <col min="5920" max="5920" width="24.7109375" style="2" customWidth="1"/>
    <col min="5921" max="5921" width="12" style="2" customWidth="1"/>
    <col min="5922" max="5923" width="0.28515625" style="2" customWidth="1"/>
    <col min="5924" max="5924" width="1.42578125" style="2" customWidth="1"/>
    <col min="5925" max="5925" width="0" style="2" hidden="1" customWidth="1"/>
    <col min="5926" max="6144" width="11.42578125" style="2"/>
    <col min="6145" max="6145" width="8" style="2" customWidth="1"/>
    <col min="6146" max="6146" width="13.42578125" style="2" customWidth="1"/>
    <col min="6147" max="6147" width="4.28515625" style="2" customWidth="1"/>
    <col min="6148" max="6148" width="4" style="2" customWidth="1"/>
    <col min="6149" max="6149" width="17" style="2" customWidth="1"/>
    <col min="6150" max="6150" width="4.140625" style="2" customWidth="1"/>
    <col min="6151" max="6151" width="11.28515625" style="2" customWidth="1"/>
    <col min="6152" max="6152" width="11" style="2" customWidth="1"/>
    <col min="6153" max="6154" width="2.140625" style="2" customWidth="1"/>
    <col min="6155" max="6155" width="3.28515625" style="2" customWidth="1"/>
    <col min="6156" max="6157" width="0" style="2" hidden="1" customWidth="1"/>
    <col min="6158" max="6158" width="2.85546875" style="2" customWidth="1"/>
    <col min="6159" max="6159" width="3.28515625" style="2" customWidth="1"/>
    <col min="6160" max="6160" width="1.42578125" style="2" customWidth="1"/>
    <col min="6161" max="6161" width="0" style="2" hidden="1" customWidth="1"/>
    <col min="6162" max="6162" width="6.85546875" style="2" customWidth="1"/>
    <col min="6163" max="6163" width="0" style="2" hidden="1" customWidth="1"/>
    <col min="6164" max="6165" width="6.28515625" style="2" customWidth="1"/>
    <col min="6166" max="6166" width="13.85546875" style="2" customWidth="1"/>
    <col min="6167" max="6167" width="10.85546875" style="2" customWidth="1"/>
    <col min="6168" max="6168" width="14.7109375" style="2" customWidth="1"/>
    <col min="6169" max="6169" width="0" style="2" hidden="1" customWidth="1"/>
    <col min="6170" max="6170" width="13" style="2" customWidth="1"/>
    <col min="6171" max="6171" width="12.7109375" style="2" customWidth="1"/>
    <col min="6172" max="6172" width="13.140625" style="2" customWidth="1"/>
    <col min="6173" max="6173" width="14" style="2" customWidth="1"/>
    <col min="6174" max="6174" width="8.140625" style="2" customWidth="1"/>
    <col min="6175" max="6175" width="11.42578125" style="2" customWidth="1"/>
    <col min="6176" max="6176" width="24.7109375" style="2" customWidth="1"/>
    <col min="6177" max="6177" width="12" style="2" customWidth="1"/>
    <col min="6178" max="6179" width="0.28515625" style="2" customWidth="1"/>
    <col min="6180" max="6180" width="1.42578125" style="2" customWidth="1"/>
    <col min="6181" max="6181" width="0" style="2" hidden="1" customWidth="1"/>
    <col min="6182" max="6400" width="11.42578125" style="2"/>
    <col min="6401" max="6401" width="8" style="2" customWidth="1"/>
    <col min="6402" max="6402" width="13.42578125" style="2" customWidth="1"/>
    <col min="6403" max="6403" width="4.28515625" style="2" customWidth="1"/>
    <col min="6404" max="6404" width="4" style="2" customWidth="1"/>
    <col min="6405" max="6405" width="17" style="2" customWidth="1"/>
    <col min="6406" max="6406" width="4.140625" style="2" customWidth="1"/>
    <col min="6407" max="6407" width="11.28515625" style="2" customWidth="1"/>
    <col min="6408" max="6408" width="11" style="2" customWidth="1"/>
    <col min="6409" max="6410" width="2.140625" style="2" customWidth="1"/>
    <col min="6411" max="6411" width="3.28515625" style="2" customWidth="1"/>
    <col min="6412" max="6413" width="0" style="2" hidden="1" customWidth="1"/>
    <col min="6414" max="6414" width="2.85546875" style="2" customWidth="1"/>
    <col min="6415" max="6415" width="3.28515625" style="2" customWidth="1"/>
    <col min="6416" max="6416" width="1.42578125" style="2" customWidth="1"/>
    <col min="6417" max="6417" width="0" style="2" hidden="1" customWidth="1"/>
    <col min="6418" max="6418" width="6.85546875" style="2" customWidth="1"/>
    <col min="6419" max="6419" width="0" style="2" hidden="1" customWidth="1"/>
    <col min="6420" max="6421" width="6.28515625" style="2" customWidth="1"/>
    <col min="6422" max="6422" width="13.85546875" style="2" customWidth="1"/>
    <col min="6423" max="6423" width="10.85546875" style="2" customWidth="1"/>
    <col min="6424" max="6424" width="14.7109375" style="2" customWidth="1"/>
    <col min="6425" max="6425" width="0" style="2" hidden="1" customWidth="1"/>
    <col min="6426" max="6426" width="13" style="2" customWidth="1"/>
    <col min="6427" max="6427" width="12.7109375" style="2" customWidth="1"/>
    <col min="6428" max="6428" width="13.140625" style="2" customWidth="1"/>
    <col min="6429" max="6429" width="14" style="2" customWidth="1"/>
    <col min="6430" max="6430" width="8.140625" style="2" customWidth="1"/>
    <col min="6431" max="6431" width="11.42578125" style="2" customWidth="1"/>
    <col min="6432" max="6432" width="24.7109375" style="2" customWidth="1"/>
    <col min="6433" max="6433" width="12" style="2" customWidth="1"/>
    <col min="6434" max="6435" width="0.28515625" style="2" customWidth="1"/>
    <col min="6436" max="6436" width="1.42578125" style="2" customWidth="1"/>
    <col min="6437" max="6437" width="0" style="2" hidden="1" customWidth="1"/>
    <col min="6438" max="6656" width="11.42578125" style="2"/>
    <col min="6657" max="6657" width="8" style="2" customWidth="1"/>
    <col min="6658" max="6658" width="13.42578125" style="2" customWidth="1"/>
    <col min="6659" max="6659" width="4.28515625" style="2" customWidth="1"/>
    <col min="6660" max="6660" width="4" style="2" customWidth="1"/>
    <col min="6661" max="6661" width="17" style="2" customWidth="1"/>
    <col min="6662" max="6662" width="4.140625" style="2" customWidth="1"/>
    <col min="6663" max="6663" width="11.28515625" style="2" customWidth="1"/>
    <col min="6664" max="6664" width="11" style="2" customWidth="1"/>
    <col min="6665" max="6666" width="2.140625" style="2" customWidth="1"/>
    <col min="6667" max="6667" width="3.28515625" style="2" customWidth="1"/>
    <col min="6668" max="6669" width="0" style="2" hidden="1" customWidth="1"/>
    <col min="6670" max="6670" width="2.85546875" style="2" customWidth="1"/>
    <col min="6671" max="6671" width="3.28515625" style="2" customWidth="1"/>
    <col min="6672" max="6672" width="1.42578125" style="2" customWidth="1"/>
    <col min="6673" max="6673" width="0" style="2" hidden="1" customWidth="1"/>
    <col min="6674" max="6674" width="6.85546875" style="2" customWidth="1"/>
    <col min="6675" max="6675" width="0" style="2" hidden="1" customWidth="1"/>
    <col min="6676" max="6677" width="6.28515625" style="2" customWidth="1"/>
    <col min="6678" max="6678" width="13.85546875" style="2" customWidth="1"/>
    <col min="6679" max="6679" width="10.85546875" style="2" customWidth="1"/>
    <col min="6680" max="6680" width="14.7109375" style="2" customWidth="1"/>
    <col min="6681" max="6681" width="0" style="2" hidden="1" customWidth="1"/>
    <col min="6682" max="6682" width="13" style="2" customWidth="1"/>
    <col min="6683" max="6683" width="12.7109375" style="2" customWidth="1"/>
    <col min="6684" max="6684" width="13.140625" style="2" customWidth="1"/>
    <col min="6685" max="6685" width="14" style="2" customWidth="1"/>
    <col min="6686" max="6686" width="8.140625" style="2" customWidth="1"/>
    <col min="6687" max="6687" width="11.42578125" style="2" customWidth="1"/>
    <col min="6688" max="6688" width="24.7109375" style="2" customWidth="1"/>
    <col min="6689" max="6689" width="12" style="2" customWidth="1"/>
    <col min="6690" max="6691" width="0.28515625" style="2" customWidth="1"/>
    <col min="6692" max="6692" width="1.42578125" style="2" customWidth="1"/>
    <col min="6693" max="6693" width="0" style="2" hidden="1" customWidth="1"/>
    <col min="6694" max="6912" width="11.42578125" style="2"/>
    <col min="6913" max="6913" width="8" style="2" customWidth="1"/>
    <col min="6914" max="6914" width="13.42578125" style="2" customWidth="1"/>
    <col min="6915" max="6915" width="4.28515625" style="2" customWidth="1"/>
    <col min="6916" max="6916" width="4" style="2" customWidth="1"/>
    <col min="6917" max="6917" width="17" style="2" customWidth="1"/>
    <col min="6918" max="6918" width="4.140625" style="2" customWidth="1"/>
    <col min="6919" max="6919" width="11.28515625" style="2" customWidth="1"/>
    <col min="6920" max="6920" width="11" style="2" customWidth="1"/>
    <col min="6921" max="6922" width="2.140625" style="2" customWidth="1"/>
    <col min="6923" max="6923" width="3.28515625" style="2" customWidth="1"/>
    <col min="6924" max="6925" width="0" style="2" hidden="1" customWidth="1"/>
    <col min="6926" max="6926" width="2.85546875" style="2" customWidth="1"/>
    <col min="6927" max="6927" width="3.28515625" style="2" customWidth="1"/>
    <col min="6928" max="6928" width="1.42578125" style="2" customWidth="1"/>
    <col min="6929" max="6929" width="0" style="2" hidden="1" customWidth="1"/>
    <col min="6930" max="6930" width="6.85546875" style="2" customWidth="1"/>
    <col min="6931" max="6931" width="0" style="2" hidden="1" customWidth="1"/>
    <col min="6932" max="6933" width="6.28515625" style="2" customWidth="1"/>
    <col min="6934" max="6934" width="13.85546875" style="2" customWidth="1"/>
    <col min="6935" max="6935" width="10.85546875" style="2" customWidth="1"/>
    <col min="6936" max="6936" width="14.7109375" style="2" customWidth="1"/>
    <col min="6937" max="6937" width="0" style="2" hidden="1" customWidth="1"/>
    <col min="6938" max="6938" width="13" style="2" customWidth="1"/>
    <col min="6939" max="6939" width="12.7109375" style="2" customWidth="1"/>
    <col min="6940" max="6940" width="13.140625" style="2" customWidth="1"/>
    <col min="6941" max="6941" width="14" style="2" customWidth="1"/>
    <col min="6942" max="6942" width="8.140625" style="2" customWidth="1"/>
    <col min="6943" max="6943" width="11.42578125" style="2" customWidth="1"/>
    <col min="6944" max="6944" width="24.7109375" style="2" customWidth="1"/>
    <col min="6945" max="6945" width="12" style="2" customWidth="1"/>
    <col min="6946" max="6947" width="0.28515625" style="2" customWidth="1"/>
    <col min="6948" max="6948" width="1.42578125" style="2" customWidth="1"/>
    <col min="6949" max="6949" width="0" style="2" hidden="1" customWidth="1"/>
    <col min="6950" max="7168" width="11.42578125" style="2"/>
    <col min="7169" max="7169" width="8" style="2" customWidth="1"/>
    <col min="7170" max="7170" width="13.42578125" style="2" customWidth="1"/>
    <col min="7171" max="7171" width="4.28515625" style="2" customWidth="1"/>
    <col min="7172" max="7172" width="4" style="2" customWidth="1"/>
    <col min="7173" max="7173" width="17" style="2" customWidth="1"/>
    <col min="7174" max="7174" width="4.140625" style="2" customWidth="1"/>
    <col min="7175" max="7175" width="11.28515625" style="2" customWidth="1"/>
    <col min="7176" max="7176" width="11" style="2" customWidth="1"/>
    <col min="7177" max="7178" width="2.140625" style="2" customWidth="1"/>
    <col min="7179" max="7179" width="3.28515625" style="2" customWidth="1"/>
    <col min="7180" max="7181" width="0" style="2" hidden="1" customWidth="1"/>
    <col min="7182" max="7182" width="2.85546875" style="2" customWidth="1"/>
    <col min="7183" max="7183" width="3.28515625" style="2" customWidth="1"/>
    <col min="7184" max="7184" width="1.42578125" style="2" customWidth="1"/>
    <col min="7185" max="7185" width="0" style="2" hidden="1" customWidth="1"/>
    <col min="7186" max="7186" width="6.85546875" style="2" customWidth="1"/>
    <col min="7187" max="7187" width="0" style="2" hidden="1" customWidth="1"/>
    <col min="7188" max="7189" width="6.28515625" style="2" customWidth="1"/>
    <col min="7190" max="7190" width="13.85546875" style="2" customWidth="1"/>
    <col min="7191" max="7191" width="10.85546875" style="2" customWidth="1"/>
    <col min="7192" max="7192" width="14.7109375" style="2" customWidth="1"/>
    <col min="7193" max="7193" width="0" style="2" hidden="1" customWidth="1"/>
    <col min="7194" max="7194" width="13" style="2" customWidth="1"/>
    <col min="7195" max="7195" width="12.7109375" style="2" customWidth="1"/>
    <col min="7196" max="7196" width="13.140625" style="2" customWidth="1"/>
    <col min="7197" max="7197" width="14" style="2" customWidth="1"/>
    <col min="7198" max="7198" width="8.140625" style="2" customWidth="1"/>
    <col min="7199" max="7199" width="11.42578125" style="2" customWidth="1"/>
    <col min="7200" max="7200" width="24.7109375" style="2" customWidth="1"/>
    <col min="7201" max="7201" width="12" style="2" customWidth="1"/>
    <col min="7202" max="7203" width="0.28515625" style="2" customWidth="1"/>
    <col min="7204" max="7204" width="1.42578125" style="2" customWidth="1"/>
    <col min="7205" max="7205" width="0" style="2" hidden="1" customWidth="1"/>
    <col min="7206" max="7424" width="11.42578125" style="2"/>
    <col min="7425" max="7425" width="8" style="2" customWidth="1"/>
    <col min="7426" max="7426" width="13.42578125" style="2" customWidth="1"/>
    <col min="7427" max="7427" width="4.28515625" style="2" customWidth="1"/>
    <col min="7428" max="7428" width="4" style="2" customWidth="1"/>
    <col min="7429" max="7429" width="17" style="2" customWidth="1"/>
    <col min="7430" max="7430" width="4.140625" style="2" customWidth="1"/>
    <col min="7431" max="7431" width="11.28515625" style="2" customWidth="1"/>
    <col min="7432" max="7432" width="11" style="2" customWidth="1"/>
    <col min="7433" max="7434" width="2.140625" style="2" customWidth="1"/>
    <col min="7435" max="7435" width="3.28515625" style="2" customWidth="1"/>
    <col min="7436" max="7437" width="0" style="2" hidden="1" customWidth="1"/>
    <col min="7438" max="7438" width="2.85546875" style="2" customWidth="1"/>
    <col min="7439" max="7439" width="3.28515625" style="2" customWidth="1"/>
    <col min="7440" max="7440" width="1.42578125" style="2" customWidth="1"/>
    <col min="7441" max="7441" width="0" style="2" hidden="1" customWidth="1"/>
    <col min="7442" max="7442" width="6.85546875" style="2" customWidth="1"/>
    <col min="7443" max="7443" width="0" style="2" hidden="1" customWidth="1"/>
    <col min="7444" max="7445" width="6.28515625" style="2" customWidth="1"/>
    <col min="7446" max="7446" width="13.85546875" style="2" customWidth="1"/>
    <col min="7447" max="7447" width="10.85546875" style="2" customWidth="1"/>
    <col min="7448" max="7448" width="14.7109375" style="2" customWidth="1"/>
    <col min="7449" max="7449" width="0" style="2" hidden="1" customWidth="1"/>
    <col min="7450" max="7450" width="13" style="2" customWidth="1"/>
    <col min="7451" max="7451" width="12.7109375" style="2" customWidth="1"/>
    <col min="7452" max="7452" width="13.140625" style="2" customWidth="1"/>
    <col min="7453" max="7453" width="14" style="2" customWidth="1"/>
    <col min="7454" max="7454" width="8.140625" style="2" customWidth="1"/>
    <col min="7455" max="7455" width="11.42578125" style="2" customWidth="1"/>
    <col min="7456" max="7456" width="24.7109375" style="2" customWidth="1"/>
    <col min="7457" max="7457" width="12" style="2" customWidth="1"/>
    <col min="7458" max="7459" width="0.28515625" style="2" customWidth="1"/>
    <col min="7460" max="7460" width="1.42578125" style="2" customWidth="1"/>
    <col min="7461" max="7461" width="0" style="2" hidden="1" customWidth="1"/>
    <col min="7462" max="7680" width="11.42578125" style="2"/>
    <col min="7681" max="7681" width="8" style="2" customWidth="1"/>
    <col min="7682" max="7682" width="13.42578125" style="2" customWidth="1"/>
    <col min="7683" max="7683" width="4.28515625" style="2" customWidth="1"/>
    <col min="7684" max="7684" width="4" style="2" customWidth="1"/>
    <col min="7685" max="7685" width="17" style="2" customWidth="1"/>
    <col min="7686" max="7686" width="4.140625" style="2" customWidth="1"/>
    <col min="7687" max="7687" width="11.28515625" style="2" customWidth="1"/>
    <col min="7688" max="7688" width="11" style="2" customWidth="1"/>
    <col min="7689" max="7690" width="2.140625" style="2" customWidth="1"/>
    <col min="7691" max="7691" width="3.28515625" style="2" customWidth="1"/>
    <col min="7692" max="7693" width="0" style="2" hidden="1" customWidth="1"/>
    <col min="7694" max="7694" width="2.85546875" style="2" customWidth="1"/>
    <col min="7695" max="7695" width="3.28515625" style="2" customWidth="1"/>
    <col min="7696" max="7696" width="1.42578125" style="2" customWidth="1"/>
    <col min="7697" max="7697" width="0" style="2" hidden="1" customWidth="1"/>
    <col min="7698" max="7698" width="6.85546875" style="2" customWidth="1"/>
    <col min="7699" max="7699" width="0" style="2" hidden="1" customWidth="1"/>
    <col min="7700" max="7701" width="6.28515625" style="2" customWidth="1"/>
    <col min="7702" max="7702" width="13.85546875" style="2" customWidth="1"/>
    <col min="7703" max="7703" width="10.85546875" style="2" customWidth="1"/>
    <col min="7704" max="7704" width="14.7109375" style="2" customWidth="1"/>
    <col min="7705" max="7705" width="0" style="2" hidden="1" customWidth="1"/>
    <col min="7706" max="7706" width="13" style="2" customWidth="1"/>
    <col min="7707" max="7707" width="12.7109375" style="2" customWidth="1"/>
    <col min="7708" max="7708" width="13.140625" style="2" customWidth="1"/>
    <col min="7709" max="7709" width="14" style="2" customWidth="1"/>
    <col min="7710" max="7710" width="8.140625" style="2" customWidth="1"/>
    <col min="7711" max="7711" width="11.42578125" style="2" customWidth="1"/>
    <col min="7712" max="7712" width="24.7109375" style="2" customWidth="1"/>
    <col min="7713" max="7713" width="12" style="2" customWidth="1"/>
    <col min="7714" max="7715" width="0.28515625" style="2" customWidth="1"/>
    <col min="7716" max="7716" width="1.42578125" style="2" customWidth="1"/>
    <col min="7717" max="7717" width="0" style="2" hidden="1" customWidth="1"/>
    <col min="7718" max="7936" width="11.42578125" style="2"/>
    <col min="7937" max="7937" width="8" style="2" customWidth="1"/>
    <col min="7938" max="7938" width="13.42578125" style="2" customWidth="1"/>
    <col min="7939" max="7939" width="4.28515625" style="2" customWidth="1"/>
    <col min="7940" max="7940" width="4" style="2" customWidth="1"/>
    <col min="7941" max="7941" width="17" style="2" customWidth="1"/>
    <col min="7942" max="7942" width="4.140625" style="2" customWidth="1"/>
    <col min="7943" max="7943" width="11.28515625" style="2" customWidth="1"/>
    <col min="7944" max="7944" width="11" style="2" customWidth="1"/>
    <col min="7945" max="7946" width="2.140625" style="2" customWidth="1"/>
    <col min="7947" max="7947" width="3.28515625" style="2" customWidth="1"/>
    <col min="7948" max="7949" width="0" style="2" hidden="1" customWidth="1"/>
    <col min="7950" max="7950" width="2.85546875" style="2" customWidth="1"/>
    <col min="7951" max="7951" width="3.28515625" style="2" customWidth="1"/>
    <col min="7952" max="7952" width="1.42578125" style="2" customWidth="1"/>
    <col min="7953" max="7953" width="0" style="2" hidden="1" customWidth="1"/>
    <col min="7954" max="7954" width="6.85546875" style="2" customWidth="1"/>
    <col min="7955" max="7955" width="0" style="2" hidden="1" customWidth="1"/>
    <col min="7956" max="7957" width="6.28515625" style="2" customWidth="1"/>
    <col min="7958" max="7958" width="13.85546875" style="2" customWidth="1"/>
    <col min="7959" max="7959" width="10.85546875" style="2" customWidth="1"/>
    <col min="7960" max="7960" width="14.7109375" style="2" customWidth="1"/>
    <col min="7961" max="7961" width="0" style="2" hidden="1" customWidth="1"/>
    <col min="7962" max="7962" width="13" style="2" customWidth="1"/>
    <col min="7963" max="7963" width="12.7109375" style="2" customWidth="1"/>
    <col min="7964" max="7964" width="13.140625" style="2" customWidth="1"/>
    <col min="7965" max="7965" width="14" style="2" customWidth="1"/>
    <col min="7966" max="7966" width="8.140625" style="2" customWidth="1"/>
    <col min="7967" max="7967" width="11.42578125" style="2" customWidth="1"/>
    <col min="7968" max="7968" width="24.7109375" style="2" customWidth="1"/>
    <col min="7969" max="7969" width="12" style="2" customWidth="1"/>
    <col min="7970" max="7971" width="0.28515625" style="2" customWidth="1"/>
    <col min="7972" max="7972" width="1.42578125" style="2" customWidth="1"/>
    <col min="7973" max="7973" width="0" style="2" hidden="1" customWidth="1"/>
    <col min="7974" max="8192" width="11.42578125" style="2"/>
    <col min="8193" max="8193" width="8" style="2" customWidth="1"/>
    <col min="8194" max="8194" width="13.42578125" style="2" customWidth="1"/>
    <col min="8195" max="8195" width="4.28515625" style="2" customWidth="1"/>
    <col min="8196" max="8196" width="4" style="2" customWidth="1"/>
    <col min="8197" max="8197" width="17" style="2" customWidth="1"/>
    <col min="8198" max="8198" width="4.140625" style="2" customWidth="1"/>
    <col min="8199" max="8199" width="11.28515625" style="2" customWidth="1"/>
    <col min="8200" max="8200" width="11" style="2" customWidth="1"/>
    <col min="8201" max="8202" width="2.140625" style="2" customWidth="1"/>
    <col min="8203" max="8203" width="3.28515625" style="2" customWidth="1"/>
    <col min="8204" max="8205" width="0" style="2" hidden="1" customWidth="1"/>
    <col min="8206" max="8206" width="2.85546875" style="2" customWidth="1"/>
    <col min="8207" max="8207" width="3.28515625" style="2" customWidth="1"/>
    <col min="8208" max="8208" width="1.42578125" style="2" customWidth="1"/>
    <col min="8209" max="8209" width="0" style="2" hidden="1" customWidth="1"/>
    <col min="8210" max="8210" width="6.85546875" style="2" customWidth="1"/>
    <col min="8211" max="8211" width="0" style="2" hidden="1" customWidth="1"/>
    <col min="8212" max="8213" width="6.28515625" style="2" customWidth="1"/>
    <col min="8214" max="8214" width="13.85546875" style="2" customWidth="1"/>
    <col min="8215" max="8215" width="10.85546875" style="2" customWidth="1"/>
    <col min="8216" max="8216" width="14.7109375" style="2" customWidth="1"/>
    <col min="8217" max="8217" width="0" style="2" hidden="1" customWidth="1"/>
    <col min="8218" max="8218" width="13" style="2" customWidth="1"/>
    <col min="8219" max="8219" width="12.7109375" style="2" customWidth="1"/>
    <col min="8220" max="8220" width="13.140625" style="2" customWidth="1"/>
    <col min="8221" max="8221" width="14" style="2" customWidth="1"/>
    <col min="8222" max="8222" width="8.140625" style="2" customWidth="1"/>
    <col min="8223" max="8223" width="11.42578125" style="2" customWidth="1"/>
    <col min="8224" max="8224" width="24.7109375" style="2" customWidth="1"/>
    <col min="8225" max="8225" width="12" style="2" customWidth="1"/>
    <col min="8226" max="8227" width="0.28515625" style="2" customWidth="1"/>
    <col min="8228" max="8228" width="1.42578125" style="2" customWidth="1"/>
    <col min="8229" max="8229" width="0" style="2" hidden="1" customWidth="1"/>
    <col min="8230" max="8448" width="11.42578125" style="2"/>
    <col min="8449" max="8449" width="8" style="2" customWidth="1"/>
    <col min="8450" max="8450" width="13.42578125" style="2" customWidth="1"/>
    <col min="8451" max="8451" width="4.28515625" style="2" customWidth="1"/>
    <col min="8452" max="8452" width="4" style="2" customWidth="1"/>
    <col min="8453" max="8453" width="17" style="2" customWidth="1"/>
    <col min="8454" max="8454" width="4.140625" style="2" customWidth="1"/>
    <col min="8455" max="8455" width="11.28515625" style="2" customWidth="1"/>
    <col min="8456" max="8456" width="11" style="2" customWidth="1"/>
    <col min="8457" max="8458" width="2.140625" style="2" customWidth="1"/>
    <col min="8459" max="8459" width="3.28515625" style="2" customWidth="1"/>
    <col min="8460" max="8461" width="0" style="2" hidden="1" customWidth="1"/>
    <col min="8462" max="8462" width="2.85546875" style="2" customWidth="1"/>
    <col min="8463" max="8463" width="3.28515625" style="2" customWidth="1"/>
    <col min="8464" max="8464" width="1.42578125" style="2" customWidth="1"/>
    <col min="8465" max="8465" width="0" style="2" hidden="1" customWidth="1"/>
    <col min="8466" max="8466" width="6.85546875" style="2" customWidth="1"/>
    <col min="8467" max="8467" width="0" style="2" hidden="1" customWidth="1"/>
    <col min="8468" max="8469" width="6.28515625" style="2" customWidth="1"/>
    <col min="8470" max="8470" width="13.85546875" style="2" customWidth="1"/>
    <col min="8471" max="8471" width="10.85546875" style="2" customWidth="1"/>
    <col min="8472" max="8472" width="14.7109375" style="2" customWidth="1"/>
    <col min="8473" max="8473" width="0" style="2" hidden="1" customWidth="1"/>
    <col min="8474" max="8474" width="13" style="2" customWidth="1"/>
    <col min="8475" max="8475" width="12.7109375" style="2" customWidth="1"/>
    <col min="8476" max="8476" width="13.140625" style="2" customWidth="1"/>
    <col min="8477" max="8477" width="14" style="2" customWidth="1"/>
    <col min="8478" max="8478" width="8.140625" style="2" customWidth="1"/>
    <col min="8479" max="8479" width="11.42578125" style="2" customWidth="1"/>
    <col min="8480" max="8480" width="24.7109375" style="2" customWidth="1"/>
    <col min="8481" max="8481" width="12" style="2" customWidth="1"/>
    <col min="8482" max="8483" width="0.28515625" style="2" customWidth="1"/>
    <col min="8484" max="8484" width="1.42578125" style="2" customWidth="1"/>
    <col min="8485" max="8485" width="0" style="2" hidden="1" customWidth="1"/>
    <col min="8486" max="8704" width="11.42578125" style="2"/>
    <col min="8705" max="8705" width="8" style="2" customWidth="1"/>
    <col min="8706" max="8706" width="13.42578125" style="2" customWidth="1"/>
    <col min="8707" max="8707" width="4.28515625" style="2" customWidth="1"/>
    <col min="8708" max="8708" width="4" style="2" customWidth="1"/>
    <col min="8709" max="8709" width="17" style="2" customWidth="1"/>
    <col min="8710" max="8710" width="4.140625" style="2" customWidth="1"/>
    <col min="8711" max="8711" width="11.28515625" style="2" customWidth="1"/>
    <col min="8712" max="8712" width="11" style="2" customWidth="1"/>
    <col min="8713" max="8714" width="2.140625" style="2" customWidth="1"/>
    <col min="8715" max="8715" width="3.28515625" style="2" customWidth="1"/>
    <col min="8716" max="8717" width="0" style="2" hidden="1" customWidth="1"/>
    <col min="8718" max="8718" width="2.85546875" style="2" customWidth="1"/>
    <col min="8719" max="8719" width="3.28515625" style="2" customWidth="1"/>
    <col min="8720" max="8720" width="1.42578125" style="2" customWidth="1"/>
    <col min="8721" max="8721" width="0" style="2" hidden="1" customWidth="1"/>
    <col min="8722" max="8722" width="6.85546875" style="2" customWidth="1"/>
    <col min="8723" max="8723" width="0" style="2" hidden="1" customWidth="1"/>
    <col min="8724" max="8725" width="6.28515625" style="2" customWidth="1"/>
    <col min="8726" max="8726" width="13.85546875" style="2" customWidth="1"/>
    <col min="8727" max="8727" width="10.85546875" style="2" customWidth="1"/>
    <col min="8728" max="8728" width="14.7109375" style="2" customWidth="1"/>
    <col min="8729" max="8729" width="0" style="2" hidden="1" customWidth="1"/>
    <col min="8730" max="8730" width="13" style="2" customWidth="1"/>
    <col min="8731" max="8731" width="12.7109375" style="2" customWidth="1"/>
    <col min="8732" max="8732" width="13.140625" style="2" customWidth="1"/>
    <col min="8733" max="8733" width="14" style="2" customWidth="1"/>
    <col min="8734" max="8734" width="8.140625" style="2" customWidth="1"/>
    <col min="8735" max="8735" width="11.42578125" style="2" customWidth="1"/>
    <col min="8736" max="8736" width="24.7109375" style="2" customWidth="1"/>
    <col min="8737" max="8737" width="12" style="2" customWidth="1"/>
    <col min="8738" max="8739" width="0.28515625" style="2" customWidth="1"/>
    <col min="8740" max="8740" width="1.42578125" style="2" customWidth="1"/>
    <col min="8741" max="8741" width="0" style="2" hidden="1" customWidth="1"/>
    <col min="8742" max="8960" width="11.42578125" style="2"/>
    <col min="8961" max="8961" width="8" style="2" customWidth="1"/>
    <col min="8962" max="8962" width="13.42578125" style="2" customWidth="1"/>
    <col min="8963" max="8963" width="4.28515625" style="2" customWidth="1"/>
    <col min="8964" max="8964" width="4" style="2" customWidth="1"/>
    <col min="8965" max="8965" width="17" style="2" customWidth="1"/>
    <col min="8966" max="8966" width="4.140625" style="2" customWidth="1"/>
    <col min="8967" max="8967" width="11.28515625" style="2" customWidth="1"/>
    <col min="8968" max="8968" width="11" style="2" customWidth="1"/>
    <col min="8969" max="8970" width="2.140625" style="2" customWidth="1"/>
    <col min="8971" max="8971" width="3.28515625" style="2" customWidth="1"/>
    <col min="8972" max="8973" width="0" style="2" hidden="1" customWidth="1"/>
    <col min="8974" max="8974" width="2.85546875" style="2" customWidth="1"/>
    <col min="8975" max="8975" width="3.28515625" style="2" customWidth="1"/>
    <col min="8976" max="8976" width="1.42578125" style="2" customWidth="1"/>
    <col min="8977" max="8977" width="0" style="2" hidden="1" customWidth="1"/>
    <col min="8978" max="8978" width="6.85546875" style="2" customWidth="1"/>
    <col min="8979" max="8979" width="0" style="2" hidden="1" customWidth="1"/>
    <col min="8980" max="8981" width="6.28515625" style="2" customWidth="1"/>
    <col min="8982" max="8982" width="13.85546875" style="2" customWidth="1"/>
    <col min="8983" max="8983" width="10.85546875" style="2" customWidth="1"/>
    <col min="8984" max="8984" width="14.7109375" style="2" customWidth="1"/>
    <col min="8985" max="8985" width="0" style="2" hidden="1" customWidth="1"/>
    <col min="8986" max="8986" width="13" style="2" customWidth="1"/>
    <col min="8987" max="8987" width="12.7109375" style="2" customWidth="1"/>
    <col min="8988" max="8988" width="13.140625" style="2" customWidth="1"/>
    <col min="8989" max="8989" width="14" style="2" customWidth="1"/>
    <col min="8990" max="8990" width="8.140625" style="2" customWidth="1"/>
    <col min="8991" max="8991" width="11.42578125" style="2" customWidth="1"/>
    <col min="8992" max="8992" width="24.7109375" style="2" customWidth="1"/>
    <col min="8993" max="8993" width="12" style="2" customWidth="1"/>
    <col min="8994" max="8995" width="0.28515625" style="2" customWidth="1"/>
    <col min="8996" max="8996" width="1.42578125" style="2" customWidth="1"/>
    <col min="8997" max="8997" width="0" style="2" hidden="1" customWidth="1"/>
    <col min="8998" max="9216" width="11.42578125" style="2"/>
    <col min="9217" max="9217" width="8" style="2" customWidth="1"/>
    <col min="9218" max="9218" width="13.42578125" style="2" customWidth="1"/>
    <col min="9219" max="9219" width="4.28515625" style="2" customWidth="1"/>
    <col min="9220" max="9220" width="4" style="2" customWidth="1"/>
    <col min="9221" max="9221" width="17" style="2" customWidth="1"/>
    <col min="9222" max="9222" width="4.140625" style="2" customWidth="1"/>
    <col min="9223" max="9223" width="11.28515625" style="2" customWidth="1"/>
    <col min="9224" max="9224" width="11" style="2" customWidth="1"/>
    <col min="9225" max="9226" width="2.140625" style="2" customWidth="1"/>
    <col min="9227" max="9227" width="3.28515625" style="2" customWidth="1"/>
    <col min="9228" max="9229" width="0" style="2" hidden="1" customWidth="1"/>
    <col min="9230" max="9230" width="2.85546875" style="2" customWidth="1"/>
    <col min="9231" max="9231" width="3.28515625" style="2" customWidth="1"/>
    <col min="9232" max="9232" width="1.42578125" style="2" customWidth="1"/>
    <col min="9233" max="9233" width="0" style="2" hidden="1" customWidth="1"/>
    <col min="9234" max="9234" width="6.85546875" style="2" customWidth="1"/>
    <col min="9235" max="9235" width="0" style="2" hidden="1" customWidth="1"/>
    <col min="9236" max="9237" width="6.28515625" style="2" customWidth="1"/>
    <col min="9238" max="9238" width="13.85546875" style="2" customWidth="1"/>
    <col min="9239" max="9239" width="10.85546875" style="2" customWidth="1"/>
    <col min="9240" max="9240" width="14.7109375" style="2" customWidth="1"/>
    <col min="9241" max="9241" width="0" style="2" hidden="1" customWidth="1"/>
    <col min="9242" max="9242" width="13" style="2" customWidth="1"/>
    <col min="9243" max="9243" width="12.7109375" style="2" customWidth="1"/>
    <col min="9244" max="9244" width="13.140625" style="2" customWidth="1"/>
    <col min="9245" max="9245" width="14" style="2" customWidth="1"/>
    <col min="9246" max="9246" width="8.140625" style="2" customWidth="1"/>
    <col min="9247" max="9247" width="11.42578125" style="2" customWidth="1"/>
    <col min="9248" max="9248" width="24.7109375" style="2" customWidth="1"/>
    <col min="9249" max="9249" width="12" style="2" customWidth="1"/>
    <col min="9250" max="9251" width="0.28515625" style="2" customWidth="1"/>
    <col min="9252" max="9252" width="1.42578125" style="2" customWidth="1"/>
    <col min="9253" max="9253" width="0" style="2" hidden="1" customWidth="1"/>
    <col min="9254" max="9472" width="11.42578125" style="2"/>
    <col min="9473" max="9473" width="8" style="2" customWidth="1"/>
    <col min="9474" max="9474" width="13.42578125" style="2" customWidth="1"/>
    <col min="9475" max="9475" width="4.28515625" style="2" customWidth="1"/>
    <col min="9476" max="9476" width="4" style="2" customWidth="1"/>
    <col min="9477" max="9477" width="17" style="2" customWidth="1"/>
    <col min="9478" max="9478" width="4.140625" style="2" customWidth="1"/>
    <col min="9479" max="9479" width="11.28515625" style="2" customWidth="1"/>
    <col min="9480" max="9480" width="11" style="2" customWidth="1"/>
    <col min="9481" max="9482" width="2.140625" style="2" customWidth="1"/>
    <col min="9483" max="9483" width="3.28515625" style="2" customWidth="1"/>
    <col min="9484" max="9485" width="0" style="2" hidden="1" customWidth="1"/>
    <col min="9486" max="9486" width="2.85546875" style="2" customWidth="1"/>
    <col min="9487" max="9487" width="3.28515625" style="2" customWidth="1"/>
    <col min="9488" max="9488" width="1.42578125" style="2" customWidth="1"/>
    <col min="9489" max="9489" width="0" style="2" hidden="1" customWidth="1"/>
    <col min="9490" max="9490" width="6.85546875" style="2" customWidth="1"/>
    <col min="9491" max="9491" width="0" style="2" hidden="1" customWidth="1"/>
    <col min="9492" max="9493" width="6.28515625" style="2" customWidth="1"/>
    <col min="9494" max="9494" width="13.85546875" style="2" customWidth="1"/>
    <col min="9495" max="9495" width="10.85546875" style="2" customWidth="1"/>
    <col min="9496" max="9496" width="14.7109375" style="2" customWidth="1"/>
    <col min="9497" max="9497" width="0" style="2" hidden="1" customWidth="1"/>
    <col min="9498" max="9498" width="13" style="2" customWidth="1"/>
    <col min="9499" max="9499" width="12.7109375" style="2" customWidth="1"/>
    <col min="9500" max="9500" width="13.140625" style="2" customWidth="1"/>
    <col min="9501" max="9501" width="14" style="2" customWidth="1"/>
    <col min="9502" max="9502" width="8.140625" style="2" customWidth="1"/>
    <col min="9503" max="9503" width="11.42578125" style="2" customWidth="1"/>
    <col min="9504" max="9504" width="24.7109375" style="2" customWidth="1"/>
    <col min="9505" max="9505" width="12" style="2" customWidth="1"/>
    <col min="9506" max="9507" width="0.28515625" style="2" customWidth="1"/>
    <col min="9508" max="9508" width="1.42578125" style="2" customWidth="1"/>
    <col min="9509" max="9509" width="0" style="2" hidden="1" customWidth="1"/>
    <col min="9510" max="9728" width="11.42578125" style="2"/>
    <col min="9729" max="9729" width="8" style="2" customWidth="1"/>
    <col min="9730" max="9730" width="13.42578125" style="2" customWidth="1"/>
    <col min="9731" max="9731" width="4.28515625" style="2" customWidth="1"/>
    <col min="9732" max="9732" width="4" style="2" customWidth="1"/>
    <col min="9733" max="9733" width="17" style="2" customWidth="1"/>
    <col min="9734" max="9734" width="4.140625" style="2" customWidth="1"/>
    <col min="9735" max="9735" width="11.28515625" style="2" customWidth="1"/>
    <col min="9736" max="9736" width="11" style="2" customWidth="1"/>
    <col min="9737" max="9738" width="2.140625" style="2" customWidth="1"/>
    <col min="9739" max="9739" width="3.28515625" style="2" customWidth="1"/>
    <col min="9740" max="9741" width="0" style="2" hidden="1" customWidth="1"/>
    <col min="9742" max="9742" width="2.85546875" style="2" customWidth="1"/>
    <col min="9743" max="9743" width="3.28515625" style="2" customWidth="1"/>
    <col min="9744" max="9744" width="1.42578125" style="2" customWidth="1"/>
    <col min="9745" max="9745" width="0" style="2" hidden="1" customWidth="1"/>
    <col min="9746" max="9746" width="6.85546875" style="2" customWidth="1"/>
    <col min="9747" max="9747" width="0" style="2" hidden="1" customWidth="1"/>
    <col min="9748" max="9749" width="6.28515625" style="2" customWidth="1"/>
    <col min="9750" max="9750" width="13.85546875" style="2" customWidth="1"/>
    <col min="9751" max="9751" width="10.85546875" style="2" customWidth="1"/>
    <col min="9752" max="9752" width="14.7109375" style="2" customWidth="1"/>
    <col min="9753" max="9753" width="0" style="2" hidden="1" customWidth="1"/>
    <col min="9754" max="9754" width="13" style="2" customWidth="1"/>
    <col min="9755" max="9755" width="12.7109375" style="2" customWidth="1"/>
    <col min="9756" max="9756" width="13.140625" style="2" customWidth="1"/>
    <col min="9757" max="9757" width="14" style="2" customWidth="1"/>
    <col min="9758" max="9758" width="8.140625" style="2" customWidth="1"/>
    <col min="9759" max="9759" width="11.42578125" style="2" customWidth="1"/>
    <col min="9760" max="9760" width="24.7109375" style="2" customWidth="1"/>
    <col min="9761" max="9761" width="12" style="2" customWidth="1"/>
    <col min="9762" max="9763" width="0.28515625" style="2" customWidth="1"/>
    <col min="9764" max="9764" width="1.42578125" style="2" customWidth="1"/>
    <col min="9765" max="9765" width="0" style="2" hidden="1" customWidth="1"/>
    <col min="9766" max="9984" width="11.42578125" style="2"/>
    <col min="9985" max="9985" width="8" style="2" customWidth="1"/>
    <col min="9986" max="9986" width="13.42578125" style="2" customWidth="1"/>
    <col min="9987" max="9987" width="4.28515625" style="2" customWidth="1"/>
    <col min="9988" max="9988" width="4" style="2" customWidth="1"/>
    <col min="9989" max="9989" width="17" style="2" customWidth="1"/>
    <col min="9990" max="9990" width="4.140625" style="2" customWidth="1"/>
    <col min="9991" max="9991" width="11.28515625" style="2" customWidth="1"/>
    <col min="9992" max="9992" width="11" style="2" customWidth="1"/>
    <col min="9993" max="9994" width="2.140625" style="2" customWidth="1"/>
    <col min="9995" max="9995" width="3.28515625" style="2" customWidth="1"/>
    <col min="9996" max="9997" width="0" style="2" hidden="1" customWidth="1"/>
    <col min="9998" max="9998" width="2.85546875" style="2" customWidth="1"/>
    <col min="9999" max="9999" width="3.28515625" style="2" customWidth="1"/>
    <col min="10000" max="10000" width="1.42578125" style="2" customWidth="1"/>
    <col min="10001" max="10001" width="0" style="2" hidden="1" customWidth="1"/>
    <col min="10002" max="10002" width="6.85546875" style="2" customWidth="1"/>
    <col min="10003" max="10003" width="0" style="2" hidden="1" customWidth="1"/>
    <col min="10004" max="10005" width="6.28515625" style="2" customWidth="1"/>
    <col min="10006" max="10006" width="13.85546875" style="2" customWidth="1"/>
    <col min="10007" max="10007" width="10.85546875" style="2" customWidth="1"/>
    <col min="10008" max="10008" width="14.7109375" style="2" customWidth="1"/>
    <col min="10009" max="10009" width="0" style="2" hidden="1" customWidth="1"/>
    <col min="10010" max="10010" width="13" style="2" customWidth="1"/>
    <col min="10011" max="10011" width="12.7109375" style="2" customWidth="1"/>
    <col min="10012" max="10012" width="13.140625" style="2" customWidth="1"/>
    <col min="10013" max="10013" width="14" style="2" customWidth="1"/>
    <col min="10014" max="10014" width="8.140625" style="2" customWidth="1"/>
    <col min="10015" max="10015" width="11.42578125" style="2" customWidth="1"/>
    <col min="10016" max="10016" width="24.7109375" style="2" customWidth="1"/>
    <col min="10017" max="10017" width="12" style="2" customWidth="1"/>
    <col min="10018" max="10019" width="0.28515625" style="2" customWidth="1"/>
    <col min="10020" max="10020" width="1.42578125" style="2" customWidth="1"/>
    <col min="10021" max="10021" width="0" style="2" hidden="1" customWidth="1"/>
    <col min="10022" max="10240" width="11.42578125" style="2"/>
    <col min="10241" max="10241" width="8" style="2" customWidth="1"/>
    <col min="10242" max="10242" width="13.42578125" style="2" customWidth="1"/>
    <col min="10243" max="10243" width="4.28515625" style="2" customWidth="1"/>
    <col min="10244" max="10244" width="4" style="2" customWidth="1"/>
    <col min="10245" max="10245" width="17" style="2" customWidth="1"/>
    <col min="10246" max="10246" width="4.140625" style="2" customWidth="1"/>
    <col min="10247" max="10247" width="11.28515625" style="2" customWidth="1"/>
    <col min="10248" max="10248" width="11" style="2" customWidth="1"/>
    <col min="10249" max="10250" width="2.140625" style="2" customWidth="1"/>
    <col min="10251" max="10251" width="3.28515625" style="2" customWidth="1"/>
    <col min="10252" max="10253" width="0" style="2" hidden="1" customWidth="1"/>
    <col min="10254" max="10254" width="2.85546875" style="2" customWidth="1"/>
    <col min="10255" max="10255" width="3.28515625" style="2" customWidth="1"/>
    <col min="10256" max="10256" width="1.42578125" style="2" customWidth="1"/>
    <col min="10257" max="10257" width="0" style="2" hidden="1" customWidth="1"/>
    <col min="10258" max="10258" width="6.85546875" style="2" customWidth="1"/>
    <col min="10259" max="10259" width="0" style="2" hidden="1" customWidth="1"/>
    <col min="10260" max="10261" width="6.28515625" style="2" customWidth="1"/>
    <col min="10262" max="10262" width="13.85546875" style="2" customWidth="1"/>
    <col min="10263" max="10263" width="10.85546875" style="2" customWidth="1"/>
    <col min="10264" max="10264" width="14.7109375" style="2" customWidth="1"/>
    <col min="10265" max="10265" width="0" style="2" hidden="1" customWidth="1"/>
    <col min="10266" max="10266" width="13" style="2" customWidth="1"/>
    <col min="10267" max="10267" width="12.7109375" style="2" customWidth="1"/>
    <col min="10268" max="10268" width="13.140625" style="2" customWidth="1"/>
    <col min="10269" max="10269" width="14" style="2" customWidth="1"/>
    <col min="10270" max="10270" width="8.140625" style="2" customWidth="1"/>
    <col min="10271" max="10271" width="11.42578125" style="2" customWidth="1"/>
    <col min="10272" max="10272" width="24.7109375" style="2" customWidth="1"/>
    <col min="10273" max="10273" width="12" style="2" customWidth="1"/>
    <col min="10274" max="10275" width="0.28515625" style="2" customWidth="1"/>
    <col min="10276" max="10276" width="1.42578125" style="2" customWidth="1"/>
    <col min="10277" max="10277" width="0" style="2" hidden="1" customWidth="1"/>
    <col min="10278" max="10496" width="11.42578125" style="2"/>
    <col min="10497" max="10497" width="8" style="2" customWidth="1"/>
    <col min="10498" max="10498" width="13.42578125" style="2" customWidth="1"/>
    <col min="10499" max="10499" width="4.28515625" style="2" customWidth="1"/>
    <col min="10500" max="10500" width="4" style="2" customWidth="1"/>
    <col min="10501" max="10501" width="17" style="2" customWidth="1"/>
    <col min="10502" max="10502" width="4.140625" style="2" customWidth="1"/>
    <col min="10503" max="10503" width="11.28515625" style="2" customWidth="1"/>
    <col min="10504" max="10504" width="11" style="2" customWidth="1"/>
    <col min="10505" max="10506" width="2.140625" style="2" customWidth="1"/>
    <col min="10507" max="10507" width="3.28515625" style="2" customWidth="1"/>
    <col min="10508" max="10509" width="0" style="2" hidden="1" customWidth="1"/>
    <col min="10510" max="10510" width="2.85546875" style="2" customWidth="1"/>
    <col min="10511" max="10511" width="3.28515625" style="2" customWidth="1"/>
    <col min="10512" max="10512" width="1.42578125" style="2" customWidth="1"/>
    <col min="10513" max="10513" width="0" style="2" hidden="1" customWidth="1"/>
    <col min="10514" max="10514" width="6.85546875" style="2" customWidth="1"/>
    <col min="10515" max="10515" width="0" style="2" hidden="1" customWidth="1"/>
    <col min="10516" max="10517" width="6.28515625" style="2" customWidth="1"/>
    <col min="10518" max="10518" width="13.85546875" style="2" customWidth="1"/>
    <col min="10519" max="10519" width="10.85546875" style="2" customWidth="1"/>
    <col min="10520" max="10520" width="14.7109375" style="2" customWidth="1"/>
    <col min="10521" max="10521" width="0" style="2" hidden="1" customWidth="1"/>
    <col min="10522" max="10522" width="13" style="2" customWidth="1"/>
    <col min="10523" max="10523" width="12.7109375" style="2" customWidth="1"/>
    <col min="10524" max="10524" width="13.140625" style="2" customWidth="1"/>
    <col min="10525" max="10525" width="14" style="2" customWidth="1"/>
    <col min="10526" max="10526" width="8.140625" style="2" customWidth="1"/>
    <col min="10527" max="10527" width="11.42578125" style="2" customWidth="1"/>
    <col min="10528" max="10528" width="24.7109375" style="2" customWidth="1"/>
    <col min="10529" max="10529" width="12" style="2" customWidth="1"/>
    <col min="10530" max="10531" width="0.28515625" style="2" customWidth="1"/>
    <col min="10532" max="10532" width="1.42578125" style="2" customWidth="1"/>
    <col min="10533" max="10533" width="0" style="2" hidden="1" customWidth="1"/>
    <col min="10534" max="10752" width="11.42578125" style="2"/>
    <col min="10753" max="10753" width="8" style="2" customWidth="1"/>
    <col min="10754" max="10754" width="13.42578125" style="2" customWidth="1"/>
    <col min="10755" max="10755" width="4.28515625" style="2" customWidth="1"/>
    <col min="10756" max="10756" width="4" style="2" customWidth="1"/>
    <col min="10757" max="10757" width="17" style="2" customWidth="1"/>
    <col min="10758" max="10758" width="4.140625" style="2" customWidth="1"/>
    <col min="10759" max="10759" width="11.28515625" style="2" customWidth="1"/>
    <col min="10760" max="10760" width="11" style="2" customWidth="1"/>
    <col min="10761" max="10762" width="2.140625" style="2" customWidth="1"/>
    <col min="10763" max="10763" width="3.28515625" style="2" customWidth="1"/>
    <col min="10764" max="10765" width="0" style="2" hidden="1" customWidth="1"/>
    <col min="10766" max="10766" width="2.85546875" style="2" customWidth="1"/>
    <col min="10767" max="10767" width="3.28515625" style="2" customWidth="1"/>
    <col min="10768" max="10768" width="1.42578125" style="2" customWidth="1"/>
    <col min="10769" max="10769" width="0" style="2" hidden="1" customWidth="1"/>
    <col min="10770" max="10770" width="6.85546875" style="2" customWidth="1"/>
    <col min="10771" max="10771" width="0" style="2" hidden="1" customWidth="1"/>
    <col min="10772" max="10773" width="6.28515625" style="2" customWidth="1"/>
    <col min="10774" max="10774" width="13.85546875" style="2" customWidth="1"/>
    <col min="10775" max="10775" width="10.85546875" style="2" customWidth="1"/>
    <col min="10776" max="10776" width="14.7109375" style="2" customWidth="1"/>
    <col min="10777" max="10777" width="0" style="2" hidden="1" customWidth="1"/>
    <col min="10778" max="10778" width="13" style="2" customWidth="1"/>
    <col min="10779" max="10779" width="12.7109375" style="2" customWidth="1"/>
    <col min="10780" max="10780" width="13.140625" style="2" customWidth="1"/>
    <col min="10781" max="10781" width="14" style="2" customWidth="1"/>
    <col min="10782" max="10782" width="8.140625" style="2" customWidth="1"/>
    <col min="10783" max="10783" width="11.42578125" style="2" customWidth="1"/>
    <col min="10784" max="10784" width="24.7109375" style="2" customWidth="1"/>
    <col min="10785" max="10785" width="12" style="2" customWidth="1"/>
    <col min="10786" max="10787" width="0.28515625" style="2" customWidth="1"/>
    <col min="10788" max="10788" width="1.42578125" style="2" customWidth="1"/>
    <col min="10789" max="10789" width="0" style="2" hidden="1" customWidth="1"/>
    <col min="10790" max="11008" width="11.42578125" style="2"/>
    <col min="11009" max="11009" width="8" style="2" customWidth="1"/>
    <col min="11010" max="11010" width="13.42578125" style="2" customWidth="1"/>
    <col min="11011" max="11011" width="4.28515625" style="2" customWidth="1"/>
    <col min="11012" max="11012" width="4" style="2" customWidth="1"/>
    <col min="11013" max="11013" width="17" style="2" customWidth="1"/>
    <col min="11014" max="11014" width="4.140625" style="2" customWidth="1"/>
    <col min="11015" max="11015" width="11.28515625" style="2" customWidth="1"/>
    <col min="11016" max="11016" width="11" style="2" customWidth="1"/>
    <col min="11017" max="11018" width="2.140625" style="2" customWidth="1"/>
    <col min="11019" max="11019" width="3.28515625" style="2" customWidth="1"/>
    <col min="11020" max="11021" width="0" style="2" hidden="1" customWidth="1"/>
    <col min="11022" max="11022" width="2.85546875" style="2" customWidth="1"/>
    <col min="11023" max="11023" width="3.28515625" style="2" customWidth="1"/>
    <col min="11024" max="11024" width="1.42578125" style="2" customWidth="1"/>
    <col min="11025" max="11025" width="0" style="2" hidden="1" customWidth="1"/>
    <col min="11026" max="11026" width="6.85546875" style="2" customWidth="1"/>
    <col min="11027" max="11027" width="0" style="2" hidden="1" customWidth="1"/>
    <col min="11028" max="11029" width="6.28515625" style="2" customWidth="1"/>
    <col min="11030" max="11030" width="13.85546875" style="2" customWidth="1"/>
    <col min="11031" max="11031" width="10.85546875" style="2" customWidth="1"/>
    <col min="11032" max="11032" width="14.7109375" style="2" customWidth="1"/>
    <col min="11033" max="11033" width="0" style="2" hidden="1" customWidth="1"/>
    <col min="11034" max="11034" width="13" style="2" customWidth="1"/>
    <col min="11035" max="11035" width="12.7109375" style="2" customWidth="1"/>
    <col min="11036" max="11036" width="13.140625" style="2" customWidth="1"/>
    <col min="11037" max="11037" width="14" style="2" customWidth="1"/>
    <col min="11038" max="11038" width="8.140625" style="2" customWidth="1"/>
    <col min="11039" max="11039" width="11.42578125" style="2" customWidth="1"/>
    <col min="11040" max="11040" width="24.7109375" style="2" customWidth="1"/>
    <col min="11041" max="11041" width="12" style="2" customWidth="1"/>
    <col min="11042" max="11043" width="0.28515625" style="2" customWidth="1"/>
    <col min="11044" max="11044" width="1.42578125" style="2" customWidth="1"/>
    <col min="11045" max="11045" width="0" style="2" hidden="1" customWidth="1"/>
    <col min="11046" max="11264" width="11.42578125" style="2"/>
    <col min="11265" max="11265" width="8" style="2" customWidth="1"/>
    <col min="11266" max="11266" width="13.42578125" style="2" customWidth="1"/>
    <col min="11267" max="11267" width="4.28515625" style="2" customWidth="1"/>
    <col min="11268" max="11268" width="4" style="2" customWidth="1"/>
    <col min="11269" max="11269" width="17" style="2" customWidth="1"/>
    <col min="11270" max="11270" width="4.140625" style="2" customWidth="1"/>
    <col min="11271" max="11271" width="11.28515625" style="2" customWidth="1"/>
    <col min="11272" max="11272" width="11" style="2" customWidth="1"/>
    <col min="11273" max="11274" width="2.140625" style="2" customWidth="1"/>
    <col min="11275" max="11275" width="3.28515625" style="2" customWidth="1"/>
    <col min="11276" max="11277" width="0" style="2" hidden="1" customWidth="1"/>
    <col min="11278" max="11278" width="2.85546875" style="2" customWidth="1"/>
    <col min="11279" max="11279" width="3.28515625" style="2" customWidth="1"/>
    <col min="11280" max="11280" width="1.42578125" style="2" customWidth="1"/>
    <col min="11281" max="11281" width="0" style="2" hidden="1" customWidth="1"/>
    <col min="11282" max="11282" width="6.85546875" style="2" customWidth="1"/>
    <col min="11283" max="11283" width="0" style="2" hidden="1" customWidth="1"/>
    <col min="11284" max="11285" width="6.28515625" style="2" customWidth="1"/>
    <col min="11286" max="11286" width="13.85546875" style="2" customWidth="1"/>
    <col min="11287" max="11287" width="10.85546875" style="2" customWidth="1"/>
    <col min="11288" max="11288" width="14.7109375" style="2" customWidth="1"/>
    <col min="11289" max="11289" width="0" style="2" hidden="1" customWidth="1"/>
    <col min="11290" max="11290" width="13" style="2" customWidth="1"/>
    <col min="11291" max="11291" width="12.7109375" style="2" customWidth="1"/>
    <col min="11292" max="11292" width="13.140625" style="2" customWidth="1"/>
    <col min="11293" max="11293" width="14" style="2" customWidth="1"/>
    <col min="11294" max="11294" width="8.140625" style="2" customWidth="1"/>
    <col min="11295" max="11295" width="11.42578125" style="2" customWidth="1"/>
    <col min="11296" max="11296" width="24.7109375" style="2" customWidth="1"/>
    <col min="11297" max="11297" width="12" style="2" customWidth="1"/>
    <col min="11298" max="11299" width="0.28515625" style="2" customWidth="1"/>
    <col min="11300" max="11300" width="1.42578125" style="2" customWidth="1"/>
    <col min="11301" max="11301" width="0" style="2" hidden="1" customWidth="1"/>
    <col min="11302" max="11520" width="11.42578125" style="2"/>
    <col min="11521" max="11521" width="8" style="2" customWidth="1"/>
    <col min="11522" max="11522" width="13.42578125" style="2" customWidth="1"/>
    <col min="11523" max="11523" width="4.28515625" style="2" customWidth="1"/>
    <col min="11524" max="11524" width="4" style="2" customWidth="1"/>
    <col min="11525" max="11525" width="17" style="2" customWidth="1"/>
    <col min="11526" max="11526" width="4.140625" style="2" customWidth="1"/>
    <col min="11527" max="11527" width="11.28515625" style="2" customWidth="1"/>
    <col min="11528" max="11528" width="11" style="2" customWidth="1"/>
    <col min="11529" max="11530" width="2.140625" style="2" customWidth="1"/>
    <col min="11531" max="11531" width="3.28515625" style="2" customWidth="1"/>
    <col min="11532" max="11533" width="0" style="2" hidden="1" customWidth="1"/>
    <col min="11534" max="11534" width="2.85546875" style="2" customWidth="1"/>
    <col min="11535" max="11535" width="3.28515625" style="2" customWidth="1"/>
    <col min="11536" max="11536" width="1.42578125" style="2" customWidth="1"/>
    <col min="11537" max="11537" width="0" style="2" hidden="1" customWidth="1"/>
    <col min="11538" max="11538" width="6.85546875" style="2" customWidth="1"/>
    <col min="11539" max="11539" width="0" style="2" hidden="1" customWidth="1"/>
    <col min="11540" max="11541" width="6.28515625" style="2" customWidth="1"/>
    <col min="11542" max="11542" width="13.85546875" style="2" customWidth="1"/>
    <col min="11543" max="11543" width="10.85546875" style="2" customWidth="1"/>
    <col min="11544" max="11544" width="14.7109375" style="2" customWidth="1"/>
    <col min="11545" max="11545" width="0" style="2" hidden="1" customWidth="1"/>
    <col min="11546" max="11546" width="13" style="2" customWidth="1"/>
    <col min="11547" max="11547" width="12.7109375" style="2" customWidth="1"/>
    <col min="11548" max="11548" width="13.140625" style="2" customWidth="1"/>
    <col min="11549" max="11549" width="14" style="2" customWidth="1"/>
    <col min="11550" max="11550" width="8.140625" style="2" customWidth="1"/>
    <col min="11551" max="11551" width="11.42578125" style="2" customWidth="1"/>
    <col min="11552" max="11552" width="24.7109375" style="2" customWidth="1"/>
    <col min="11553" max="11553" width="12" style="2" customWidth="1"/>
    <col min="11554" max="11555" width="0.28515625" style="2" customWidth="1"/>
    <col min="11556" max="11556" width="1.42578125" style="2" customWidth="1"/>
    <col min="11557" max="11557" width="0" style="2" hidden="1" customWidth="1"/>
    <col min="11558" max="11776" width="11.42578125" style="2"/>
    <col min="11777" max="11777" width="8" style="2" customWidth="1"/>
    <col min="11778" max="11778" width="13.42578125" style="2" customWidth="1"/>
    <col min="11779" max="11779" width="4.28515625" style="2" customWidth="1"/>
    <col min="11780" max="11780" width="4" style="2" customWidth="1"/>
    <col min="11781" max="11781" width="17" style="2" customWidth="1"/>
    <col min="11782" max="11782" width="4.140625" style="2" customWidth="1"/>
    <col min="11783" max="11783" width="11.28515625" style="2" customWidth="1"/>
    <col min="11784" max="11784" width="11" style="2" customWidth="1"/>
    <col min="11785" max="11786" width="2.140625" style="2" customWidth="1"/>
    <col min="11787" max="11787" width="3.28515625" style="2" customWidth="1"/>
    <col min="11788" max="11789" width="0" style="2" hidden="1" customWidth="1"/>
    <col min="11790" max="11790" width="2.85546875" style="2" customWidth="1"/>
    <col min="11791" max="11791" width="3.28515625" style="2" customWidth="1"/>
    <col min="11792" max="11792" width="1.42578125" style="2" customWidth="1"/>
    <col min="11793" max="11793" width="0" style="2" hidden="1" customWidth="1"/>
    <col min="11794" max="11794" width="6.85546875" style="2" customWidth="1"/>
    <col min="11795" max="11795" width="0" style="2" hidden="1" customWidth="1"/>
    <col min="11796" max="11797" width="6.28515625" style="2" customWidth="1"/>
    <col min="11798" max="11798" width="13.85546875" style="2" customWidth="1"/>
    <col min="11799" max="11799" width="10.85546875" style="2" customWidth="1"/>
    <col min="11800" max="11800" width="14.7109375" style="2" customWidth="1"/>
    <col min="11801" max="11801" width="0" style="2" hidden="1" customWidth="1"/>
    <col min="11802" max="11802" width="13" style="2" customWidth="1"/>
    <col min="11803" max="11803" width="12.7109375" style="2" customWidth="1"/>
    <col min="11804" max="11804" width="13.140625" style="2" customWidth="1"/>
    <col min="11805" max="11805" width="14" style="2" customWidth="1"/>
    <col min="11806" max="11806" width="8.140625" style="2" customWidth="1"/>
    <col min="11807" max="11807" width="11.42578125" style="2" customWidth="1"/>
    <col min="11808" max="11808" width="24.7109375" style="2" customWidth="1"/>
    <col min="11809" max="11809" width="12" style="2" customWidth="1"/>
    <col min="11810" max="11811" width="0.28515625" style="2" customWidth="1"/>
    <col min="11812" max="11812" width="1.42578125" style="2" customWidth="1"/>
    <col min="11813" max="11813" width="0" style="2" hidden="1" customWidth="1"/>
    <col min="11814" max="12032" width="11.42578125" style="2"/>
    <col min="12033" max="12033" width="8" style="2" customWidth="1"/>
    <col min="12034" max="12034" width="13.42578125" style="2" customWidth="1"/>
    <col min="12035" max="12035" width="4.28515625" style="2" customWidth="1"/>
    <col min="12036" max="12036" width="4" style="2" customWidth="1"/>
    <col min="12037" max="12037" width="17" style="2" customWidth="1"/>
    <col min="12038" max="12038" width="4.140625" style="2" customWidth="1"/>
    <col min="12039" max="12039" width="11.28515625" style="2" customWidth="1"/>
    <col min="12040" max="12040" width="11" style="2" customWidth="1"/>
    <col min="12041" max="12042" width="2.140625" style="2" customWidth="1"/>
    <col min="12043" max="12043" width="3.28515625" style="2" customWidth="1"/>
    <col min="12044" max="12045" width="0" style="2" hidden="1" customWidth="1"/>
    <col min="12046" max="12046" width="2.85546875" style="2" customWidth="1"/>
    <col min="12047" max="12047" width="3.28515625" style="2" customWidth="1"/>
    <col min="12048" max="12048" width="1.42578125" style="2" customWidth="1"/>
    <col min="12049" max="12049" width="0" style="2" hidden="1" customWidth="1"/>
    <col min="12050" max="12050" width="6.85546875" style="2" customWidth="1"/>
    <col min="12051" max="12051" width="0" style="2" hidden="1" customWidth="1"/>
    <col min="12052" max="12053" width="6.28515625" style="2" customWidth="1"/>
    <col min="12054" max="12054" width="13.85546875" style="2" customWidth="1"/>
    <col min="12055" max="12055" width="10.85546875" style="2" customWidth="1"/>
    <col min="12056" max="12056" width="14.7109375" style="2" customWidth="1"/>
    <col min="12057" max="12057" width="0" style="2" hidden="1" customWidth="1"/>
    <col min="12058" max="12058" width="13" style="2" customWidth="1"/>
    <col min="12059" max="12059" width="12.7109375" style="2" customWidth="1"/>
    <col min="12060" max="12060" width="13.140625" style="2" customWidth="1"/>
    <col min="12061" max="12061" width="14" style="2" customWidth="1"/>
    <col min="12062" max="12062" width="8.140625" style="2" customWidth="1"/>
    <col min="12063" max="12063" width="11.42578125" style="2" customWidth="1"/>
    <col min="12064" max="12064" width="24.7109375" style="2" customWidth="1"/>
    <col min="12065" max="12065" width="12" style="2" customWidth="1"/>
    <col min="12066" max="12067" width="0.28515625" style="2" customWidth="1"/>
    <col min="12068" max="12068" width="1.42578125" style="2" customWidth="1"/>
    <col min="12069" max="12069" width="0" style="2" hidden="1" customWidth="1"/>
    <col min="12070" max="12288" width="11.42578125" style="2"/>
    <col min="12289" max="12289" width="8" style="2" customWidth="1"/>
    <col min="12290" max="12290" width="13.42578125" style="2" customWidth="1"/>
    <col min="12291" max="12291" width="4.28515625" style="2" customWidth="1"/>
    <col min="12292" max="12292" width="4" style="2" customWidth="1"/>
    <col min="12293" max="12293" width="17" style="2" customWidth="1"/>
    <col min="12294" max="12294" width="4.140625" style="2" customWidth="1"/>
    <col min="12295" max="12295" width="11.28515625" style="2" customWidth="1"/>
    <col min="12296" max="12296" width="11" style="2" customWidth="1"/>
    <col min="12297" max="12298" width="2.140625" style="2" customWidth="1"/>
    <col min="12299" max="12299" width="3.28515625" style="2" customWidth="1"/>
    <col min="12300" max="12301" width="0" style="2" hidden="1" customWidth="1"/>
    <col min="12302" max="12302" width="2.85546875" style="2" customWidth="1"/>
    <col min="12303" max="12303" width="3.28515625" style="2" customWidth="1"/>
    <col min="12304" max="12304" width="1.42578125" style="2" customWidth="1"/>
    <col min="12305" max="12305" width="0" style="2" hidden="1" customWidth="1"/>
    <col min="12306" max="12306" width="6.85546875" style="2" customWidth="1"/>
    <col min="12307" max="12307" width="0" style="2" hidden="1" customWidth="1"/>
    <col min="12308" max="12309" width="6.28515625" style="2" customWidth="1"/>
    <col min="12310" max="12310" width="13.85546875" style="2" customWidth="1"/>
    <col min="12311" max="12311" width="10.85546875" style="2" customWidth="1"/>
    <col min="12312" max="12312" width="14.7109375" style="2" customWidth="1"/>
    <col min="12313" max="12313" width="0" style="2" hidden="1" customWidth="1"/>
    <col min="12314" max="12314" width="13" style="2" customWidth="1"/>
    <col min="12315" max="12315" width="12.7109375" style="2" customWidth="1"/>
    <col min="12316" max="12316" width="13.140625" style="2" customWidth="1"/>
    <col min="12317" max="12317" width="14" style="2" customWidth="1"/>
    <col min="12318" max="12318" width="8.140625" style="2" customWidth="1"/>
    <col min="12319" max="12319" width="11.42578125" style="2" customWidth="1"/>
    <col min="12320" max="12320" width="24.7109375" style="2" customWidth="1"/>
    <col min="12321" max="12321" width="12" style="2" customWidth="1"/>
    <col min="12322" max="12323" width="0.28515625" style="2" customWidth="1"/>
    <col min="12324" max="12324" width="1.42578125" style="2" customWidth="1"/>
    <col min="12325" max="12325" width="0" style="2" hidden="1" customWidth="1"/>
    <col min="12326" max="12544" width="11.42578125" style="2"/>
    <col min="12545" max="12545" width="8" style="2" customWidth="1"/>
    <col min="12546" max="12546" width="13.42578125" style="2" customWidth="1"/>
    <col min="12547" max="12547" width="4.28515625" style="2" customWidth="1"/>
    <col min="12548" max="12548" width="4" style="2" customWidth="1"/>
    <col min="12549" max="12549" width="17" style="2" customWidth="1"/>
    <col min="12550" max="12550" width="4.140625" style="2" customWidth="1"/>
    <col min="12551" max="12551" width="11.28515625" style="2" customWidth="1"/>
    <col min="12552" max="12552" width="11" style="2" customWidth="1"/>
    <col min="12553" max="12554" width="2.140625" style="2" customWidth="1"/>
    <col min="12555" max="12555" width="3.28515625" style="2" customWidth="1"/>
    <col min="12556" max="12557" width="0" style="2" hidden="1" customWidth="1"/>
    <col min="12558" max="12558" width="2.85546875" style="2" customWidth="1"/>
    <col min="12559" max="12559" width="3.28515625" style="2" customWidth="1"/>
    <col min="12560" max="12560" width="1.42578125" style="2" customWidth="1"/>
    <col min="12561" max="12561" width="0" style="2" hidden="1" customWidth="1"/>
    <col min="12562" max="12562" width="6.85546875" style="2" customWidth="1"/>
    <col min="12563" max="12563" width="0" style="2" hidden="1" customWidth="1"/>
    <col min="12564" max="12565" width="6.28515625" style="2" customWidth="1"/>
    <col min="12566" max="12566" width="13.85546875" style="2" customWidth="1"/>
    <col min="12567" max="12567" width="10.85546875" style="2" customWidth="1"/>
    <col min="12568" max="12568" width="14.7109375" style="2" customWidth="1"/>
    <col min="12569" max="12569" width="0" style="2" hidden="1" customWidth="1"/>
    <col min="12570" max="12570" width="13" style="2" customWidth="1"/>
    <col min="12571" max="12571" width="12.7109375" style="2" customWidth="1"/>
    <col min="12572" max="12572" width="13.140625" style="2" customWidth="1"/>
    <col min="12573" max="12573" width="14" style="2" customWidth="1"/>
    <col min="12574" max="12574" width="8.140625" style="2" customWidth="1"/>
    <col min="12575" max="12575" width="11.42578125" style="2" customWidth="1"/>
    <col min="12576" max="12576" width="24.7109375" style="2" customWidth="1"/>
    <col min="12577" max="12577" width="12" style="2" customWidth="1"/>
    <col min="12578" max="12579" width="0.28515625" style="2" customWidth="1"/>
    <col min="12580" max="12580" width="1.42578125" style="2" customWidth="1"/>
    <col min="12581" max="12581" width="0" style="2" hidden="1" customWidth="1"/>
    <col min="12582" max="12800" width="11.42578125" style="2"/>
    <col min="12801" max="12801" width="8" style="2" customWidth="1"/>
    <col min="12802" max="12802" width="13.42578125" style="2" customWidth="1"/>
    <col min="12803" max="12803" width="4.28515625" style="2" customWidth="1"/>
    <col min="12804" max="12804" width="4" style="2" customWidth="1"/>
    <col min="12805" max="12805" width="17" style="2" customWidth="1"/>
    <col min="12806" max="12806" width="4.140625" style="2" customWidth="1"/>
    <col min="12807" max="12807" width="11.28515625" style="2" customWidth="1"/>
    <col min="12808" max="12808" width="11" style="2" customWidth="1"/>
    <col min="12809" max="12810" width="2.140625" style="2" customWidth="1"/>
    <col min="12811" max="12811" width="3.28515625" style="2" customWidth="1"/>
    <col min="12812" max="12813" width="0" style="2" hidden="1" customWidth="1"/>
    <col min="12814" max="12814" width="2.85546875" style="2" customWidth="1"/>
    <col min="12815" max="12815" width="3.28515625" style="2" customWidth="1"/>
    <col min="12816" max="12816" width="1.42578125" style="2" customWidth="1"/>
    <col min="12817" max="12817" width="0" style="2" hidden="1" customWidth="1"/>
    <col min="12818" max="12818" width="6.85546875" style="2" customWidth="1"/>
    <col min="12819" max="12819" width="0" style="2" hidden="1" customWidth="1"/>
    <col min="12820" max="12821" width="6.28515625" style="2" customWidth="1"/>
    <col min="12822" max="12822" width="13.85546875" style="2" customWidth="1"/>
    <col min="12823" max="12823" width="10.85546875" style="2" customWidth="1"/>
    <col min="12824" max="12824" width="14.7109375" style="2" customWidth="1"/>
    <col min="12825" max="12825" width="0" style="2" hidden="1" customWidth="1"/>
    <col min="12826" max="12826" width="13" style="2" customWidth="1"/>
    <col min="12827" max="12827" width="12.7109375" style="2" customWidth="1"/>
    <col min="12828" max="12828" width="13.140625" style="2" customWidth="1"/>
    <col min="12829" max="12829" width="14" style="2" customWidth="1"/>
    <col min="12830" max="12830" width="8.140625" style="2" customWidth="1"/>
    <col min="12831" max="12831" width="11.42578125" style="2" customWidth="1"/>
    <col min="12832" max="12832" width="24.7109375" style="2" customWidth="1"/>
    <col min="12833" max="12833" width="12" style="2" customWidth="1"/>
    <col min="12834" max="12835" width="0.28515625" style="2" customWidth="1"/>
    <col min="12836" max="12836" width="1.42578125" style="2" customWidth="1"/>
    <col min="12837" max="12837" width="0" style="2" hidden="1" customWidth="1"/>
    <col min="12838" max="13056" width="11.42578125" style="2"/>
    <col min="13057" max="13057" width="8" style="2" customWidth="1"/>
    <col min="13058" max="13058" width="13.42578125" style="2" customWidth="1"/>
    <col min="13059" max="13059" width="4.28515625" style="2" customWidth="1"/>
    <col min="13060" max="13060" width="4" style="2" customWidth="1"/>
    <col min="13061" max="13061" width="17" style="2" customWidth="1"/>
    <col min="13062" max="13062" width="4.140625" style="2" customWidth="1"/>
    <col min="13063" max="13063" width="11.28515625" style="2" customWidth="1"/>
    <col min="13064" max="13064" width="11" style="2" customWidth="1"/>
    <col min="13065" max="13066" width="2.140625" style="2" customWidth="1"/>
    <col min="13067" max="13067" width="3.28515625" style="2" customWidth="1"/>
    <col min="13068" max="13069" width="0" style="2" hidden="1" customWidth="1"/>
    <col min="13070" max="13070" width="2.85546875" style="2" customWidth="1"/>
    <col min="13071" max="13071" width="3.28515625" style="2" customWidth="1"/>
    <col min="13072" max="13072" width="1.42578125" style="2" customWidth="1"/>
    <col min="13073" max="13073" width="0" style="2" hidden="1" customWidth="1"/>
    <col min="13074" max="13074" width="6.85546875" style="2" customWidth="1"/>
    <col min="13075" max="13075" width="0" style="2" hidden="1" customWidth="1"/>
    <col min="13076" max="13077" width="6.28515625" style="2" customWidth="1"/>
    <col min="13078" max="13078" width="13.85546875" style="2" customWidth="1"/>
    <col min="13079" max="13079" width="10.85546875" style="2" customWidth="1"/>
    <col min="13080" max="13080" width="14.7109375" style="2" customWidth="1"/>
    <col min="13081" max="13081" width="0" style="2" hidden="1" customWidth="1"/>
    <col min="13082" max="13082" width="13" style="2" customWidth="1"/>
    <col min="13083" max="13083" width="12.7109375" style="2" customWidth="1"/>
    <col min="13084" max="13084" width="13.140625" style="2" customWidth="1"/>
    <col min="13085" max="13085" width="14" style="2" customWidth="1"/>
    <col min="13086" max="13086" width="8.140625" style="2" customWidth="1"/>
    <col min="13087" max="13087" width="11.42578125" style="2" customWidth="1"/>
    <col min="13088" max="13088" width="24.7109375" style="2" customWidth="1"/>
    <col min="13089" max="13089" width="12" style="2" customWidth="1"/>
    <col min="13090" max="13091" width="0.28515625" style="2" customWidth="1"/>
    <col min="13092" max="13092" width="1.42578125" style="2" customWidth="1"/>
    <col min="13093" max="13093" width="0" style="2" hidden="1" customWidth="1"/>
    <col min="13094" max="13312" width="11.42578125" style="2"/>
    <col min="13313" max="13313" width="8" style="2" customWidth="1"/>
    <col min="13314" max="13314" width="13.42578125" style="2" customWidth="1"/>
    <col min="13315" max="13315" width="4.28515625" style="2" customWidth="1"/>
    <col min="13316" max="13316" width="4" style="2" customWidth="1"/>
    <col min="13317" max="13317" width="17" style="2" customWidth="1"/>
    <col min="13318" max="13318" width="4.140625" style="2" customWidth="1"/>
    <col min="13319" max="13319" width="11.28515625" style="2" customWidth="1"/>
    <col min="13320" max="13320" width="11" style="2" customWidth="1"/>
    <col min="13321" max="13322" width="2.140625" style="2" customWidth="1"/>
    <col min="13323" max="13323" width="3.28515625" style="2" customWidth="1"/>
    <col min="13324" max="13325" width="0" style="2" hidden="1" customWidth="1"/>
    <col min="13326" max="13326" width="2.85546875" style="2" customWidth="1"/>
    <col min="13327" max="13327" width="3.28515625" style="2" customWidth="1"/>
    <col min="13328" max="13328" width="1.42578125" style="2" customWidth="1"/>
    <col min="13329" max="13329" width="0" style="2" hidden="1" customWidth="1"/>
    <col min="13330" max="13330" width="6.85546875" style="2" customWidth="1"/>
    <col min="13331" max="13331" width="0" style="2" hidden="1" customWidth="1"/>
    <col min="13332" max="13333" width="6.28515625" style="2" customWidth="1"/>
    <col min="13334" max="13334" width="13.85546875" style="2" customWidth="1"/>
    <col min="13335" max="13335" width="10.85546875" style="2" customWidth="1"/>
    <col min="13336" max="13336" width="14.7109375" style="2" customWidth="1"/>
    <col min="13337" max="13337" width="0" style="2" hidden="1" customWidth="1"/>
    <col min="13338" max="13338" width="13" style="2" customWidth="1"/>
    <col min="13339" max="13339" width="12.7109375" style="2" customWidth="1"/>
    <col min="13340" max="13340" width="13.140625" style="2" customWidth="1"/>
    <col min="13341" max="13341" width="14" style="2" customWidth="1"/>
    <col min="13342" max="13342" width="8.140625" style="2" customWidth="1"/>
    <col min="13343" max="13343" width="11.42578125" style="2" customWidth="1"/>
    <col min="13344" max="13344" width="24.7109375" style="2" customWidth="1"/>
    <col min="13345" max="13345" width="12" style="2" customWidth="1"/>
    <col min="13346" max="13347" width="0.28515625" style="2" customWidth="1"/>
    <col min="13348" max="13348" width="1.42578125" style="2" customWidth="1"/>
    <col min="13349" max="13349" width="0" style="2" hidden="1" customWidth="1"/>
    <col min="13350" max="13568" width="11.42578125" style="2"/>
    <col min="13569" max="13569" width="8" style="2" customWidth="1"/>
    <col min="13570" max="13570" width="13.42578125" style="2" customWidth="1"/>
    <col min="13571" max="13571" width="4.28515625" style="2" customWidth="1"/>
    <col min="13572" max="13572" width="4" style="2" customWidth="1"/>
    <col min="13573" max="13573" width="17" style="2" customWidth="1"/>
    <col min="13574" max="13574" width="4.140625" style="2" customWidth="1"/>
    <col min="13575" max="13575" width="11.28515625" style="2" customWidth="1"/>
    <col min="13576" max="13576" width="11" style="2" customWidth="1"/>
    <col min="13577" max="13578" width="2.140625" style="2" customWidth="1"/>
    <col min="13579" max="13579" width="3.28515625" style="2" customWidth="1"/>
    <col min="13580" max="13581" width="0" style="2" hidden="1" customWidth="1"/>
    <col min="13582" max="13582" width="2.85546875" style="2" customWidth="1"/>
    <col min="13583" max="13583" width="3.28515625" style="2" customWidth="1"/>
    <col min="13584" max="13584" width="1.42578125" style="2" customWidth="1"/>
    <col min="13585" max="13585" width="0" style="2" hidden="1" customWidth="1"/>
    <col min="13586" max="13586" width="6.85546875" style="2" customWidth="1"/>
    <col min="13587" max="13587" width="0" style="2" hidden="1" customWidth="1"/>
    <col min="13588" max="13589" width="6.28515625" style="2" customWidth="1"/>
    <col min="13590" max="13590" width="13.85546875" style="2" customWidth="1"/>
    <col min="13591" max="13591" width="10.85546875" style="2" customWidth="1"/>
    <col min="13592" max="13592" width="14.7109375" style="2" customWidth="1"/>
    <col min="13593" max="13593" width="0" style="2" hidden="1" customWidth="1"/>
    <col min="13594" max="13594" width="13" style="2" customWidth="1"/>
    <col min="13595" max="13595" width="12.7109375" style="2" customWidth="1"/>
    <col min="13596" max="13596" width="13.140625" style="2" customWidth="1"/>
    <col min="13597" max="13597" width="14" style="2" customWidth="1"/>
    <col min="13598" max="13598" width="8.140625" style="2" customWidth="1"/>
    <col min="13599" max="13599" width="11.42578125" style="2" customWidth="1"/>
    <col min="13600" max="13600" width="24.7109375" style="2" customWidth="1"/>
    <col min="13601" max="13601" width="12" style="2" customWidth="1"/>
    <col min="13602" max="13603" width="0.28515625" style="2" customWidth="1"/>
    <col min="13604" max="13604" width="1.42578125" style="2" customWidth="1"/>
    <col min="13605" max="13605" width="0" style="2" hidden="1" customWidth="1"/>
    <col min="13606" max="13824" width="11.42578125" style="2"/>
    <col min="13825" max="13825" width="8" style="2" customWidth="1"/>
    <col min="13826" max="13826" width="13.42578125" style="2" customWidth="1"/>
    <col min="13827" max="13827" width="4.28515625" style="2" customWidth="1"/>
    <col min="13828" max="13828" width="4" style="2" customWidth="1"/>
    <col min="13829" max="13829" width="17" style="2" customWidth="1"/>
    <col min="13830" max="13830" width="4.140625" style="2" customWidth="1"/>
    <col min="13831" max="13831" width="11.28515625" style="2" customWidth="1"/>
    <col min="13832" max="13832" width="11" style="2" customWidth="1"/>
    <col min="13833" max="13834" width="2.140625" style="2" customWidth="1"/>
    <col min="13835" max="13835" width="3.28515625" style="2" customWidth="1"/>
    <col min="13836" max="13837" width="0" style="2" hidden="1" customWidth="1"/>
    <col min="13838" max="13838" width="2.85546875" style="2" customWidth="1"/>
    <col min="13839" max="13839" width="3.28515625" style="2" customWidth="1"/>
    <col min="13840" max="13840" width="1.42578125" style="2" customWidth="1"/>
    <col min="13841" max="13841" width="0" style="2" hidden="1" customWidth="1"/>
    <col min="13842" max="13842" width="6.85546875" style="2" customWidth="1"/>
    <col min="13843" max="13843" width="0" style="2" hidden="1" customWidth="1"/>
    <col min="13844" max="13845" width="6.28515625" style="2" customWidth="1"/>
    <col min="13846" max="13846" width="13.85546875" style="2" customWidth="1"/>
    <col min="13847" max="13847" width="10.85546875" style="2" customWidth="1"/>
    <col min="13848" max="13848" width="14.7109375" style="2" customWidth="1"/>
    <col min="13849" max="13849" width="0" style="2" hidden="1" customWidth="1"/>
    <col min="13850" max="13850" width="13" style="2" customWidth="1"/>
    <col min="13851" max="13851" width="12.7109375" style="2" customWidth="1"/>
    <col min="13852" max="13852" width="13.140625" style="2" customWidth="1"/>
    <col min="13853" max="13853" width="14" style="2" customWidth="1"/>
    <col min="13854" max="13854" width="8.140625" style="2" customWidth="1"/>
    <col min="13855" max="13855" width="11.42578125" style="2" customWidth="1"/>
    <col min="13856" max="13856" width="24.7109375" style="2" customWidth="1"/>
    <col min="13857" max="13857" width="12" style="2" customWidth="1"/>
    <col min="13858" max="13859" width="0.28515625" style="2" customWidth="1"/>
    <col min="13860" max="13860" width="1.42578125" style="2" customWidth="1"/>
    <col min="13861" max="13861" width="0" style="2" hidden="1" customWidth="1"/>
    <col min="13862" max="14080" width="11.42578125" style="2"/>
    <col min="14081" max="14081" width="8" style="2" customWidth="1"/>
    <col min="14082" max="14082" width="13.42578125" style="2" customWidth="1"/>
    <col min="14083" max="14083" width="4.28515625" style="2" customWidth="1"/>
    <col min="14084" max="14084" width="4" style="2" customWidth="1"/>
    <col min="14085" max="14085" width="17" style="2" customWidth="1"/>
    <col min="14086" max="14086" width="4.140625" style="2" customWidth="1"/>
    <col min="14087" max="14087" width="11.28515625" style="2" customWidth="1"/>
    <col min="14088" max="14088" width="11" style="2" customWidth="1"/>
    <col min="14089" max="14090" width="2.140625" style="2" customWidth="1"/>
    <col min="14091" max="14091" width="3.28515625" style="2" customWidth="1"/>
    <col min="14092" max="14093" width="0" style="2" hidden="1" customWidth="1"/>
    <col min="14094" max="14094" width="2.85546875" style="2" customWidth="1"/>
    <col min="14095" max="14095" width="3.28515625" style="2" customWidth="1"/>
    <col min="14096" max="14096" width="1.42578125" style="2" customWidth="1"/>
    <col min="14097" max="14097" width="0" style="2" hidden="1" customWidth="1"/>
    <col min="14098" max="14098" width="6.85546875" style="2" customWidth="1"/>
    <col min="14099" max="14099" width="0" style="2" hidden="1" customWidth="1"/>
    <col min="14100" max="14101" width="6.28515625" style="2" customWidth="1"/>
    <col min="14102" max="14102" width="13.85546875" style="2" customWidth="1"/>
    <col min="14103" max="14103" width="10.85546875" style="2" customWidth="1"/>
    <col min="14104" max="14104" width="14.7109375" style="2" customWidth="1"/>
    <col min="14105" max="14105" width="0" style="2" hidden="1" customWidth="1"/>
    <col min="14106" max="14106" width="13" style="2" customWidth="1"/>
    <col min="14107" max="14107" width="12.7109375" style="2" customWidth="1"/>
    <col min="14108" max="14108" width="13.140625" style="2" customWidth="1"/>
    <col min="14109" max="14109" width="14" style="2" customWidth="1"/>
    <col min="14110" max="14110" width="8.140625" style="2" customWidth="1"/>
    <col min="14111" max="14111" width="11.42578125" style="2" customWidth="1"/>
    <col min="14112" max="14112" width="24.7109375" style="2" customWidth="1"/>
    <col min="14113" max="14113" width="12" style="2" customWidth="1"/>
    <col min="14114" max="14115" width="0.28515625" style="2" customWidth="1"/>
    <col min="14116" max="14116" width="1.42578125" style="2" customWidth="1"/>
    <col min="14117" max="14117" width="0" style="2" hidden="1" customWidth="1"/>
    <col min="14118" max="14336" width="11.42578125" style="2"/>
    <col min="14337" max="14337" width="8" style="2" customWidth="1"/>
    <col min="14338" max="14338" width="13.42578125" style="2" customWidth="1"/>
    <col min="14339" max="14339" width="4.28515625" style="2" customWidth="1"/>
    <col min="14340" max="14340" width="4" style="2" customWidth="1"/>
    <col min="14341" max="14341" width="17" style="2" customWidth="1"/>
    <col min="14342" max="14342" width="4.140625" style="2" customWidth="1"/>
    <col min="14343" max="14343" width="11.28515625" style="2" customWidth="1"/>
    <col min="14344" max="14344" width="11" style="2" customWidth="1"/>
    <col min="14345" max="14346" width="2.140625" style="2" customWidth="1"/>
    <col min="14347" max="14347" width="3.28515625" style="2" customWidth="1"/>
    <col min="14348" max="14349" width="0" style="2" hidden="1" customWidth="1"/>
    <col min="14350" max="14350" width="2.85546875" style="2" customWidth="1"/>
    <col min="14351" max="14351" width="3.28515625" style="2" customWidth="1"/>
    <col min="14352" max="14352" width="1.42578125" style="2" customWidth="1"/>
    <col min="14353" max="14353" width="0" style="2" hidden="1" customWidth="1"/>
    <col min="14354" max="14354" width="6.85546875" style="2" customWidth="1"/>
    <col min="14355" max="14355" width="0" style="2" hidden="1" customWidth="1"/>
    <col min="14356" max="14357" width="6.28515625" style="2" customWidth="1"/>
    <col min="14358" max="14358" width="13.85546875" style="2" customWidth="1"/>
    <col min="14359" max="14359" width="10.85546875" style="2" customWidth="1"/>
    <col min="14360" max="14360" width="14.7109375" style="2" customWidth="1"/>
    <col min="14361" max="14361" width="0" style="2" hidden="1" customWidth="1"/>
    <col min="14362" max="14362" width="13" style="2" customWidth="1"/>
    <col min="14363" max="14363" width="12.7109375" style="2" customWidth="1"/>
    <col min="14364" max="14364" width="13.140625" style="2" customWidth="1"/>
    <col min="14365" max="14365" width="14" style="2" customWidth="1"/>
    <col min="14366" max="14366" width="8.140625" style="2" customWidth="1"/>
    <col min="14367" max="14367" width="11.42578125" style="2" customWidth="1"/>
    <col min="14368" max="14368" width="24.7109375" style="2" customWidth="1"/>
    <col min="14369" max="14369" width="12" style="2" customWidth="1"/>
    <col min="14370" max="14371" width="0.28515625" style="2" customWidth="1"/>
    <col min="14372" max="14372" width="1.42578125" style="2" customWidth="1"/>
    <col min="14373" max="14373" width="0" style="2" hidden="1" customWidth="1"/>
    <col min="14374" max="14592" width="11.42578125" style="2"/>
    <col min="14593" max="14593" width="8" style="2" customWidth="1"/>
    <col min="14594" max="14594" width="13.42578125" style="2" customWidth="1"/>
    <col min="14595" max="14595" width="4.28515625" style="2" customWidth="1"/>
    <col min="14596" max="14596" width="4" style="2" customWidth="1"/>
    <col min="14597" max="14597" width="17" style="2" customWidth="1"/>
    <col min="14598" max="14598" width="4.140625" style="2" customWidth="1"/>
    <col min="14599" max="14599" width="11.28515625" style="2" customWidth="1"/>
    <col min="14600" max="14600" width="11" style="2" customWidth="1"/>
    <col min="14601" max="14602" width="2.140625" style="2" customWidth="1"/>
    <col min="14603" max="14603" width="3.28515625" style="2" customWidth="1"/>
    <col min="14604" max="14605" width="0" style="2" hidden="1" customWidth="1"/>
    <col min="14606" max="14606" width="2.85546875" style="2" customWidth="1"/>
    <col min="14607" max="14607" width="3.28515625" style="2" customWidth="1"/>
    <col min="14608" max="14608" width="1.42578125" style="2" customWidth="1"/>
    <col min="14609" max="14609" width="0" style="2" hidden="1" customWidth="1"/>
    <col min="14610" max="14610" width="6.85546875" style="2" customWidth="1"/>
    <col min="14611" max="14611" width="0" style="2" hidden="1" customWidth="1"/>
    <col min="14612" max="14613" width="6.28515625" style="2" customWidth="1"/>
    <col min="14614" max="14614" width="13.85546875" style="2" customWidth="1"/>
    <col min="14615" max="14615" width="10.85546875" style="2" customWidth="1"/>
    <col min="14616" max="14616" width="14.7109375" style="2" customWidth="1"/>
    <col min="14617" max="14617" width="0" style="2" hidden="1" customWidth="1"/>
    <col min="14618" max="14618" width="13" style="2" customWidth="1"/>
    <col min="14619" max="14619" width="12.7109375" style="2" customWidth="1"/>
    <col min="14620" max="14620" width="13.140625" style="2" customWidth="1"/>
    <col min="14621" max="14621" width="14" style="2" customWidth="1"/>
    <col min="14622" max="14622" width="8.140625" style="2" customWidth="1"/>
    <col min="14623" max="14623" width="11.42578125" style="2" customWidth="1"/>
    <col min="14624" max="14624" width="24.7109375" style="2" customWidth="1"/>
    <col min="14625" max="14625" width="12" style="2" customWidth="1"/>
    <col min="14626" max="14627" width="0.28515625" style="2" customWidth="1"/>
    <col min="14628" max="14628" width="1.42578125" style="2" customWidth="1"/>
    <col min="14629" max="14629" width="0" style="2" hidden="1" customWidth="1"/>
    <col min="14630" max="14848" width="11.42578125" style="2"/>
    <col min="14849" max="14849" width="8" style="2" customWidth="1"/>
    <col min="14850" max="14850" width="13.42578125" style="2" customWidth="1"/>
    <col min="14851" max="14851" width="4.28515625" style="2" customWidth="1"/>
    <col min="14852" max="14852" width="4" style="2" customWidth="1"/>
    <col min="14853" max="14853" width="17" style="2" customWidth="1"/>
    <col min="14854" max="14854" width="4.140625" style="2" customWidth="1"/>
    <col min="14855" max="14855" width="11.28515625" style="2" customWidth="1"/>
    <col min="14856" max="14856" width="11" style="2" customWidth="1"/>
    <col min="14857" max="14858" width="2.140625" style="2" customWidth="1"/>
    <col min="14859" max="14859" width="3.28515625" style="2" customWidth="1"/>
    <col min="14860" max="14861" width="0" style="2" hidden="1" customWidth="1"/>
    <col min="14862" max="14862" width="2.85546875" style="2" customWidth="1"/>
    <col min="14863" max="14863" width="3.28515625" style="2" customWidth="1"/>
    <col min="14864" max="14864" width="1.42578125" style="2" customWidth="1"/>
    <col min="14865" max="14865" width="0" style="2" hidden="1" customWidth="1"/>
    <col min="14866" max="14866" width="6.85546875" style="2" customWidth="1"/>
    <col min="14867" max="14867" width="0" style="2" hidden="1" customWidth="1"/>
    <col min="14868" max="14869" width="6.28515625" style="2" customWidth="1"/>
    <col min="14870" max="14870" width="13.85546875" style="2" customWidth="1"/>
    <col min="14871" max="14871" width="10.85546875" style="2" customWidth="1"/>
    <col min="14872" max="14872" width="14.7109375" style="2" customWidth="1"/>
    <col min="14873" max="14873" width="0" style="2" hidden="1" customWidth="1"/>
    <col min="14874" max="14874" width="13" style="2" customWidth="1"/>
    <col min="14875" max="14875" width="12.7109375" style="2" customWidth="1"/>
    <col min="14876" max="14876" width="13.140625" style="2" customWidth="1"/>
    <col min="14877" max="14877" width="14" style="2" customWidth="1"/>
    <col min="14878" max="14878" width="8.140625" style="2" customWidth="1"/>
    <col min="14879" max="14879" width="11.42578125" style="2" customWidth="1"/>
    <col min="14880" max="14880" width="24.7109375" style="2" customWidth="1"/>
    <col min="14881" max="14881" width="12" style="2" customWidth="1"/>
    <col min="14882" max="14883" width="0.28515625" style="2" customWidth="1"/>
    <col min="14884" max="14884" width="1.42578125" style="2" customWidth="1"/>
    <col min="14885" max="14885" width="0" style="2" hidden="1" customWidth="1"/>
    <col min="14886" max="15104" width="11.42578125" style="2"/>
    <col min="15105" max="15105" width="8" style="2" customWidth="1"/>
    <col min="15106" max="15106" width="13.42578125" style="2" customWidth="1"/>
    <col min="15107" max="15107" width="4.28515625" style="2" customWidth="1"/>
    <col min="15108" max="15108" width="4" style="2" customWidth="1"/>
    <col min="15109" max="15109" width="17" style="2" customWidth="1"/>
    <col min="15110" max="15110" width="4.140625" style="2" customWidth="1"/>
    <col min="15111" max="15111" width="11.28515625" style="2" customWidth="1"/>
    <col min="15112" max="15112" width="11" style="2" customWidth="1"/>
    <col min="15113" max="15114" width="2.140625" style="2" customWidth="1"/>
    <col min="15115" max="15115" width="3.28515625" style="2" customWidth="1"/>
    <col min="15116" max="15117" width="0" style="2" hidden="1" customWidth="1"/>
    <col min="15118" max="15118" width="2.85546875" style="2" customWidth="1"/>
    <col min="15119" max="15119" width="3.28515625" style="2" customWidth="1"/>
    <col min="15120" max="15120" width="1.42578125" style="2" customWidth="1"/>
    <col min="15121" max="15121" width="0" style="2" hidden="1" customWidth="1"/>
    <col min="15122" max="15122" width="6.85546875" style="2" customWidth="1"/>
    <col min="15123" max="15123" width="0" style="2" hidden="1" customWidth="1"/>
    <col min="15124" max="15125" width="6.28515625" style="2" customWidth="1"/>
    <col min="15126" max="15126" width="13.85546875" style="2" customWidth="1"/>
    <col min="15127" max="15127" width="10.85546875" style="2" customWidth="1"/>
    <col min="15128" max="15128" width="14.7109375" style="2" customWidth="1"/>
    <col min="15129" max="15129" width="0" style="2" hidden="1" customWidth="1"/>
    <col min="15130" max="15130" width="13" style="2" customWidth="1"/>
    <col min="15131" max="15131" width="12.7109375" style="2" customWidth="1"/>
    <col min="15132" max="15132" width="13.140625" style="2" customWidth="1"/>
    <col min="15133" max="15133" width="14" style="2" customWidth="1"/>
    <col min="15134" max="15134" width="8.140625" style="2" customWidth="1"/>
    <col min="15135" max="15135" width="11.42578125" style="2" customWidth="1"/>
    <col min="15136" max="15136" width="24.7109375" style="2" customWidth="1"/>
    <col min="15137" max="15137" width="12" style="2" customWidth="1"/>
    <col min="15138" max="15139" width="0.28515625" style="2" customWidth="1"/>
    <col min="15140" max="15140" width="1.42578125" style="2" customWidth="1"/>
    <col min="15141" max="15141" width="0" style="2" hidden="1" customWidth="1"/>
    <col min="15142" max="15360" width="11.42578125" style="2"/>
    <col min="15361" max="15361" width="8" style="2" customWidth="1"/>
    <col min="15362" max="15362" width="13.42578125" style="2" customWidth="1"/>
    <col min="15363" max="15363" width="4.28515625" style="2" customWidth="1"/>
    <col min="15364" max="15364" width="4" style="2" customWidth="1"/>
    <col min="15365" max="15365" width="17" style="2" customWidth="1"/>
    <col min="15366" max="15366" width="4.140625" style="2" customWidth="1"/>
    <col min="15367" max="15367" width="11.28515625" style="2" customWidth="1"/>
    <col min="15368" max="15368" width="11" style="2" customWidth="1"/>
    <col min="15369" max="15370" width="2.140625" style="2" customWidth="1"/>
    <col min="15371" max="15371" width="3.28515625" style="2" customWidth="1"/>
    <col min="15372" max="15373" width="0" style="2" hidden="1" customWidth="1"/>
    <col min="15374" max="15374" width="2.85546875" style="2" customWidth="1"/>
    <col min="15375" max="15375" width="3.28515625" style="2" customWidth="1"/>
    <col min="15376" max="15376" width="1.42578125" style="2" customWidth="1"/>
    <col min="15377" max="15377" width="0" style="2" hidden="1" customWidth="1"/>
    <col min="15378" max="15378" width="6.85546875" style="2" customWidth="1"/>
    <col min="15379" max="15379" width="0" style="2" hidden="1" customWidth="1"/>
    <col min="15380" max="15381" width="6.28515625" style="2" customWidth="1"/>
    <col min="15382" max="15382" width="13.85546875" style="2" customWidth="1"/>
    <col min="15383" max="15383" width="10.85546875" style="2" customWidth="1"/>
    <col min="15384" max="15384" width="14.7109375" style="2" customWidth="1"/>
    <col min="15385" max="15385" width="0" style="2" hidden="1" customWidth="1"/>
    <col min="15386" max="15386" width="13" style="2" customWidth="1"/>
    <col min="15387" max="15387" width="12.7109375" style="2" customWidth="1"/>
    <col min="15388" max="15388" width="13.140625" style="2" customWidth="1"/>
    <col min="15389" max="15389" width="14" style="2" customWidth="1"/>
    <col min="15390" max="15390" width="8.140625" style="2" customWidth="1"/>
    <col min="15391" max="15391" width="11.42578125" style="2" customWidth="1"/>
    <col min="15392" max="15392" width="24.7109375" style="2" customWidth="1"/>
    <col min="15393" max="15393" width="12" style="2" customWidth="1"/>
    <col min="15394" max="15395" width="0.28515625" style="2" customWidth="1"/>
    <col min="15396" max="15396" width="1.42578125" style="2" customWidth="1"/>
    <col min="15397" max="15397" width="0" style="2" hidden="1" customWidth="1"/>
    <col min="15398" max="15616" width="11.42578125" style="2"/>
    <col min="15617" max="15617" width="8" style="2" customWidth="1"/>
    <col min="15618" max="15618" width="13.42578125" style="2" customWidth="1"/>
    <col min="15619" max="15619" width="4.28515625" style="2" customWidth="1"/>
    <col min="15620" max="15620" width="4" style="2" customWidth="1"/>
    <col min="15621" max="15621" width="17" style="2" customWidth="1"/>
    <col min="15622" max="15622" width="4.140625" style="2" customWidth="1"/>
    <col min="15623" max="15623" width="11.28515625" style="2" customWidth="1"/>
    <col min="15624" max="15624" width="11" style="2" customWidth="1"/>
    <col min="15625" max="15626" width="2.140625" style="2" customWidth="1"/>
    <col min="15627" max="15627" width="3.28515625" style="2" customWidth="1"/>
    <col min="15628" max="15629" width="0" style="2" hidden="1" customWidth="1"/>
    <col min="15630" max="15630" width="2.85546875" style="2" customWidth="1"/>
    <col min="15631" max="15631" width="3.28515625" style="2" customWidth="1"/>
    <col min="15632" max="15632" width="1.42578125" style="2" customWidth="1"/>
    <col min="15633" max="15633" width="0" style="2" hidden="1" customWidth="1"/>
    <col min="15634" max="15634" width="6.85546875" style="2" customWidth="1"/>
    <col min="15635" max="15635" width="0" style="2" hidden="1" customWidth="1"/>
    <col min="15636" max="15637" width="6.28515625" style="2" customWidth="1"/>
    <col min="15638" max="15638" width="13.85546875" style="2" customWidth="1"/>
    <col min="15639" max="15639" width="10.85546875" style="2" customWidth="1"/>
    <col min="15640" max="15640" width="14.7109375" style="2" customWidth="1"/>
    <col min="15641" max="15641" width="0" style="2" hidden="1" customWidth="1"/>
    <col min="15642" max="15642" width="13" style="2" customWidth="1"/>
    <col min="15643" max="15643" width="12.7109375" style="2" customWidth="1"/>
    <col min="15644" max="15644" width="13.140625" style="2" customWidth="1"/>
    <col min="15645" max="15645" width="14" style="2" customWidth="1"/>
    <col min="15646" max="15646" width="8.140625" style="2" customWidth="1"/>
    <col min="15647" max="15647" width="11.42578125" style="2" customWidth="1"/>
    <col min="15648" max="15648" width="24.7109375" style="2" customWidth="1"/>
    <col min="15649" max="15649" width="12" style="2" customWidth="1"/>
    <col min="15650" max="15651" width="0.28515625" style="2" customWidth="1"/>
    <col min="15652" max="15652" width="1.42578125" style="2" customWidth="1"/>
    <col min="15653" max="15653" width="0" style="2" hidden="1" customWidth="1"/>
    <col min="15654" max="15872" width="11.42578125" style="2"/>
    <col min="15873" max="15873" width="8" style="2" customWidth="1"/>
    <col min="15874" max="15874" width="13.42578125" style="2" customWidth="1"/>
    <col min="15875" max="15875" width="4.28515625" style="2" customWidth="1"/>
    <col min="15876" max="15876" width="4" style="2" customWidth="1"/>
    <col min="15877" max="15877" width="17" style="2" customWidth="1"/>
    <col min="15878" max="15878" width="4.140625" style="2" customWidth="1"/>
    <col min="15879" max="15879" width="11.28515625" style="2" customWidth="1"/>
    <col min="15880" max="15880" width="11" style="2" customWidth="1"/>
    <col min="15881" max="15882" width="2.140625" style="2" customWidth="1"/>
    <col min="15883" max="15883" width="3.28515625" style="2" customWidth="1"/>
    <col min="15884" max="15885" width="0" style="2" hidden="1" customWidth="1"/>
    <col min="15886" max="15886" width="2.85546875" style="2" customWidth="1"/>
    <col min="15887" max="15887" width="3.28515625" style="2" customWidth="1"/>
    <col min="15888" max="15888" width="1.42578125" style="2" customWidth="1"/>
    <col min="15889" max="15889" width="0" style="2" hidden="1" customWidth="1"/>
    <col min="15890" max="15890" width="6.85546875" style="2" customWidth="1"/>
    <col min="15891" max="15891" width="0" style="2" hidden="1" customWidth="1"/>
    <col min="15892" max="15893" width="6.28515625" style="2" customWidth="1"/>
    <col min="15894" max="15894" width="13.85546875" style="2" customWidth="1"/>
    <col min="15895" max="15895" width="10.85546875" style="2" customWidth="1"/>
    <col min="15896" max="15896" width="14.7109375" style="2" customWidth="1"/>
    <col min="15897" max="15897" width="0" style="2" hidden="1" customWidth="1"/>
    <col min="15898" max="15898" width="13" style="2" customWidth="1"/>
    <col min="15899" max="15899" width="12.7109375" style="2" customWidth="1"/>
    <col min="15900" max="15900" width="13.140625" style="2" customWidth="1"/>
    <col min="15901" max="15901" width="14" style="2" customWidth="1"/>
    <col min="15902" max="15902" width="8.140625" style="2" customWidth="1"/>
    <col min="15903" max="15903" width="11.42578125" style="2" customWidth="1"/>
    <col min="15904" max="15904" width="24.7109375" style="2" customWidth="1"/>
    <col min="15905" max="15905" width="12" style="2" customWidth="1"/>
    <col min="15906" max="15907" width="0.28515625" style="2" customWidth="1"/>
    <col min="15908" max="15908" width="1.42578125" style="2" customWidth="1"/>
    <col min="15909" max="15909" width="0" style="2" hidden="1" customWidth="1"/>
    <col min="15910" max="16128" width="11.42578125" style="2"/>
    <col min="16129" max="16129" width="8" style="2" customWidth="1"/>
    <col min="16130" max="16130" width="13.42578125" style="2" customWidth="1"/>
    <col min="16131" max="16131" width="4.28515625" style="2" customWidth="1"/>
    <col min="16132" max="16132" width="4" style="2" customWidth="1"/>
    <col min="16133" max="16133" width="17" style="2" customWidth="1"/>
    <col min="16134" max="16134" width="4.140625" style="2" customWidth="1"/>
    <col min="16135" max="16135" width="11.28515625" style="2" customWidth="1"/>
    <col min="16136" max="16136" width="11" style="2" customWidth="1"/>
    <col min="16137" max="16138" width="2.140625" style="2" customWidth="1"/>
    <col min="16139" max="16139" width="3.28515625" style="2" customWidth="1"/>
    <col min="16140" max="16141" width="0" style="2" hidden="1" customWidth="1"/>
    <col min="16142" max="16142" width="2.85546875" style="2" customWidth="1"/>
    <col min="16143" max="16143" width="3.28515625" style="2" customWidth="1"/>
    <col min="16144" max="16144" width="1.42578125" style="2" customWidth="1"/>
    <col min="16145" max="16145" width="0" style="2" hidden="1" customWidth="1"/>
    <col min="16146" max="16146" width="6.85546875" style="2" customWidth="1"/>
    <col min="16147" max="16147" width="0" style="2" hidden="1" customWidth="1"/>
    <col min="16148" max="16149" width="6.28515625" style="2" customWidth="1"/>
    <col min="16150" max="16150" width="13.85546875" style="2" customWidth="1"/>
    <col min="16151" max="16151" width="10.85546875" style="2" customWidth="1"/>
    <col min="16152" max="16152" width="14.7109375" style="2" customWidth="1"/>
    <col min="16153" max="16153" width="0" style="2" hidden="1" customWidth="1"/>
    <col min="16154" max="16154" width="13" style="2" customWidth="1"/>
    <col min="16155" max="16155" width="12.7109375" style="2" customWidth="1"/>
    <col min="16156" max="16156" width="13.140625" style="2" customWidth="1"/>
    <col min="16157" max="16157" width="14" style="2" customWidth="1"/>
    <col min="16158" max="16158" width="8.140625" style="2" customWidth="1"/>
    <col min="16159" max="16159" width="11.42578125" style="2" customWidth="1"/>
    <col min="16160" max="16160" width="24.7109375" style="2" customWidth="1"/>
    <col min="16161" max="16161" width="12" style="2" customWidth="1"/>
    <col min="16162" max="16163" width="0.28515625" style="2" customWidth="1"/>
    <col min="16164" max="16164" width="1.42578125" style="2" customWidth="1"/>
    <col min="16165" max="16165" width="0" style="2" hidden="1" customWidth="1"/>
    <col min="16166" max="16384" width="11.42578125" style="2"/>
  </cols>
  <sheetData>
    <row r="1" spans="1:38" ht="45" customHeight="1">
      <c r="A1" s="600"/>
      <c r="B1" s="600"/>
      <c r="C1" s="601" t="s">
        <v>0</v>
      </c>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2" t="s">
        <v>95</v>
      </c>
      <c r="AH1" s="3" t="s">
        <v>17</v>
      </c>
      <c r="AI1" s="6" t="s">
        <v>23</v>
      </c>
    </row>
    <row r="2" spans="1:38" ht="45" customHeight="1">
      <c r="A2" s="600"/>
      <c r="B2" s="600"/>
      <c r="C2" s="603" t="s">
        <v>37</v>
      </c>
      <c r="D2" s="603"/>
      <c r="E2" s="603"/>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2"/>
      <c r="AH2" s="2" t="s">
        <v>18</v>
      </c>
      <c r="AI2" s="7" t="s">
        <v>24</v>
      </c>
    </row>
    <row r="3" spans="1:38"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H3" s="3" t="s">
        <v>16</v>
      </c>
      <c r="AI3" s="6" t="s">
        <v>25</v>
      </c>
    </row>
    <row r="4" spans="1:38" ht="30.75" customHeight="1">
      <c r="A4" s="597" t="s">
        <v>604</v>
      </c>
      <c r="B4" s="597"/>
      <c r="C4" s="597"/>
      <c r="D4" s="597"/>
      <c r="E4" s="598" t="s">
        <v>605</v>
      </c>
      <c r="F4" s="598"/>
      <c r="G4" s="598"/>
      <c r="H4" s="598"/>
      <c r="I4" s="598"/>
      <c r="J4" s="598"/>
      <c r="K4" s="598"/>
      <c r="L4" s="598"/>
      <c r="M4" s="598"/>
      <c r="N4" s="598"/>
      <c r="O4" s="598"/>
      <c r="P4" s="598"/>
      <c r="Q4" s="598"/>
      <c r="R4" s="598"/>
      <c r="S4" s="598"/>
      <c r="T4" s="598"/>
      <c r="U4" s="598"/>
      <c r="V4" s="599" t="s">
        <v>20</v>
      </c>
      <c r="W4" s="599"/>
      <c r="X4" s="598" t="s">
        <v>606</v>
      </c>
      <c r="Y4" s="598"/>
      <c r="Z4" s="598"/>
      <c r="AA4" s="598"/>
      <c r="AB4" s="598"/>
      <c r="AC4" s="598"/>
      <c r="AD4" s="599" t="s">
        <v>98</v>
      </c>
      <c r="AE4" s="599"/>
      <c r="AF4" s="45" t="s">
        <v>99</v>
      </c>
      <c r="AH4" s="6" t="s">
        <v>19</v>
      </c>
    </row>
    <row r="5" spans="1:38" ht="4.5" customHeight="1">
      <c r="A5" s="1081"/>
      <c r="B5" s="1081"/>
      <c r="C5" s="1081"/>
      <c r="D5" s="1081"/>
      <c r="E5" s="1081"/>
      <c r="F5" s="1081"/>
      <c r="G5" s="1081"/>
      <c r="H5" s="1081"/>
      <c r="I5" s="1081"/>
      <c r="J5" s="1081"/>
      <c r="K5" s="1081"/>
      <c r="L5" s="1081"/>
      <c r="M5" s="1081"/>
      <c r="N5" s="1081"/>
      <c r="O5" s="1081"/>
      <c r="P5" s="1081"/>
      <c r="Q5" s="1081"/>
      <c r="R5" s="1081"/>
      <c r="S5" s="1081"/>
      <c r="T5" s="1081"/>
      <c r="U5" s="1081"/>
      <c r="V5" s="1081"/>
      <c r="W5" s="1081"/>
      <c r="X5" s="1081"/>
      <c r="Y5" s="1081"/>
      <c r="Z5" s="1081"/>
      <c r="AA5" s="1081"/>
      <c r="AB5" s="1081"/>
      <c r="AC5" s="1081"/>
      <c r="AD5" s="1081"/>
      <c r="AE5" s="1081"/>
      <c r="AF5" s="1081"/>
    </row>
    <row r="6" spans="1:38" ht="57" customHeight="1">
      <c r="A6" s="705" t="s">
        <v>39</v>
      </c>
      <c r="B6" s="705"/>
      <c r="C6" s="599" t="s">
        <v>1</v>
      </c>
      <c r="D6" s="599" t="s">
        <v>100</v>
      </c>
      <c r="E6" s="599"/>
      <c r="F6" s="608" t="s">
        <v>6</v>
      </c>
      <c r="G6" s="599" t="s">
        <v>9</v>
      </c>
      <c r="H6" s="599" t="s">
        <v>2</v>
      </c>
      <c r="I6" s="599" t="s">
        <v>21</v>
      </c>
      <c r="J6" s="599"/>
      <c r="K6" s="599"/>
      <c r="L6" s="599"/>
      <c r="M6" s="599"/>
      <c r="N6" s="599"/>
      <c r="O6" s="599"/>
      <c r="P6" s="599"/>
      <c r="Q6" s="599"/>
      <c r="R6" s="599"/>
      <c r="S6" s="599"/>
      <c r="T6" s="599"/>
      <c r="U6" s="599"/>
      <c r="V6" s="599" t="s">
        <v>101</v>
      </c>
      <c r="W6" s="599" t="s">
        <v>3</v>
      </c>
      <c r="X6" s="599"/>
      <c r="Y6" s="599"/>
      <c r="Z6" s="610" t="s">
        <v>102</v>
      </c>
      <c r="AA6" s="610" t="s">
        <v>103</v>
      </c>
      <c r="AB6" s="610" t="s">
        <v>4</v>
      </c>
      <c r="AC6" s="610"/>
      <c r="AD6" s="599" t="s">
        <v>104</v>
      </c>
      <c r="AE6" s="599" t="s">
        <v>105</v>
      </c>
      <c r="AF6" s="599" t="s">
        <v>106</v>
      </c>
    </row>
    <row r="7" spans="1:38" ht="37.5" customHeight="1" thickBot="1">
      <c r="A7" s="314" t="s">
        <v>40</v>
      </c>
      <c r="B7" s="98" t="s">
        <v>41</v>
      </c>
      <c r="C7" s="607"/>
      <c r="D7" s="607"/>
      <c r="E7" s="607"/>
      <c r="F7" s="609"/>
      <c r="G7" s="607"/>
      <c r="H7" s="607"/>
      <c r="I7" s="607" t="s">
        <v>11</v>
      </c>
      <c r="J7" s="607"/>
      <c r="K7" s="607"/>
      <c r="L7" s="607"/>
      <c r="M7" s="607"/>
      <c r="N7" s="607"/>
      <c r="O7" s="615" t="s">
        <v>12</v>
      </c>
      <c r="P7" s="615"/>
      <c r="Q7" s="615"/>
      <c r="R7" s="615"/>
      <c r="S7" s="615"/>
      <c r="T7" s="615" t="s">
        <v>13</v>
      </c>
      <c r="U7" s="615"/>
      <c r="V7" s="607"/>
      <c r="W7" s="607"/>
      <c r="X7" s="607"/>
      <c r="Y7" s="607"/>
      <c r="Z7" s="611"/>
      <c r="AA7" s="611"/>
      <c r="AB7" s="260" t="s">
        <v>14</v>
      </c>
      <c r="AC7" s="261" t="s">
        <v>15</v>
      </c>
      <c r="AD7" s="607"/>
      <c r="AE7" s="607"/>
      <c r="AF7" s="607"/>
    </row>
    <row r="8" spans="1:38" ht="148.5" customHeight="1">
      <c r="A8" s="632"/>
      <c r="B8" s="632"/>
      <c r="C8" s="632">
        <v>1</v>
      </c>
      <c r="D8" s="722" t="s">
        <v>607</v>
      </c>
      <c r="E8" s="723"/>
      <c r="F8" s="728" t="s">
        <v>608</v>
      </c>
      <c r="G8" s="731" t="s">
        <v>44</v>
      </c>
      <c r="H8" s="632" t="s">
        <v>25</v>
      </c>
      <c r="I8" s="736" t="s">
        <v>162</v>
      </c>
      <c r="J8" s="737"/>
      <c r="K8" s="737"/>
      <c r="L8" s="737"/>
      <c r="M8" s="737"/>
      <c r="N8" s="738"/>
      <c r="O8" s="736" t="s">
        <v>162</v>
      </c>
      <c r="P8" s="737"/>
      <c r="Q8" s="737"/>
      <c r="R8" s="738"/>
      <c r="S8" s="122"/>
      <c r="T8" s="736" t="s">
        <v>162</v>
      </c>
      <c r="U8" s="738"/>
      <c r="V8" s="712" t="s">
        <v>162</v>
      </c>
      <c r="W8" s="818" t="s">
        <v>609</v>
      </c>
      <c r="X8" s="985"/>
      <c r="Y8" s="819"/>
      <c r="Z8" s="315" t="s">
        <v>610</v>
      </c>
      <c r="AA8" s="315" t="s">
        <v>610</v>
      </c>
      <c r="AB8" s="101">
        <v>43392</v>
      </c>
      <c r="AC8" s="316">
        <v>43464</v>
      </c>
      <c r="AD8" s="102">
        <v>1</v>
      </c>
      <c r="AE8" s="262" t="s">
        <v>17</v>
      </c>
      <c r="AF8" s="317" t="s">
        <v>611</v>
      </c>
      <c r="AG8" s="105"/>
      <c r="AH8" s="105"/>
      <c r="AI8" s="92"/>
      <c r="AJ8" s="92"/>
      <c r="AK8" s="92"/>
      <c r="AL8" s="92"/>
    </row>
    <row r="9" spans="1:38" ht="195.75" customHeight="1" thickBot="1">
      <c r="A9" s="634"/>
      <c r="B9" s="634"/>
      <c r="C9" s="634"/>
      <c r="D9" s="726"/>
      <c r="E9" s="727"/>
      <c r="F9" s="730"/>
      <c r="G9" s="733"/>
      <c r="H9" s="634"/>
      <c r="I9" s="742"/>
      <c r="J9" s="743"/>
      <c r="K9" s="743"/>
      <c r="L9" s="743"/>
      <c r="M9" s="743"/>
      <c r="N9" s="744"/>
      <c r="O9" s="742"/>
      <c r="P9" s="743"/>
      <c r="Q9" s="743"/>
      <c r="R9" s="744"/>
      <c r="S9" s="110"/>
      <c r="T9" s="742"/>
      <c r="U9" s="744"/>
      <c r="V9" s="714"/>
      <c r="W9" s="995" t="s">
        <v>612</v>
      </c>
      <c r="X9" s="996"/>
      <c r="Y9" s="997"/>
      <c r="Z9" s="276" t="s">
        <v>613</v>
      </c>
      <c r="AA9" s="276" t="s">
        <v>613</v>
      </c>
      <c r="AB9" s="113">
        <v>43403</v>
      </c>
      <c r="AC9" s="113">
        <v>43465</v>
      </c>
      <c r="AD9" s="124">
        <v>0.6</v>
      </c>
      <c r="AE9" s="275" t="s">
        <v>19</v>
      </c>
      <c r="AF9" s="318" t="s">
        <v>614</v>
      </c>
      <c r="AG9" s="105"/>
      <c r="AH9" s="105"/>
      <c r="AI9" s="92"/>
      <c r="AJ9" s="92"/>
      <c r="AK9" s="92"/>
      <c r="AL9" s="92"/>
    </row>
    <row r="10" spans="1:38" ht="6" customHeight="1">
      <c r="A10" s="1079"/>
      <c r="B10" s="1079"/>
      <c r="C10" s="1079"/>
      <c r="D10" s="1079"/>
      <c r="E10" s="1079"/>
      <c r="F10" s="1079"/>
      <c r="G10" s="1079"/>
      <c r="H10" s="1079"/>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row>
    <row r="11" spans="1:38" ht="12.75" customHeight="1">
      <c r="A11" s="644" t="s">
        <v>22</v>
      </c>
      <c r="B11" s="644"/>
      <c r="C11" s="644"/>
      <c r="D11" s="644"/>
      <c r="E11" s="644"/>
      <c r="F11" s="644"/>
      <c r="G11" s="644"/>
      <c r="H11" s="644"/>
      <c r="I11" s="644"/>
      <c r="J11" s="644"/>
      <c r="K11" s="644"/>
      <c r="L11" s="4"/>
      <c r="M11" s="4"/>
      <c r="N11" s="645" t="s">
        <v>34</v>
      </c>
      <c r="O11" s="645"/>
      <c r="P11" s="645"/>
      <c r="Q11" s="645"/>
      <c r="R11" s="645"/>
      <c r="S11" s="645"/>
      <c r="T11" s="645"/>
      <c r="U11" s="645"/>
      <c r="V11" s="645"/>
      <c r="W11" s="645"/>
      <c r="X11" s="645"/>
      <c r="Y11" s="645"/>
      <c r="Z11" s="645"/>
      <c r="AA11" s="645"/>
      <c r="AB11" s="645"/>
      <c r="AC11" s="646" t="s">
        <v>35</v>
      </c>
      <c r="AD11" s="646"/>
      <c r="AE11" s="646"/>
      <c r="AF11" s="646"/>
    </row>
    <row r="12" spans="1:38">
      <c r="A12" s="644"/>
      <c r="B12" s="644"/>
      <c r="C12" s="644"/>
      <c r="D12" s="644"/>
      <c r="E12" s="644"/>
      <c r="F12" s="644"/>
      <c r="G12" s="644"/>
      <c r="H12" s="644"/>
      <c r="I12" s="644"/>
      <c r="J12" s="644"/>
      <c r="K12" s="644"/>
      <c r="L12" s="4"/>
      <c r="M12" s="4"/>
      <c r="N12" s="645"/>
      <c r="O12" s="645"/>
      <c r="P12" s="645"/>
      <c r="Q12" s="645"/>
      <c r="R12" s="645"/>
      <c r="S12" s="645"/>
      <c r="T12" s="645"/>
      <c r="U12" s="645"/>
      <c r="V12" s="645"/>
      <c r="W12" s="645"/>
      <c r="X12" s="645"/>
      <c r="Y12" s="645"/>
      <c r="Z12" s="645"/>
      <c r="AA12" s="645"/>
      <c r="AB12" s="645"/>
      <c r="AC12" s="646"/>
      <c r="AD12" s="646"/>
      <c r="AE12" s="646"/>
      <c r="AF12" s="646"/>
    </row>
    <row r="13" spans="1:38" ht="27" customHeight="1">
      <c r="A13" s="1080" t="s">
        <v>615</v>
      </c>
      <c r="B13" s="855"/>
      <c r="C13" s="855"/>
      <c r="D13" s="855"/>
      <c r="E13" s="855"/>
      <c r="F13" s="855"/>
      <c r="G13" s="855"/>
      <c r="H13" s="855"/>
      <c r="I13" s="855"/>
      <c r="J13" s="855"/>
      <c r="K13" s="855"/>
      <c r="L13" s="282"/>
      <c r="M13" s="282"/>
      <c r="N13" s="852" t="s">
        <v>616</v>
      </c>
      <c r="O13" s="852"/>
      <c r="P13" s="852"/>
      <c r="Q13" s="852"/>
      <c r="R13" s="852"/>
      <c r="S13" s="852"/>
      <c r="T13" s="852"/>
      <c r="U13" s="852"/>
      <c r="V13" s="852"/>
      <c r="W13" s="852"/>
      <c r="X13" s="852"/>
      <c r="Y13" s="852"/>
      <c r="Z13" s="852"/>
      <c r="AA13" s="852"/>
      <c r="AB13" s="852"/>
      <c r="AC13" s="853" t="s">
        <v>617</v>
      </c>
      <c r="AD13" s="853"/>
      <c r="AE13" s="853"/>
      <c r="AF13" s="853"/>
    </row>
    <row r="14" spans="1:38" ht="15" customHeight="1">
      <c r="A14" s="641" t="s">
        <v>36</v>
      </c>
      <c r="B14" s="641"/>
      <c r="C14" s="641"/>
      <c r="D14" s="641"/>
      <c r="E14" s="641"/>
      <c r="F14" s="641"/>
      <c r="G14" s="641"/>
      <c r="H14" s="641"/>
      <c r="I14" s="641"/>
      <c r="J14" s="641"/>
      <c r="K14" s="641"/>
      <c r="L14" s="641"/>
      <c r="M14" s="641"/>
      <c r="N14" s="641"/>
      <c r="O14" s="641"/>
      <c r="P14" s="641"/>
      <c r="Q14" s="641"/>
      <c r="R14" s="641"/>
      <c r="S14" s="641"/>
      <c r="T14" s="641"/>
      <c r="U14" s="641"/>
      <c r="V14" s="641"/>
      <c r="W14" s="641"/>
      <c r="X14" s="641"/>
      <c r="Y14" s="641"/>
      <c r="Z14" s="641"/>
      <c r="AA14" s="641"/>
      <c r="AB14" s="641"/>
      <c r="AC14" s="641"/>
      <c r="AD14" s="641"/>
      <c r="AE14" s="641"/>
      <c r="AF14" s="641"/>
    </row>
    <row r="15" spans="1:38" ht="15.75" customHeight="1">
      <c r="A15" s="642"/>
      <c r="B15" s="642"/>
      <c r="C15" s="642"/>
      <c r="D15" s="642"/>
      <c r="E15" s="642"/>
      <c r="F15" s="642"/>
      <c r="G15" s="642"/>
      <c r="H15" s="642"/>
      <c r="I15" s="642"/>
      <c r="J15" s="642"/>
      <c r="K15" s="642"/>
      <c r="L15" s="642"/>
      <c r="M15" s="642"/>
      <c r="N15" s="642"/>
      <c r="O15" s="642"/>
      <c r="P15" s="642"/>
      <c r="Q15" s="642"/>
      <c r="R15" s="642"/>
      <c r="S15" s="642"/>
      <c r="T15" s="642"/>
      <c r="U15" s="642"/>
      <c r="V15" s="642"/>
      <c r="W15" s="642"/>
      <c r="X15" s="642"/>
      <c r="Y15" s="642"/>
      <c r="Z15" s="642"/>
      <c r="AA15" s="642"/>
      <c r="AB15" s="642"/>
      <c r="AC15" s="642"/>
      <c r="AD15" s="642"/>
      <c r="AE15" s="642"/>
      <c r="AF15" s="642"/>
      <c r="AG15" s="642"/>
    </row>
    <row r="16" spans="1:38" ht="22.5" customHeight="1">
      <c r="A16" s="642"/>
      <c r="B16" s="642"/>
      <c r="C16" s="642"/>
      <c r="D16" s="642"/>
      <c r="E16" s="642"/>
      <c r="F16" s="642"/>
      <c r="G16" s="642"/>
      <c r="H16" s="642"/>
      <c r="I16" s="642"/>
      <c r="J16" s="642"/>
      <c r="K16" s="642"/>
      <c r="L16" s="642"/>
      <c r="M16" s="642"/>
      <c r="N16" s="642"/>
      <c r="O16" s="642"/>
      <c r="P16" s="642"/>
      <c r="Q16" s="642"/>
      <c r="R16" s="642"/>
      <c r="S16" s="642"/>
      <c r="T16" s="642"/>
      <c r="U16" s="642"/>
      <c r="V16" s="642"/>
      <c r="W16" s="642"/>
      <c r="X16" s="642"/>
      <c r="Y16" s="642"/>
      <c r="Z16" s="642"/>
      <c r="AA16" s="642"/>
      <c r="AB16" s="642"/>
      <c r="AC16" s="642"/>
      <c r="AD16" s="642"/>
      <c r="AE16" s="642"/>
      <c r="AF16" s="642"/>
      <c r="AG16" s="8"/>
      <c r="AH16" s="8"/>
    </row>
    <row r="19" spans="35:35" ht="24.75" customHeight="1">
      <c r="AI19" s="6" t="s">
        <v>38</v>
      </c>
    </row>
    <row r="20" spans="35:35" ht="24.75" customHeight="1">
      <c r="AI20" s="6" t="s">
        <v>10</v>
      </c>
    </row>
    <row r="21" spans="35:35" ht="24.75" customHeight="1">
      <c r="AI21" s="6" t="s">
        <v>42</v>
      </c>
    </row>
    <row r="22" spans="35:35" ht="24.75" customHeight="1">
      <c r="AI22" s="6" t="s">
        <v>43</v>
      </c>
    </row>
    <row r="23" spans="35:35" ht="24.75" customHeight="1">
      <c r="AI23" s="6" t="s">
        <v>44</v>
      </c>
    </row>
    <row r="24" spans="35:35" ht="24.75" customHeight="1">
      <c r="AI24" s="6" t="s">
        <v>26</v>
      </c>
    </row>
    <row r="25" spans="35:35" ht="24.75" customHeight="1">
      <c r="AI25" s="6" t="s">
        <v>27</v>
      </c>
    </row>
    <row r="26" spans="35:35" ht="24.75" customHeight="1">
      <c r="AI26" s="6" t="s">
        <v>28</v>
      </c>
    </row>
    <row r="27" spans="35:35" ht="24.75" customHeight="1">
      <c r="AI27" s="6" t="s">
        <v>30</v>
      </c>
    </row>
    <row r="28" spans="35:35" ht="24.75" customHeight="1">
      <c r="AI28" s="6" t="s">
        <v>29</v>
      </c>
    </row>
    <row r="29" spans="35:35" ht="24.75" customHeight="1">
      <c r="AI29" s="6" t="s">
        <v>31</v>
      </c>
    </row>
    <row r="30" spans="35:35" ht="24.75" customHeight="1">
      <c r="AI30" s="6" t="s">
        <v>32</v>
      </c>
    </row>
    <row r="31" spans="35:35" ht="51">
      <c r="AI31" s="6" t="s">
        <v>33</v>
      </c>
    </row>
  </sheetData>
  <mergeCells count="52">
    <mergeCell ref="A4:D4"/>
    <mergeCell ref="E4:U4"/>
    <mergeCell ref="V4:W4"/>
    <mergeCell ref="X4:AC4"/>
    <mergeCell ref="AD4:AE4"/>
    <mergeCell ref="A1:B2"/>
    <mergeCell ref="C1:AE1"/>
    <mergeCell ref="AF1:AF2"/>
    <mergeCell ref="C2:AE2"/>
    <mergeCell ref="A3:AF3"/>
    <mergeCell ref="AF6:AF7"/>
    <mergeCell ref="A5:AF5"/>
    <mergeCell ref="A6:B6"/>
    <mergeCell ref="C6:C7"/>
    <mergeCell ref="D6:E7"/>
    <mergeCell ref="F6:F7"/>
    <mergeCell ref="G6:G7"/>
    <mergeCell ref="H6:H7"/>
    <mergeCell ref="I6:U6"/>
    <mergeCell ref="V6:V7"/>
    <mergeCell ref="W6:Y7"/>
    <mergeCell ref="Z6:Z7"/>
    <mergeCell ref="AA6:AA7"/>
    <mergeCell ref="AB6:AC6"/>
    <mergeCell ref="AD6:AD7"/>
    <mergeCell ref="AE6:AE7"/>
    <mergeCell ref="I7:N7"/>
    <mergeCell ref="O7:S7"/>
    <mergeCell ref="T7:U7"/>
    <mergeCell ref="A8:A9"/>
    <mergeCell ref="B8:B9"/>
    <mergeCell ref="C8:C9"/>
    <mergeCell ref="D8:E9"/>
    <mergeCell ref="F8:F9"/>
    <mergeCell ref="G8:G9"/>
    <mergeCell ref="H8:H9"/>
    <mergeCell ref="I8:N9"/>
    <mergeCell ref="O8:R9"/>
    <mergeCell ref="T8:U9"/>
    <mergeCell ref="V8:V9"/>
    <mergeCell ref="W8:Y8"/>
    <mergeCell ref="W9:Y9"/>
    <mergeCell ref="A16:AF16"/>
    <mergeCell ref="A10:AF10"/>
    <mergeCell ref="A11:K12"/>
    <mergeCell ref="N11:AB12"/>
    <mergeCell ref="AC11:AF12"/>
    <mergeCell ref="A13:K13"/>
    <mergeCell ref="N13:AB13"/>
    <mergeCell ref="AC13:AF13"/>
    <mergeCell ref="A14:AF14"/>
    <mergeCell ref="A15:AG15"/>
  </mergeCells>
  <conditionalFormatting sqref="AD8:AD9">
    <cfRule type="cellIs" dxfId="131" priority="11" operator="between">
      <formula>0.001</formula>
      <formula>0.99</formula>
    </cfRule>
    <cfRule type="cellIs" dxfId="130" priority="12" operator="equal">
      <formula>1</formula>
    </cfRule>
    <cfRule type="cellIs" dxfId="129" priority="13" operator="equal">
      <formula>0</formula>
    </cfRule>
  </conditionalFormatting>
  <conditionalFormatting sqref="AD8:AD9">
    <cfRule type="cellIs" dxfId="128" priority="14" operator="between">
      <formula>0.01</formula>
      <formula>0.99</formula>
    </cfRule>
    <cfRule type="cellIs" dxfId="127" priority="15" operator="equal">
      <formula>1</formula>
    </cfRule>
    <cfRule type="cellIs" dxfId="126" priority="16" operator="equal">
      <formula>0</formula>
    </cfRule>
  </conditionalFormatting>
  <conditionalFormatting sqref="AA8:AA9">
    <cfRule type="cellIs" dxfId="125" priority="9" stopIfTrue="1" operator="greaterThan">
      <formula>#REF!</formula>
    </cfRule>
    <cfRule type="cellIs" dxfId="124" priority="10" stopIfTrue="1" operator="lessThan">
      <formula>#REF!</formula>
    </cfRule>
  </conditionalFormatting>
  <dataValidations count="5">
    <dataValidation type="list" allowBlank="1" showInputMessage="1" showErrorMessage="1" sqref="G65539:G65545 WLS983043:WLS983049 WBW983043:WBW983049 VSA983043:VSA983049 VIE983043:VIE983049 UYI983043:UYI983049 UOM983043:UOM983049 UEQ983043:UEQ983049 TUU983043:TUU983049 TKY983043:TKY983049 TBC983043:TBC983049 SRG983043:SRG983049 SHK983043:SHK983049 RXO983043:RXO983049 RNS983043:RNS983049 RDW983043:RDW983049 QUA983043:QUA983049 QKE983043:QKE983049 QAI983043:QAI983049 PQM983043:PQM983049 PGQ983043:PGQ983049 OWU983043:OWU983049 OMY983043:OMY983049 ODC983043:ODC983049 NTG983043:NTG983049 NJK983043:NJK983049 MZO983043:MZO983049 MPS983043:MPS983049 MFW983043:MFW983049 LWA983043:LWA983049 LME983043:LME983049 LCI983043:LCI983049 KSM983043:KSM983049 KIQ983043:KIQ983049 JYU983043:JYU983049 JOY983043:JOY983049 JFC983043:JFC983049 IVG983043:IVG983049 ILK983043:ILK983049 IBO983043:IBO983049 HRS983043:HRS983049 HHW983043:HHW983049 GYA983043:GYA983049 GOE983043:GOE983049 GEI983043:GEI983049 FUM983043:FUM983049 FKQ983043:FKQ983049 FAU983043:FAU983049 EQY983043:EQY983049 EHC983043:EHC983049 DXG983043:DXG983049 DNK983043:DNK983049 DDO983043:DDO983049 CTS983043:CTS983049 CJW983043:CJW983049 CAA983043:CAA983049 BQE983043:BQE983049 BGI983043:BGI983049 AWM983043:AWM983049 AMQ983043:AMQ983049 ACU983043:ACU983049 SY983043:SY983049 JC983043:JC983049 G983043:G983049 WVO917507:WVO917513 WLS917507:WLS917513 WBW917507:WBW917513 VSA917507:VSA917513 VIE917507:VIE917513 UYI917507:UYI917513 UOM917507:UOM917513 UEQ917507:UEQ917513 TUU917507:TUU917513 TKY917507:TKY917513 TBC917507:TBC917513 SRG917507:SRG917513 SHK917507:SHK917513 RXO917507:RXO917513 RNS917507:RNS917513 RDW917507:RDW917513 QUA917507:QUA917513 QKE917507:QKE917513 QAI917507:QAI917513 PQM917507:PQM917513 PGQ917507:PGQ917513 OWU917507:OWU917513 OMY917507:OMY917513 ODC917507:ODC917513 NTG917507:NTG917513 NJK917507:NJK917513 MZO917507:MZO917513 MPS917507:MPS917513 MFW917507:MFW917513 LWA917507:LWA917513 LME917507:LME917513 LCI917507:LCI917513 KSM917507:KSM917513 KIQ917507:KIQ917513 JYU917507:JYU917513 JOY917507:JOY917513 JFC917507:JFC917513 IVG917507:IVG917513 ILK917507:ILK917513 IBO917507:IBO917513 HRS917507:HRS917513 HHW917507:HHW917513 GYA917507:GYA917513 GOE917507:GOE917513 GEI917507:GEI917513 FUM917507:FUM917513 FKQ917507:FKQ917513 FAU917507:FAU917513 EQY917507:EQY917513 EHC917507:EHC917513 DXG917507:DXG917513 DNK917507:DNK917513 DDO917507:DDO917513 CTS917507:CTS917513 CJW917507:CJW917513 CAA917507:CAA917513 BQE917507:BQE917513 BGI917507:BGI917513 AWM917507:AWM917513 AMQ917507:AMQ917513 ACU917507:ACU917513 SY917507:SY917513 JC917507:JC917513 G917507:G917513 WVO851971:WVO851977 WLS851971:WLS851977 WBW851971:WBW851977 VSA851971:VSA851977 VIE851971:VIE851977 UYI851971:UYI851977 UOM851971:UOM851977 UEQ851971:UEQ851977 TUU851971:TUU851977 TKY851971:TKY851977 TBC851971:TBC851977 SRG851971:SRG851977 SHK851971:SHK851977 RXO851971:RXO851977 RNS851971:RNS851977 RDW851971:RDW851977 QUA851971:QUA851977 QKE851971:QKE851977 QAI851971:QAI851977 PQM851971:PQM851977 PGQ851971:PGQ851977 OWU851971:OWU851977 OMY851971:OMY851977 ODC851971:ODC851977 NTG851971:NTG851977 NJK851971:NJK851977 MZO851971:MZO851977 MPS851971:MPS851977 MFW851971:MFW851977 LWA851971:LWA851977 LME851971:LME851977 LCI851971:LCI851977 KSM851971:KSM851977 KIQ851971:KIQ851977 JYU851971:JYU851977 JOY851971:JOY851977 JFC851971:JFC851977 IVG851971:IVG851977 ILK851971:ILK851977 IBO851971:IBO851977 HRS851971:HRS851977 HHW851971:HHW851977 GYA851971:GYA851977 GOE851971:GOE851977 GEI851971:GEI851977 FUM851971:FUM851977 FKQ851971:FKQ851977 FAU851971:FAU851977 EQY851971:EQY851977 EHC851971:EHC851977 DXG851971:DXG851977 DNK851971:DNK851977 DDO851971:DDO851977 CTS851971:CTS851977 CJW851971:CJW851977 CAA851971:CAA851977 BQE851971:BQE851977 BGI851971:BGI851977 AWM851971:AWM851977 AMQ851971:AMQ851977 ACU851971:ACU851977 SY851971:SY851977 JC851971:JC851977 G851971:G851977 WVO786435:WVO786441 WLS786435:WLS786441 WBW786435:WBW786441 VSA786435:VSA786441 VIE786435:VIE786441 UYI786435:UYI786441 UOM786435:UOM786441 UEQ786435:UEQ786441 TUU786435:TUU786441 TKY786435:TKY786441 TBC786435:TBC786441 SRG786435:SRG786441 SHK786435:SHK786441 RXO786435:RXO786441 RNS786435:RNS786441 RDW786435:RDW786441 QUA786435:QUA786441 QKE786435:QKE786441 QAI786435:QAI786441 PQM786435:PQM786441 PGQ786435:PGQ786441 OWU786435:OWU786441 OMY786435:OMY786441 ODC786435:ODC786441 NTG786435:NTG786441 NJK786435:NJK786441 MZO786435:MZO786441 MPS786435:MPS786441 MFW786435:MFW786441 LWA786435:LWA786441 LME786435:LME786441 LCI786435:LCI786441 KSM786435:KSM786441 KIQ786435:KIQ786441 JYU786435:JYU786441 JOY786435:JOY786441 JFC786435:JFC786441 IVG786435:IVG786441 ILK786435:ILK786441 IBO786435:IBO786441 HRS786435:HRS786441 HHW786435:HHW786441 GYA786435:GYA786441 GOE786435:GOE786441 GEI786435:GEI786441 FUM786435:FUM786441 FKQ786435:FKQ786441 FAU786435:FAU786441 EQY786435:EQY786441 EHC786435:EHC786441 DXG786435:DXG786441 DNK786435:DNK786441 DDO786435:DDO786441 CTS786435:CTS786441 CJW786435:CJW786441 CAA786435:CAA786441 BQE786435:BQE786441 BGI786435:BGI786441 AWM786435:AWM786441 AMQ786435:AMQ786441 ACU786435:ACU786441 SY786435:SY786441 JC786435:JC786441 G786435:G786441 WVO720899:WVO720905 WLS720899:WLS720905 WBW720899:WBW720905 VSA720899:VSA720905 VIE720899:VIE720905 UYI720899:UYI720905 UOM720899:UOM720905 UEQ720899:UEQ720905 TUU720899:TUU720905 TKY720899:TKY720905 TBC720899:TBC720905 SRG720899:SRG720905 SHK720899:SHK720905 RXO720899:RXO720905 RNS720899:RNS720905 RDW720899:RDW720905 QUA720899:QUA720905 QKE720899:QKE720905 QAI720899:QAI720905 PQM720899:PQM720905 PGQ720899:PGQ720905 OWU720899:OWU720905 OMY720899:OMY720905 ODC720899:ODC720905 NTG720899:NTG720905 NJK720899:NJK720905 MZO720899:MZO720905 MPS720899:MPS720905 MFW720899:MFW720905 LWA720899:LWA720905 LME720899:LME720905 LCI720899:LCI720905 KSM720899:KSM720905 KIQ720899:KIQ720905 JYU720899:JYU720905 JOY720899:JOY720905 JFC720899:JFC720905 IVG720899:IVG720905 ILK720899:ILK720905 IBO720899:IBO720905 HRS720899:HRS720905 HHW720899:HHW720905 GYA720899:GYA720905 GOE720899:GOE720905 GEI720899:GEI720905 FUM720899:FUM720905 FKQ720899:FKQ720905 FAU720899:FAU720905 EQY720899:EQY720905 EHC720899:EHC720905 DXG720899:DXG720905 DNK720899:DNK720905 DDO720899:DDO720905 CTS720899:CTS720905 CJW720899:CJW720905 CAA720899:CAA720905 BQE720899:BQE720905 BGI720899:BGI720905 AWM720899:AWM720905 AMQ720899:AMQ720905 ACU720899:ACU720905 SY720899:SY720905 JC720899:JC720905 G720899:G720905 WVO655363:WVO655369 WLS655363:WLS655369 WBW655363:WBW655369 VSA655363:VSA655369 VIE655363:VIE655369 UYI655363:UYI655369 UOM655363:UOM655369 UEQ655363:UEQ655369 TUU655363:TUU655369 TKY655363:TKY655369 TBC655363:TBC655369 SRG655363:SRG655369 SHK655363:SHK655369 RXO655363:RXO655369 RNS655363:RNS655369 RDW655363:RDW655369 QUA655363:QUA655369 QKE655363:QKE655369 QAI655363:QAI655369 PQM655363:PQM655369 PGQ655363:PGQ655369 OWU655363:OWU655369 OMY655363:OMY655369 ODC655363:ODC655369 NTG655363:NTG655369 NJK655363:NJK655369 MZO655363:MZO655369 MPS655363:MPS655369 MFW655363:MFW655369 LWA655363:LWA655369 LME655363:LME655369 LCI655363:LCI655369 KSM655363:KSM655369 KIQ655363:KIQ655369 JYU655363:JYU655369 JOY655363:JOY655369 JFC655363:JFC655369 IVG655363:IVG655369 ILK655363:ILK655369 IBO655363:IBO655369 HRS655363:HRS655369 HHW655363:HHW655369 GYA655363:GYA655369 GOE655363:GOE655369 GEI655363:GEI655369 FUM655363:FUM655369 FKQ655363:FKQ655369 FAU655363:FAU655369 EQY655363:EQY655369 EHC655363:EHC655369 DXG655363:DXG655369 DNK655363:DNK655369 DDO655363:DDO655369 CTS655363:CTS655369 CJW655363:CJW655369 CAA655363:CAA655369 BQE655363:BQE655369 BGI655363:BGI655369 AWM655363:AWM655369 AMQ655363:AMQ655369 ACU655363:ACU655369 SY655363:SY655369 JC655363:JC655369 G655363:G655369 WVO589827:WVO589833 WLS589827:WLS589833 WBW589827:WBW589833 VSA589827:VSA589833 VIE589827:VIE589833 UYI589827:UYI589833 UOM589827:UOM589833 UEQ589827:UEQ589833 TUU589827:TUU589833 TKY589827:TKY589833 TBC589827:TBC589833 SRG589827:SRG589833 SHK589827:SHK589833 RXO589827:RXO589833 RNS589827:RNS589833 RDW589827:RDW589833 QUA589827:QUA589833 QKE589827:QKE589833 QAI589827:QAI589833 PQM589827:PQM589833 PGQ589827:PGQ589833 OWU589827:OWU589833 OMY589827:OMY589833 ODC589827:ODC589833 NTG589827:NTG589833 NJK589827:NJK589833 MZO589827:MZO589833 MPS589827:MPS589833 MFW589827:MFW589833 LWA589827:LWA589833 LME589827:LME589833 LCI589827:LCI589833 KSM589827:KSM589833 KIQ589827:KIQ589833 JYU589827:JYU589833 JOY589827:JOY589833 JFC589827:JFC589833 IVG589827:IVG589833 ILK589827:ILK589833 IBO589827:IBO589833 HRS589827:HRS589833 HHW589827:HHW589833 GYA589827:GYA589833 GOE589827:GOE589833 GEI589827:GEI589833 FUM589827:FUM589833 FKQ589827:FKQ589833 FAU589827:FAU589833 EQY589827:EQY589833 EHC589827:EHC589833 DXG589827:DXG589833 DNK589827:DNK589833 DDO589827:DDO589833 CTS589827:CTS589833 CJW589827:CJW589833 CAA589827:CAA589833 BQE589827:BQE589833 BGI589827:BGI589833 AWM589827:AWM589833 AMQ589827:AMQ589833 ACU589827:ACU589833 SY589827:SY589833 JC589827:JC589833 G589827:G589833 WVO524291:WVO524297 WLS524291:WLS524297 WBW524291:WBW524297 VSA524291:VSA524297 VIE524291:VIE524297 UYI524291:UYI524297 UOM524291:UOM524297 UEQ524291:UEQ524297 TUU524291:TUU524297 TKY524291:TKY524297 TBC524291:TBC524297 SRG524291:SRG524297 SHK524291:SHK524297 RXO524291:RXO524297 RNS524291:RNS524297 RDW524291:RDW524297 QUA524291:QUA524297 QKE524291:QKE524297 QAI524291:QAI524297 PQM524291:PQM524297 PGQ524291:PGQ524297 OWU524291:OWU524297 OMY524291:OMY524297 ODC524291:ODC524297 NTG524291:NTG524297 NJK524291:NJK524297 MZO524291:MZO524297 MPS524291:MPS524297 MFW524291:MFW524297 LWA524291:LWA524297 LME524291:LME524297 LCI524291:LCI524297 KSM524291:KSM524297 KIQ524291:KIQ524297 JYU524291:JYU524297 JOY524291:JOY524297 JFC524291:JFC524297 IVG524291:IVG524297 ILK524291:ILK524297 IBO524291:IBO524297 HRS524291:HRS524297 HHW524291:HHW524297 GYA524291:GYA524297 GOE524291:GOE524297 GEI524291:GEI524297 FUM524291:FUM524297 FKQ524291:FKQ524297 FAU524291:FAU524297 EQY524291:EQY524297 EHC524291:EHC524297 DXG524291:DXG524297 DNK524291:DNK524297 DDO524291:DDO524297 CTS524291:CTS524297 CJW524291:CJW524297 CAA524291:CAA524297 BQE524291:BQE524297 BGI524291:BGI524297 AWM524291:AWM524297 AMQ524291:AMQ524297 ACU524291:ACU524297 SY524291:SY524297 JC524291:JC524297 G524291:G524297 WVO458755:WVO458761 WLS458755:WLS458761 WBW458755:WBW458761 VSA458755:VSA458761 VIE458755:VIE458761 UYI458755:UYI458761 UOM458755:UOM458761 UEQ458755:UEQ458761 TUU458755:TUU458761 TKY458755:TKY458761 TBC458755:TBC458761 SRG458755:SRG458761 SHK458755:SHK458761 RXO458755:RXO458761 RNS458755:RNS458761 RDW458755:RDW458761 QUA458755:QUA458761 QKE458755:QKE458761 QAI458755:QAI458761 PQM458755:PQM458761 PGQ458755:PGQ458761 OWU458755:OWU458761 OMY458755:OMY458761 ODC458755:ODC458761 NTG458755:NTG458761 NJK458755:NJK458761 MZO458755:MZO458761 MPS458755:MPS458761 MFW458755:MFW458761 LWA458755:LWA458761 LME458755:LME458761 LCI458755:LCI458761 KSM458755:KSM458761 KIQ458755:KIQ458761 JYU458755:JYU458761 JOY458755:JOY458761 JFC458755:JFC458761 IVG458755:IVG458761 ILK458755:ILK458761 IBO458755:IBO458761 HRS458755:HRS458761 HHW458755:HHW458761 GYA458755:GYA458761 GOE458755:GOE458761 GEI458755:GEI458761 FUM458755:FUM458761 FKQ458755:FKQ458761 FAU458755:FAU458761 EQY458755:EQY458761 EHC458755:EHC458761 DXG458755:DXG458761 DNK458755:DNK458761 DDO458755:DDO458761 CTS458755:CTS458761 CJW458755:CJW458761 CAA458755:CAA458761 BQE458755:BQE458761 BGI458755:BGI458761 AWM458755:AWM458761 AMQ458755:AMQ458761 ACU458755:ACU458761 SY458755:SY458761 JC458755:JC458761 G458755:G458761 WVO393219:WVO393225 WLS393219:WLS393225 WBW393219:WBW393225 VSA393219:VSA393225 VIE393219:VIE393225 UYI393219:UYI393225 UOM393219:UOM393225 UEQ393219:UEQ393225 TUU393219:TUU393225 TKY393219:TKY393225 TBC393219:TBC393225 SRG393219:SRG393225 SHK393219:SHK393225 RXO393219:RXO393225 RNS393219:RNS393225 RDW393219:RDW393225 QUA393219:QUA393225 QKE393219:QKE393225 QAI393219:QAI393225 PQM393219:PQM393225 PGQ393219:PGQ393225 OWU393219:OWU393225 OMY393219:OMY393225 ODC393219:ODC393225 NTG393219:NTG393225 NJK393219:NJK393225 MZO393219:MZO393225 MPS393219:MPS393225 MFW393219:MFW393225 LWA393219:LWA393225 LME393219:LME393225 LCI393219:LCI393225 KSM393219:KSM393225 KIQ393219:KIQ393225 JYU393219:JYU393225 JOY393219:JOY393225 JFC393219:JFC393225 IVG393219:IVG393225 ILK393219:ILK393225 IBO393219:IBO393225 HRS393219:HRS393225 HHW393219:HHW393225 GYA393219:GYA393225 GOE393219:GOE393225 GEI393219:GEI393225 FUM393219:FUM393225 FKQ393219:FKQ393225 FAU393219:FAU393225 EQY393219:EQY393225 EHC393219:EHC393225 DXG393219:DXG393225 DNK393219:DNK393225 DDO393219:DDO393225 CTS393219:CTS393225 CJW393219:CJW393225 CAA393219:CAA393225 BQE393219:BQE393225 BGI393219:BGI393225 AWM393219:AWM393225 AMQ393219:AMQ393225 ACU393219:ACU393225 SY393219:SY393225 JC393219:JC393225 G393219:G393225 WVO327683:WVO327689 WLS327683:WLS327689 WBW327683:WBW327689 VSA327683:VSA327689 VIE327683:VIE327689 UYI327683:UYI327689 UOM327683:UOM327689 UEQ327683:UEQ327689 TUU327683:TUU327689 TKY327683:TKY327689 TBC327683:TBC327689 SRG327683:SRG327689 SHK327683:SHK327689 RXO327683:RXO327689 RNS327683:RNS327689 RDW327683:RDW327689 QUA327683:QUA327689 QKE327683:QKE327689 QAI327683:QAI327689 PQM327683:PQM327689 PGQ327683:PGQ327689 OWU327683:OWU327689 OMY327683:OMY327689 ODC327683:ODC327689 NTG327683:NTG327689 NJK327683:NJK327689 MZO327683:MZO327689 MPS327683:MPS327689 MFW327683:MFW327689 LWA327683:LWA327689 LME327683:LME327689 LCI327683:LCI327689 KSM327683:KSM327689 KIQ327683:KIQ327689 JYU327683:JYU327689 JOY327683:JOY327689 JFC327683:JFC327689 IVG327683:IVG327689 ILK327683:ILK327689 IBO327683:IBO327689 HRS327683:HRS327689 HHW327683:HHW327689 GYA327683:GYA327689 GOE327683:GOE327689 GEI327683:GEI327689 FUM327683:FUM327689 FKQ327683:FKQ327689 FAU327683:FAU327689 EQY327683:EQY327689 EHC327683:EHC327689 DXG327683:DXG327689 DNK327683:DNK327689 DDO327683:DDO327689 CTS327683:CTS327689 CJW327683:CJW327689 CAA327683:CAA327689 BQE327683:BQE327689 BGI327683:BGI327689 AWM327683:AWM327689 AMQ327683:AMQ327689 ACU327683:ACU327689 SY327683:SY327689 JC327683:JC327689 G327683:G327689 WVO262147:WVO262153 WLS262147:WLS262153 WBW262147:WBW262153 VSA262147:VSA262153 VIE262147:VIE262153 UYI262147:UYI262153 UOM262147:UOM262153 UEQ262147:UEQ262153 TUU262147:TUU262153 TKY262147:TKY262153 TBC262147:TBC262153 SRG262147:SRG262153 SHK262147:SHK262153 RXO262147:RXO262153 RNS262147:RNS262153 RDW262147:RDW262153 QUA262147:QUA262153 QKE262147:QKE262153 QAI262147:QAI262153 PQM262147:PQM262153 PGQ262147:PGQ262153 OWU262147:OWU262153 OMY262147:OMY262153 ODC262147:ODC262153 NTG262147:NTG262153 NJK262147:NJK262153 MZO262147:MZO262153 MPS262147:MPS262153 MFW262147:MFW262153 LWA262147:LWA262153 LME262147:LME262153 LCI262147:LCI262153 KSM262147:KSM262153 KIQ262147:KIQ262153 JYU262147:JYU262153 JOY262147:JOY262153 JFC262147:JFC262153 IVG262147:IVG262153 ILK262147:ILK262153 IBO262147:IBO262153 HRS262147:HRS262153 HHW262147:HHW262153 GYA262147:GYA262153 GOE262147:GOE262153 GEI262147:GEI262153 FUM262147:FUM262153 FKQ262147:FKQ262153 FAU262147:FAU262153 EQY262147:EQY262153 EHC262147:EHC262153 DXG262147:DXG262153 DNK262147:DNK262153 DDO262147:DDO262153 CTS262147:CTS262153 CJW262147:CJW262153 CAA262147:CAA262153 BQE262147:BQE262153 BGI262147:BGI262153 AWM262147:AWM262153 AMQ262147:AMQ262153 ACU262147:ACU262153 SY262147:SY262153 JC262147:JC262153 G262147:G262153 WVO196611:WVO196617 WLS196611:WLS196617 WBW196611:WBW196617 VSA196611:VSA196617 VIE196611:VIE196617 UYI196611:UYI196617 UOM196611:UOM196617 UEQ196611:UEQ196617 TUU196611:TUU196617 TKY196611:TKY196617 TBC196611:TBC196617 SRG196611:SRG196617 SHK196611:SHK196617 RXO196611:RXO196617 RNS196611:RNS196617 RDW196611:RDW196617 QUA196611:QUA196617 QKE196611:QKE196617 QAI196611:QAI196617 PQM196611:PQM196617 PGQ196611:PGQ196617 OWU196611:OWU196617 OMY196611:OMY196617 ODC196611:ODC196617 NTG196611:NTG196617 NJK196611:NJK196617 MZO196611:MZO196617 MPS196611:MPS196617 MFW196611:MFW196617 LWA196611:LWA196617 LME196611:LME196617 LCI196611:LCI196617 KSM196611:KSM196617 KIQ196611:KIQ196617 JYU196611:JYU196617 JOY196611:JOY196617 JFC196611:JFC196617 IVG196611:IVG196617 ILK196611:ILK196617 IBO196611:IBO196617 HRS196611:HRS196617 HHW196611:HHW196617 GYA196611:GYA196617 GOE196611:GOE196617 GEI196611:GEI196617 FUM196611:FUM196617 FKQ196611:FKQ196617 FAU196611:FAU196617 EQY196611:EQY196617 EHC196611:EHC196617 DXG196611:DXG196617 DNK196611:DNK196617 DDO196611:DDO196617 CTS196611:CTS196617 CJW196611:CJW196617 CAA196611:CAA196617 BQE196611:BQE196617 BGI196611:BGI196617 AWM196611:AWM196617 AMQ196611:AMQ196617 ACU196611:ACU196617 SY196611:SY196617 JC196611:JC196617 G196611:G196617 WVO131075:WVO131081 WLS131075:WLS131081 WBW131075:WBW131081 VSA131075:VSA131081 VIE131075:VIE131081 UYI131075:UYI131081 UOM131075:UOM131081 UEQ131075:UEQ131081 TUU131075:TUU131081 TKY131075:TKY131081 TBC131075:TBC131081 SRG131075:SRG131081 SHK131075:SHK131081 RXO131075:RXO131081 RNS131075:RNS131081 RDW131075:RDW131081 QUA131075:QUA131081 QKE131075:QKE131081 QAI131075:QAI131081 PQM131075:PQM131081 PGQ131075:PGQ131081 OWU131075:OWU131081 OMY131075:OMY131081 ODC131075:ODC131081 NTG131075:NTG131081 NJK131075:NJK131081 MZO131075:MZO131081 MPS131075:MPS131081 MFW131075:MFW131081 LWA131075:LWA131081 LME131075:LME131081 LCI131075:LCI131081 KSM131075:KSM131081 KIQ131075:KIQ131081 JYU131075:JYU131081 JOY131075:JOY131081 JFC131075:JFC131081 IVG131075:IVG131081 ILK131075:ILK131081 IBO131075:IBO131081 HRS131075:HRS131081 HHW131075:HHW131081 GYA131075:GYA131081 GOE131075:GOE131081 GEI131075:GEI131081 FUM131075:FUM131081 FKQ131075:FKQ131081 FAU131075:FAU131081 EQY131075:EQY131081 EHC131075:EHC131081 DXG131075:DXG131081 DNK131075:DNK131081 DDO131075:DDO131081 CTS131075:CTS131081 CJW131075:CJW131081 CAA131075:CAA131081 BQE131075:BQE131081 BGI131075:BGI131081 AWM131075:AWM131081 AMQ131075:AMQ131081 ACU131075:ACU131081 SY131075:SY131081 JC131075:JC131081 G131075:G131081 WVO65539:WVO65545 WLS65539:WLS65545 WBW65539:WBW65545 VSA65539:VSA65545 VIE65539:VIE65545 UYI65539:UYI65545 UOM65539:UOM65545 UEQ65539:UEQ65545 TUU65539:TUU65545 TKY65539:TKY65545 TBC65539:TBC65545 SRG65539:SRG65545 SHK65539:SHK65545 RXO65539:RXO65545 RNS65539:RNS65545 RDW65539:RDW65545 QUA65539:QUA65545 QKE65539:QKE65545 QAI65539:QAI65545 PQM65539:PQM65545 PGQ65539:PGQ65545 OWU65539:OWU65545 OMY65539:OMY65545 ODC65539:ODC65545 NTG65539:NTG65545 NJK65539:NJK65545 MZO65539:MZO65545 MPS65539:MPS65545 MFW65539:MFW65545 LWA65539:LWA65545 LME65539:LME65545 LCI65539:LCI65545 KSM65539:KSM65545 KIQ65539:KIQ65545 JYU65539:JYU65545 JOY65539:JOY65545 JFC65539:JFC65545 IVG65539:IVG65545 ILK65539:ILK65545 IBO65539:IBO65545 HRS65539:HRS65545 HHW65539:HHW65545 GYA65539:GYA65545 GOE65539:GOE65545 GEI65539:GEI65545 FUM65539:FUM65545 FKQ65539:FKQ65545 FAU65539:FAU65545 EQY65539:EQY65545 EHC65539:EHC65545 DXG65539:DXG65545 DNK65539:DNK65545 DDO65539:DDO65545 CTS65539:CTS65545 CJW65539:CJW65545 CAA65539:CAA65545 BQE65539:BQE65545 BGI65539:BGI65545 AWM65539:AWM65545 AMQ65539:AMQ65545 ACU65539:ACU65545 SY65539:SY65545 JC65539:JC65545 WVO983043:WVO983049">
      <formula1>$AI$19:$AI$31</formula1>
    </dataValidation>
    <dataValidation type="list" allowBlank="1" showInputMessage="1" showErrorMessage="1" sqref="H65539:H65545 JD65539:JD65545 SZ65539:SZ65545 ACV65539:ACV65545 AMR65539:AMR65545 AWN65539:AWN65545 BGJ65539:BGJ65545 BQF65539:BQF65545 CAB65539:CAB65545 CJX65539:CJX65545 CTT65539:CTT65545 DDP65539:DDP65545 DNL65539:DNL65545 DXH65539:DXH65545 EHD65539:EHD65545 EQZ65539:EQZ65545 FAV65539:FAV65545 FKR65539:FKR65545 FUN65539:FUN65545 GEJ65539:GEJ65545 GOF65539:GOF65545 GYB65539:GYB65545 HHX65539:HHX65545 HRT65539:HRT65545 IBP65539:IBP65545 ILL65539:ILL65545 IVH65539:IVH65545 JFD65539:JFD65545 JOZ65539:JOZ65545 JYV65539:JYV65545 KIR65539:KIR65545 KSN65539:KSN65545 LCJ65539:LCJ65545 LMF65539:LMF65545 LWB65539:LWB65545 MFX65539:MFX65545 MPT65539:MPT65545 MZP65539:MZP65545 NJL65539:NJL65545 NTH65539:NTH65545 ODD65539:ODD65545 OMZ65539:OMZ65545 OWV65539:OWV65545 PGR65539:PGR65545 PQN65539:PQN65545 QAJ65539:QAJ65545 QKF65539:QKF65545 QUB65539:QUB65545 RDX65539:RDX65545 RNT65539:RNT65545 RXP65539:RXP65545 SHL65539:SHL65545 SRH65539:SRH65545 TBD65539:TBD65545 TKZ65539:TKZ65545 TUV65539:TUV65545 UER65539:UER65545 UON65539:UON65545 UYJ65539:UYJ65545 VIF65539:VIF65545 VSB65539:VSB65545 WBX65539:WBX65545 WLT65539:WLT65545 WVP65539:WVP65545 H131075:H131081 JD131075:JD131081 SZ131075:SZ131081 ACV131075:ACV131081 AMR131075:AMR131081 AWN131075:AWN131081 BGJ131075:BGJ131081 BQF131075:BQF131081 CAB131075:CAB131081 CJX131075:CJX131081 CTT131075:CTT131081 DDP131075:DDP131081 DNL131075:DNL131081 DXH131075:DXH131081 EHD131075:EHD131081 EQZ131075:EQZ131081 FAV131075:FAV131081 FKR131075:FKR131081 FUN131075:FUN131081 GEJ131075:GEJ131081 GOF131075:GOF131081 GYB131075:GYB131081 HHX131075:HHX131081 HRT131075:HRT131081 IBP131075:IBP131081 ILL131075:ILL131081 IVH131075:IVH131081 JFD131075:JFD131081 JOZ131075:JOZ131081 JYV131075:JYV131081 KIR131075:KIR131081 KSN131075:KSN131081 LCJ131075:LCJ131081 LMF131075:LMF131081 LWB131075:LWB131081 MFX131075:MFX131081 MPT131075:MPT131081 MZP131075:MZP131081 NJL131075:NJL131081 NTH131075:NTH131081 ODD131075:ODD131081 OMZ131075:OMZ131081 OWV131075:OWV131081 PGR131075:PGR131081 PQN131075:PQN131081 QAJ131075:QAJ131081 QKF131075:QKF131081 QUB131075:QUB131081 RDX131075:RDX131081 RNT131075:RNT131081 RXP131075:RXP131081 SHL131075:SHL131081 SRH131075:SRH131081 TBD131075:TBD131081 TKZ131075:TKZ131081 TUV131075:TUV131081 UER131075:UER131081 UON131075:UON131081 UYJ131075:UYJ131081 VIF131075:VIF131081 VSB131075:VSB131081 WBX131075:WBX131081 WLT131075:WLT131081 WVP131075:WVP131081 H196611:H196617 JD196611:JD196617 SZ196611:SZ196617 ACV196611:ACV196617 AMR196611:AMR196617 AWN196611:AWN196617 BGJ196611:BGJ196617 BQF196611:BQF196617 CAB196611:CAB196617 CJX196611:CJX196617 CTT196611:CTT196617 DDP196611:DDP196617 DNL196611:DNL196617 DXH196611:DXH196617 EHD196611:EHD196617 EQZ196611:EQZ196617 FAV196611:FAV196617 FKR196611:FKR196617 FUN196611:FUN196617 GEJ196611:GEJ196617 GOF196611:GOF196617 GYB196611:GYB196617 HHX196611:HHX196617 HRT196611:HRT196617 IBP196611:IBP196617 ILL196611:ILL196617 IVH196611:IVH196617 JFD196611:JFD196617 JOZ196611:JOZ196617 JYV196611:JYV196617 KIR196611:KIR196617 KSN196611:KSN196617 LCJ196611:LCJ196617 LMF196611:LMF196617 LWB196611:LWB196617 MFX196611:MFX196617 MPT196611:MPT196617 MZP196611:MZP196617 NJL196611:NJL196617 NTH196611:NTH196617 ODD196611:ODD196617 OMZ196611:OMZ196617 OWV196611:OWV196617 PGR196611:PGR196617 PQN196611:PQN196617 QAJ196611:QAJ196617 QKF196611:QKF196617 QUB196611:QUB196617 RDX196611:RDX196617 RNT196611:RNT196617 RXP196611:RXP196617 SHL196611:SHL196617 SRH196611:SRH196617 TBD196611:TBD196617 TKZ196611:TKZ196617 TUV196611:TUV196617 UER196611:UER196617 UON196611:UON196617 UYJ196611:UYJ196617 VIF196611:VIF196617 VSB196611:VSB196617 WBX196611:WBX196617 WLT196611:WLT196617 WVP196611:WVP196617 H262147:H262153 JD262147:JD262153 SZ262147:SZ262153 ACV262147:ACV262153 AMR262147:AMR262153 AWN262147:AWN262153 BGJ262147:BGJ262153 BQF262147:BQF262153 CAB262147:CAB262153 CJX262147:CJX262153 CTT262147:CTT262153 DDP262147:DDP262153 DNL262147:DNL262153 DXH262147:DXH262153 EHD262147:EHD262153 EQZ262147:EQZ262153 FAV262147:FAV262153 FKR262147:FKR262153 FUN262147:FUN262153 GEJ262147:GEJ262153 GOF262147:GOF262153 GYB262147:GYB262153 HHX262147:HHX262153 HRT262147:HRT262153 IBP262147:IBP262153 ILL262147:ILL262153 IVH262147:IVH262153 JFD262147:JFD262153 JOZ262147:JOZ262153 JYV262147:JYV262153 KIR262147:KIR262153 KSN262147:KSN262153 LCJ262147:LCJ262153 LMF262147:LMF262153 LWB262147:LWB262153 MFX262147:MFX262153 MPT262147:MPT262153 MZP262147:MZP262153 NJL262147:NJL262153 NTH262147:NTH262153 ODD262147:ODD262153 OMZ262147:OMZ262153 OWV262147:OWV262153 PGR262147:PGR262153 PQN262147:PQN262153 QAJ262147:QAJ262153 QKF262147:QKF262153 QUB262147:QUB262153 RDX262147:RDX262153 RNT262147:RNT262153 RXP262147:RXP262153 SHL262147:SHL262153 SRH262147:SRH262153 TBD262147:TBD262153 TKZ262147:TKZ262153 TUV262147:TUV262153 UER262147:UER262153 UON262147:UON262153 UYJ262147:UYJ262153 VIF262147:VIF262153 VSB262147:VSB262153 WBX262147:WBX262153 WLT262147:WLT262153 WVP262147:WVP262153 H327683:H327689 JD327683:JD327689 SZ327683:SZ327689 ACV327683:ACV327689 AMR327683:AMR327689 AWN327683:AWN327689 BGJ327683:BGJ327689 BQF327683:BQF327689 CAB327683:CAB327689 CJX327683:CJX327689 CTT327683:CTT327689 DDP327683:DDP327689 DNL327683:DNL327689 DXH327683:DXH327689 EHD327683:EHD327689 EQZ327683:EQZ327689 FAV327683:FAV327689 FKR327683:FKR327689 FUN327683:FUN327689 GEJ327683:GEJ327689 GOF327683:GOF327689 GYB327683:GYB327689 HHX327683:HHX327689 HRT327683:HRT327689 IBP327683:IBP327689 ILL327683:ILL327689 IVH327683:IVH327689 JFD327683:JFD327689 JOZ327683:JOZ327689 JYV327683:JYV327689 KIR327683:KIR327689 KSN327683:KSN327689 LCJ327683:LCJ327689 LMF327683:LMF327689 LWB327683:LWB327689 MFX327683:MFX327689 MPT327683:MPT327689 MZP327683:MZP327689 NJL327683:NJL327689 NTH327683:NTH327689 ODD327683:ODD327689 OMZ327683:OMZ327689 OWV327683:OWV327689 PGR327683:PGR327689 PQN327683:PQN327689 QAJ327683:QAJ327689 QKF327683:QKF327689 QUB327683:QUB327689 RDX327683:RDX327689 RNT327683:RNT327689 RXP327683:RXP327689 SHL327683:SHL327689 SRH327683:SRH327689 TBD327683:TBD327689 TKZ327683:TKZ327689 TUV327683:TUV327689 UER327683:UER327689 UON327683:UON327689 UYJ327683:UYJ327689 VIF327683:VIF327689 VSB327683:VSB327689 WBX327683:WBX327689 WLT327683:WLT327689 WVP327683:WVP327689 H393219:H393225 JD393219:JD393225 SZ393219:SZ393225 ACV393219:ACV393225 AMR393219:AMR393225 AWN393219:AWN393225 BGJ393219:BGJ393225 BQF393219:BQF393225 CAB393219:CAB393225 CJX393219:CJX393225 CTT393219:CTT393225 DDP393219:DDP393225 DNL393219:DNL393225 DXH393219:DXH393225 EHD393219:EHD393225 EQZ393219:EQZ393225 FAV393219:FAV393225 FKR393219:FKR393225 FUN393219:FUN393225 GEJ393219:GEJ393225 GOF393219:GOF393225 GYB393219:GYB393225 HHX393219:HHX393225 HRT393219:HRT393225 IBP393219:IBP393225 ILL393219:ILL393225 IVH393219:IVH393225 JFD393219:JFD393225 JOZ393219:JOZ393225 JYV393219:JYV393225 KIR393219:KIR393225 KSN393219:KSN393225 LCJ393219:LCJ393225 LMF393219:LMF393225 LWB393219:LWB393225 MFX393219:MFX393225 MPT393219:MPT393225 MZP393219:MZP393225 NJL393219:NJL393225 NTH393219:NTH393225 ODD393219:ODD393225 OMZ393219:OMZ393225 OWV393219:OWV393225 PGR393219:PGR393225 PQN393219:PQN393225 QAJ393219:QAJ393225 QKF393219:QKF393225 QUB393219:QUB393225 RDX393219:RDX393225 RNT393219:RNT393225 RXP393219:RXP393225 SHL393219:SHL393225 SRH393219:SRH393225 TBD393219:TBD393225 TKZ393219:TKZ393225 TUV393219:TUV393225 UER393219:UER393225 UON393219:UON393225 UYJ393219:UYJ393225 VIF393219:VIF393225 VSB393219:VSB393225 WBX393219:WBX393225 WLT393219:WLT393225 WVP393219:WVP393225 H458755:H458761 JD458755:JD458761 SZ458755:SZ458761 ACV458755:ACV458761 AMR458755:AMR458761 AWN458755:AWN458761 BGJ458755:BGJ458761 BQF458755:BQF458761 CAB458755:CAB458761 CJX458755:CJX458761 CTT458755:CTT458761 DDP458755:DDP458761 DNL458755:DNL458761 DXH458755:DXH458761 EHD458755:EHD458761 EQZ458755:EQZ458761 FAV458755:FAV458761 FKR458755:FKR458761 FUN458755:FUN458761 GEJ458755:GEJ458761 GOF458755:GOF458761 GYB458755:GYB458761 HHX458755:HHX458761 HRT458755:HRT458761 IBP458755:IBP458761 ILL458755:ILL458761 IVH458755:IVH458761 JFD458755:JFD458761 JOZ458755:JOZ458761 JYV458755:JYV458761 KIR458755:KIR458761 KSN458755:KSN458761 LCJ458755:LCJ458761 LMF458755:LMF458761 LWB458755:LWB458761 MFX458755:MFX458761 MPT458755:MPT458761 MZP458755:MZP458761 NJL458755:NJL458761 NTH458755:NTH458761 ODD458755:ODD458761 OMZ458755:OMZ458761 OWV458755:OWV458761 PGR458755:PGR458761 PQN458755:PQN458761 QAJ458755:QAJ458761 QKF458755:QKF458761 QUB458755:QUB458761 RDX458755:RDX458761 RNT458755:RNT458761 RXP458755:RXP458761 SHL458755:SHL458761 SRH458755:SRH458761 TBD458755:TBD458761 TKZ458755:TKZ458761 TUV458755:TUV458761 UER458755:UER458761 UON458755:UON458761 UYJ458755:UYJ458761 VIF458755:VIF458761 VSB458755:VSB458761 WBX458755:WBX458761 WLT458755:WLT458761 WVP458755:WVP458761 H524291:H524297 JD524291:JD524297 SZ524291:SZ524297 ACV524291:ACV524297 AMR524291:AMR524297 AWN524291:AWN524297 BGJ524291:BGJ524297 BQF524291:BQF524297 CAB524291:CAB524297 CJX524291:CJX524297 CTT524291:CTT524297 DDP524291:DDP524297 DNL524291:DNL524297 DXH524291:DXH524297 EHD524291:EHD524297 EQZ524291:EQZ524297 FAV524291:FAV524297 FKR524291:FKR524297 FUN524291:FUN524297 GEJ524291:GEJ524297 GOF524291:GOF524297 GYB524291:GYB524297 HHX524291:HHX524297 HRT524291:HRT524297 IBP524291:IBP524297 ILL524291:ILL524297 IVH524291:IVH524297 JFD524291:JFD524297 JOZ524291:JOZ524297 JYV524291:JYV524297 KIR524291:KIR524297 KSN524291:KSN524297 LCJ524291:LCJ524297 LMF524291:LMF524297 LWB524291:LWB524297 MFX524291:MFX524297 MPT524291:MPT524297 MZP524291:MZP524297 NJL524291:NJL524297 NTH524291:NTH524297 ODD524291:ODD524297 OMZ524291:OMZ524297 OWV524291:OWV524297 PGR524291:PGR524297 PQN524291:PQN524297 QAJ524291:QAJ524297 QKF524291:QKF524297 QUB524291:QUB524297 RDX524291:RDX524297 RNT524291:RNT524297 RXP524291:RXP524297 SHL524291:SHL524297 SRH524291:SRH524297 TBD524291:TBD524297 TKZ524291:TKZ524297 TUV524291:TUV524297 UER524291:UER524297 UON524291:UON524297 UYJ524291:UYJ524297 VIF524291:VIF524297 VSB524291:VSB524297 WBX524291:WBX524297 WLT524291:WLT524297 WVP524291:WVP524297 H589827:H589833 JD589827:JD589833 SZ589827:SZ589833 ACV589827:ACV589833 AMR589827:AMR589833 AWN589827:AWN589833 BGJ589827:BGJ589833 BQF589827:BQF589833 CAB589827:CAB589833 CJX589827:CJX589833 CTT589827:CTT589833 DDP589827:DDP589833 DNL589827:DNL589833 DXH589827:DXH589833 EHD589827:EHD589833 EQZ589827:EQZ589833 FAV589827:FAV589833 FKR589827:FKR589833 FUN589827:FUN589833 GEJ589827:GEJ589833 GOF589827:GOF589833 GYB589827:GYB589833 HHX589827:HHX589833 HRT589827:HRT589833 IBP589827:IBP589833 ILL589827:ILL589833 IVH589827:IVH589833 JFD589827:JFD589833 JOZ589827:JOZ589833 JYV589827:JYV589833 KIR589827:KIR589833 KSN589827:KSN589833 LCJ589827:LCJ589833 LMF589827:LMF589833 LWB589827:LWB589833 MFX589827:MFX589833 MPT589827:MPT589833 MZP589827:MZP589833 NJL589827:NJL589833 NTH589827:NTH589833 ODD589827:ODD589833 OMZ589827:OMZ589833 OWV589827:OWV589833 PGR589827:PGR589833 PQN589827:PQN589833 QAJ589827:QAJ589833 QKF589827:QKF589833 QUB589827:QUB589833 RDX589827:RDX589833 RNT589827:RNT589833 RXP589827:RXP589833 SHL589827:SHL589833 SRH589827:SRH589833 TBD589827:TBD589833 TKZ589827:TKZ589833 TUV589827:TUV589833 UER589827:UER589833 UON589827:UON589833 UYJ589827:UYJ589833 VIF589827:VIF589833 VSB589827:VSB589833 WBX589827:WBX589833 WLT589827:WLT589833 WVP589827:WVP589833 H655363:H655369 JD655363:JD655369 SZ655363:SZ655369 ACV655363:ACV655369 AMR655363:AMR655369 AWN655363:AWN655369 BGJ655363:BGJ655369 BQF655363:BQF655369 CAB655363:CAB655369 CJX655363:CJX655369 CTT655363:CTT655369 DDP655363:DDP655369 DNL655363:DNL655369 DXH655363:DXH655369 EHD655363:EHD655369 EQZ655363:EQZ655369 FAV655363:FAV655369 FKR655363:FKR655369 FUN655363:FUN655369 GEJ655363:GEJ655369 GOF655363:GOF655369 GYB655363:GYB655369 HHX655363:HHX655369 HRT655363:HRT655369 IBP655363:IBP655369 ILL655363:ILL655369 IVH655363:IVH655369 JFD655363:JFD655369 JOZ655363:JOZ655369 JYV655363:JYV655369 KIR655363:KIR655369 KSN655363:KSN655369 LCJ655363:LCJ655369 LMF655363:LMF655369 LWB655363:LWB655369 MFX655363:MFX655369 MPT655363:MPT655369 MZP655363:MZP655369 NJL655363:NJL655369 NTH655363:NTH655369 ODD655363:ODD655369 OMZ655363:OMZ655369 OWV655363:OWV655369 PGR655363:PGR655369 PQN655363:PQN655369 QAJ655363:QAJ655369 QKF655363:QKF655369 QUB655363:QUB655369 RDX655363:RDX655369 RNT655363:RNT655369 RXP655363:RXP655369 SHL655363:SHL655369 SRH655363:SRH655369 TBD655363:TBD655369 TKZ655363:TKZ655369 TUV655363:TUV655369 UER655363:UER655369 UON655363:UON655369 UYJ655363:UYJ655369 VIF655363:VIF655369 VSB655363:VSB655369 WBX655363:WBX655369 WLT655363:WLT655369 WVP655363:WVP655369 H720899:H720905 JD720899:JD720905 SZ720899:SZ720905 ACV720899:ACV720905 AMR720899:AMR720905 AWN720899:AWN720905 BGJ720899:BGJ720905 BQF720899:BQF720905 CAB720899:CAB720905 CJX720899:CJX720905 CTT720899:CTT720905 DDP720899:DDP720905 DNL720899:DNL720905 DXH720899:DXH720905 EHD720899:EHD720905 EQZ720899:EQZ720905 FAV720899:FAV720905 FKR720899:FKR720905 FUN720899:FUN720905 GEJ720899:GEJ720905 GOF720899:GOF720905 GYB720899:GYB720905 HHX720899:HHX720905 HRT720899:HRT720905 IBP720899:IBP720905 ILL720899:ILL720905 IVH720899:IVH720905 JFD720899:JFD720905 JOZ720899:JOZ720905 JYV720899:JYV720905 KIR720899:KIR720905 KSN720899:KSN720905 LCJ720899:LCJ720905 LMF720899:LMF720905 LWB720899:LWB720905 MFX720899:MFX720905 MPT720899:MPT720905 MZP720899:MZP720905 NJL720899:NJL720905 NTH720899:NTH720905 ODD720899:ODD720905 OMZ720899:OMZ720905 OWV720899:OWV720905 PGR720899:PGR720905 PQN720899:PQN720905 QAJ720899:QAJ720905 QKF720899:QKF720905 QUB720899:QUB720905 RDX720899:RDX720905 RNT720899:RNT720905 RXP720899:RXP720905 SHL720899:SHL720905 SRH720899:SRH720905 TBD720899:TBD720905 TKZ720899:TKZ720905 TUV720899:TUV720905 UER720899:UER720905 UON720899:UON720905 UYJ720899:UYJ720905 VIF720899:VIF720905 VSB720899:VSB720905 WBX720899:WBX720905 WLT720899:WLT720905 WVP720899:WVP720905 H786435:H786441 JD786435:JD786441 SZ786435:SZ786441 ACV786435:ACV786441 AMR786435:AMR786441 AWN786435:AWN786441 BGJ786435:BGJ786441 BQF786435:BQF786441 CAB786435:CAB786441 CJX786435:CJX786441 CTT786435:CTT786441 DDP786435:DDP786441 DNL786435:DNL786441 DXH786435:DXH786441 EHD786435:EHD786441 EQZ786435:EQZ786441 FAV786435:FAV786441 FKR786435:FKR786441 FUN786435:FUN786441 GEJ786435:GEJ786441 GOF786435:GOF786441 GYB786435:GYB786441 HHX786435:HHX786441 HRT786435:HRT786441 IBP786435:IBP786441 ILL786435:ILL786441 IVH786435:IVH786441 JFD786435:JFD786441 JOZ786435:JOZ786441 JYV786435:JYV786441 KIR786435:KIR786441 KSN786435:KSN786441 LCJ786435:LCJ786441 LMF786435:LMF786441 LWB786435:LWB786441 MFX786435:MFX786441 MPT786435:MPT786441 MZP786435:MZP786441 NJL786435:NJL786441 NTH786435:NTH786441 ODD786435:ODD786441 OMZ786435:OMZ786441 OWV786435:OWV786441 PGR786435:PGR786441 PQN786435:PQN786441 QAJ786435:QAJ786441 QKF786435:QKF786441 QUB786435:QUB786441 RDX786435:RDX786441 RNT786435:RNT786441 RXP786435:RXP786441 SHL786435:SHL786441 SRH786435:SRH786441 TBD786435:TBD786441 TKZ786435:TKZ786441 TUV786435:TUV786441 UER786435:UER786441 UON786435:UON786441 UYJ786435:UYJ786441 VIF786435:VIF786441 VSB786435:VSB786441 WBX786435:WBX786441 WLT786435:WLT786441 WVP786435:WVP786441 H851971:H851977 JD851971:JD851977 SZ851971:SZ851977 ACV851971:ACV851977 AMR851971:AMR851977 AWN851971:AWN851977 BGJ851971:BGJ851977 BQF851971:BQF851977 CAB851971:CAB851977 CJX851971:CJX851977 CTT851971:CTT851977 DDP851971:DDP851977 DNL851971:DNL851977 DXH851971:DXH851977 EHD851971:EHD851977 EQZ851971:EQZ851977 FAV851971:FAV851977 FKR851971:FKR851977 FUN851971:FUN851977 GEJ851971:GEJ851977 GOF851971:GOF851977 GYB851971:GYB851977 HHX851971:HHX851977 HRT851971:HRT851977 IBP851971:IBP851977 ILL851971:ILL851977 IVH851971:IVH851977 JFD851971:JFD851977 JOZ851971:JOZ851977 JYV851971:JYV851977 KIR851971:KIR851977 KSN851971:KSN851977 LCJ851971:LCJ851977 LMF851971:LMF851977 LWB851971:LWB851977 MFX851971:MFX851977 MPT851971:MPT851977 MZP851971:MZP851977 NJL851971:NJL851977 NTH851971:NTH851977 ODD851971:ODD851977 OMZ851971:OMZ851977 OWV851971:OWV851977 PGR851971:PGR851977 PQN851971:PQN851977 QAJ851971:QAJ851977 QKF851971:QKF851977 QUB851971:QUB851977 RDX851971:RDX851977 RNT851971:RNT851977 RXP851971:RXP851977 SHL851971:SHL851977 SRH851971:SRH851977 TBD851971:TBD851977 TKZ851971:TKZ851977 TUV851971:TUV851977 UER851971:UER851977 UON851971:UON851977 UYJ851971:UYJ851977 VIF851971:VIF851977 VSB851971:VSB851977 WBX851971:WBX851977 WLT851971:WLT851977 WVP851971:WVP851977 H917507:H917513 JD917507:JD917513 SZ917507:SZ917513 ACV917507:ACV917513 AMR917507:AMR917513 AWN917507:AWN917513 BGJ917507:BGJ917513 BQF917507:BQF917513 CAB917507:CAB917513 CJX917507:CJX917513 CTT917507:CTT917513 DDP917507:DDP917513 DNL917507:DNL917513 DXH917507:DXH917513 EHD917507:EHD917513 EQZ917507:EQZ917513 FAV917507:FAV917513 FKR917507:FKR917513 FUN917507:FUN917513 GEJ917507:GEJ917513 GOF917507:GOF917513 GYB917507:GYB917513 HHX917507:HHX917513 HRT917507:HRT917513 IBP917507:IBP917513 ILL917507:ILL917513 IVH917507:IVH917513 JFD917507:JFD917513 JOZ917507:JOZ917513 JYV917507:JYV917513 KIR917507:KIR917513 KSN917507:KSN917513 LCJ917507:LCJ917513 LMF917507:LMF917513 LWB917507:LWB917513 MFX917507:MFX917513 MPT917507:MPT917513 MZP917507:MZP917513 NJL917507:NJL917513 NTH917507:NTH917513 ODD917507:ODD917513 OMZ917507:OMZ917513 OWV917507:OWV917513 PGR917507:PGR917513 PQN917507:PQN917513 QAJ917507:QAJ917513 QKF917507:QKF917513 QUB917507:QUB917513 RDX917507:RDX917513 RNT917507:RNT917513 RXP917507:RXP917513 SHL917507:SHL917513 SRH917507:SRH917513 TBD917507:TBD917513 TKZ917507:TKZ917513 TUV917507:TUV917513 UER917507:UER917513 UON917507:UON917513 UYJ917507:UYJ917513 VIF917507:VIF917513 VSB917507:VSB917513 WBX917507:WBX917513 WLT917507:WLT917513 WVP917507:WVP917513 H983043:H983049 JD983043:JD983049 SZ983043:SZ983049 ACV983043:ACV983049 AMR983043:AMR983049 AWN983043:AWN983049 BGJ983043:BGJ983049 BQF983043:BQF983049 CAB983043:CAB983049 CJX983043:CJX983049 CTT983043:CTT983049 DDP983043:DDP983049 DNL983043:DNL983049 DXH983043:DXH983049 EHD983043:EHD983049 EQZ983043:EQZ983049 FAV983043:FAV983049 FKR983043:FKR983049 FUN983043:FUN983049 GEJ983043:GEJ983049 GOF983043:GOF983049 GYB983043:GYB983049 HHX983043:HHX983049 HRT983043:HRT983049 IBP983043:IBP983049 ILL983043:ILL983049 IVH983043:IVH983049 JFD983043:JFD983049 JOZ983043:JOZ983049 JYV983043:JYV983049 KIR983043:KIR983049 KSN983043:KSN983049 LCJ983043:LCJ983049 LMF983043:LMF983049 LWB983043:LWB983049 MFX983043:MFX983049 MPT983043:MPT983049 MZP983043:MZP983049 NJL983043:NJL983049 NTH983043:NTH983049 ODD983043:ODD983049 OMZ983043:OMZ983049 OWV983043:OWV983049 PGR983043:PGR983049 PQN983043:PQN983049 QAJ983043:QAJ983049 QKF983043:QKF983049 QUB983043:QUB983049 RDX983043:RDX983049 RNT983043:RNT983049 RXP983043:RXP983049 SHL983043:SHL983049 SRH983043:SRH983049 TBD983043:TBD983049 TKZ983043:TKZ983049 TUV983043:TUV983049 UER983043:UER983049 UON983043:UON983049 UYJ983043:UYJ983049 VIF983043:VIF983049 VSB983043:VSB983049 WBX983043:WBX983049 WLT983043:WLT983049 WVP983043:WVP983049 H8 JD8:JD9 SZ8:SZ9 ACV8:ACV9 AMR8:AMR9 AWN8:AWN9 BGJ8:BGJ9 BQF8:BQF9 CAB8:CAB9 CJX8:CJX9 CTT8:CTT9 DDP8:DDP9 DNL8:DNL9 DXH8:DXH9 EHD8:EHD9 EQZ8:EQZ9 FAV8:FAV9 FKR8:FKR9 FUN8:FUN9 GEJ8:GEJ9 GOF8:GOF9 GYB8:GYB9 HHX8:HHX9 HRT8:HRT9 IBP8:IBP9 ILL8:ILL9 IVH8:IVH9 JFD8:JFD9 JOZ8:JOZ9 JYV8:JYV9 KIR8:KIR9 KSN8:KSN9 LCJ8:LCJ9 LMF8:LMF9 LWB8:LWB9 MFX8:MFX9 MPT8:MPT9 MZP8:MZP9 NJL8:NJL9 NTH8:NTH9 ODD8:ODD9 OMZ8:OMZ9 OWV8:OWV9 PGR8:PGR9 PQN8:PQN9 QAJ8:QAJ9 QKF8:QKF9 QUB8:QUB9 RDX8:RDX9 RNT8:RNT9 RXP8:RXP9 SHL8:SHL9 SRH8:SRH9 TBD8:TBD9 TKZ8:TKZ9 TUV8:TUV9 UER8:UER9 UON8:UON9 UYJ8:UYJ9 VIF8:VIF9 VSB8:VSB9 WBX8:WBX9 WLT8:WLT9 WVP8:WVP9">
      <formula1>$AI$1:$AI$3</formula1>
    </dataValidation>
    <dataValidation type="list" allowBlank="1" showInputMessage="1" showErrorMessage="1" sqref="AE65539:AE65545 KA65539:KA65545 TW65539:TW65545 ADS65539:ADS65545 ANO65539:ANO65545 AXK65539:AXK65545 BHG65539:BHG65545 BRC65539:BRC65545 CAY65539:CAY65545 CKU65539:CKU65545 CUQ65539:CUQ65545 DEM65539:DEM65545 DOI65539:DOI65545 DYE65539:DYE65545 EIA65539:EIA65545 ERW65539:ERW65545 FBS65539:FBS65545 FLO65539:FLO65545 FVK65539:FVK65545 GFG65539:GFG65545 GPC65539:GPC65545 GYY65539:GYY65545 HIU65539:HIU65545 HSQ65539:HSQ65545 ICM65539:ICM65545 IMI65539:IMI65545 IWE65539:IWE65545 JGA65539:JGA65545 JPW65539:JPW65545 JZS65539:JZS65545 KJO65539:KJO65545 KTK65539:KTK65545 LDG65539:LDG65545 LNC65539:LNC65545 LWY65539:LWY65545 MGU65539:MGU65545 MQQ65539:MQQ65545 NAM65539:NAM65545 NKI65539:NKI65545 NUE65539:NUE65545 OEA65539:OEA65545 ONW65539:ONW65545 OXS65539:OXS65545 PHO65539:PHO65545 PRK65539:PRK65545 QBG65539:QBG65545 QLC65539:QLC65545 QUY65539:QUY65545 REU65539:REU65545 ROQ65539:ROQ65545 RYM65539:RYM65545 SII65539:SII65545 SSE65539:SSE65545 TCA65539:TCA65545 TLW65539:TLW65545 TVS65539:TVS65545 UFO65539:UFO65545 UPK65539:UPK65545 UZG65539:UZG65545 VJC65539:VJC65545 VSY65539:VSY65545 WCU65539:WCU65545 WMQ65539:WMQ65545 WWM65539:WWM65545 AE131075:AE131081 KA131075:KA131081 TW131075:TW131081 ADS131075:ADS131081 ANO131075:ANO131081 AXK131075:AXK131081 BHG131075:BHG131081 BRC131075:BRC131081 CAY131075:CAY131081 CKU131075:CKU131081 CUQ131075:CUQ131081 DEM131075:DEM131081 DOI131075:DOI131081 DYE131075:DYE131081 EIA131075:EIA131081 ERW131075:ERW131081 FBS131075:FBS131081 FLO131075:FLO131081 FVK131075:FVK131081 GFG131075:GFG131081 GPC131075:GPC131081 GYY131075:GYY131081 HIU131075:HIU131081 HSQ131075:HSQ131081 ICM131075:ICM131081 IMI131075:IMI131081 IWE131075:IWE131081 JGA131075:JGA131081 JPW131075:JPW131081 JZS131075:JZS131081 KJO131075:KJO131081 KTK131075:KTK131081 LDG131075:LDG131081 LNC131075:LNC131081 LWY131075:LWY131081 MGU131075:MGU131081 MQQ131075:MQQ131081 NAM131075:NAM131081 NKI131075:NKI131081 NUE131075:NUE131081 OEA131075:OEA131081 ONW131075:ONW131081 OXS131075:OXS131081 PHO131075:PHO131081 PRK131075:PRK131081 QBG131075:QBG131081 QLC131075:QLC131081 QUY131075:QUY131081 REU131075:REU131081 ROQ131075:ROQ131081 RYM131075:RYM131081 SII131075:SII131081 SSE131075:SSE131081 TCA131075:TCA131081 TLW131075:TLW131081 TVS131075:TVS131081 UFO131075:UFO131081 UPK131075:UPK131081 UZG131075:UZG131081 VJC131075:VJC131081 VSY131075:VSY131081 WCU131075:WCU131081 WMQ131075:WMQ131081 WWM131075:WWM131081 AE196611:AE196617 KA196611:KA196617 TW196611:TW196617 ADS196611:ADS196617 ANO196611:ANO196617 AXK196611:AXK196617 BHG196611:BHG196617 BRC196611:BRC196617 CAY196611:CAY196617 CKU196611:CKU196617 CUQ196611:CUQ196617 DEM196611:DEM196617 DOI196611:DOI196617 DYE196611:DYE196617 EIA196611:EIA196617 ERW196611:ERW196617 FBS196611:FBS196617 FLO196611:FLO196617 FVK196611:FVK196617 GFG196611:GFG196617 GPC196611:GPC196617 GYY196611:GYY196617 HIU196611:HIU196617 HSQ196611:HSQ196617 ICM196611:ICM196617 IMI196611:IMI196617 IWE196611:IWE196617 JGA196611:JGA196617 JPW196611:JPW196617 JZS196611:JZS196617 KJO196611:KJO196617 KTK196611:KTK196617 LDG196611:LDG196617 LNC196611:LNC196617 LWY196611:LWY196617 MGU196611:MGU196617 MQQ196611:MQQ196617 NAM196611:NAM196617 NKI196611:NKI196617 NUE196611:NUE196617 OEA196611:OEA196617 ONW196611:ONW196617 OXS196611:OXS196617 PHO196611:PHO196617 PRK196611:PRK196617 QBG196611:QBG196617 QLC196611:QLC196617 QUY196611:QUY196617 REU196611:REU196617 ROQ196611:ROQ196617 RYM196611:RYM196617 SII196611:SII196617 SSE196611:SSE196617 TCA196611:TCA196617 TLW196611:TLW196617 TVS196611:TVS196617 UFO196611:UFO196617 UPK196611:UPK196617 UZG196611:UZG196617 VJC196611:VJC196617 VSY196611:VSY196617 WCU196611:WCU196617 WMQ196611:WMQ196617 WWM196611:WWM196617 AE262147:AE262153 KA262147:KA262153 TW262147:TW262153 ADS262147:ADS262153 ANO262147:ANO262153 AXK262147:AXK262153 BHG262147:BHG262153 BRC262147:BRC262153 CAY262147:CAY262153 CKU262147:CKU262153 CUQ262147:CUQ262153 DEM262147:DEM262153 DOI262147:DOI262153 DYE262147:DYE262153 EIA262147:EIA262153 ERW262147:ERW262153 FBS262147:FBS262153 FLO262147:FLO262153 FVK262147:FVK262153 GFG262147:GFG262153 GPC262147:GPC262153 GYY262147:GYY262153 HIU262147:HIU262153 HSQ262147:HSQ262153 ICM262147:ICM262153 IMI262147:IMI262153 IWE262147:IWE262153 JGA262147:JGA262153 JPW262147:JPW262153 JZS262147:JZS262153 KJO262147:KJO262153 KTK262147:KTK262153 LDG262147:LDG262153 LNC262147:LNC262153 LWY262147:LWY262153 MGU262147:MGU262153 MQQ262147:MQQ262153 NAM262147:NAM262153 NKI262147:NKI262153 NUE262147:NUE262153 OEA262147:OEA262153 ONW262147:ONW262153 OXS262147:OXS262153 PHO262147:PHO262153 PRK262147:PRK262153 QBG262147:QBG262153 QLC262147:QLC262153 QUY262147:QUY262153 REU262147:REU262153 ROQ262147:ROQ262153 RYM262147:RYM262153 SII262147:SII262153 SSE262147:SSE262153 TCA262147:TCA262153 TLW262147:TLW262153 TVS262147:TVS262153 UFO262147:UFO262153 UPK262147:UPK262153 UZG262147:UZG262153 VJC262147:VJC262153 VSY262147:VSY262153 WCU262147:WCU262153 WMQ262147:WMQ262153 WWM262147:WWM262153 AE327683:AE327689 KA327683:KA327689 TW327683:TW327689 ADS327683:ADS327689 ANO327683:ANO327689 AXK327683:AXK327689 BHG327683:BHG327689 BRC327683:BRC327689 CAY327683:CAY327689 CKU327683:CKU327689 CUQ327683:CUQ327689 DEM327683:DEM327689 DOI327683:DOI327689 DYE327683:DYE327689 EIA327683:EIA327689 ERW327683:ERW327689 FBS327683:FBS327689 FLO327683:FLO327689 FVK327683:FVK327689 GFG327683:GFG327689 GPC327683:GPC327689 GYY327683:GYY327689 HIU327683:HIU327689 HSQ327683:HSQ327689 ICM327683:ICM327689 IMI327683:IMI327689 IWE327683:IWE327689 JGA327683:JGA327689 JPW327683:JPW327689 JZS327683:JZS327689 KJO327683:KJO327689 KTK327683:KTK327689 LDG327683:LDG327689 LNC327683:LNC327689 LWY327683:LWY327689 MGU327683:MGU327689 MQQ327683:MQQ327689 NAM327683:NAM327689 NKI327683:NKI327689 NUE327683:NUE327689 OEA327683:OEA327689 ONW327683:ONW327689 OXS327683:OXS327689 PHO327683:PHO327689 PRK327683:PRK327689 QBG327683:QBG327689 QLC327683:QLC327689 QUY327683:QUY327689 REU327683:REU327689 ROQ327683:ROQ327689 RYM327683:RYM327689 SII327683:SII327689 SSE327683:SSE327689 TCA327683:TCA327689 TLW327683:TLW327689 TVS327683:TVS327689 UFO327683:UFO327689 UPK327683:UPK327689 UZG327683:UZG327689 VJC327683:VJC327689 VSY327683:VSY327689 WCU327683:WCU327689 WMQ327683:WMQ327689 WWM327683:WWM327689 AE393219:AE393225 KA393219:KA393225 TW393219:TW393225 ADS393219:ADS393225 ANO393219:ANO393225 AXK393219:AXK393225 BHG393219:BHG393225 BRC393219:BRC393225 CAY393219:CAY393225 CKU393219:CKU393225 CUQ393219:CUQ393225 DEM393219:DEM393225 DOI393219:DOI393225 DYE393219:DYE393225 EIA393219:EIA393225 ERW393219:ERW393225 FBS393219:FBS393225 FLO393219:FLO393225 FVK393219:FVK393225 GFG393219:GFG393225 GPC393219:GPC393225 GYY393219:GYY393225 HIU393219:HIU393225 HSQ393219:HSQ393225 ICM393219:ICM393225 IMI393219:IMI393225 IWE393219:IWE393225 JGA393219:JGA393225 JPW393219:JPW393225 JZS393219:JZS393225 KJO393219:KJO393225 KTK393219:KTK393225 LDG393219:LDG393225 LNC393219:LNC393225 LWY393219:LWY393225 MGU393219:MGU393225 MQQ393219:MQQ393225 NAM393219:NAM393225 NKI393219:NKI393225 NUE393219:NUE393225 OEA393219:OEA393225 ONW393219:ONW393225 OXS393219:OXS393225 PHO393219:PHO393225 PRK393219:PRK393225 QBG393219:QBG393225 QLC393219:QLC393225 QUY393219:QUY393225 REU393219:REU393225 ROQ393219:ROQ393225 RYM393219:RYM393225 SII393219:SII393225 SSE393219:SSE393225 TCA393219:TCA393225 TLW393219:TLW393225 TVS393219:TVS393225 UFO393219:UFO393225 UPK393219:UPK393225 UZG393219:UZG393225 VJC393219:VJC393225 VSY393219:VSY393225 WCU393219:WCU393225 WMQ393219:WMQ393225 WWM393219:WWM393225 AE458755:AE458761 KA458755:KA458761 TW458755:TW458761 ADS458755:ADS458761 ANO458755:ANO458761 AXK458755:AXK458761 BHG458755:BHG458761 BRC458755:BRC458761 CAY458755:CAY458761 CKU458755:CKU458761 CUQ458755:CUQ458761 DEM458755:DEM458761 DOI458755:DOI458761 DYE458755:DYE458761 EIA458755:EIA458761 ERW458755:ERW458761 FBS458755:FBS458761 FLO458755:FLO458761 FVK458755:FVK458761 GFG458755:GFG458761 GPC458755:GPC458761 GYY458755:GYY458761 HIU458755:HIU458761 HSQ458755:HSQ458761 ICM458755:ICM458761 IMI458755:IMI458761 IWE458755:IWE458761 JGA458755:JGA458761 JPW458755:JPW458761 JZS458755:JZS458761 KJO458755:KJO458761 KTK458755:KTK458761 LDG458755:LDG458761 LNC458755:LNC458761 LWY458755:LWY458761 MGU458755:MGU458761 MQQ458755:MQQ458761 NAM458755:NAM458761 NKI458755:NKI458761 NUE458755:NUE458761 OEA458755:OEA458761 ONW458755:ONW458761 OXS458755:OXS458761 PHO458755:PHO458761 PRK458755:PRK458761 QBG458755:QBG458761 QLC458755:QLC458761 QUY458755:QUY458761 REU458755:REU458761 ROQ458755:ROQ458761 RYM458755:RYM458761 SII458755:SII458761 SSE458755:SSE458761 TCA458755:TCA458761 TLW458755:TLW458761 TVS458755:TVS458761 UFO458755:UFO458761 UPK458755:UPK458761 UZG458755:UZG458761 VJC458755:VJC458761 VSY458755:VSY458761 WCU458755:WCU458761 WMQ458755:WMQ458761 WWM458755:WWM458761 AE524291:AE524297 KA524291:KA524297 TW524291:TW524297 ADS524291:ADS524297 ANO524291:ANO524297 AXK524291:AXK524297 BHG524291:BHG524297 BRC524291:BRC524297 CAY524291:CAY524297 CKU524291:CKU524297 CUQ524291:CUQ524297 DEM524291:DEM524297 DOI524291:DOI524297 DYE524291:DYE524297 EIA524291:EIA524297 ERW524291:ERW524297 FBS524291:FBS524297 FLO524291:FLO524297 FVK524291:FVK524297 GFG524291:GFG524297 GPC524291:GPC524297 GYY524291:GYY524297 HIU524291:HIU524297 HSQ524291:HSQ524297 ICM524291:ICM524297 IMI524291:IMI524297 IWE524291:IWE524297 JGA524291:JGA524297 JPW524291:JPW524297 JZS524291:JZS524297 KJO524291:KJO524297 KTK524291:KTK524297 LDG524291:LDG524297 LNC524291:LNC524297 LWY524291:LWY524297 MGU524291:MGU524297 MQQ524291:MQQ524297 NAM524291:NAM524297 NKI524291:NKI524297 NUE524291:NUE524297 OEA524291:OEA524297 ONW524291:ONW524297 OXS524291:OXS524297 PHO524291:PHO524297 PRK524291:PRK524297 QBG524291:QBG524297 QLC524291:QLC524297 QUY524291:QUY524297 REU524291:REU524297 ROQ524291:ROQ524297 RYM524291:RYM524297 SII524291:SII524297 SSE524291:SSE524297 TCA524291:TCA524297 TLW524291:TLW524297 TVS524291:TVS524297 UFO524291:UFO524297 UPK524291:UPK524297 UZG524291:UZG524297 VJC524291:VJC524297 VSY524291:VSY524297 WCU524291:WCU524297 WMQ524291:WMQ524297 WWM524291:WWM524297 AE589827:AE589833 KA589827:KA589833 TW589827:TW589833 ADS589827:ADS589833 ANO589827:ANO589833 AXK589827:AXK589833 BHG589827:BHG589833 BRC589827:BRC589833 CAY589827:CAY589833 CKU589827:CKU589833 CUQ589827:CUQ589833 DEM589827:DEM589833 DOI589827:DOI589833 DYE589827:DYE589833 EIA589827:EIA589833 ERW589827:ERW589833 FBS589827:FBS589833 FLO589827:FLO589833 FVK589827:FVK589833 GFG589827:GFG589833 GPC589827:GPC589833 GYY589827:GYY589833 HIU589827:HIU589833 HSQ589827:HSQ589833 ICM589827:ICM589833 IMI589827:IMI589833 IWE589827:IWE589833 JGA589827:JGA589833 JPW589827:JPW589833 JZS589827:JZS589833 KJO589827:KJO589833 KTK589827:KTK589833 LDG589827:LDG589833 LNC589827:LNC589833 LWY589827:LWY589833 MGU589827:MGU589833 MQQ589827:MQQ589833 NAM589827:NAM589833 NKI589827:NKI589833 NUE589827:NUE589833 OEA589827:OEA589833 ONW589827:ONW589833 OXS589827:OXS589833 PHO589827:PHO589833 PRK589827:PRK589833 QBG589827:QBG589833 QLC589827:QLC589833 QUY589827:QUY589833 REU589827:REU589833 ROQ589827:ROQ589833 RYM589827:RYM589833 SII589827:SII589833 SSE589827:SSE589833 TCA589827:TCA589833 TLW589827:TLW589833 TVS589827:TVS589833 UFO589827:UFO589833 UPK589827:UPK589833 UZG589827:UZG589833 VJC589827:VJC589833 VSY589827:VSY589833 WCU589827:WCU589833 WMQ589827:WMQ589833 WWM589827:WWM589833 AE655363:AE655369 KA655363:KA655369 TW655363:TW655369 ADS655363:ADS655369 ANO655363:ANO655369 AXK655363:AXK655369 BHG655363:BHG655369 BRC655363:BRC655369 CAY655363:CAY655369 CKU655363:CKU655369 CUQ655363:CUQ655369 DEM655363:DEM655369 DOI655363:DOI655369 DYE655363:DYE655369 EIA655363:EIA655369 ERW655363:ERW655369 FBS655363:FBS655369 FLO655363:FLO655369 FVK655363:FVK655369 GFG655363:GFG655369 GPC655363:GPC655369 GYY655363:GYY655369 HIU655363:HIU655369 HSQ655363:HSQ655369 ICM655363:ICM655369 IMI655363:IMI655369 IWE655363:IWE655369 JGA655363:JGA655369 JPW655363:JPW655369 JZS655363:JZS655369 KJO655363:KJO655369 KTK655363:KTK655369 LDG655363:LDG655369 LNC655363:LNC655369 LWY655363:LWY655369 MGU655363:MGU655369 MQQ655363:MQQ655369 NAM655363:NAM655369 NKI655363:NKI655369 NUE655363:NUE655369 OEA655363:OEA655369 ONW655363:ONW655369 OXS655363:OXS655369 PHO655363:PHO655369 PRK655363:PRK655369 QBG655363:QBG655369 QLC655363:QLC655369 QUY655363:QUY655369 REU655363:REU655369 ROQ655363:ROQ655369 RYM655363:RYM655369 SII655363:SII655369 SSE655363:SSE655369 TCA655363:TCA655369 TLW655363:TLW655369 TVS655363:TVS655369 UFO655363:UFO655369 UPK655363:UPK655369 UZG655363:UZG655369 VJC655363:VJC655369 VSY655363:VSY655369 WCU655363:WCU655369 WMQ655363:WMQ655369 WWM655363:WWM655369 AE720899:AE720905 KA720899:KA720905 TW720899:TW720905 ADS720899:ADS720905 ANO720899:ANO720905 AXK720899:AXK720905 BHG720899:BHG720905 BRC720899:BRC720905 CAY720899:CAY720905 CKU720899:CKU720905 CUQ720899:CUQ720905 DEM720899:DEM720905 DOI720899:DOI720905 DYE720899:DYE720905 EIA720899:EIA720905 ERW720899:ERW720905 FBS720899:FBS720905 FLO720899:FLO720905 FVK720899:FVK720905 GFG720899:GFG720905 GPC720899:GPC720905 GYY720899:GYY720905 HIU720899:HIU720905 HSQ720899:HSQ720905 ICM720899:ICM720905 IMI720899:IMI720905 IWE720899:IWE720905 JGA720899:JGA720905 JPW720899:JPW720905 JZS720899:JZS720905 KJO720899:KJO720905 KTK720899:KTK720905 LDG720899:LDG720905 LNC720899:LNC720905 LWY720899:LWY720905 MGU720899:MGU720905 MQQ720899:MQQ720905 NAM720899:NAM720905 NKI720899:NKI720905 NUE720899:NUE720905 OEA720899:OEA720905 ONW720899:ONW720905 OXS720899:OXS720905 PHO720899:PHO720905 PRK720899:PRK720905 QBG720899:QBG720905 QLC720899:QLC720905 QUY720899:QUY720905 REU720899:REU720905 ROQ720899:ROQ720905 RYM720899:RYM720905 SII720899:SII720905 SSE720899:SSE720905 TCA720899:TCA720905 TLW720899:TLW720905 TVS720899:TVS720905 UFO720899:UFO720905 UPK720899:UPK720905 UZG720899:UZG720905 VJC720899:VJC720905 VSY720899:VSY720905 WCU720899:WCU720905 WMQ720899:WMQ720905 WWM720899:WWM720905 AE786435:AE786441 KA786435:KA786441 TW786435:TW786441 ADS786435:ADS786441 ANO786435:ANO786441 AXK786435:AXK786441 BHG786435:BHG786441 BRC786435:BRC786441 CAY786435:CAY786441 CKU786435:CKU786441 CUQ786435:CUQ786441 DEM786435:DEM786441 DOI786435:DOI786441 DYE786435:DYE786441 EIA786435:EIA786441 ERW786435:ERW786441 FBS786435:FBS786441 FLO786435:FLO786441 FVK786435:FVK786441 GFG786435:GFG786441 GPC786435:GPC786441 GYY786435:GYY786441 HIU786435:HIU786441 HSQ786435:HSQ786441 ICM786435:ICM786441 IMI786435:IMI786441 IWE786435:IWE786441 JGA786435:JGA786441 JPW786435:JPW786441 JZS786435:JZS786441 KJO786435:KJO786441 KTK786435:KTK786441 LDG786435:LDG786441 LNC786435:LNC786441 LWY786435:LWY786441 MGU786435:MGU786441 MQQ786435:MQQ786441 NAM786435:NAM786441 NKI786435:NKI786441 NUE786435:NUE786441 OEA786435:OEA786441 ONW786435:ONW786441 OXS786435:OXS786441 PHO786435:PHO786441 PRK786435:PRK786441 QBG786435:QBG786441 QLC786435:QLC786441 QUY786435:QUY786441 REU786435:REU786441 ROQ786435:ROQ786441 RYM786435:RYM786441 SII786435:SII786441 SSE786435:SSE786441 TCA786435:TCA786441 TLW786435:TLW786441 TVS786435:TVS786441 UFO786435:UFO786441 UPK786435:UPK786441 UZG786435:UZG786441 VJC786435:VJC786441 VSY786435:VSY786441 WCU786435:WCU786441 WMQ786435:WMQ786441 WWM786435:WWM786441 AE851971:AE851977 KA851971:KA851977 TW851971:TW851977 ADS851971:ADS851977 ANO851971:ANO851977 AXK851971:AXK851977 BHG851971:BHG851977 BRC851971:BRC851977 CAY851971:CAY851977 CKU851971:CKU851977 CUQ851971:CUQ851977 DEM851971:DEM851977 DOI851971:DOI851977 DYE851971:DYE851977 EIA851971:EIA851977 ERW851971:ERW851977 FBS851971:FBS851977 FLO851971:FLO851977 FVK851971:FVK851977 GFG851971:GFG851977 GPC851971:GPC851977 GYY851971:GYY851977 HIU851971:HIU851977 HSQ851971:HSQ851977 ICM851971:ICM851977 IMI851971:IMI851977 IWE851971:IWE851977 JGA851971:JGA851977 JPW851971:JPW851977 JZS851971:JZS851977 KJO851971:KJO851977 KTK851971:KTK851977 LDG851971:LDG851977 LNC851971:LNC851977 LWY851971:LWY851977 MGU851971:MGU851977 MQQ851971:MQQ851977 NAM851971:NAM851977 NKI851971:NKI851977 NUE851971:NUE851977 OEA851971:OEA851977 ONW851971:ONW851977 OXS851971:OXS851977 PHO851971:PHO851977 PRK851971:PRK851977 QBG851971:QBG851977 QLC851971:QLC851977 QUY851971:QUY851977 REU851971:REU851977 ROQ851971:ROQ851977 RYM851971:RYM851977 SII851971:SII851977 SSE851971:SSE851977 TCA851971:TCA851977 TLW851971:TLW851977 TVS851971:TVS851977 UFO851971:UFO851977 UPK851971:UPK851977 UZG851971:UZG851977 VJC851971:VJC851977 VSY851971:VSY851977 WCU851971:WCU851977 WMQ851971:WMQ851977 WWM851971:WWM851977 AE917507:AE917513 KA917507:KA917513 TW917507:TW917513 ADS917507:ADS917513 ANO917507:ANO917513 AXK917507:AXK917513 BHG917507:BHG917513 BRC917507:BRC917513 CAY917507:CAY917513 CKU917507:CKU917513 CUQ917507:CUQ917513 DEM917507:DEM917513 DOI917507:DOI917513 DYE917507:DYE917513 EIA917507:EIA917513 ERW917507:ERW917513 FBS917507:FBS917513 FLO917507:FLO917513 FVK917507:FVK917513 GFG917507:GFG917513 GPC917507:GPC917513 GYY917507:GYY917513 HIU917507:HIU917513 HSQ917507:HSQ917513 ICM917507:ICM917513 IMI917507:IMI917513 IWE917507:IWE917513 JGA917507:JGA917513 JPW917507:JPW917513 JZS917507:JZS917513 KJO917507:KJO917513 KTK917507:KTK917513 LDG917507:LDG917513 LNC917507:LNC917513 LWY917507:LWY917513 MGU917507:MGU917513 MQQ917507:MQQ917513 NAM917507:NAM917513 NKI917507:NKI917513 NUE917507:NUE917513 OEA917507:OEA917513 ONW917507:ONW917513 OXS917507:OXS917513 PHO917507:PHO917513 PRK917507:PRK917513 QBG917507:QBG917513 QLC917507:QLC917513 QUY917507:QUY917513 REU917507:REU917513 ROQ917507:ROQ917513 RYM917507:RYM917513 SII917507:SII917513 SSE917507:SSE917513 TCA917507:TCA917513 TLW917507:TLW917513 TVS917507:TVS917513 UFO917507:UFO917513 UPK917507:UPK917513 UZG917507:UZG917513 VJC917507:VJC917513 VSY917507:VSY917513 WCU917507:WCU917513 WMQ917507:WMQ917513 WWM917507:WWM917513 AE983043:AE983049 KA983043:KA983049 TW983043:TW983049 ADS983043:ADS983049 ANO983043:ANO983049 AXK983043:AXK983049 BHG983043:BHG983049 BRC983043:BRC983049 CAY983043:CAY983049 CKU983043:CKU983049 CUQ983043:CUQ983049 DEM983043:DEM983049 DOI983043:DOI983049 DYE983043:DYE983049 EIA983043:EIA983049 ERW983043:ERW983049 FBS983043:FBS983049 FLO983043:FLO983049 FVK983043:FVK983049 GFG983043:GFG983049 GPC983043:GPC983049 GYY983043:GYY983049 HIU983043:HIU983049 HSQ983043:HSQ983049 ICM983043:ICM983049 IMI983043:IMI983049 IWE983043:IWE983049 JGA983043:JGA983049 JPW983043:JPW983049 JZS983043:JZS983049 KJO983043:KJO983049 KTK983043:KTK983049 LDG983043:LDG983049 LNC983043:LNC983049 LWY983043:LWY983049 MGU983043:MGU983049 MQQ983043:MQQ983049 NAM983043:NAM983049 NKI983043:NKI983049 NUE983043:NUE983049 OEA983043:OEA983049 ONW983043:ONW983049 OXS983043:OXS983049 PHO983043:PHO983049 PRK983043:PRK983049 QBG983043:QBG983049 QLC983043:QLC983049 QUY983043:QUY983049 REU983043:REU983049 ROQ983043:ROQ983049 RYM983043:RYM983049 SII983043:SII983049 SSE983043:SSE983049 TCA983043:TCA983049 TLW983043:TLW983049 TVS983043:TVS983049 UFO983043:UFO983049 UPK983043:UPK983049 UZG983043:UZG983049 VJC983043:VJC983049 VSY983043:VSY983049 WCU983043:WCU983049 WMQ983043:WMQ983049 WWM983043:WWM983049 KA8:KA9 TW8:TW9 ADS8:ADS9 ANO8:ANO9 AXK8:AXK9 BHG8:BHG9 BRC8:BRC9 CAY8:CAY9 CKU8:CKU9 CUQ8:CUQ9 DEM8:DEM9 DOI8:DOI9 DYE8:DYE9 EIA8:EIA9 ERW8:ERW9 FBS8:FBS9 FLO8:FLO9 FVK8:FVK9 GFG8:GFG9 GPC8:GPC9 GYY8:GYY9 HIU8:HIU9 HSQ8:HSQ9 ICM8:ICM9 IMI8:IMI9 IWE8:IWE9 JGA8:JGA9 JPW8:JPW9 JZS8:JZS9 KJO8:KJO9 KTK8:KTK9 LDG8:LDG9 LNC8:LNC9 LWY8:LWY9 MGU8:MGU9 MQQ8:MQQ9 NAM8:NAM9 NKI8:NKI9 NUE8:NUE9 OEA8:OEA9 ONW8:ONW9 OXS8:OXS9 PHO8:PHO9 PRK8:PRK9 QBG8:QBG9 QLC8:QLC9 QUY8:QUY9 REU8:REU9 ROQ8:ROQ9 RYM8:RYM9 SII8:SII9 SSE8:SSE9 TCA8:TCA9 TLW8:TLW9 TVS8:TVS9 UFO8:UFO9 UPK8:UPK9 UZG8:UZG9 VJC8:VJC9 VSY8:VSY9 WCU8:WCU9 WMQ8:WMQ9 WWM8:WWM9 AE8:AE9">
      <formula1>$AH$1:$AH$4</formula1>
    </dataValidation>
    <dataValidation type="date" showInputMessage="1" showErrorMessage="1" error="Debe Digitar una Fecha Valida o Verificar la Fecha Inicial" sqref="AC65539 JY65539 TU65539 ADQ65539 ANM65539 AXI65539 BHE65539 BRA65539 CAW65539 CKS65539 CUO65539 DEK65539 DOG65539 DYC65539 EHY65539 ERU65539 FBQ65539 FLM65539 FVI65539 GFE65539 GPA65539 GYW65539 HIS65539 HSO65539 ICK65539 IMG65539 IWC65539 JFY65539 JPU65539 JZQ65539 KJM65539 KTI65539 LDE65539 LNA65539 LWW65539 MGS65539 MQO65539 NAK65539 NKG65539 NUC65539 ODY65539 ONU65539 OXQ65539 PHM65539 PRI65539 QBE65539 QLA65539 QUW65539 RES65539 ROO65539 RYK65539 SIG65539 SSC65539 TBY65539 TLU65539 TVQ65539 UFM65539 UPI65539 UZE65539 VJA65539 VSW65539 WCS65539 WMO65539 WWK65539 AC131075 JY131075 TU131075 ADQ131075 ANM131075 AXI131075 BHE131075 BRA131075 CAW131075 CKS131075 CUO131075 DEK131075 DOG131075 DYC131075 EHY131075 ERU131075 FBQ131075 FLM131075 FVI131075 GFE131075 GPA131075 GYW131075 HIS131075 HSO131075 ICK131075 IMG131075 IWC131075 JFY131075 JPU131075 JZQ131075 KJM131075 KTI131075 LDE131075 LNA131075 LWW131075 MGS131075 MQO131075 NAK131075 NKG131075 NUC131075 ODY131075 ONU131075 OXQ131075 PHM131075 PRI131075 QBE131075 QLA131075 QUW131075 RES131075 ROO131075 RYK131075 SIG131075 SSC131075 TBY131075 TLU131075 TVQ131075 UFM131075 UPI131075 UZE131075 VJA131075 VSW131075 WCS131075 WMO131075 WWK131075 AC196611 JY196611 TU196611 ADQ196611 ANM196611 AXI196611 BHE196611 BRA196611 CAW196611 CKS196611 CUO196611 DEK196611 DOG196611 DYC196611 EHY196611 ERU196611 FBQ196611 FLM196611 FVI196611 GFE196611 GPA196611 GYW196611 HIS196611 HSO196611 ICK196611 IMG196611 IWC196611 JFY196611 JPU196611 JZQ196611 KJM196611 KTI196611 LDE196611 LNA196611 LWW196611 MGS196611 MQO196611 NAK196611 NKG196611 NUC196611 ODY196611 ONU196611 OXQ196611 PHM196611 PRI196611 QBE196611 QLA196611 QUW196611 RES196611 ROO196611 RYK196611 SIG196611 SSC196611 TBY196611 TLU196611 TVQ196611 UFM196611 UPI196611 UZE196611 VJA196611 VSW196611 WCS196611 WMO196611 WWK196611 AC262147 JY262147 TU262147 ADQ262147 ANM262147 AXI262147 BHE262147 BRA262147 CAW262147 CKS262147 CUO262147 DEK262147 DOG262147 DYC262147 EHY262147 ERU262147 FBQ262147 FLM262147 FVI262147 GFE262147 GPA262147 GYW262147 HIS262147 HSO262147 ICK262147 IMG262147 IWC262147 JFY262147 JPU262147 JZQ262147 KJM262147 KTI262147 LDE262147 LNA262147 LWW262147 MGS262147 MQO262147 NAK262147 NKG262147 NUC262147 ODY262147 ONU262147 OXQ262147 PHM262147 PRI262147 QBE262147 QLA262147 QUW262147 RES262147 ROO262147 RYK262147 SIG262147 SSC262147 TBY262147 TLU262147 TVQ262147 UFM262147 UPI262147 UZE262147 VJA262147 VSW262147 WCS262147 WMO262147 WWK262147 AC327683 JY327683 TU327683 ADQ327683 ANM327683 AXI327683 BHE327683 BRA327683 CAW327683 CKS327683 CUO327683 DEK327683 DOG327683 DYC327683 EHY327683 ERU327683 FBQ327683 FLM327683 FVI327683 GFE327683 GPA327683 GYW327683 HIS327683 HSO327683 ICK327683 IMG327683 IWC327683 JFY327683 JPU327683 JZQ327683 KJM327683 KTI327683 LDE327683 LNA327683 LWW327683 MGS327683 MQO327683 NAK327683 NKG327683 NUC327683 ODY327683 ONU327683 OXQ327683 PHM327683 PRI327683 QBE327683 QLA327683 QUW327683 RES327683 ROO327683 RYK327683 SIG327683 SSC327683 TBY327683 TLU327683 TVQ327683 UFM327683 UPI327683 UZE327683 VJA327683 VSW327683 WCS327683 WMO327683 WWK327683 AC393219 JY393219 TU393219 ADQ393219 ANM393219 AXI393219 BHE393219 BRA393219 CAW393219 CKS393219 CUO393219 DEK393219 DOG393219 DYC393219 EHY393219 ERU393219 FBQ393219 FLM393219 FVI393219 GFE393219 GPA393219 GYW393219 HIS393219 HSO393219 ICK393219 IMG393219 IWC393219 JFY393219 JPU393219 JZQ393219 KJM393219 KTI393219 LDE393219 LNA393219 LWW393219 MGS393219 MQO393219 NAK393219 NKG393219 NUC393219 ODY393219 ONU393219 OXQ393219 PHM393219 PRI393219 QBE393219 QLA393219 QUW393219 RES393219 ROO393219 RYK393219 SIG393219 SSC393219 TBY393219 TLU393219 TVQ393219 UFM393219 UPI393219 UZE393219 VJA393219 VSW393219 WCS393219 WMO393219 WWK393219 AC458755 JY458755 TU458755 ADQ458755 ANM458755 AXI458755 BHE458755 BRA458755 CAW458755 CKS458755 CUO458755 DEK458755 DOG458755 DYC458755 EHY458755 ERU458755 FBQ458755 FLM458755 FVI458755 GFE458755 GPA458755 GYW458755 HIS458755 HSO458755 ICK458755 IMG458755 IWC458755 JFY458755 JPU458755 JZQ458755 KJM458755 KTI458755 LDE458755 LNA458755 LWW458755 MGS458755 MQO458755 NAK458755 NKG458755 NUC458755 ODY458755 ONU458755 OXQ458755 PHM458755 PRI458755 QBE458755 QLA458755 QUW458755 RES458755 ROO458755 RYK458755 SIG458755 SSC458755 TBY458755 TLU458755 TVQ458755 UFM458755 UPI458755 UZE458755 VJA458755 VSW458755 WCS458755 WMO458755 WWK458755 AC524291 JY524291 TU524291 ADQ524291 ANM524291 AXI524291 BHE524291 BRA524291 CAW524291 CKS524291 CUO524291 DEK524291 DOG524291 DYC524291 EHY524291 ERU524291 FBQ524291 FLM524291 FVI524291 GFE524291 GPA524291 GYW524291 HIS524291 HSO524291 ICK524291 IMG524291 IWC524291 JFY524291 JPU524291 JZQ524291 KJM524291 KTI524291 LDE524291 LNA524291 LWW524291 MGS524291 MQO524291 NAK524291 NKG524291 NUC524291 ODY524291 ONU524291 OXQ524291 PHM524291 PRI524291 QBE524291 QLA524291 QUW524291 RES524291 ROO524291 RYK524291 SIG524291 SSC524291 TBY524291 TLU524291 TVQ524291 UFM524291 UPI524291 UZE524291 VJA524291 VSW524291 WCS524291 WMO524291 WWK524291 AC589827 JY589827 TU589827 ADQ589827 ANM589827 AXI589827 BHE589827 BRA589827 CAW589827 CKS589827 CUO589827 DEK589827 DOG589827 DYC589827 EHY589827 ERU589827 FBQ589827 FLM589827 FVI589827 GFE589827 GPA589827 GYW589827 HIS589827 HSO589827 ICK589827 IMG589827 IWC589827 JFY589827 JPU589827 JZQ589827 KJM589827 KTI589827 LDE589827 LNA589827 LWW589827 MGS589827 MQO589827 NAK589827 NKG589827 NUC589827 ODY589827 ONU589827 OXQ589827 PHM589827 PRI589827 QBE589827 QLA589827 QUW589827 RES589827 ROO589827 RYK589827 SIG589827 SSC589827 TBY589827 TLU589827 TVQ589827 UFM589827 UPI589827 UZE589827 VJA589827 VSW589827 WCS589827 WMO589827 WWK589827 AC655363 JY655363 TU655363 ADQ655363 ANM655363 AXI655363 BHE655363 BRA655363 CAW655363 CKS655363 CUO655363 DEK655363 DOG655363 DYC655363 EHY655363 ERU655363 FBQ655363 FLM655363 FVI655363 GFE655363 GPA655363 GYW655363 HIS655363 HSO655363 ICK655363 IMG655363 IWC655363 JFY655363 JPU655363 JZQ655363 KJM655363 KTI655363 LDE655363 LNA655363 LWW655363 MGS655363 MQO655363 NAK655363 NKG655363 NUC655363 ODY655363 ONU655363 OXQ655363 PHM655363 PRI655363 QBE655363 QLA655363 QUW655363 RES655363 ROO655363 RYK655363 SIG655363 SSC655363 TBY655363 TLU655363 TVQ655363 UFM655363 UPI655363 UZE655363 VJA655363 VSW655363 WCS655363 WMO655363 WWK655363 AC720899 JY720899 TU720899 ADQ720899 ANM720899 AXI720899 BHE720899 BRA720899 CAW720899 CKS720899 CUO720899 DEK720899 DOG720899 DYC720899 EHY720899 ERU720899 FBQ720899 FLM720899 FVI720899 GFE720899 GPA720899 GYW720899 HIS720899 HSO720899 ICK720899 IMG720899 IWC720899 JFY720899 JPU720899 JZQ720899 KJM720899 KTI720899 LDE720899 LNA720899 LWW720899 MGS720899 MQO720899 NAK720899 NKG720899 NUC720899 ODY720899 ONU720899 OXQ720899 PHM720899 PRI720899 QBE720899 QLA720899 QUW720899 RES720899 ROO720899 RYK720899 SIG720899 SSC720899 TBY720899 TLU720899 TVQ720899 UFM720899 UPI720899 UZE720899 VJA720899 VSW720899 WCS720899 WMO720899 WWK720899 AC786435 JY786435 TU786435 ADQ786435 ANM786435 AXI786435 BHE786435 BRA786435 CAW786435 CKS786435 CUO786435 DEK786435 DOG786435 DYC786435 EHY786435 ERU786435 FBQ786435 FLM786435 FVI786435 GFE786435 GPA786435 GYW786435 HIS786435 HSO786435 ICK786435 IMG786435 IWC786435 JFY786435 JPU786435 JZQ786435 KJM786435 KTI786435 LDE786435 LNA786435 LWW786435 MGS786435 MQO786435 NAK786435 NKG786435 NUC786435 ODY786435 ONU786435 OXQ786435 PHM786435 PRI786435 QBE786435 QLA786435 QUW786435 RES786435 ROO786435 RYK786435 SIG786435 SSC786435 TBY786435 TLU786435 TVQ786435 UFM786435 UPI786435 UZE786435 VJA786435 VSW786435 WCS786435 WMO786435 WWK786435 AC851971 JY851971 TU851971 ADQ851971 ANM851971 AXI851971 BHE851971 BRA851971 CAW851971 CKS851971 CUO851971 DEK851971 DOG851971 DYC851971 EHY851971 ERU851971 FBQ851971 FLM851971 FVI851971 GFE851971 GPA851971 GYW851971 HIS851971 HSO851971 ICK851971 IMG851971 IWC851971 JFY851971 JPU851971 JZQ851971 KJM851971 KTI851971 LDE851971 LNA851971 LWW851971 MGS851971 MQO851971 NAK851971 NKG851971 NUC851971 ODY851971 ONU851971 OXQ851971 PHM851971 PRI851971 QBE851971 QLA851971 QUW851971 RES851971 ROO851971 RYK851971 SIG851971 SSC851971 TBY851971 TLU851971 TVQ851971 UFM851971 UPI851971 UZE851971 VJA851971 VSW851971 WCS851971 WMO851971 WWK851971 AC917507 JY917507 TU917507 ADQ917507 ANM917507 AXI917507 BHE917507 BRA917507 CAW917507 CKS917507 CUO917507 DEK917507 DOG917507 DYC917507 EHY917507 ERU917507 FBQ917507 FLM917507 FVI917507 GFE917507 GPA917507 GYW917507 HIS917507 HSO917507 ICK917507 IMG917507 IWC917507 JFY917507 JPU917507 JZQ917507 KJM917507 KTI917507 LDE917507 LNA917507 LWW917507 MGS917507 MQO917507 NAK917507 NKG917507 NUC917507 ODY917507 ONU917507 OXQ917507 PHM917507 PRI917507 QBE917507 QLA917507 QUW917507 RES917507 ROO917507 RYK917507 SIG917507 SSC917507 TBY917507 TLU917507 TVQ917507 UFM917507 UPI917507 UZE917507 VJA917507 VSW917507 WCS917507 WMO917507 WWK917507 AC983043 JY983043 TU983043 ADQ983043 ANM983043 AXI983043 BHE983043 BRA983043 CAW983043 CKS983043 CUO983043 DEK983043 DOG983043 DYC983043 EHY983043 ERU983043 FBQ983043 FLM983043 FVI983043 GFE983043 GPA983043 GYW983043 HIS983043 HSO983043 ICK983043 IMG983043 IWC983043 JFY983043 JPU983043 JZQ983043 KJM983043 KTI983043 LDE983043 LNA983043 LWW983043 MGS983043 MQO983043 NAK983043 NKG983043 NUC983043 ODY983043 ONU983043 OXQ983043 PHM983043 PRI983043 QBE983043 QLA983043 QUW983043 RES983043 ROO983043 RYK983043 SIG983043 SSC983043 TBY983043 TLU983043 TVQ983043 UFM983043 UPI983043 UZE983043 VJA983043 VSW983043 WCS983043 WMO983043 WWK983043 AC65541:AC65545 JY65541:JY65545 TU65541:TU65545 ADQ65541:ADQ65545 ANM65541:ANM65545 AXI65541:AXI65545 BHE65541:BHE65545 BRA65541:BRA65545 CAW65541:CAW65545 CKS65541:CKS65545 CUO65541:CUO65545 DEK65541:DEK65545 DOG65541:DOG65545 DYC65541:DYC65545 EHY65541:EHY65545 ERU65541:ERU65545 FBQ65541:FBQ65545 FLM65541:FLM65545 FVI65541:FVI65545 GFE65541:GFE65545 GPA65541:GPA65545 GYW65541:GYW65545 HIS65541:HIS65545 HSO65541:HSO65545 ICK65541:ICK65545 IMG65541:IMG65545 IWC65541:IWC65545 JFY65541:JFY65545 JPU65541:JPU65545 JZQ65541:JZQ65545 KJM65541:KJM65545 KTI65541:KTI65545 LDE65541:LDE65545 LNA65541:LNA65545 LWW65541:LWW65545 MGS65541:MGS65545 MQO65541:MQO65545 NAK65541:NAK65545 NKG65541:NKG65545 NUC65541:NUC65545 ODY65541:ODY65545 ONU65541:ONU65545 OXQ65541:OXQ65545 PHM65541:PHM65545 PRI65541:PRI65545 QBE65541:QBE65545 QLA65541:QLA65545 QUW65541:QUW65545 RES65541:RES65545 ROO65541:ROO65545 RYK65541:RYK65545 SIG65541:SIG65545 SSC65541:SSC65545 TBY65541:TBY65545 TLU65541:TLU65545 TVQ65541:TVQ65545 UFM65541:UFM65545 UPI65541:UPI65545 UZE65541:UZE65545 VJA65541:VJA65545 VSW65541:VSW65545 WCS65541:WCS65545 WMO65541:WMO65545 WWK65541:WWK65545 AC131077:AC131081 JY131077:JY131081 TU131077:TU131081 ADQ131077:ADQ131081 ANM131077:ANM131081 AXI131077:AXI131081 BHE131077:BHE131081 BRA131077:BRA131081 CAW131077:CAW131081 CKS131077:CKS131081 CUO131077:CUO131081 DEK131077:DEK131081 DOG131077:DOG131081 DYC131077:DYC131081 EHY131077:EHY131081 ERU131077:ERU131081 FBQ131077:FBQ131081 FLM131077:FLM131081 FVI131077:FVI131081 GFE131077:GFE131081 GPA131077:GPA131081 GYW131077:GYW131081 HIS131077:HIS131081 HSO131077:HSO131081 ICK131077:ICK131081 IMG131077:IMG131081 IWC131077:IWC131081 JFY131077:JFY131081 JPU131077:JPU131081 JZQ131077:JZQ131081 KJM131077:KJM131081 KTI131077:KTI131081 LDE131077:LDE131081 LNA131077:LNA131081 LWW131077:LWW131081 MGS131077:MGS131081 MQO131077:MQO131081 NAK131077:NAK131081 NKG131077:NKG131081 NUC131077:NUC131081 ODY131077:ODY131081 ONU131077:ONU131081 OXQ131077:OXQ131081 PHM131077:PHM131081 PRI131077:PRI131081 QBE131077:QBE131081 QLA131077:QLA131081 QUW131077:QUW131081 RES131077:RES131081 ROO131077:ROO131081 RYK131077:RYK131081 SIG131077:SIG131081 SSC131077:SSC131081 TBY131077:TBY131081 TLU131077:TLU131081 TVQ131077:TVQ131081 UFM131077:UFM131081 UPI131077:UPI131081 UZE131077:UZE131081 VJA131077:VJA131081 VSW131077:VSW131081 WCS131077:WCS131081 WMO131077:WMO131081 WWK131077:WWK131081 AC196613:AC196617 JY196613:JY196617 TU196613:TU196617 ADQ196613:ADQ196617 ANM196613:ANM196617 AXI196613:AXI196617 BHE196613:BHE196617 BRA196613:BRA196617 CAW196613:CAW196617 CKS196613:CKS196617 CUO196613:CUO196617 DEK196613:DEK196617 DOG196613:DOG196617 DYC196613:DYC196617 EHY196613:EHY196617 ERU196613:ERU196617 FBQ196613:FBQ196617 FLM196613:FLM196617 FVI196613:FVI196617 GFE196613:GFE196617 GPA196613:GPA196617 GYW196613:GYW196617 HIS196613:HIS196617 HSO196613:HSO196617 ICK196613:ICK196617 IMG196613:IMG196617 IWC196613:IWC196617 JFY196613:JFY196617 JPU196613:JPU196617 JZQ196613:JZQ196617 KJM196613:KJM196617 KTI196613:KTI196617 LDE196613:LDE196617 LNA196613:LNA196617 LWW196613:LWW196617 MGS196613:MGS196617 MQO196613:MQO196617 NAK196613:NAK196617 NKG196613:NKG196617 NUC196613:NUC196617 ODY196613:ODY196617 ONU196613:ONU196617 OXQ196613:OXQ196617 PHM196613:PHM196617 PRI196613:PRI196617 QBE196613:QBE196617 QLA196613:QLA196617 QUW196613:QUW196617 RES196613:RES196617 ROO196613:ROO196617 RYK196613:RYK196617 SIG196613:SIG196617 SSC196613:SSC196617 TBY196613:TBY196617 TLU196613:TLU196617 TVQ196613:TVQ196617 UFM196613:UFM196617 UPI196613:UPI196617 UZE196613:UZE196617 VJA196613:VJA196617 VSW196613:VSW196617 WCS196613:WCS196617 WMO196613:WMO196617 WWK196613:WWK196617 AC262149:AC262153 JY262149:JY262153 TU262149:TU262153 ADQ262149:ADQ262153 ANM262149:ANM262153 AXI262149:AXI262153 BHE262149:BHE262153 BRA262149:BRA262153 CAW262149:CAW262153 CKS262149:CKS262153 CUO262149:CUO262153 DEK262149:DEK262153 DOG262149:DOG262153 DYC262149:DYC262153 EHY262149:EHY262153 ERU262149:ERU262153 FBQ262149:FBQ262153 FLM262149:FLM262153 FVI262149:FVI262153 GFE262149:GFE262153 GPA262149:GPA262153 GYW262149:GYW262153 HIS262149:HIS262153 HSO262149:HSO262153 ICK262149:ICK262153 IMG262149:IMG262153 IWC262149:IWC262153 JFY262149:JFY262153 JPU262149:JPU262153 JZQ262149:JZQ262153 KJM262149:KJM262153 KTI262149:KTI262153 LDE262149:LDE262153 LNA262149:LNA262153 LWW262149:LWW262153 MGS262149:MGS262153 MQO262149:MQO262153 NAK262149:NAK262153 NKG262149:NKG262153 NUC262149:NUC262153 ODY262149:ODY262153 ONU262149:ONU262153 OXQ262149:OXQ262153 PHM262149:PHM262153 PRI262149:PRI262153 QBE262149:QBE262153 QLA262149:QLA262153 QUW262149:QUW262153 RES262149:RES262153 ROO262149:ROO262153 RYK262149:RYK262153 SIG262149:SIG262153 SSC262149:SSC262153 TBY262149:TBY262153 TLU262149:TLU262153 TVQ262149:TVQ262153 UFM262149:UFM262153 UPI262149:UPI262153 UZE262149:UZE262153 VJA262149:VJA262153 VSW262149:VSW262153 WCS262149:WCS262153 WMO262149:WMO262153 WWK262149:WWK262153 AC327685:AC327689 JY327685:JY327689 TU327685:TU327689 ADQ327685:ADQ327689 ANM327685:ANM327689 AXI327685:AXI327689 BHE327685:BHE327689 BRA327685:BRA327689 CAW327685:CAW327689 CKS327685:CKS327689 CUO327685:CUO327689 DEK327685:DEK327689 DOG327685:DOG327689 DYC327685:DYC327689 EHY327685:EHY327689 ERU327685:ERU327689 FBQ327685:FBQ327689 FLM327685:FLM327689 FVI327685:FVI327689 GFE327685:GFE327689 GPA327685:GPA327689 GYW327685:GYW327689 HIS327685:HIS327689 HSO327685:HSO327689 ICK327685:ICK327689 IMG327685:IMG327689 IWC327685:IWC327689 JFY327685:JFY327689 JPU327685:JPU327689 JZQ327685:JZQ327689 KJM327685:KJM327689 KTI327685:KTI327689 LDE327685:LDE327689 LNA327685:LNA327689 LWW327685:LWW327689 MGS327685:MGS327689 MQO327685:MQO327689 NAK327685:NAK327689 NKG327685:NKG327689 NUC327685:NUC327689 ODY327685:ODY327689 ONU327685:ONU327689 OXQ327685:OXQ327689 PHM327685:PHM327689 PRI327685:PRI327689 QBE327685:QBE327689 QLA327685:QLA327689 QUW327685:QUW327689 RES327685:RES327689 ROO327685:ROO327689 RYK327685:RYK327689 SIG327685:SIG327689 SSC327685:SSC327689 TBY327685:TBY327689 TLU327685:TLU327689 TVQ327685:TVQ327689 UFM327685:UFM327689 UPI327685:UPI327689 UZE327685:UZE327689 VJA327685:VJA327689 VSW327685:VSW327689 WCS327685:WCS327689 WMO327685:WMO327689 WWK327685:WWK327689 AC393221:AC393225 JY393221:JY393225 TU393221:TU393225 ADQ393221:ADQ393225 ANM393221:ANM393225 AXI393221:AXI393225 BHE393221:BHE393225 BRA393221:BRA393225 CAW393221:CAW393225 CKS393221:CKS393225 CUO393221:CUO393225 DEK393221:DEK393225 DOG393221:DOG393225 DYC393221:DYC393225 EHY393221:EHY393225 ERU393221:ERU393225 FBQ393221:FBQ393225 FLM393221:FLM393225 FVI393221:FVI393225 GFE393221:GFE393225 GPA393221:GPA393225 GYW393221:GYW393225 HIS393221:HIS393225 HSO393221:HSO393225 ICK393221:ICK393225 IMG393221:IMG393225 IWC393221:IWC393225 JFY393221:JFY393225 JPU393221:JPU393225 JZQ393221:JZQ393225 KJM393221:KJM393225 KTI393221:KTI393225 LDE393221:LDE393225 LNA393221:LNA393225 LWW393221:LWW393225 MGS393221:MGS393225 MQO393221:MQO393225 NAK393221:NAK393225 NKG393221:NKG393225 NUC393221:NUC393225 ODY393221:ODY393225 ONU393221:ONU393225 OXQ393221:OXQ393225 PHM393221:PHM393225 PRI393221:PRI393225 QBE393221:QBE393225 QLA393221:QLA393225 QUW393221:QUW393225 RES393221:RES393225 ROO393221:ROO393225 RYK393221:RYK393225 SIG393221:SIG393225 SSC393221:SSC393225 TBY393221:TBY393225 TLU393221:TLU393225 TVQ393221:TVQ393225 UFM393221:UFM393225 UPI393221:UPI393225 UZE393221:UZE393225 VJA393221:VJA393225 VSW393221:VSW393225 WCS393221:WCS393225 WMO393221:WMO393225 WWK393221:WWK393225 AC458757:AC458761 JY458757:JY458761 TU458757:TU458761 ADQ458757:ADQ458761 ANM458757:ANM458761 AXI458757:AXI458761 BHE458757:BHE458761 BRA458757:BRA458761 CAW458757:CAW458761 CKS458757:CKS458761 CUO458757:CUO458761 DEK458757:DEK458761 DOG458757:DOG458761 DYC458757:DYC458761 EHY458757:EHY458761 ERU458757:ERU458761 FBQ458757:FBQ458761 FLM458757:FLM458761 FVI458757:FVI458761 GFE458757:GFE458761 GPA458757:GPA458761 GYW458757:GYW458761 HIS458757:HIS458761 HSO458757:HSO458761 ICK458757:ICK458761 IMG458757:IMG458761 IWC458757:IWC458761 JFY458757:JFY458761 JPU458757:JPU458761 JZQ458757:JZQ458761 KJM458757:KJM458761 KTI458757:KTI458761 LDE458757:LDE458761 LNA458757:LNA458761 LWW458757:LWW458761 MGS458757:MGS458761 MQO458757:MQO458761 NAK458757:NAK458761 NKG458757:NKG458761 NUC458757:NUC458761 ODY458757:ODY458761 ONU458757:ONU458761 OXQ458757:OXQ458761 PHM458757:PHM458761 PRI458757:PRI458761 QBE458757:QBE458761 QLA458757:QLA458761 QUW458757:QUW458761 RES458757:RES458761 ROO458757:ROO458761 RYK458757:RYK458761 SIG458757:SIG458761 SSC458757:SSC458761 TBY458757:TBY458761 TLU458757:TLU458761 TVQ458757:TVQ458761 UFM458757:UFM458761 UPI458757:UPI458761 UZE458757:UZE458761 VJA458757:VJA458761 VSW458757:VSW458761 WCS458757:WCS458761 WMO458757:WMO458761 WWK458757:WWK458761 AC524293:AC524297 JY524293:JY524297 TU524293:TU524297 ADQ524293:ADQ524297 ANM524293:ANM524297 AXI524293:AXI524297 BHE524293:BHE524297 BRA524293:BRA524297 CAW524293:CAW524297 CKS524293:CKS524297 CUO524293:CUO524297 DEK524293:DEK524297 DOG524293:DOG524297 DYC524293:DYC524297 EHY524293:EHY524297 ERU524293:ERU524297 FBQ524293:FBQ524297 FLM524293:FLM524297 FVI524293:FVI524297 GFE524293:GFE524297 GPA524293:GPA524297 GYW524293:GYW524297 HIS524293:HIS524297 HSO524293:HSO524297 ICK524293:ICK524297 IMG524293:IMG524297 IWC524293:IWC524297 JFY524293:JFY524297 JPU524293:JPU524297 JZQ524293:JZQ524297 KJM524293:KJM524297 KTI524293:KTI524297 LDE524293:LDE524297 LNA524293:LNA524297 LWW524293:LWW524297 MGS524293:MGS524297 MQO524293:MQO524297 NAK524293:NAK524297 NKG524293:NKG524297 NUC524293:NUC524297 ODY524293:ODY524297 ONU524293:ONU524297 OXQ524293:OXQ524297 PHM524293:PHM524297 PRI524293:PRI524297 QBE524293:QBE524297 QLA524293:QLA524297 QUW524293:QUW524297 RES524293:RES524297 ROO524293:ROO524297 RYK524293:RYK524297 SIG524293:SIG524297 SSC524293:SSC524297 TBY524293:TBY524297 TLU524293:TLU524297 TVQ524293:TVQ524297 UFM524293:UFM524297 UPI524293:UPI524297 UZE524293:UZE524297 VJA524293:VJA524297 VSW524293:VSW524297 WCS524293:WCS524297 WMO524293:WMO524297 WWK524293:WWK524297 AC589829:AC589833 JY589829:JY589833 TU589829:TU589833 ADQ589829:ADQ589833 ANM589829:ANM589833 AXI589829:AXI589833 BHE589829:BHE589833 BRA589829:BRA589833 CAW589829:CAW589833 CKS589829:CKS589833 CUO589829:CUO589833 DEK589829:DEK589833 DOG589829:DOG589833 DYC589829:DYC589833 EHY589829:EHY589833 ERU589829:ERU589833 FBQ589829:FBQ589833 FLM589829:FLM589833 FVI589829:FVI589833 GFE589829:GFE589833 GPA589829:GPA589833 GYW589829:GYW589833 HIS589829:HIS589833 HSO589829:HSO589833 ICK589829:ICK589833 IMG589829:IMG589833 IWC589829:IWC589833 JFY589829:JFY589833 JPU589829:JPU589833 JZQ589829:JZQ589833 KJM589829:KJM589833 KTI589829:KTI589833 LDE589829:LDE589833 LNA589829:LNA589833 LWW589829:LWW589833 MGS589829:MGS589833 MQO589829:MQO589833 NAK589829:NAK589833 NKG589829:NKG589833 NUC589829:NUC589833 ODY589829:ODY589833 ONU589829:ONU589833 OXQ589829:OXQ589833 PHM589829:PHM589833 PRI589829:PRI589833 QBE589829:QBE589833 QLA589829:QLA589833 QUW589829:QUW589833 RES589829:RES589833 ROO589829:ROO589833 RYK589829:RYK589833 SIG589829:SIG589833 SSC589829:SSC589833 TBY589829:TBY589833 TLU589829:TLU589833 TVQ589829:TVQ589833 UFM589829:UFM589833 UPI589829:UPI589833 UZE589829:UZE589833 VJA589829:VJA589833 VSW589829:VSW589833 WCS589829:WCS589833 WMO589829:WMO589833 WWK589829:WWK589833 AC655365:AC655369 JY655365:JY655369 TU655365:TU655369 ADQ655365:ADQ655369 ANM655365:ANM655369 AXI655365:AXI655369 BHE655365:BHE655369 BRA655365:BRA655369 CAW655365:CAW655369 CKS655365:CKS655369 CUO655365:CUO655369 DEK655365:DEK655369 DOG655365:DOG655369 DYC655365:DYC655369 EHY655365:EHY655369 ERU655365:ERU655369 FBQ655365:FBQ655369 FLM655365:FLM655369 FVI655365:FVI655369 GFE655365:GFE655369 GPA655365:GPA655369 GYW655365:GYW655369 HIS655365:HIS655369 HSO655365:HSO655369 ICK655365:ICK655369 IMG655365:IMG655369 IWC655365:IWC655369 JFY655365:JFY655369 JPU655365:JPU655369 JZQ655365:JZQ655369 KJM655365:KJM655369 KTI655365:KTI655369 LDE655365:LDE655369 LNA655365:LNA655369 LWW655365:LWW655369 MGS655365:MGS655369 MQO655365:MQO655369 NAK655365:NAK655369 NKG655365:NKG655369 NUC655365:NUC655369 ODY655365:ODY655369 ONU655365:ONU655369 OXQ655365:OXQ655369 PHM655365:PHM655369 PRI655365:PRI655369 QBE655365:QBE655369 QLA655365:QLA655369 QUW655365:QUW655369 RES655365:RES655369 ROO655365:ROO655369 RYK655365:RYK655369 SIG655365:SIG655369 SSC655365:SSC655369 TBY655365:TBY655369 TLU655365:TLU655369 TVQ655365:TVQ655369 UFM655365:UFM655369 UPI655365:UPI655369 UZE655365:UZE655369 VJA655365:VJA655369 VSW655365:VSW655369 WCS655365:WCS655369 WMO655365:WMO655369 WWK655365:WWK655369 AC720901:AC720905 JY720901:JY720905 TU720901:TU720905 ADQ720901:ADQ720905 ANM720901:ANM720905 AXI720901:AXI720905 BHE720901:BHE720905 BRA720901:BRA720905 CAW720901:CAW720905 CKS720901:CKS720905 CUO720901:CUO720905 DEK720901:DEK720905 DOG720901:DOG720905 DYC720901:DYC720905 EHY720901:EHY720905 ERU720901:ERU720905 FBQ720901:FBQ720905 FLM720901:FLM720905 FVI720901:FVI720905 GFE720901:GFE720905 GPA720901:GPA720905 GYW720901:GYW720905 HIS720901:HIS720905 HSO720901:HSO720905 ICK720901:ICK720905 IMG720901:IMG720905 IWC720901:IWC720905 JFY720901:JFY720905 JPU720901:JPU720905 JZQ720901:JZQ720905 KJM720901:KJM720905 KTI720901:KTI720905 LDE720901:LDE720905 LNA720901:LNA720905 LWW720901:LWW720905 MGS720901:MGS720905 MQO720901:MQO720905 NAK720901:NAK720905 NKG720901:NKG720905 NUC720901:NUC720905 ODY720901:ODY720905 ONU720901:ONU720905 OXQ720901:OXQ720905 PHM720901:PHM720905 PRI720901:PRI720905 QBE720901:QBE720905 QLA720901:QLA720905 QUW720901:QUW720905 RES720901:RES720905 ROO720901:ROO720905 RYK720901:RYK720905 SIG720901:SIG720905 SSC720901:SSC720905 TBY720901:TBY720905 TLU720901:TLU720905 TVQ720901:TVQ720905 UFM720901:UFM720905 UPI720901:UPI720905 UZE720901:UZE720905 VJA720901:VJA720905 VSW720901:VSW720905 WCS720901:WCS720905 WMO720901:WMO720905 WWK720901:WWK720905 AC786437:AC786441 JY786437:JY786441 TU786437:TU786441 ADQ786437:ADQ786441 ANM786437:ANM786441 AXI786437:AXI786441 BHE786437:BHE786441 BRA786437:BRA786441 CAW786437:CAW786441 CKS786437:CKS786441 CUO786437:CUO786441 DEK786437:DEK786441 DOG786437:DOG786441 DYC786437:DYC786441 EHY786437:EHY786441 ERU786437:ERU786441 FBQ786437:FBQ786441 FLM786437:FLM786441 FVI786437:FVI786441 GFE786437:GFE786441 GPA786437:GPA786441 GYW786437:GYW786441 HIS786437:HIS786441 HSO786437:HSO786441 ICK786437:ICK786441 IMG786437:IMG786441 IWC786437:IWC786441 JFY786437:JFY786441 JPU786437:JPU786441 JZQ786437:JZQ786441 KJM786437:KJM786441 KTI786437:KTI786441 LDE786437:LDE786441 LNA786437:LNA786441 LWW786437:LWW786441 MGS786437:MGS786441 MQO786437:MQO786441 NAK786437:NAK786441 NKG786437:NKG786441 NUC786437:NUC786441 ODY786437:ODY786441 ONU786437:ONU786441 OXQ786437:OXQ786441 PHM786437:PHM786441 PRI786437:PRI786441 QBE786437:QBE786441 QLA786437:QLA786441 QUW786437:QUW786441 RES786437:RES786441 ROO786437:ROO786441 RYK786437:RYK786441 SIG786437:SIG786441 SSC786437:SSC786441 TBY786437:TBY786441 TLU786437:TLU786441 TVQ786437:TVQ786441 UFM786437:UFM786441 UPI786437:UPI786441 UZE786437:UZE786441 VJA786437:VJA786441 VSW786437:VSW786441 WCS786437:WCS786441 WMO786437:WMO786441 WWK786437:WWK786441 AC851973:AC851977 JY851973:JY851977 TU851973:TU851977 ADQ851973:ADQ851977 ANM851973:ANM851977 AXI851973:AXI851977 BHE851973:BHE851977 BRA851973:BRA851977 CAW851973:CAW851977 CKS851973:CKS851977 CUO851973:CUO851977 DEK851973:DEK851977 DOG851973:DOG851977 DYC851973:DYC851977 EHY851973:EHY851977 ERU851973:ERU851977 FBQ851973:FBQ851977 FLM851973:FLM851977 FVI851973:FVI851977 GFE851973:GFE851977 GPA851973:GPA851977 GYW851973:GYW851977 HIS851973:HIS851977 HSO851973:HSO851977 ICK851973:ICK851977 IMG851973:IMG851977 IWC851973:IWC851977 JFY851973:JFY851977 JPU851973:JPU851977 JZQ851973:JZQ851977 KJM851973:KJM851977 KTI851973:KTI851977 LDE851973:LDE851977 LNA851973:LNA851977 LWW851973:LWW851977 MGS851973:MGS851977 MQO851973:MQO851977 NAK851973:NAK851977 NKG851973:NKG851977 NUC851973:NUC851977 ODY851973:ODY851977 ONU851973:ONU851977 OXQ851973:OXQ851977 PHM851973:PHM851977 PRI851973:PRI851977 QBE851973:QBE851977 QLA851973:QLA851977 QUW851973:QUW851977 RES851973:RES851977 ROO851973:ROO851977 RYK851973:RYK851977 SIG851973:SIG851977 SSC851973:SSC851977 TBY851973:TBY851977 TLU851973:TLU851977 TVQ851973:TVQ851977 UFM851973:UFM851977 UPI851973:UPI851977 UZE851973:UZE851977 VJA851973:VJA851977 VSW851973:VSW851977 WCS851973:WCS851977 WMO851973:WMO851977 WWK851973:WWK851977 AC917509:AC917513 JY917509:JY917513 TU917509:TU917513 ADQ917509:ADQ917513 ANM917509:ANM917513 AXI917509:AXI917513 BHE917509:BHE917513 BRA917509:BRA917513 CAW917509:CAW917513 CKS917509:CKS917513 CUO917509:CUO917513 DEK917509:DEK917513 DOG917509:DOG917513 DYC917509:DYC917513 EHY917509:EHY917513 ERU917509:ERU917513 FBQ917509:FBQ917513 FLM917509:FLM917513 FVI917509:FVI917513 GFE917509:GFE917513 GPA917509:GPA917513 GYW917509:GYW917513 HIS917509:HIS917513 HSO917509:HSO917513 ICK917509:ICK917513 IMG917509:IMG917513 IWC917509:IWC917513 JFY917509:JFY917513 JPU917509:JPU917513 JZQ917509:JZQ917513 KJM917509:KJM917513 KTI917509:KTI917513 LDE917509:LDE917513 LNA917509:LNA917513 LWW917509:LWW917513 MGS917509:MGS917513 MQO917509:MQO917513 NAK917509:NAK917513 NKG917509:NKG917513 NUC917509:NUC917513 ODY917509:ODY917513 ONU917509:ONU917513 OXQ917509:OXQ917513 PHM917509:PHM917513 PRI917509:PRI917513 QBE917509:QBE917513 QLA917509:QLA917513 QUW917509:QUW917513 RES917509:RES917513 ROO917509:ROO917513 RYK917509:RYK917513 SIG917509:SIG917513 SSC917509:SSC917513 TBY917509:TBY917513 TLU917509:TLU917513 TVQ917509:TVQ917513 UFM917509:UFM917513 UPI917509:UPI917513 UZE917509:UZE917513 VJA917509:VJA917513 VSW917509:VSW917513 WCS917509:WCS917513 WMO917509:WMO917513 WWK917509:WWK917513 AC983045:AC983049 JY983045:JY983049 TU983045:TU983049 ADQ983045:ADQ983049 ANM983045:ANM983049 AXI983045:AXI983049 BHE983045:BHE983049 BRA983045:BRA983049 CAW983045:CAW983049 CKS983045:CKS983049 CUO983045:CUO983049 DEK983045:DEK983049 DOG983045:DOG983049 DYC983045:DYC983049 EHY983045:EHY983049 ERU983045:ERU983049 FBQ983045:FBQ983049 FLM983045:FLM983049 FVI983045:FVI983049 GFE983045:GFE983049 GPA983045:GPA983049 GYW983045:GYW983049 HIS983045:HIS983049 HSO983045:HSO983049 ICK983045:ICK983049 IMG983045:IMG983049 IWC983045:IWC983049 JFY983045:JFY983049 JPU983045:JPU983049 JZQ983045:JZQ983049 KJM983045:KJM983049 KTI983045:KTI983049 LDE983045:LDE983049 LNA983045:LNA983049 LWW983045:LWW983049 MGS983045:MGS983049 MQO983045:MQO983049 NAK983045:NAK983049 NKG983045:NKG983049 NUC983045:NUC983049 ODY983045:ODY983049 ONU983045:ONU983049 OXQ983045:OXQ983049 PHM983045:PHM983049 PRI983045:PRI983049 QBE983045:QBE983049 QLA983045:QLA983049 QUW983045:QUW983049 RES983045:RES983049 ROO983045:ROO983049 RYK983045:RYK983049 SIG983045:SIG983049 SSC983045:SSC983049 TBY983045:TBY983049 TLU983045:TLU983049 TVQ983045:TVQ983049 UFM983045:UFM983049 UPI983045:UPI983049 UZE983045:UZE983049 VJA983045:VJA983049 VSW983045:VSW983049 WCS983045:WCS983049 WMO983045:WMO983049 WWK983045:WWK983049 AC8:AC9 WCS8:WCS9 WMO8:WMO9 WWK8:WWK9 JY8:JY9 TU8:TU9 ADQ8:ADQ9 ANM8:ANM9 AXI8:AXI9 BHE8:BHE9 BRA8:BRA9 CAW8:CAW9 CKS8:CKS9 CUO8:CUO9 DEK8:DEK9 DOG8:DOG9 DYC8:DYC9 EHY8:EHY9 ERU8:ERU9 FBQ8:FBQ9 FLM8:FLM9 FVI8:FVI9 GFE8:GFE9 GPA8:GPA9 GYW8:GYW9 HIS8:HIS9 HSO8:HSO9 ICK8:ICK9 IMG8:IMG9 IWC8:IWC9 JFY8:JFY9 JPU8:JPU9 JZQ8:JZQ9 KJM8:KJM9 KTI8:KTI9 LDE8:LDE9 LNA8:LNA9 LWW8:LWW9 MGS8:MGS9 MQO8:MQO9 NAK8:NAK9 NKG8:NKG9 NUC8:NUC9 ODY8:ODY9 ONU8:ONU9 OXQ8:OXQ9 PHM8:PHM9 PRI8:PRI9 QBE8:QBE9 QLA8:QLA9 QUW8:QUW9 RES8:RES9 ROO8:ROO9 RYK8:RYK9 SIG8:SIG9 SSC8:SSC9 TBY8:TBY9 TLU8:TLU9 TVQ8:TVQ9 UFM8:UFM9 UPI8:UPI9 UZE8:UZE9 VJA8:VJA9 VSW8:VSW9">
      <formula1>AB8</formula1>
      <formula2>IF(AB8&lt;&gt;0,IF(AC8-AB8&gt;=0,AC8,),)</formula2>
    </dataValidation>
    <dataValidation type="list" allowBlank="1" showInputMessage="1" showErrorMessage="1" sqref="G8 JC8:JC9 WVO8:WVO9 WLS8:WLS9 WBW8:WBW9 VSA8:VSA9 VIE8:VIE9 UYI8:UYI9 UOM8:UOM9 UEQ8:UEQ9 TUU8:TUU9 TKY8:TKY9 TBC8:TBC9 SRG8:SRG9 SHK8:SHK9 RXO8:RXO9 RNS8:RNS9 RDW8:RDW9 QUA8:QUA9 QKE8:QKE9 QAI8:QAI9 PQM8:PQM9 PGQ8:PGQ9 OWU8:OWU9 OMY8:OMY9 ODC8:ODC9 NTG8:NTG9 NJK8:NJK9 MZO8:MZO9 MPS8:MPS9 MFW8:MFW9 LWA8:LWA9 LME8:LME9 LCI8:LCI9 KSM8:KSM9 KIQ8:KIQ9 JYU8:JYU9 JOY8:JOY9 JFC8:JFC9 IVG8:IVG9 ILK8:ILK9 IBO8:IBO9 HRS8:HRS9 HHW8:HHW9 GYA8:GYA9 GOE8:GOE9 GEI8:GEI9 FUM8:FUM9 FKQ8:FKQ9 FAU8:FAU9 EQY8:EQY9 EHC8:EHC9 DXG8:DXG9 DNK8:DNK9 DDO8:DDO9 CTS8:CTS9 CJW8:CJW9 CAA8:CAA9 BQE8:BQE9 BGI8:BGI9 AWM8:AWM9 AMQ8:AMQ9 ACU8:ACU9 SY8:SY9">
      <formula1>$AI$23:$AI$35</formula1>
    </dataValidation>
  </dataValidations>
  <printOptions horizontalCentered="1"/>
  <pageMargins left="0.19685039370078741" right="0.19685039370078741" top="0.19685039370078741" bottom="0.19685039370078741" header="0" footer="0"/>
  <pageSetup paperSize="345" scale="50" orientation="landscape" r:id="rId1"/>
  <headerFooter>
    <oddFooter>&amp;C&amp;"Tahoma,Cursiva"&amp;K365F91Si usted ha accedido a este formato a través de un medio diferente al sitio http://www.unicordoba.edu.co/index.php/documentossigec/documentos-calidad asegúrese que ésta es la versión vigente</oddFooter>
  </headerFooter>
  <rowBreaks count="1" manualBreakCount="1">
    <brk id="15" max="31"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AM42"/>
  <sheetViews>
    <sheetView topLeftCell="P10" zoomScale="90" zoomScaleNormal="90" zoomScaleSheetLayoutView="100" zoomScalePageLayoutView="60" workbookViewId="0">
      <selection activeCell="Y15" sqref="Y15:AA15"/>
    </sheetView>
  </sheetViews>
  <sheetFormatPr baseColWidth="10" defaultRowHeight="12.75"/>
  <cols>
    <col min="1" max="1" width="10.28515625" style="2" customWidth="1"/>
    <col min="2" max="2" width="13.42578125" style="2" customWidth="1"/>
    <col min="3" max="3" width="4.28515625" style="2" customWidth="1"/>
    <col min="4" max="4" width="4" style="2" customWidth="1"/>
    <col min="5" max="5" width="21.7109375" style="2" customWidth="1"/>
    <col min="6" max="6" width="4.140625" style="2" customWidth="1"/>
    <col min="7" max="7" width="11.28515625" style="2" customWidth="1"/>
    <col min="8" max="8" width="16.140625" style="2" customWidth="1"/>
    <col min="9" max="9" width="11" style="2" customWidth="1"/>
    <col min="10" max="11" width="2.140625" style="2" customWidth="1"/>
    <col min="12" max="12" width="3.28515625" style="2" customWidth="1"/>
    <col min="13" max="13" width="0.28515625" style="2" hidden="1" customWidth="1"/>
    <col min="14" max="14" width="0.42578125" style="2" hidden="1" customWidth="1"/>
    <col min="15" max="15" width="2.85546875" style="2" customWidth="1"/>
    <col min="16" max="16" width="3.28515625" style="2" customWidth="1"/>
    <col min="17" max="17" width="1.42578125" style="2" customWidth="1"/>
    <col min="18" max="18" width="1.85546875" style="2" hidden="1" customWidth="1"/>
    <col min="19" max="19" width="6.85546875" style="2" customWidth="1"/>
    <col min="20" max="20" width="3" style="2" hidden="1" customWidth="1"/>
    <col min="21" max="22" width="6.28515625" style="2" customWidth="1"/>
    <col min="23" max="23" width="17.7109375" style="2" customWidth="1"/>
    <col min="24" max="24" width="23.42578125" style="2" customWidth="1"/>
    <col min="25" max="25" width="10.85546875" style="2" customWidth="1"/>
    <col min="26" max="26" width="16.85546875" style="2" customWidth="1"/>
    <col min="27" max="27" width="5" style="2" customWidth="1"/>
    <col min="28" max="28" width="17" style="2" customWidth="1"/>
    <col min="29" max="29" width="13.140625" style="2" customWidth="1"/>
    <col min="30" max="31" width="14" style="2" customWidth="1"/>
    <col min="32" max="32" width="11.42578125" style="2" customWidth="1"/>
    <col min="33" max="33" width="15.85546875" style="2" customWidth="1"/>
    <col min="34" max="34" width="23.7109375" style="2" customWidth="1"/>
    <col min="35" max="35" width="12" style="2" customWidth="1"/>
    <col min="36" max="37" width="0.28515625" style="2" customWidth="1"/>
    <col min="38" max="38" width="1.42578125" style="2" customWidth="1"/>
    <col min="39" max="39" width="1.28515625" style="2" hidden="1" customWidth="1"/>
    <col min="40" max="256" width="11.42578125" style="2"/>
    <col min="257" max="257" width="10.28515625" style="2" customWidth="1"/>
    <col min="258" max="258" width="13.42578125" style="2" customWidth="1"/>
    <col min="259" max="259" width="4.28515625" style="2" customWidth="1"/>
    <col min="260" max="260" width="4" style="2" customWidth="1"/>
    <col min="261" max="261" width="15" style="2" customWidth="1"/>
    <col min="262" max="262" width="4.140625" style="2" customWidth="1"/>
    <col min="263" max="263" width="11.28515625" style="2" customWidth="1"/>
    <col min="264" max="264" width="16.140625" style="2" customWidth="1"/>
    <col min="265" max="265" width="11" style="2" customWidth="1"/>
    <col min="266" max="267" width="2.140625" style="2" customWidth="1"/>
    <col min="268" max="268" width="3.28515625" style="2" customWidth="1"/>
    <col min="269" max="270" width="0" style="2" hidden="1" customWidth="1"/>
    <col min="271" max="271" width="2.85546875" style="2" customWidth="1"/>
    <col min="272" max="272" width="3.28515625" style="2" customWidth="1"/>
    <col min="273" max="273" width="1.42578125" style="2" customWidth="1"/>
    <col min="274" max="274" width="0" style="2" hidden="1" customWidth="1"/>
    <col min="275" max="275" width="6.85546875" style="2" customWidth="1"/>
    <col min="276" max="276" width="0" style="2" hidden="1" customWidth="1"/>
    <col min="277" max="278" width="6.28515625" style="2" customWidth="1"/>
    <col min="279" max="279" width="17.7109375" style="2" customWidth="1"/>
    <col min="280" max="280" width="13.85546875" style="2" customWidth="1"/>
    <col min="281" max="281" width="10.85546875" style="2" customWidth="1"/>
    <col min="282" max="282" width="16.85546875" style="2" customWidth="1"/>
    <col min="283" max="283" width="5" style="2" customWidth="1"/>
    <col min="284" max="284" width="13" style="2" customWidth="1"/>
    <col min="285" max="285" width="13.140625" style="2" customWidth="1"/>
    <col min="286" max="287" width="14" style="2" customWidth="1"/>
    <col min="288" max="288" width="11.42578125" style="2" customWidth="1"/>
    <col min="289" max="289" width="15.85546875" style="2" customWidth="1"/>
    <col min="290" max="290" width="23.7109375" style="2" customWidth="1"/>
    <col min="291" max="291" width="12" style="2" customWidth="1"/>
    <col min="292" max="293" width="0.28515625" style="2" customWidth="1"/>
    <col min="294" max="294" width="1.42578125" style="2" customWidth="1"/>
    <col min="295" max="295" width="0" style="2" hidden="1" customWidth="1"/>
    <col min="296" max="512" width="11.42578125" style="2"/>
    <col min="513" max="513" width="10.28515625" style="2" customWidth="1"/>
    <col min="514" max="514" width="13.42578125" style="2" customWidth="1"/>
    <col min="515" max="515" width="4.28515625" style="2" customWidth="1"/>
    <col min="516" max="516" width="4" style="2" customWidth="1"/>
    <col min="517" max="517" width="15" style="2" customWidth="1"/>
    <col min="518" max="518" width="4.140625" style="2" customWidth="1"/>
    <col min="519" max="519" width="11.28515625" style="2" customWidth="1"/>
    <col min="520" max="520" width="16.140625" style="2" customWidth="1"/>
    <col min="521" max="521" width="11" style="2" customWidth="1"/>
    <col min="522" max="523" width="2.140625" style="2" customWidth="1"/>
    <col min="524" max="524" width="3.28515625" style="2" customWidth="1"/>
    <col min="525" max="526" width="0" style="2" hidden="1" customWidth="1"/>
    <col min="527" max="527" width="2.85546875" style="2" customWidth="1"/>
    <col min="528" max="528" width="3.28515625" style="2" customWidth="1"/>
    <col min="529" max="529" width="1.42578125" style="2" customWidth="1"/>
    <col min="530" max="530" width="0" style="2" hidden="1" customWidth="1"/>
    <col min="531" max="531" width="6.85546875" style="2" customWidth="1"/>
    <col min="532" max="532" width="0" style="2" hidden="1" customWidth="1"/>
    <col min="533" max="534" width="6.28515625" style="2" customWidth="1"/>
    <col min="535" max="535" width="17.7109375" style="2" customWidth="1"/>
    <col min="536" max="536" width="13.85546875" style="2" customWidth="1"/>
    <col min="537" max="537" width="10.85546875" style="2" customWidth="1"/>
    <col min="538" max="538" width="16.85546875" style="2" customWidth="1"/>
    <col min="539" max="539" width="5" style="2" customWidth="1"/>
    <col min="540" max="540" width="13" style="2" customWidth="1"/>
    <col min="541" max="541" width="13.140625" style="2" customWidth="1"/>
    <col min="542" max="543" width="14" style="2" customWidth="1"/>
    <col min="544" max="544" width="11.42578125" style="2" customWidth="1"/>
    <col min="545" max="545" width="15.85546875" style="2" customWidth="1"/>
    <col min="546" max="546" width="23.7109375" style="2" customWidth="1"/>
    <col min="547" max="547" width="12" style="2" customWidth="1"/>
    <col min="548" max="549" width="0.28515625" style="2" customWidth="1"/>
    <col min="550" max="550" width="1.42578125" style="2" customWidth="1"/>
    <col min="551" max="551" width="0" style="2" hidden="1" customWidth="1"/>
    <col min="552" max="768" width="11.42578125" style="2"/>
    <col min="769" max="769" width="10.28515625" style="2" customWidth="1"/>
    <col min="770" max="770" width="13.42578125" style="2" customWidth="1"/>
    <col min="771" max="771" width="4.28515625" style="2" customWidth="1"/>
    <col min="772" max="772" width="4" style="2" customWidth="1"/>
    <col min="773" max="773" width="15" style="2" customWidth="1"/>
    <col min="774" max="774" width="4.140625" style="2" customWidth="1"/>
    <col min="775" max="775" width="11.28515625" style="2" customWidth="1"/>
    <col min="776" max="776" width="16.140625" style="2" customWidth="1"/>
    <col min="777" max="777" width="11" style="2" customWidth="1"/>
    <col min="778" max="779" width="2.140625" style="2" customWidth="1"/>
    <col min="780" max="780" width="3.28515625" style="2" customWidth="1"/>
    <col min="781" max="782" width="0" style="2" hidden="1" customWidth="1"/>
    <col min="783" max="783" width="2.85546875" style="2" customWidth="1"/>
    <col min="784" max="784" width="3.28515625" style="2" customWidth="1"/>
    <col min="785" max="785" width="1.42578125" style="2" customWidth="1"/>
    <col min="786" max="786" width="0" style="2" hidden="1" customWidth="1"/>
    <col min="787" max="787" width="6.85546875" style="2" customWidth="1"/>
    <col min="788" max="788" width="0" style="2" hidden="1" customWidth="1"/>
    <col min="789" max="790" width="6.28515625" style="2" customWidth="1"/>
    <col min="791" max="791" width="17.7109375" style="2" customWidth="1"/>
    <col min="792" max="792" width="13.85546875" style="2" customWidth="1"/>
    <col min="793" max="793" width="10.85546875" style="2" customWidth="1"/>
    <col min="794" max="794" width="16.85546875" style="2" customWidth="1"/>
    <col min="795" max="795" width="5" style="2" customWidth="1"/>
    <col min="796" max="796" width="13" style="2" customWidth="1"/>
    <col min="797" max="797" width="13.140625" style="2" customWidth="1"/>
    <col min="798" max="799" width="14" style="2" customWidth="1"/>
    <col min="800" max="800" width="11.42578125" style="2" customWidth="1"/>
    <col min="801" max="801" width="15.85546875" style="2" customWidth="1"/>
    <col min="802" max="802" width="23.7109375" style="2" customWidth="1"/>
    <col min="803" max="803" width="12" style="2" customWidth="1"/>
    <col min="804" max="805" width="0.28515625" style="2" customWidth="1"/>
    <col min="806" max="806" width="1.42578125" style="2" customWidth="1"/>
    <col min="807" max="807" width="0" style="2" hidden="1" customWidth="1"/>
    <col min="808" max="1024" width="11.42578125" style="2"/>
    <col min="1025" max="1025" width="10.28515625" style="2" customWidth="1"/>
    <col min="1026" max="1026" width="13.42578125" style="2" customWidth="1"/>
    <col min="1027" max="1027" width="4.28515625" style="2" customWidth="1"/>
    <col min="1028" max="1028" width="4" style="2" customWidth="1"/>
    <col min="1029" max="1029" width="15" style="2" customWidth="1"/>
    <col min="1030" max="1030" width="4.140625" style="2" customWidth="1"/>
    <col min="1031" max="1031" width="11.28515625" style="2" customWidth="1"/>
    <col min="1032" max="1032" width="16.140625" style="2" customWidth="1"/>
    <col min="1033" max="1033" width="11" style="2" customWidth="1"/>
    <col min="1034" max="1035" width="2.140625" style="2" customWidth="1"/>
    <col min="1036" max="1036" width="3.28515625" style="2" customWidth="1"/>
    <col min="1037" max="1038" width="0" style="2" hidden="1" customWidth="1"/>
    <col min="1039" max="1039" width="2.85546875" style="2" customWidth="1"/>
    <col min="1040" max="1040" width="3.28515625" style="2" customWidth="1"/>
    <col min="1041" max="1041" width="1.42578125" style="2" customWidth="1"/>
    <col min="1042" max="1042" width="0" style="2" hidden="1" customWidth="1"/>
    <col min="1043" max="1043" width="6.85546875" style="2" customWidth="1"/>
    <col min="1044" max="1044" width="0" style="2" hidden="1" customWidth="1"/>
    <col min="1045" max="1046" width="6.28515625" style="2" customWidth="1"/>
    <col min="1047" max="1047" width="17.7109375" style="2" customWidth="1"/>
    <col min="1048" max="1048" width="13.85546875" style="2" customWidth="1"/>
    <col min="1049" max="1049" width="10.85546875" style="2" customWidth="1"/>
    <col min="1050" max="1050" width="16.85546875" style="2" customWidth="1"/>
    <col min="1051" max="1051" width="5" style="2" customWidth="1"/>
    <col min="1052" max="1052" width="13" style="2" customWidth="1"/>
    <col min="1053" max="1053" width="13.140625" style="2" customWidth="1"/>
    <col min="1054" max="1055" width="14" style="2" customWidth="1"/>
    <col min="1056" max="1056" width="11.42578125" style="2" customWidth="1"/>
    <col min="1057" max="1057" width="15.85546875" style="2" customWidth="1"/>
    <col min="1058" max="1058" width="23.7109375" style="2" customWidth="1"/>
    <col min="1059" max="1059" width="12" style="2" customWidth="1"/>
    <col min="1060" max="1061" width="0.28515625" style="2" customWidth="1"/>
    <col min="1062" max="1062" width="1.42578125" style="2" customWidth="1"/>
    <col min="1063" max="1063" width="0" style="2" hidden="1" customWidth="1"/>
    <col min="1064" max="1280" width="11.42578125" style="2"/>
    <col min="1281" max="1281" width="10.28515625" style="2" customWidth="1"/>
    <col min="1282" max="1282" width="13.42578125" style="2" customWidth="1"/>
    <col min="1283" max="1283" width="4.28515625" style="2" customWidth="1"/>
    <col min="1284" max="1284" width="4" style="2" customWidth="1"/>
    <col min="1285" max="1285" width="15" style="2" customWidth="1"/>
    <col min="1286" max="1286" width="4.140625" style="2" customWidth="1"/>
    <col min="1287" max="1287" width="11.28515625" style="2" customWidth="1"/>
    <col min="1288" max="1288" width="16.140625" style="2" customWidth="1"/>
    <col min="1289" max="1289" width="11" style="2" customWidth="1"/>
    <col min="1290" max="1291" width="2.140625" style="2" customWidth="1"/>
    <col min="1292" max="1292" width="3.28515625" style="2" customWidth="1"/>
    <col min="1293" max="1294" width="0" style="2" hidden="1" customWidth="1"/>
    <col min="1295" max="1295" width="2.85546875" style="2" customWidth="1"/>
    <col min="1296" max="1296" width="3.28515625" style="2" customWidth="1"/>
    <col min="1297" max="1297" width="1.42578125" style="2" customWidth="1"/>
    <col min="1298" max="1298" width="0" style="2" hidden="1" customWidth="1"/>
    <col min="1299" max="1299" width="6.85546875" style="2" customWidth="1"/>
    <col min="1300" max="1300" width="0" style="2" hidden="1" customWidth="1"/>
    <col min="1301" max="1302" width="6.28515625" style="2" customWidth="1"/>
    <col min="1303" max="1303" width="17.7109375" style="2" customWidth="1"/>
    <col min="1304" max="1304" width="13.85546875" style="2" customWidth="1"/>
    <col min="1305" max="1305" width="10.85546875" style="2" customWidth="1"/>
    <col min="1306" max="1306" width="16.85546875" style="2" customWidth="1"/>
    <col min="1307" max="1307" width="5" style="2" customWidth="1"/>
    <col min="1308" max="1308" width="13" style="2" customWidth="1"/>
    <col min="1309" max="1309" width="13.140625" style="2" customWidth="1"/>
    <col min="1310" max="1311" width="14" style="2" customWidth="1"/>
    <col min="1312" max="1312" width="11.42578125" style="2" customWidth="1"/>
    <col min="1313" max="1313" width="15.85546875" style="2" customWidth="1"/>
    <col min="1314" max="1314" width="23.7109375" style="2" customWidth="1"/>
    <col min="1315" max="1315" width="12" style="2" customWidth="1"/>
    <col min="1316" max="1317" width="0.28515625" style="2" customWidth="1"/>
    <col min="1318" max="1318" width="1.42578125" style="2" customWidth="1"/>
    <col min="1319" max="1319" width="0" style="2" hidden="1" customWidth="1"/>
    <col min="1320" max="1536" width="11.42578125" style="2"/>
    <col min="1537" max="1537" width="10.28515625" style="2" customWidth="1"/>
    <col min="1538" max="1538" width="13.42578125" style="2" customWidth="1"/>
    <col min="1539" max="1539" width="4.28515625" style="2" customWidth="1"/>
    <col min="1540" max="1540" width="4" style="2" customWidth="1"/>
    <col min="1541" max="1541" width="15" style="2" customWidth="1"/>
    <col min="1542" max="1542" width="4.140625" style="2" customWidth="1"/>
    <col min="1543" max="1543" width="11.28515625" style="2" customWidth="1"/>
    <col min="1544" max="1544" width="16.140625" style="2" customWidth="1"/>
    <col min="1545" max="1545" width="11" style="2" customWidth="1"/>
    <col min="1546" max="1547" width="2.140625" style="2" customWidth="1"/>
    <col min="1548" max="1548" width="3.28515625" style="2" customWidth="1"/>
    <col min="1549" max="1550" width="0" style="2" hidden="1" customWidth="1"/>
    <col min="1551" max="1551" width="2.85546875" style="2" customWidth="1"/>
    <col min="1552" max="1552" width="3.28515625" style="2" customWidth="1"/>
    <col min="1553" max="1553" width="1.42578125" style="2" customWidth="1"/>
    <col min="1554" max="1554" width="0" style="2" hidden="1" customWidth="1"/>
    <col min="1555" max="1555" width="6.85546875" style="2" customWidth="1"/>
    <col min="1556" max="1556" width="0" style="2" hidden="1" customWidth="1"/>
    <col min="1557" max="1558" width="6.28515625" style="2" customWidth="1"/>
    <col min="1559" max="1559" width="17.7109375" style="2" customWidth="1"/>
    <col min="1560" max="1560" width="13.85546875" style="2" customWidth="1"/>
    <col min="1561" max="1561" width="10.85546875" style="2" customWidth="1"/>
    <col min="1562" max="1562" width="16.85546875" style="2" customWidth="1"/>
    <col min="1563" max="1563" width="5" style="2" customWidth="1"/>
    <col min="1564" max="1564" width="13" style="2" customWidth="1"/>
    <col min="1565" max="1565" width="13.140625" style="2" customWidth="1"/>
    <col min="1566" max="1567" width="14" style="2" customWidth="1"/>
    <col min="1568" max="1568" width="11.42578125" style="2" customWidth="1"/>
    <col min="1569" max="1569" width="15.85546875" style="2" customWidth="1"/>
    <col min="1570" max="1570" width="23.7109375" style="2" customWidth="1"/>
    <col min="1571" max="1571" width="12" style="2" customWidth="1"/>
    <col min="1572" max="1573" width="0.28515625" style="2" customWidth="1"/>
    <col min="1574" max="1574" width="1.42578125" style="2" customWidth="1"/>
    <col min="1575" max="1575" width="0" style="2" hidden="1" customWidth="1"/>
    <col min="1576" max="1792" width="11.42578125" style="2"/>
    <col min="1793" max="1793" width="10.28515625" style="2" customWidth="1"/>
    <col min="1794" max="1794" width="13.42578125" style="2" customWidth="1"/>
    <col min="1795" max="1795" width="4.28515625" style="2" customWidth="1"/>
    <col min="1796" max="1796" width="4" style="2" customWidth="1"/>
    <col min="1797" max="1797" width="15" style="2" customWidth="1"/>
    <col min="1798" max="1798" width="4.140625" style="2" customWidth="1"/>
    <col min="1799" max="1799" width="11.28515625" style="2" customWidth="1"/>
    <col min="1800" max="1800" width="16.140625" style="2" customWidth="1"/>
    <col min="1801" max="1801" width="11" style="2" customWidth="1"/>
    <col min="1802" max="1803" width="2.140625" style="2" customWidth="1"/>
    <col min="1804" max="1804" width="3.28515625" style="2" customWidth="1"/>
    <col min="1805" max="1806" width="0" style="2" hidden="1" customWidth="1"/>
    <col min="1807" max="1807" width="2.85546875" style="2" customWidth="1"/>
    <col min="1808" max="1808" width="3.28515625" style="2" customWidth="1"/>
    <col min="1809" max="1809" width="1.42578125" style="2" customWidth="1"/>
    <col min="1810" max="1810" width="0" style="2" hidden="1" customWidth="1"/>
    <col min="1811" max="1811" width="6.85546875" style="2" customWidth="1"/>
    <col min="1812" max="1812" width="0" style="2" hidden="1" customWidth="1"/>
    <col min="1813" max="1814" width="6.28515625" style="2" customWidth="1"/>
    <col min="1815" max="1815" width="17.7109375" style="2" customWidth="1"/>
    <col min="1816" max="1816" width="13.85546875" style="2" customWidth="1"/>
    <col min="1817" max="1817" width="10.85546875" style="2" customWidth="1"/>
    <col min="1818" max="1818" width="16.85546875" style="2" customWidth="1"/>
    <col min="1819" max="1819" width="5" style="2" customWidth="1"/>
    <col min="1820" max="1820" width="13" style="2" customWidth="1"/>
    <col min="1821" max="1821" width="13.140625" style="2" customWidth="1"/>
    <col min="1822" max="1823" width="14" style="2" customWidth="1"/>
    <col min="1824" max="1824" width="11.42578125" style="2" customWidth="1"/>
    <col min="1825" max="1825" width="15.85546875" style="2" customWidth="1"/>
    <col min="1826" max="1826" width="23.7109375" style="2" customWidth="1"/>
    <col min="1827" max="1827" width="12" style="2" customWidth="1"/>
    <col min="1828" max="1829" width="0.28515625" style="2" customWidth="1"/>
    <col min="1830" max="1830" width="1.42578125" style="2" customWidth="1"/>
    <col min="1831" max="1831" width="0" style="2" hidden="1" customWidth="1"/>
    <col min="1832" max="2048" width="11.42578125" style="2"/>
    <col min="2049" max="2049" width="10.28515625" style="2" customWidth="1"/>
    <col min="2050" max="2050" width="13.42578125" style="2" customWidth="1"/>
    <col min="2051" max="2051" width="4.28515625" style="2" customWidth="1"/>
    <col min="2052" max="2052" width="4" style="2" customWidth="1"/>
    <col min="2053" max="2053" width="15" style="2" customWidth="1"/>
    <col min="2054" max="2054" width="4.140625" style="2" customWidth="1"/>
    <col min="2055" max="2055" width="11.28515625" style="2" customWidth="1"/>
    <col min="2056" max="2056" width="16.140625" style="2" customWidth="1"/>
    <col min="2057" max="2057" width="11" style="2" customWidth="1"/>
    <col min="2058" max="2059" width="2.140625" style="2" customWidth="1"/>
    <col min="2060" max="2060" width="3.28515625" style="2" customWidth="1"/>
    <col min="2061" max="2062" width="0" style="2" hidden="1" customWidth="1"/>
    <col min="2063" max="2063" width="2.85546875" style="2" customWidth="1"/>
    <col min="2064" max="2064" width="3.28515625" style="2" customWidth="1"/>
    <col min="2065" max="2065" width="1.42578125" style="2" customWidth="1"/>
    <col min="2066" max="2066" width="0" style="2" hidden="1" customWidth="1"/>
    <col min="2067" max="2067" width="6.85546875" style="2" customWidth="1"/>
    <col min="2068" max="2068" width="0" style="2" hidden="1" customWidth="1"/>
    <col min="2069" max="2070" width="6.28515625" style="2" customWidth="1"/>
    <col min="2071" max="2071" width="17.7109375" style="2" customWidth="1"/>
    <col min="2072" max="2072" width="13.85546875" style="2" customWidth="1"/>
    <col min="2073" max="2073" width="10.85546875" style="2" customWidth="1"/>
    <col min="2074" max="2074" width="16.85546875" style="2" customWidth="1"/>
    <col min="2075" max="2075" width="5" style="2" customWidth="1"/>
    <col min="2076" max="2076" width="13" style="2" customWidth="1"/>
    <col min="2077" max="2077" width="13.140625" style="2" customWidth="1"/>
    <col min="2078" max="2079" width="14" style="2" customWidth="1"/>
    <col min="2080" max="2080" width="11.42578125" style="2" customWidth="1"/>
    <col min="2081" max="2081" width="15.85546875" style="2" customWidth="1"/>
    <col min="2082" max="2082" width="23.7109375" style="2" customWidth="1"/>
    <col min="2083" max="2083" width="12" style="2" customWidth="1"/>
    <col min="2084" max="2085" width="0.28515625" style="2" customWidth="1"/>
    <col min="2086" max="2086" width="1.42578125" style="2" customWidth="1"/>
    <col min="2087" max="2087" width="0" style="2" hidden="1" customWidth="1"/>
    <col min="2088" max="2304" width="11.42578125" style="2"/>
    <col min="2305" max="2305" width="10.28515625" style="2" customWidth="1"/>
    <col min="2306" max="2306" width="13.42578125" style="2" customWidth="1"/>
    <col min="2307" max="2307" width="4.28515625" style="2" customWidth="1"/>
    <col min="2308" max="2308" width="4" style="2" customWidth="1"/>
    <col min="2309" max="2309" width="15" style="2" customWidth="1"/>
    <col min="2310" max="2310" width="4.140625" style="2" customWidth="1"/>
    <col min="2311" max="2311" width="11.28515625" style="2" customWidth="1"/>
    <col min="2312" max="2312" width="16.140625" style="2" customWidth="1"/>
    <col min="2313" max="2313" width="11" style="2" customWidth="1"/>
    <col min="2314" max="2315" width="2.140625" style="2" customWidth="1"/>
    <col min="2316" max="2316" width="3.28515625" style="2" customWidth="1"/>
    <col min="2317" max="2318" width="0" style="2" hidden="1" customWidth="1"/>
    <col min="2319" max="2319" width="2.85546875" style="2" customWidth="1"/>
    <col min="2320" max="2320" width="3.28515625" style="2" customWidth="1"/>
    <col min="2321" max="2321" width="1.42578125" style="2" customWidth="1"/>
    <col min="2322" max="2322" width="0" style="2" hidden="1" customWidth="1"/>
    <col min="2323" max="2323" width="6.85546875" style="2" customWidth="1"/>
    <col min="2324" max="2324" width="0" style="2" hidden="1" customWidth="1"/>
    <col min="2325" max="2326" width="6.28515625" style="2" customWidth="1"/>
    <col min="2327" max="2327" width="17.7109375" style="2" customWidth="1"/>
    <col min="2328" max="2328" width="13.85546875" style="2" customWidth="1"/>
    <col min="2329" max="2329" width="10.85546875" style="2" customWidth="1"/>
    <col min="2330" max="2330" width="16.85546875" style="2" customWidth="1"/>
    <col min="2331" max="2331" width="5" style="2" customWidth="1"/>
    <col min="2332" max="2332" width="13" style="2" customWidth="1"/>
    <col min="2333" max="2333" width="13.140625" style="2" customWidth="1"/>
    <col min="2334" max="2335" width="14" style="2" customWidth="1"/>
    <col min="2336" max="2336" width="11.42578125" style="2" customWidth="1"/>
    <col min="2337" max="2337" width="15.85546875" style="2" customWidth="1"/>
    <col min="2338" max="2338" width="23.7109375" style="2" customWidth="1"/>
    <col min="2339" max="2339" width="12" style="2" customWidth="1"/>
    <col min="2340" max="2341" width="0.28515625" style="2" customWidth="1"/>
    <col min="2342" max="2342" width="1.42578125" style="2" customWidth="1"/>
    <col min="2343" max="2343" width="0" style="2" hidden="1" customWidth="1"/>
    <col min="2344" max="2560" width="11.42578125" style="2"/>
    <col min="2561" max="2561" width="10.28515625" style="2" customWidth="1"/>
    <col min="2562" max="2562" width="13.42578125" style="2" customWidth="1"/>
    <col min="2563" max="2563" width="4.28515625" style="2" customWidth="1"/>
    <col min="2564" max="2564" width="4" style="2" customWidth="1"/>
    <col min="2565" max="2565" width="15" style="2" customWidth="1"/>
    <col min="2566" max="2566" width="4.140625" style="2" customWidth="1"/>
    <col min="2567" max="2567" width="11.28515625" style="2" customWidth="1"/>
    <col min="2568" max="2568" width="16.140625" style="2" customWidth="1"/>
    <col min="2569" max="2569" width="11" style="2" customWidth="1"/>
    <col min="2570" max="2571" width="2.140625" style="2" customWidth="1"/>
    <col min="2572" max="2572" width="3.28515625" style="2" customWidth="1"/>
    <col min="2573" max="2574" width="0" style="2" hidden="1" customWidth="1"/>
    <col min="2575" max="2575" width="2.85546875" style="2" customWidth="1"/>
    <col min="2576" max="2576" width="3.28515625" style="2" customWidth="1"/>
    <col min="2577" max="2577" width="1.42578125" style="2" customWidth="1"/>
    <col min="2578" max="2578" width="0" style="2" hidden="1" customWidth="1"/>
    <col min="2579" max="2579" width="6.85546875" style="2" customWidth="1"/>
    <col min="2580" max="2580" width="0" style="2" hidden="1" customWidth="1"/>
    <col min="2581" max="2582" width="6.28515625" style="2" customWidth="1"/>
    <col min="2583" max="2583" width="17.7109375" style="2" customWidth="1"/>
    <col min="2584" max="2584" width="13.85546875" style="2" customWidth="1"/>
    <col min="2585" max="2585" width="10.85546875" style="2" customWidth="1"/>
    <col min="2586" max="2586" width="16.85546875" style="2" customWidth="1"/>
    <col min="2587" max="2587" width="5" style="2" customWidth="1"/>
    <col min="2588" max="2588" width="13" style="2" customWidth="1"/>
    <col min="2589" max="2589" width="13.140625" style="2" customWidth="1"/>
    <col min="2590" max="2591" width="14" style="2" customWidth="1"/>
    <col min="2592" max="2592" width="11.42578125" style="2" customWidth="1"/>
    <col min="2593" max="2593" width="15.85546875" style="2" customWidth="1"/>
    <col min="2594" max="2594" width="23.7109375" style="2" customWidth="1"/>
    <col min="2595" max="2595" width="12" style="2" customWidth="1"/>
    <col min="2596" max="2597" width="0.28515625" style="2" customWidth="1"/>
    <col min="2598" max="2598" width="1.42578125" style="2" customWidth="1"/>
    <col min="2599" max="2599" width="0" style="2" hidden="1" customWidth="1"/>
    <col min="2600" max="2816" width="11.42578125" style="2"/>
    <col min="2817" max="2817" width="10.28515625" style="2" customWidth="1"/>
    <col min="2818" max="2818" width="13.42578125" style="2" customWidth="1"/>
    <col min="2819" max="2819" width="4.28515625" style="2" customWidth="1"/>
    <col min="2820" max="2820" width="4" style="2" customWidth="1"/>
    <col min="2821" max="2821" width="15" style="2" customWidth="1"/>
    <col min="2822" max="2822" width="4.140625" style="2" customWidth="1"/>
    <col min="2823" max="2823" width="11.28515625" style="2" customWidth="1"/>
    <col min="2824" max="2824" width="16.140625" style="2" customWidth="1"/>
    <col min="2825" max="2825" width="11" style="2" customWidth="1"/>
    <col min="2826" max="2827" width="2.140625" style="2" customWidth="1"/>
    <col min="2828" max="2828" width="3.28515625" style="2" customWidth="1"/>
    <col min="2829" max="2830" width="0" style="2" hidden="1" customWidth="1"/>
    <col min="2831" max="2831" width="2.85546875" style="2" customWidth="1"/>
    <col min="2832" max="2832" width="3.28515625" style="2" customWidth="1"/>
    <col min="2833" max="2833" width="1.42578125" style="2" customWidth="1"/>
    <col min="2834" max="2834" width="0" style="2" hidden="1" customWidth="1"/>
    <col min="2835" max="2835" width="6.85546875" style="2" customWidth="1"/>
    <col min="2836" max="2836" width="0" style="2" hidden="1" customWidth="1"/>
    <col min="2837" max="2838" width="6.28515625" style="2" customWidth="1"/>
    <col min="2839" max="2839" width="17.7109375" style="2" customWidth="1"/>
    <col min="2840" max="2840" width="13.85546875" style="2" customWidth="1"/>
    <col min="2841" max="2841" width="10.85546875" style="2" customWidth="1"/>
    <col min="2842" max="2842" width="16.85546875" style="2" customWidth="1"/>
    <col min="2843" max="2843" width="5" style="2" customWidth="1"/>
    <col min="2844" max="2844" width="13" style="2" customWidth="1"/>
    <col min="2845" max="2845" width="13.140625" style="2" customWidth="1"/>
    <col min="2846" max="2847" width="14" style="2" customWidth="1"/>
    <col min="2848" max="2848" width="11.42578125" style="2" customWidth="1"/>
    <col min="2849" max="2849" width="15.85546875" style="2" customWidth="1"/>
    <col min="2850" max="2850" width="23.7109375" style="2" customWidth="1"/>
    <col min="2851" max="2851" width="12" style="2" customWidth="1"/>
    <col min="2852" max="2853" width="0.28515625" style="2" customWidth="1"/>
    <col min="2854" max="2854" width="1.42578125" style="2" customWidth="1"/>
    <col min="2855" max="2855" width="0" style="2" hidden="1" customWidth="1"/>
    <col min="2856" max="3072" width="11.42578125" style="2"/>
    <col min="3073" max="3073" width="10.28515625" style="2" customWidth="1"/>
    <col min="3074" max="3074" width="13.42578125" style="2" customWidth="1"/>
    <col min="3075" max="3075" width="4.28515625" style="2" customWidth="1"/>
    <col min="3076" max="3076" width="4" style="2" customWidth="1"/>
    <col min="3077" max="3077" width="15" style="2" customWidth="1"/>
    <col min="3078" max="3078" width="4.140625" style="2" customWidth="1"/>
    <col min="3079" max="3079" width="11.28515625" style="2" customWidth="1"/>
    <col min="3080" max="3080" width="16.140625" style="2" customWidth="1"/>
    <col min="3081" max="3081" width="11" style="2" customWidth="1"/>
    <col min="3082" max="3083" width="2.140625" style="2" customWidth="1"/>
    <col min="3084" max="3084" width="3.28515625" style="2" customWidth="1"/>
    <col min="3085" max="3086" width="0" style="2" hidden="1" customWidth="1"/>
    <col min="3087" max="3087" width="2.85546875" style="2" customWidth="1"/>
    <col min="3088" max="3088" width="3.28515625" style="2" customWidth="1"/>
    <col min="3089" max="3089" width="1.42578125" style="2" customWidth="1"/>
    <col min="3090" max="3090" width="0" style="2" hidden="1" customWidth="1"/>
    <col min="3091" max="3091" width="6.85546875" style="2" customWidth="1"/>
    <col min="3092" max="3092" width="0" style="2" hidden="1" customWidth="1"/>
    <col min="3093" max="3094" width="6.28515625" style="2" customWidth="1"/>
    <col min="3095" max="3095" width="17.7109375" style="2" customWidth="1"/>
    <col min="3096" max="3096" width="13.85546875" style="2" customWidth="1"/>
    <col min="3097" max="3097" width="10.85546875" style="2" customWidth="1"/>
    <col min="3098" max="3098" width="16.85546875" style="2" customWidth="1"/>
    <col min="3099" max="3099" width="5" style="2" customWidth="1"/>
    <col min="3100" max="3100" width="13" style="2" customWidth="1"/>
    <col min="3101" max="3101" width="13.140625" style="2" customWidth="1"/>
    <col min="3102" max="3103" width="14" style="2" customWidth="1"/>
    <col min="3104" max="3104" width="11.42578125" style="2" customWidth="1"/>
    <col min="3105" max="3105" width="15.85546875" style="2" customWidth="1"/>
    <col min="3106" max="3106" width="23.7109375" style="2" customWidth="1"/>
    <col min="3107" max="3107" width="12" style="2" customWidth="1"/>
    <col min="3108" max="3109" width="0.28515625" style="2" customWidth="1"/>
    <col min="3110" max="3110" width="1.42578125" style="2" customWidth="1"/>
    <col min="3111" max="3111" width="0" style="2" hidden="1" customWidth="1"/>
    <col min="3112" max="3328" width="11.42578125" style="2"/>
    <col min="3329" max="3329" width="10.28515625" style="2" customWidth="1"/>
    <col min="3330" max="3330" width="13.42578125" style="2" customWidth="1"/>
    <col min="3331" max="3331" width="4.28515625" style="2" customWidth="1"/>
    <col min="3332" max="3332" width="4" style="2" customWidth="1"/>
    <col min="3333" max="3333" width="15" style="2" customWidth="1"/>
    <col min="3334" max="3334" width="4.140625" style="2" customWidth="1"/>
    <col min="3335" max="3335" width="11.28515625" style="2" customWidth="1"/>
    <col min="3336" max="3336" width="16.140625" style="2" customWidth="1"/>
    <col min="3337" max="3337" width="11" style="2" customWidth="1"/>
    <col min="3338" max="3339" width="2.140625" style="2" customWidth="1"/>
    <col min="3340" max="3340" width="3.28515625" style="2" customWidth="1"/>
    <col min="3341" max="3342" width="0" style="2" hidden="1" customWidth="1"/>
    <col min="3343" max="3343" width="2.85546875" style="2" customWidth="1"/>
    <col min="3344" max="3344" width="3.28515625" style="2" customWidth="1"/>
    <col min="3345" max="3345" width="1.42578125" style="2" customWidth="1"/>
    <col min="3346" max="3346" width="0" style="2" hidden="1" customWidth="1"/>
    <col min="3347" max="3347" width="6.85546875" style="2" customWidth="1"/>
    <col min="3348" max="3348" width="0" style="2" hidden="1" customWidth="1"/>
    <col min="3349" max="3350" width="6.28515625" style="2" customWidth="1"/>
    <col min="3351" max="3351" width="17.7109375" style="2" customWidth="1"/>
    <col min="3352" max="3352" width="13.85546875" style="2" customWidth="1"/>
    <col min="3353" max="3353" width="10.85546875" style="2" customWidth="1"/>
    <col min="3354" max="3354" width="16.85546875" style="2" customWidth="1"/>
    <col min="3355" max="3355" width="5" style="2" customWidth="1"/>
    <col min="3356" max="3356" width="13" style="2" customWidth="1"/>
    <col min="3357" max="3357" width="13.140625" style="2" customWidth="1"/>
    <col min="3358" max="3359" width="14" style="2" customWidth="1"/>
    <col min="3360" max="3360" width="11.42578125" style="2" customWidth="1"/>
    <col min="3361" max="3361" width="15.85546875" style="2" customWidth="1"/>
    <col min="3362" max="3362" width="23.7109375" style="2" customWidth="1"/>
    <col min="3363" max="3363" width="12" style="2" customWidth="1"/>
    <col min="3364" max="3365" width="0.28515625" style="2" customWidth="1"/>
    <col min="3366" max="3366" width="1.42578125" style="2" customWidth="1"/>
    <col min="3367" max="3367" width="0" style="2" hidden="1" customWidth="1"/>
    <col min="3368" max="3584" width="11.42578125" style="2"/>
    <col min="3585" max="3585" width="10.28515625" style="2" customWidth="1"/>
    <col min="3586" max="3586" width="13.42578125" style="2" customWidth="1"/>
    <col min="3587" max="3587" width="4.28515625" style="2" customWidth="1"/>
    <col min="3588" max="3588" width="4" style="2" customWidth="1"/>
    <col min="3589" max="3589" width="15" style="2" customWidth="1"/>
    <col min="3590" max="3590" width="4.140625" style="2" customWidth="1"/>
    <col min="3591" max="3591" width="11.28515625" style="2" customWidth="1"/>
    <col min="3592" max="3592" width="16.140625" style="2" customWidth="1"/>
    <col min="3593" max="3593" width="11" style="2" customWidth="1"/>
    <col min="3594" max="3595" width="2.140625" style="2" customWidth="1"/>
    <col min="3596" max="3596" width="3.28515625" style="2" customWidth="1"/>
    <col min="3597" max="3598" width="0" style="2" hidden="1" customWidth="1"/>
    <col min="3599" max="3599" width="2.85546875" style="2" customWidth="1"/>
    <col min="3600" max="3600" width="3.28515625" style="2" customWidth="1"/>
    <col min="3601" max="3601" width="1.42578125" style="2" customWidth="1"/>
    <col min="3602" max="3602" width="0" style="2" hidden="1" customWidth="1"/>
    <col min="3603" max="3603" width="6.85546875" style="2" customWidth="1"/>
    <col min="3604" max="3604" width="0" style="2" hidden="1" customWidth="1"/>
    <col min="3605" max="3606" width="6.28515625" style="2" customWidth="1"/>
    <col min="3607" max="3607" width="17.7109375" style="2" customWidth="1"/>
    <col min="3608" max="3608" width="13.85546875" style="2" customWidth="1"/>
    <col min="3609" max="3609" width="10.85546875" style="2" customWidth="1"/>
    <col min="3610" max="3610" width="16.85546875" style="2" customWidth="1"/>
    <col min="3611" max="3611" width="5" style="2" customWidth="1"/>
    <col min="3612" max="3612" width="13" style="2" customWidth="1"/>
    <col min="3613" max="3613" width="13.140625" style="2" customWidth="1"/>
    <col min="3614" max="3615" width="14" style="2" customWidth="1"/>
    <col min="3616" max="3616" width="11.42578125" style="2" customWidth="1"/>
    <col min="3617" max="3617" width="15.85546875" style="2" customWidth="1"/>
    <col min="3618" max="3618" width="23.7109375" style="2" customWidth="1"/>
    <col min="3619" max="3619" width="12" style="2" customWidth="1"/>
    <col min="3620" max="3621" width="0.28515625" style="2" customWidth="1"/>
    <col min="3622" max="3622" width="1.42578125" style="2" customWidth="1"/>
    <col min="3623" max="3623" width="0" style="2" hidden="1" customWidth="1"/>
    <col min="3624" max="3840" width="11.42578125" style="2"/>
    <col min="3841" max="3841" width="10.28515625" style="2" customWidth="1"/>
    <col min="3842" max="3842" width="13.42578125" style="2" customWidth="1"/>
    <col min="3843" max="3843" width="4.28515625" style="2" customWidth="1"/>
    <col min="3844" max="3844" width="4" style="2" customWidth="1"/>
    <col min="3845" max="3845" width="15" style="2" customWidth="1"/>
    <col min="3846" max="3846" width="4.140625" style="2" customWidth="1"/>
    <col min="3847" max="3847" width="11.28515625" style="2" customWidth="1"/>
    <col min="3848" max="3848" width="16.140625" style="2" customWidth="1"/>
    <col min="3849" max="3849" width="11" style="2" customWidth="1"/>
    <col min="3850" max="3851" width="2.140625" style="2" customWidth="1"/>
    <col min="3852" max="3852" width="3.28515625" style="2" customWidth="1"/>
    <col min="3853" max="3854" width="0" style="2" hidden="1" customWidth="1"/>
    <col min="3855" max="3855" width="2.85546875" style="2" customWidth="1"/>
    <col min="3856" max="3856" width="3.28515625" style="2" customWidth="1"/>
    <col min="3857" max="3857" width="1.42578125" style="2" customWidth="1"/>
    <col min="3858" max="3858" width="0" style="2" hidden="1" customWidth="1"/>
    <col min="3859" max="3859" width="6.85546875" style="2" customWidth="1"/>
    <col min="3860" max="3860" width="0" style="2" hidden="1" customWidth="1"/>
    <col min="3861" max="3862" width="6.28515625" style="2" customWidth="1"/>
    <col min="3863" max="3863" width="17.7109375" style="2" customWidth="1"/>
    <col min="3864" max="3864" width="13.85546875" style="2" customWidth="1"/>
    <col min="3865" max="3865" width="10.85546875" style="2" customWidth="1"/>
    <col min="3866" max="3866" width="16.85546875" style="2" customWidth="1"/>
    <col min="3867" max="3867" width="5" style="2" customWidth="1"/>
    <col min="3868" max="3868" width="13" style="2" customWidth="1"/>
    <col min="3869" max="3869" width="13.140625" style="2" customWidth="1"/>
    <col min="3870" max="3871" width="14" style="2" customWidth="1"/>
    <col min="3872" max="3872" width="11.42578125" style="2" customWidth="1"/>
    <col min="3873" max="3873" width="15.85546875" style="2" customWidth="1"/>
    <col min="3874" max="3874" width="23.7109375" style="2" customWidth="1"/>
    <col min="3875" max="3875" width="12" style="2" customWidth="1"/>
    <col min="3876" max="3877" width="0.28515625" style="2" customWidth="1"/>
    <col min="3878" max="3878" width="1.42578125" style="2" customWidth="1"/>
    <col min="3879" max="3879" width="0" style="2" hidden="1" customWidth="1"/>
    <col min="3880" max="4096" width="11.42578125" style="2"/>
    <col min="4097" max="4097" width="10.28515625" style="2" customWidth="1"/>
    <col min="4098" max="4098" width="13.42578125" style="2" customWidth="1"/>
    <col min="4099" max="4099" width="4.28515625" style="2" customWidth="1"/>
    <col min="4100" max="4100" width="4" style="2" customWidth="1"/>
    <col min="4101" max="4101" width="15" style="2" customWidth="1"/>
    <col min="4102" max="4102" width="4.140625" style="2" customWidth="1"/>
    <col min="4103" max="4103" width="11.28515625" style="2" customWidth="1"/>
    <col min="4104" max="4104" width="16.140625" style="2" customWidth="1"/>
    <col min="4105" max="4105" width="11" style="2" customWidth="1"/>
    <col min="4106" max="4107" width="2.140625" style="2" customWidth="1"/>
    <col min="4108" max="4108" width="3.28515625" style="2" customWidth="1"/>
    <col min="4109" max="4110" width="0" style="2" hidden="1" customWidth="1"/>
    <col min="4111" max="4111" width="2.85546875" style="2" customWidth="1"/>
    <col min="4112" max="4112" width="3.28515625" style="2" customWidth="1"/>
    <col min="4113" max="4113" width="1.42578125" style="2" customWidth="1"/>
    <col min="4114" max="4114" width="0" style="2" hidden="1" customWidth="1"/>
    <col min="4115" max="4115" width="6.85546875" style="2" customWidth="1"/>
    <col min="4116" max="4116" width="0" style="2" hidden="1" customWidth="1"/>
    <col min="4117" max="4118" width="6.28515625" style="2" customWidth="1"/>
    <col min="4119" max="4119" width="17.7109375" style="2" customWidth="1"/>
    <col min="4120" max="4120" width="13.85546875" style="2" customWidth="1"/>
    <col min="4121" max="4121" width="10.85546875" style="2" customWidth="1"/>
    <col min="4122" max="4122" width="16.85546875" style="2" customWidth="1"/>
    <col min="4123" max="4123" width="5" style="2" customWidth="1"/>
    <col min="4124" max="4124" width="13" style="2" customWidth="1"/>
    <col min="4125" max="4125" width="13.140625" style="2" customWidth="1"/>
    <col min="4126" max="4127" width="14" style="2" customWidth="1"/>
    <col min="4128" max="4128" width="11.42578125" style="2" customWidth="1"/>
    <col min="4129" max="4129" width="15.85546875" style="2" customWidth="1"/>
    <col min="4130" max="4130" width="23.7109375" style="2" customWidth="1"/>
    <col min="4131" max="4131" width="12" style="2" customWidth="1"/>
    <col min="4132" max="4133" width="0.28515625" style="2" customWidth="1"/>
    <col min="4134" max="4134" width="1.42578125" style="2" customWidth="1"/>
    <col min="4135" max="4135" width="0" style="2" hidden="1" customWidth="1"/>
    <col min="4136" max="4352" width="11.42578125" style="2"/>
    <col min="4353" max="4353" width="10.28515625" style="2" customWidth="1"/>
    <col min="4354" max="4354" width="13.42578125" style="2" customWidth="1"/>
    <col min="4355" max="4355" width="4.28515625" style="2" customWidth="1"/>
    <col min="4356" max="4356" width="4" style="2" customWidth="1"/>
    <col min="4357" max="4357" width="15" style="2" customWidth="1"/>
    <col min="4358" max="4358" width="4.140625" style="2" customWidth="1"/>
    <col min="4359" max="4359" width="11.28515625" style="2" customWidth="1"/>
    <col min="4360" max="4360" width="16.140625" style="2" customWidth="1"/>
    <col min="4361" max="4361" width="11" style="2" customWidth="1"/>
    <col min="4362" max="4363" width="2.140625" style="2" customWidth="1"/>
    <col min="4364" max="4364" width="3.28515625" style="2" customWidth="1"/>
    <col min="4365" max="4366" width="0" style="2" hidden="1" customWidth="1"/>
    <col min="4367" max="4367" width="2.85546875" style="2" customWidth="1"/>
    <col min="4368" max="4368" width="3.28515625" style="2" customWidth="1"/>
    <col min="4369" max="4369" width="1.42578125" style="2" customWidth="1"/>
    <col min="4370" max="4370" width="0" style="2" hidden="1" customWidth="1"/>
    <col min="4371" max="4371" width="6.85546875" style="2" customWidth="1"/>
    <col min="4372" max="4372" width="0" style="2" hidden="1" customWidth="1"/>
    <col min="4373" max="4374" width="6.28515625" style="2" customWidth="1"/>
    <col min="4375" max="4375" width="17.7109375" style="2" customWidth="1"/>
    <col min="4376" max="4376" width="13.85546875" style="2" customWidth="1"/>
    <col min="4377" max="4377" width="10.85546875" style="2" customWidth="1"/>
    <col min="4378" max="4378" width="16.85546875" style="2" customWidth="1"/>
    <col min="4379" max="4379" width="5" style="2" customWidth="1"/>
    <col min="4380" max="4380" width="13" style="2" customWidth="1"/>
    <col min="4381" max="4381" width="13.140625" style="2" customWidth="1"/>
    <col min="4382" max="4383" width="14" style="2" customWidth="1"/>
    <col min="4384" max="4384" width="11.42578125" style="2" customWidth="1"/>
    <col min="4385" max="4385" width="15.85546875" style="2" customWidth="1"/>
    <col min="4386" max="4386" width="23.7109375" style="2" customWidth="1"/>
    <col min="4387" max="4387" width="12" style="2" customWidth="1"/>
    <col min="4388" max="4389" width="0.28515625" style="2" customWidth="1"/>
    <col min="4390" max="4390" width="1.42578125" style="2" customWidth="1"/>
    <col min="4391" max="4391" width="0" style="2" hidden="1" customWidth="1"/>
    <col min="4392" max="4608" width="11.42578125" style="2"/>
    <col min="4609" max="4609" width="10.28515625" style="2" customWidth="1"/>
    <col min="4610" max="4610" width="13.42578125" style="2" customWidth="1"/>
    <col min="4611" max="4611" width="4.28515625" style="2" customWidth="1"/>
    <col min="4612" max="4612" width="4" style="2" customWidth="1"/>
    <col min="4613" max="4613" width="15" style="2" customWidth="1"/>
    <col min="4614" max="4614" width="4.140625" style="2" customWidth="1"/>
    <col min="4615" max="4615" width="11.28515625" style="2" customWidth="1"/>
    <col min="4616" max="4616" width="16.140625" style="2" customWidth="1"/>
    <col min="4617" max="4617" width="11" style="2" customWidth="1"/>
    <col min="4618" max="4619" width="2.140625" style="2" customWidth="1"/>
    <col min="4620" max="4620" width="3.28515625" style="2" customWidth="1"/>
    <col min="4621" max="4622" width="0" style="2" hidden="1" customWidth="1"/>
    <col min="4623" max="4623" width="2.85546875" style="2" customWidth="1"/>
    <col min="4624" max="4624" width="3.28515625" style="2" customWidth="1"/>
    <col min="4625" max="4625" width="1.42578125" style="2" customWidth="1"/>
    <col min="4626" max="4626" width="0" style="2" hidden="1" customWidth="1"/>
    <col min="4627" max="4627" width="6.85546875" style="2" customWidth="1"/>
    <col min="4628" max="4628" width="0" style="2" hidden="1" customWidth="1"/>
    <col min="4629" max="4630" width="6.28515625" style="2" customWidth="1"/>
    <col min="4631" max="4631" width="17.7109375" style="2" customWidth="1"/>
    <col min="4632" max="4632" width="13.85546875" style="2" customWidth="1"/>
    <col min="4633" max="4633" width="10.85546875" style="2" customWidth="1"/>
    <col min="4634" max="4634" width="16.85546875" style="2" customWidth="1"/>
    <col min="4635" max="4635" width="5" style="2" customWidth="1"/>
    <col min="4636" max="4636" width="13" style="2" customWidth="1"/>
    <col min="4637" max="4637" width="13.140625" style="2" customWidth="1"/>
    <col min="4638" max="4639" width="14" style="2" customWidth="1"/>
    <col min="4640" max="4640" width="11.42578125" style="2" customWidth="1"/>
    <col min="4641" max="4641" width="15.85546875" style="2" customWidth="1"/>
    <col min="4642" max="4642" width="23.7109375" style="2" customWidth="1"/>
    <col min="4643" max="4643" width="12" style="2" customWidth="1"/>
    <col min="4644" max="4645" width="0.28515625" style="2" customWidth="1"/>
    <col min="4646" max="4646" width="1.42578125" style="2" customWidth="1"/>
    <col min="4647" max="4647" width="0" style="2" hidden="1" customWidth="1"/>
    <col min="4648" max="4864" width="11.42578125" style="2"/>
    <col min="4865" max="4865" width="10.28515625" style="2" customWidth="1"/>
    <col min="4866" max="4866" width="13.42578125" style="2" customWidth="1"/>
    <col min="4867" max="4867" width="4.28515625" style="2" customWidth="1"/>
    <col min="4868" max="4868" width="4" style="2" customWidth="1"/>
    <col min="4869" max="4869" width="15" style="2" customWidth="1"/>
    <col min="4870" max="4870" width="4.140625" style="2" customWidth="1"/>
    <col min="4871" max="4871" width="11.28515625" style="2" customWidth="1"/>
    <col min="4872" max="4872" width="16.140625" style="2" customWidth="1"/>
    <col min="4873" max="4873" width="11" style="2" customWidth="1"/>
    <col min="4874" max="4875" width="2.140625" style="2" customWidth="1"/>
    <col min="4876" max="4876" width="3.28515625" style="2" customWidth="1"/>
    <col min="4877" max="4878" width="0" style="2" hidden="1" customWidth="1"/>
    <col min="4879" max="4879" width="2.85546875" style="2" customWidth="1"/>
    <col min="4880" max="4880" width="3.28515625" style="2" customWidth="1"/>
    <col min="4881" max="4881" width="1.42578125" style="2" customWidth="1"/>
    <col min="4882" max="4882" width="0" style="2" hidden="1" customWidth="1"/>
    <col min="4883" max="4883" width="6.85546875" style="2" customWidth="1"/>
    <col min="4884" max="4884" width="0" style="2" hidden="1" customWidth="1"/>
    <col min="4885" max="4886" width="6.28515625" style="2" customWidth="1"/>
    <col min="4887" max="4887" width="17.7109375" style="2" customWidth="1"/>
    <col min="4888" max="4888" width="13.85546875" style="2" customWidth="1"/>
    <col min="4889" max="4889" width="10.85546875" style="2" customWidth="1"/>
    <col min="4890" max="4890" width="16.85546875" style="2" customWidth="1"/>
    <col min="4891" max="4891" width="5" style="2" customWidth="1"/>
    <col min="4892" max="4892" width="13" style="2" customWidth="1"/>
    <col min="4893" max="4893" width="13.140625" style="2" customWidth="1"/>
    <col min="4894" max="4895" width="14" style="2" customWidth="1"/>
    <col min="4896" max="4896" width="11.42578125" style="2" customWidth="1"/>
    <col min="4897" max="4897" width="15.85546875" style="2" customWidth="1"/>
    <col min="4898" max="4898" width="23.7109375" style="2" customWidth="1"/>
    <col min="4899" max="4899" width="12" style="2" customWidth="1"/>
    <col min="4900" max="4901" width="0.28515625" style="2" customWidth="1"/>
    <col min="4902" max="4902" width="1.42578125" style="2" customWidth="1"/>
    <col min="4903" max="4903" width="0" style="2" hidden="1" customWidth="1"/>
    <col min="4904" max="5120" width="11.42578125" style="2"/>
    <col min="5121" max="5121" width="10.28515625" style="2" customWidth="1"/>
    <col min="5122" max="5122" width="13.42578125" style="2" customWidth="1"/>
    <col min="5123" max="5123" width="4.28515625" style="2" customWidth="1"/>
    <col min="5124" max="5124" width="4" style="2" customWidth="1"/>
    <col min="5125" max="5125" width="15" style="2" customWidth="1"/>
    <col min="5126" max="5126" width="4.140625" style="2" customWidth="1"/>
    <col min="5127" max="5127" width="11.28515625" style="2" customWidth="1"/>
    <col min="5128" max="5128" width="16.140625" style="2" customWidth="1"/>
    <col min="5129" max="5129" width="11" style="2" customWidth="1"/>
    <col min="5130" max="5131" width="2.140625" style="2" customWidth="1"/>
    <col min="5132" max="5132" width="3.28515625" style="2" customWidth="1"/>
    <col min="5133" max="5134" width="0" style="2" hidden="1" customWidth="1"/>
    <col min="5135" max="5135" width="2.85546875" style="2" customWidth="1"/>
    <col min="5136" max="5136" width="3.28515625" style="2" customWidth="1"/>
    <col min="5137" max="5137" width="1.42578125" style="2" customWidth="1"/>
    <col min="5138" max="5138" width="0" style="2" hidden="1" customWidth="1"/>
    <col min="5139" max="5139" width="6.85546875" style="2" customWidth="1"/>
    <col min="5140" max="5140" width="0" style="2" hidden="1" customWidth="1"/>
    <col min="5141" max="5142" width="6.28515625" style="2" customWidth="1"/>
    <col min="5143" max="5143" width="17.7109375" style="2" customWidth="1"/>
    <col min="5144" max="5144" width="13.85546875" style="2" customWidth="1"/>
    <col min="5145" max="5145" width="10.85546875" style="2" customWidth="1"/>
    <col min="5146" max="5146" width="16.85546875" style="2" customWidth="1"/>
    <col min="5147" max="5147" width="5" style="2" customWidth="1"/>
    <col min="5148" max="5148" width="13" style="2" customWidth="1"/>
    <col min="5149" max="5149" width="13.140625" style="2" customWidth="1"/>
    <col min="5150" max="5151" width="14" style="2" customWidth="1"/>
    <col min="5152" max="5152" width="11.42578125" style="2" customWidth="1"/>
    <col min="5153" max="5153" width="15.85546875" style="2" customWidth="1"/>
    <col min="5154" max="5154" width="23.7109375" style="2" customWidth="1"/>
    <col min="5155" max="5155" width="12" style="2" customWidth="1"/>
    <col min="5156" max="5157" width="0.28515625" style="2" customWidth="1"/>
    <col min="5158" max="5158" width="1.42578125" style="2" customWidth="1"/>
    <col min="5159" max="5159" width="0" style="2" hidden="1" customWidth="1"/>
    <col min="5160" max="5376" width="11.42578125" style="2"/>
    <col min="5377" max="5377" width="10.28515625" style="2" customWidth="1"/>
    <col min="5378" max="5378" width="13.42578125" style="2" customWidth="1"/>
    <col min="5379" max="5379" width="4.28515625" style="2" customWidth="1"/>
    <col min="5380" max="5380" width="4" style="2" customWidth="1"/>
    <col min="5381" max="5381" width="15" style="2" customWidth="1"/>
    <col min="5382" max="5382" width="4.140625" style="2" customWidth="1"/>
    <col min="5383" max="5383" width="11.28515625" style="2" customWidth="1"/>
    <col min="5384" max="5384" width="16.140625" style="2" customWidth="1"/>
    <col min="5385" max="5385" width="11" style="2" customWidth="1"/>
    <col min="5386" max="5387" width="2.140625" style="2" customWidth="1"/>
    <col min="5388" max="5388" width="3.28515625" style="2" customWidth="1"/>
    <col min="5389" max="5390" width="0" style="2" hidden="1" customWidth="1"/>
    <col min="5391" max="5391" width="2.85546875" style="2" customWidth="1"/>
    <col min="5392" max="5392" width="3.28515625" style="2" customWidth="1"/>
    <col min="5393" max="5393" width="1.42578125" style="2" customWidth="1"/>
    <col min="5394" max="5394" width="0" style="2" hidden="1" customWidth="1"/>
    <col min="5395" max="5395" width="6.85546875" style="2" customWidth="1"/>
    <col min="5396" max="5396" width="0" style="2" hidden="1" customWidth="1"/>
    <col min="5397" max="5398" width="6.28515625" style="2" customWidth="1"/>
    <col min="5399" max="5399" width="17.7109375" style="2" customWidth="1"/>
    <col min="5400" max="5400" width="13.85546875" style="2" customWidth="1"/>
    <col min="5401" max="5401" width="10.85546875" style="2" customWidth="1"/>
    <col min="5402" max="5402" width="16.85546875" style="2" customWidth="1"/>
    <col min="5403" max="5403" width="5" style="2" customWidth="1"/>
    <col min="5404" max="5404" width="13" style="2" customWidth="1"/>
    <col min="5405" max="5405" width="13.140625" style="2" customWidth="1"/>
    <col min="5406" max="5407" width="14" style="2" customWidth="1"/>
    <col min="5408" max="5408" width="11.42578125" style="2" customWidth="1"/>
    <col min="5409" max="5409" width="15.85546875" style="2" customWidth="1"/>
    <col min="5410" max="5410" width="23.7109375" style="2" customWidth="1"/>
    <col min="5411" max="5411" width="12" style="2" customWidth="1"/>
    <col min="5412" max="5413" width="0.28515625" style="2" customWidth="1"/>
    <col min="5414" max="5414" width="1.42578125" style="2" customWidth="1"/>
    <col min="5415" max="5415" width="0" style="2" hidden="1" customWidth="1"/>
    <col min="5416" max="5632" width="11.42578125" style="2"/>
    <col min="5633" max="5633" width="10.28515625" style="2" customWidth="1"/>
    <col min="5634" max="5634" width="13.42578125" style="2" customWidth="1"/>
    <col min="5635" max="5635" width="4.28515625" style="2" customWidth="1"/>
    <col min="5636" max="5636" width="4" style="2" customWidth="1"/>
    <col min="5637" max="5637" width="15" style="2" customWidth="1"/>
    <col min="5638" max="5638" width="4.140625" style="2" customWidth="1"/>
    <col min="5639" max="5639" width="11.28515625" style="2" customWidth="1"/>
    <col min="5640" max="5640" width="16.140625" style="2" customWidth="1"/>
    <col min="5641" max="5641" width="11" style="2" customWidth="1"/>
    <col min="5642" max="5643" width="2.140625" style="2" customWidth="1"/>
    <col min="5644" max="5644" width="3.28515625" style="2" customWidth="1"/>
    <col min="5645" max="5646" width="0" style="2" hidden="1" customWidth="1"/>
    <col min="5647" max="5647" width="2.85546875" style="2" customWidth="1"/>
    <col min="5648" max="5648" width="3.28515625" style="2" customWidth="1"/>
    <col min="5649" max="5649" width="1.42578125" style="2" customWidth="1"/>
    <col min="5650" max="5650" width="0" style="2" hidden="1" customWidth="1"/>
    <col min="5651" max="5651" width="6.85546875" style="2" customWidth="1"/>
    <col min="5652" max="5652" width="0" style="2" hidden="1" customWidth="1"/>
    <col min="5653" max="5654" width="6.28515625" style="2" customWidth="1"/>
    <col min="5655" max="5655" width="17.7109375" style="2" customWidth="1"/>
    <col min="5656" max="5656" width="13.85546875" style="2" customWidth="1"/>
    <col min="5657" max="5657" width="10.85546875" style="2" customWidth="1"/>
    <col min="5658" max="5658" width="16.85546875" style="2" customWidth="1"/>
    <col min="5659" max="5659" width="5" style="2" customWidth="1"/>
    <col min="5660" max="5660" width="13" style="2" customWidth="1"/>
    <col min="5661" max="5661" width="13.140625" style="2" customWidth="1"/>
    <col min="5662" max="5663" width="14" style="2" customWidth="1"/>
    <col min="5664" max="5664" width="11.42578125" style="2" customWidth="1"/>
    <col min="5665" max="5665" width="15.85546875" style="2" customWidth="1"/>
    <col min="5666" max="5666" width="23.7109375" style="2" customWidth="1"/>
    <col min="5667" max="5667" width="12" style="2" customWidth="1"/>
    <col min="5668" max="5669" width="0.28515625" style="2" customWidth="1"/>
    <col min="5670" max="5670" width="1.42578125" style="2" customWidth="1"/>
    <col min="5671" max="5671" width="0" style="2" hidden="1" customWidth="1"/>
    <col min="5672" max="5888" width="11.42578125" style="2"/>
    <col min="5889" max="5889" width="10.28515625" style="2" customWidth="1"/>
    <col min="5890" max="5890" width="13.42578125" style="2" customWidth="1"/>
    <col min="5891" max="5891" width="4.28515625" style="2" customWidth="1"/>
    <col min="5892" max="5892" width="4" style="2" customWidth="1"/>
    <col min="5893" max="5893" width="15" style="2" customWidth="1"/>
    <col min="5894" max="5894" width="4.140625" style="2" customWidth="1"/>
    <col min="5895" max="5895" width="11.28515625" style="2" customWidth="1"/>
    <col min="5896" max="5896" width="16.140625" style="2" customWidth="1"/>
    <col min="5897" max="5897" width="11" style="2" customWidth="1"/>
    <col min="5898" max="5899" width="2.140625" style="2" customWidth="1"/>
    <col min="5900" max="5900" width="3.28515625" style="2" customWidth="1"/>
    <col min="5901" max="5902" width="0" style="2" hidden="1" customWidth="1"/>
    <col min="5903" max="5903" width="2.85546875" style="2" customWidth="1"/>
    <col min="5904" max="5904" width="3.28515625" style="2" customWidth="1"/>
    <col min="5905" max="5905" width="1.42578125" style="2" customWidth="1"/>
    <col min="5906" max="5906" width="0" style="2" hidden="1" customWidth="1"/>
    <col min="5907" max="5907" width="6.85546875" style="2" customWidth="1"/>
    <col min="5908" max="5908" width="0" style="2" hidden="1" customWidth="1"/>
    <col min="5909" max="5910" width="6.28515625" style="2" customWidth="1"/>
    <col min="5911" max="5911" width="17.7109375" style="2" customWidth="1"/>
    <col min="5912" max="5912" width="13.85546875" style="2" customWidth="1"/>
    <col min="5913" max="5913" width="10.85546875" style="2" customWidth="1"/>
    <col min="5914" max="5914" width="16.85546875" style="2" customWidth="1"/>
    <col min="5915" max="5915" width="5" style="2" customWidth="1"/>
    <col min="5916" max="5916" width="13" style="2" customWidth="1"/>
    <col min="5917" max="5917" width="13.140625" style="2" customWidth="1"/>
    <col min="5918" max="5919" width="14" style="2" customWidth="1"/>
    <col min="5920" max="5920" width="11.42578125" style="2" customWidth="1"/>
    <col min="5921" max="5921" width="15.85546875" style="2" customWidth="1"/>
    <col min="5922" max="5922" width="23.7109375" style="2" customWidth="1"/>
    <col min="5923" max="5923" width="12" style="2" customWidth="1"/>
    <col min="5924" max="5925" width="0.28515625" style="2" customWidth="1"/>
    <col min="5926" max="5926" width="1.42578125" style="2" customWidth="1"/>
    <col min="5927" max="5927" width="0" style="2" hidden="1" customWidth="1"/>
    <col min="5928" max="6144" width="11.42578125" style="2"/>
    <col min="6145" max="6145" width="10.28515625" style="2" customWidth="1"/>
    <col min="6146" max="6146" width="13.42578125" style="2" customWidth="1"/>
    <col min="6147" max="6147" width="4.28515625" style="2" customWidth="1"/>
    <col min="6148" max="6148" width="4" style="2" customWidth="1"/>
    <col min="6149" max="6149" width="15" style="2" customWidth="1"/>
    <col min="6150" max="6150" width="4.140625" style="2" customWidth="1"/>
    <col min="6151" max="6151" width="11.28515625" style="2" customWidth="1"/>
    <col min="6152" max="6152" width="16.140625" style="2" customWidth="1"/>
    <col min="6153" max="6153" width="11" style="2" customWidth="1"/>
    <col min="6154" max="6155" width="2.140625" style="2" customWidth="1"/>
    <col min="6156" max="6156" width="3.28515625" style="2" customWidth="1"/>
    <col min="6157" max="6158" width="0" style="2" hidden="1" customWidth="1"/>
    <col min="6159" max="6159" width="2.85546875" style="2" customWidth="1"/>
    <col min="6160" max="6160" width="3.28515625" style="2" customWidth="1"/>
    <col min="6161" max="6161" width="1.42578125" style="2" customWidth="1"/>
    <col min="6162" max="6162" width="0" style="2" hidden="1" customWidth="1"/>
    <col min="6163" max="6163" width="6.85546875" style="2" customWidth="1"/>
    <col min="6164" max="6164" width="0" style="2" hidden="1" customWidth="1"/>
    <col min="6165" max="6166" width="6.28515625" style="2" customWidth="1"/>
    <col min="6167" max="6167" width="17.7109375" style="2" customWidth="1"/>
    <col min="6168" max="6168" width="13.85546875" style="2" customWidth="1"/>
    <col min="6169" max="6169" width="10.85546875" style="2" customWidth="1"/>
    <col min="6170" max="6170" width="16.85546875" style="2" customWidth="1"/>
    <col min="6171" max="6171" width="5" style="2" customWidth="1"/>
    <col min="6172" max="6172" width="13" style="2" customWidth="1"/>
    <col min="6173" max="6173" width="13.140625" style="2" customWidth="1"/>
    <col min="6174" max="6175" width="14" style="2" customWidth="1"/>
    <col min="6176" max="6176" width="11.42578125" style="2" customWidth="1"/>
    <col min="6177" max="6177" width="15.85546875" style="2" customWidth="1"/>
    <col min="6178" max="6178" width="23.7109375" style="2" customWidth="1"/>
    <col min="6179" max="6179" width="12" style="2" customWidth="1"/>
    <col min="6180" max="6181" width="0.28515625" style="2" customWidth="1"/>
    <col min="6182" max="6182" width="1.42578125" style="2" customWidth="1"/>
    <col min="6183" max="6183" width="0" style="2" hidden="1" customWidth="1"/>
    <col min="6184" max="6400" width="11.42578125" style="2"/>
    <col min="6401" max="6401" width="10.28515625" style="2" customWidth="1"/>
    <col min="6402" max="6402" width="13.42578125" style="2" customWidth="1"/>
    <col min="6403" max="6403" width="4.28515625" style="2" customWidth="1"/>
    <col min="6404" max="6404" width="4" style="2" customWidth="1"/>
    <col min="6405" max="6405" width="15" style="2" customWidth="1"/>
    <col min="6406" max="6406" width="4.140625" style="2" customWidth="1"/>
    <col min="6407" max="6407" width="11.28515625" style="2" customWidth="1"/>
    <col min="6408" max="6408" width="16.140625" style="2" customWidth="1"/>
    <col min="6409" max="6409" width="11" style="2" customWidth="1"/>
    <col min="6410" max="6411" width="2.140625" style="2" customWidth="1"/>
    <col min="6412" max="6412" width="3.28515625" style="2" customWidth="1"/>
    <col min="6413" max="6414" width="0" style="2" hidden="1" customWidth="1"/>
    <col min="6415" max="6415" width="2.85546875" style="2" customWidth="1"/>
    <col min="6416" max="6416" width="3.28515625" style="2" customWidth="1"/>
    <col min="6417" max="6417" width="1.42578125" style="2" customWidth="1"/>
    <col min="6418" max="6418" width="0" style="2" hidden="1" customWidth="1"/>
    <col min="6419" max="6419" width="6.85546875" style="2" customWidth="1"/>
    <col min="6420" max="6420" width="0" style="2" hidden="1" customWidth="1"/>
    <col min="6421" max="6422" width="6.28515625" style="2" customWidth="1"/>
    <col min="6423" max="6423" width="17.7109375" style="2" customWidth="1"/>
    <col min="6424" max="6424" width="13.85546875" style="2" customWidth="1"/>
    <col min="6425" max="6425" width="10.85546875" style="2" customWidth="1"/>
    <col min="6426" max="6426" width="16.85546875" style="2" customWidth="1"/>
    <col min="6427" max="6427" width="5" style="2" customWidth="1"/>
    <col min="6428" max="6428" width="13" style="2" customWidth="1"/>
    <col min="6429" max="6429" width="13.140625" style="2" customWidth="1"/>
    <col min="6430" max="6431" width="14" style="2" customWidth="1"/>
    <col min="6432" max="6432" width="11.42578125" style="2" customWidth="1"/>
    <col min="6433" max="6433" width="15.85546875" style="2" customWidth="1"/>
    <col min="6434" max="6434" width="23.7109375" style="2" customWidth="1"/>
    <col min="6435" max="6435" width="12" style="2" customWidth="1"/>
    <col min="6436" max="6437" width="0.28515625" style="2" customWidth="1"/>
    <col min="6438" max="6438" width="1.42578125" style="2" customWidth="1"/>
    <col min="6439" max="6439" width="0" style="2" hidden="1" customWidth="1"/>
    <col min="6440" max="6656" width="11.42578125" style="2"/>
    <col min="6657" max="6657" width="10.28515625" style="2" customWidth="1"/>
    <col min="6658" max="6658" width="13.42578125" style="2" customWidth="1"/>
    <col min="6659" max="6659" width="4.28515625" style="2" customWidth="1"/>
    <col min="6660" max="6660" width="4" style="2" customWidth="1"/>
    <col min="6661" max="6661" width="15" style="2" customWidth="1"/>
    <col min="6662" max="6662" width="4.140625" style="2" customWidth="1"/>
    <col min="6663" max="6663" width="11.28515625" style="2" customWidth="1"/>
    <col min="6664" max="6664" width="16.140625" style="2" customWidth="1"/>
    <col min="6665" max="6665" width="11" style="2" customWidth="1"/>
    <col min="6666" max="6667" width="2.140625" style="2" customWidth="1"/>
    <col min="6668" max="6668" width="3.28515625" style="2" customWidth="1"/>
    <col min="6669" max="6670" width="0" style="2" hidden="1" customWidth="1"/>
    <col min="6671" max="6671" width="2.85546875" style="2" customWidth="1"/>
    <col min="6672" max="6672" width="3.28515625" style="2" customWidth="1"/>
    <col min="6673" max="6673" width="1.42578125" style="2" customWidth="1"/>
    <col min="6674" max="6674" width="0" style="2" hidden="1" customWidth="1"/>
    <col min="6675" max="6675" width="6.85546875" style="2" customWidth="1"/>
    <col min="6676" max="6676" width="0" style="2" hidden="1" customWidth="1"/>
    <col min="6677" max="6678" width="6.28515625" style="2" customWidth="1"/>
    <col min="6679" max="6679" width="17.7109375" style="2" customWidth="1"/>
    <col min="6680" max="6680" width="13.85546875" style="2" customWidth="1"/>
    <col min="6681" max="6681" width="10.85546875" style="2" customWidth="1"/>
    <col min="6682" max="6682" width="16.85546875" style="2" customWidth="1"/>
    <col min="6683" max="6683" width="5" style="2" customWidth="1"/>
    <col min="6684" max="6684" width="13" style="2" customWidth="1"/>
    <col min="6685" max="6685" width="13.140625" style="2" customWidth="1"/>
    <col min="6686" max="6687" width="14" style="2" customWidth="1"/>
    <col min="6688" max="6688" width="11.42578125" style="2" customWidth="1"/>
    <col min="6689" max="6689" width="15.85546875" style="2" customWidth="1"/>
    <col min="6690" max="6690" width="23.7109375" style="2" customWidth="1"/>
    <col min="6691" max="6691" width="12" style="2" customWidth="1"/>
    <col min="6692" max="6693" width="0.28515625" style="2" customWidth="1"/>
    <col min="6694" max="6694" width="1.42578125" style="2" customWidth="1"/>
    <col min="6695" max="6695" width="0" style="2" hidden="1" customWidth="1"/>
    <col min="6696" max="6912" width="11.42578125" style="2"/>
    <col min="6913" max="6913" width="10.28515625" style="2" customWidth="1"/>
    <col min="6914" max="6914" width="13.42578125" style="2" customWidth="1"/>
    <col min="6915" max="6915" width="4.28515625" style="2" customWidth="1"/>
    <col min="6916" max="6916" width="4" style="2" customWidth="1"/>
    <col min="6917" max="6917" width="15" style="2" customWidth="1"/>
    <col min="6918" max="6918" width="4.140625" style="2" customWidth="1"/>
    <col min="6919" max="6919" width="11.28515625" style="2" customWidth="1"/>
    <col min="6920" max="6920" width="16.140625" style="2" customWidth="1"/>
    <col min="6921" max="6921" width="11" style="2" customWidth="1"/>
    <col min="6922" max="6923" width="2.140625" style="2" customWidth="1"/>
    <col min="6924" max="6924" width="3.28515625" style="2" customWidth="1"/>
    <col min="6925" max="6926" width="0" style="2" hidden="1" customWidth="1"/>
    <col min="6927" max="6927" width="2.85546875" style="2" customWidth="1"/>
    <col min="6928" max="6928" width="3.28515625" style="2" customWidth="1"/>
    <col min="6929" max="6929" width="1.42578125" style="2" customWidth="1"/>
    <col min="6930" max="6930" width="0" style="2" hidden="1" customWidth="1"/>
    <col min="6931" max="6931" width="6.85546875" style="2" customWidth="1"/>
    <col min="6932" max="6932" width="0" style="2" hidden="1" customWidth="1"/>
    <col min="6933" max="6934" width="6.28515625" style="2" customWidth="1"/>
    <col min="6935" max="6935" width="17.7109375" style="2" customWidth="1"/>
    <col min="6936" max="6936" width="13.85546875" style="2" customWidth="1"/>
    <col min="6937" max="6937" width="10.85546875" style="2" customWidth="1"/>
    <col min="6938" max="6938" width="16.85546875" style="2" customWidth="1"/>
    <col min="6939" max="6939" width="5" style="2" customWidth="1"/>
    <col min="6940" max="6940" width="13" style="2" customWidth="1"/>
    <col min="6941" max="6941" width="13.140625" style="2" customWidth="1"/>
    <col min="6942" max="6943" width="14" style="2" customWidth="1"/>
    <col min="6944" max="6944" width="11.42578125" style="2" customWidth="1"/>
    <col min="6945" max="6945" width="15.85546875" style="2" customWidth="1"/>
    <col min="6946" max="6946" width="23.7109375" style="2" customWidth="1"/>
    <col min="6947" max="6947" width="12" style="2" customWidth="1"/>
    <col min="6948" max="6949" width="0.28515625" style="2" customWidth="1"/>
    <col min="6950" max="6950" width="1.42578125" style="2" customWidth="1"/>
    <col min="6951" max="6951" width="0" style="2" hidden="1" customWidth="1"/>
    <col min="6952" max="7168" width="11.42578125" style="2"/>
    <col min="7169" max="7169" width="10.28515625" style="2" customWidth="1"/>
    <col min="7170" max="7170" width="13.42578125" style="2" customWidth="1"/>
    <col min="7171" max="7171" width="4.28515625" style="2" customWidth="1"/>
    <col min="7172" max="7172" width="4" style="2" customWidth="1"/>
    <col min="7173" max="7173" width="15" style="2" customWidth="1"/>
    <col min="7174" max="7174" width="4.140625" style="2" customWidth="1"/>
    <col min="7175" max="7175" width="11.28515625" style="2" customWidth="1"/>
    <col min="7176" max="7176" width="16.140625" style="2" customWidth="1"/>
    <col min="7177" max="7177" width="11" style="2" customWidth="1"/>
    <col min="7178" max="7179" width="2.140625" style="2" customWidth="1"/>
    <col min="7180" max="7180" width="3.28515625" style="2" customWidth="1"/>
    <col min="7181" max="7182" width="0" style="2" hidden="1" customWidth="1"/>
    <col min="7183" max="7183" width="2.85546875" style="2" customWidth="1"/>
    <col min="7184" max="7184" width="3.28515625" style="2" customWidth="1"/>
    <col min="7185" max="7185" width="1.42578125" style="2" customWidth="1"/>
    <col min="7186" max="7186" width="0" style="2" hidden="1" customWidth="1"/>
    <col min="7187" max="7187" width="6.85546875" style="2" customWidth="1"/>
    <col min="7188" max="7188" width="0" style="2" hidden="1" customWidth="1"/>
    <col min="7189" max="7190" width="6.28515625" style="2" customWidth="1"/>
    <col min="7191" max="7191" width="17.7109375" style="2" customWidth="1"/>
    <col min="7192" max="7192" width="13.85546875" style="2" customWidth="1"/>
    <col min="7193" max="7193" width="10.85546875" style="2" customWidth="1"/>
    <col min="7194" max="7194" width="16.85546875" style="2" customWidth="1"/>
    <col min="7195" max="7195" width="5" style="2" customWidth="1"/>
    <col min="7196" max="7196" width="13" style="2" customWidth="1"/>
    <col min="7197" max="7197" width="13.140625" style="2" customWidth="1"/>
    <col min="7198" max="7199" width="14" style="2" customWidth="1"/>
    <col min="7200" max="7200" width="11.42578125" style="2" customWidth="1"/>
    <col min="7201" max="7201" width="15.85546875" style="2" customWidth="1"/>
    <col min="7202" max="7202" width="23.7109375" style="2" customWidth="1"/>
    <col min="7203" max="7203" width="12" style="2" customWidth="1"/>
    <col min="7204" max="7205" width="0.28515625" style="2" customWidth="1"/>
    <col min="7206" max="7206" width="1.42578125" style="2" customWidth="1"/>
    <col min="7207" max="7207" width="0" style="2" hidden="1" customWidth="1"/>
    <col min="7208" max="7424" width="11.42578125" style="2"/>
    <col min="7425" max="7425" width="10.28515625" style="2" customWidth="1"/>
    <col min="7426" max="7426" width="13.42578125" style="2" customWidth="1"/>
    <col min="7427" max="7427" width="4.28515625" style="2" customWidth="1"/>
    <col min="7428" max="7428" width="4" style="2" customWidth="1"/>
    <col min="7429" max="7429" width="15" style="2" customWidth="1"/>
    <col min="7430" max="7430" width="4.140625" style="2" customWidth="1"/>
    <col min="7431" max="7431" width="11.28515625" style="2" customWidth="1"/>
    <col min="7432" max="7432" width="16.140625" style="2" customWidth="1"/>
    <col min="7433" max="7433" width="11" style="2" customWidth="1"/>
    <col min="7434" max="7435" width="2.140625" style="2" customWidth="1"/>
    <col min="7436" max="7436" width="3.28515625" style="2" customWidth="1"/>
    <col min="7437" max="7438" width="0" style="2" hidden="1" customWidth="1"/>
    <col min="7439" max="7439" width="2.85546875" style="2" customWidth="1"/>
    <col min="7440" max="7440" width="3.28515625" style="2" customWidth="1"/>
    <col min="7441" max="7441" width="1.42578125" style="2" customWidth="1"/>
    <col min="7442" max="7442" width="0" style="2" hidden="1" customWidth="1"/>
    <col min="7443" max="7443" width="6.85546875" style="2" customWidth="1"/>
    <col min="7444" max="7444" width="0" style="2" hidden="1" customWidth="1"/>
    <col min="7445" max="7446" width="6.28515625" style="2" customWidth="1"/>
    <col min="7447" max="7447" width="17.7109375" style="2" customWidth="1"/>
    <col min="7448" max="7448" width="13.85546875" style="2" customWidth="1"/>
    <col min="7449" max="7449" width="10.85546875" style="2" customWidth="1"/>
    <col min="7450" max="7450" width="16.85546875" style="2" customWidth="1"/>
    <col min="7451" max="7451" width="5" style="2" customWidth="1"/>
    <col min="7452" max="7452" width="13" style="2" customWidth="1"/>
    <col min="7453" max="7453" width="13.140625" style="2" customWidth="1"/>
    <col min="7454" max="7455" width="14" style="2" customWidth="1"/>
    <col min="7456" max="7456" width="11.42578125" style="2" customWidth="1"/>
    <col min="7457" max="7457" width="15.85546875" style="2" customWidth="1"/>
    <col min="7458" max="7458" width="23.7109375" style="2" customWidth="1"/>
    <col min="7459" max="7459" width="12" style="2" customWidth="1"/>
    <col min="7460" max="7461" width="0.28515625" style="2" customWidth="1"/>
    <col min="7462" max="7462" width="1.42578125" style="2" customWidth="1"/>
    <col min="7463" max="7463" width="0" style="2" hidden="1" customWidth="1"/>
    <col min="7464" max="7680" width="11.42578125" style="2"/>
    <col min="7681" max="7681" width="10.28515625" style="2" customWidth="1"/>
    <col min="7682" max="7682" width="13.42578125" style="2" customWidth="1"/>
    <col min="7683" max="7683" width="4.28515625" style="2" customWidth="1"/>
    <col min="7684" max="7684" width="4" style="2" customWidth="1"/>
    <col min="7685" max="7685" width="15" style="2" customWidth="1"/>
    <col min="7686" max="7686" width="4.140625" style="2" customWidth="1"/>
    <col min="7687" max="7687" width="11.28515625" style="2" customWidth="1"/>
    <col min="7688" max="7688" width="16.140625" style="2" customWidth="1"/>
    <col min="7689" max="7689" width="11" style="2" customWidth="1"/>
    <col min="7690" max="7691" width="2.140625" style="2" customWidth="1"/>
    <col min="7692" max="7692" width="3.28515625" style="2" customWidth="1"/>
    <col min="7693" max="7694" width="0" style="2" hidden="1" customWidth="1"/>
    <col min="7695" max="7695" width="2.85546875" style="2" customWidth="1"/>
    <col min="7696" max="7696" width="3.28515625" style="2" customWidth="1"/>
    <col min="7697" max="7697" width="1.42578125" style="2" customWidth="1"/>
    <col min="7698" max="7698" width="0" style="2" hidden="1" customWidth="1"/>
    <col min="7699" max="7699" width="6.85546875" style="2" customWidth="1"/>
    <col min="7700" max="7700" width="0" style="2" hidden="1" customWidth="1"/>
    <col min="7701" max="7702" width="6.28515625" style="2" customWidth="1"/>
    <col min="7703" max="7703" width="17.7109375" style="2" customWidth="1"/>
    <col min="7704" max="7704" width="13.85546875" style="2" customWidth="1"/>
    <col min="7705" max="7705" width="10.85546875" style="2" customWidth="1"/>
    <col min="7706" max="7706" width="16.85546875" style="2" customWidth="1"/>
    <col min="7707" max="7707" width="5" style="2" customWidth="1"/>
    <col min="7708" max="7708" width="13" style="2" customWidth="1"/>
    <col min="7709" max="7709" width="13.140625" style="2" customWidth="1"/>
    <col min="7710" max="7711" width="14" style="2" customWidth="1"/>
    <col min="7712" max="7712" width="11.42578125" style="2" customWidth="1"/>
    <col min="7713" max="7713" width="15.85546875" style="2" customWidth="1"/>
    <col min="7714" max="7714" width="23.7109375" style="2" customWidth="1"/>
    <col min="7715" max="7715" width="12" style="2" customWidth="1"/>
    <col min="7716" max="7717" width="0.28515625" style="2" customWidth="1"/>
    <col min="7718" max="7718" width="1.42578125" style="2" customWidth="1"/>
    <col min="7719" max="7719" width="0" style="2" hidden="1" customWidth="1"/>
    <col min="7720" max="7936" width="11.42578125" style="2"/>
    <col min="7937" max="7937" width="10.28515625" style="2" customWidth="1"/>
    <col min="7938" max="7938" width="13.42578125" style="2" customWidth="1"/>
    <col min="7939" max="7939" width="4.28515625" style="2" customWidth="1"/>
    <col min="7940" max="7940" width="4" style="2" customWidth="1"/>
    <col min="7941" max="7941" width="15" style="2" customWidth="1"/>
    <col min="7942" max="7942" width="4.140625" style="2" customWidth="1"/>
    <col min="7943" max="7943" width="11.28515625" style="2" customWidth="1"/>
    <col min="7944" max="7944" width="16.140625" style="2" customWidth="1"/>
    <col min="7945" max="7945" width="11" style="2" customWidth="1"/>
    <col min="7946" max="7947" width="2.140625" style="2" customWidth="1"/>
    <col min="7948" max="7948" width="3.28515625" style="2" customWidth="1"/>
    <col min="7949" max="7950" width="0" style="2" hidden="1" customWidth="1"/>
    <col min="7951" max="7951" width="2.85546875" style="2" customWidth="1"/>
    <col min="7952" max="7952" width="3.28515625" style="2" customWidth="1"/>
    <col min="7953" max="7953" width="1.42578125" style="2" customWidth="1"/>
    <col min="7954" max="7954" width="0" style="2" hidden="1" customWidth="1"/>
    <col min="7955" max="7955" width="6.85546875" style="2" customWidth="1"/>
    <col min="7956" max="7956" width="0" style="2" hidden="1" customWidth="1"/>
    <col min="7957" max="7958" width="6.28515625" style="2" customWidth="1"/>
    <col min="7959" max="7959" width="17.7109375" style="2" customWidth="1"/>
    <col min="7960" max="7960" width="13.85546875" style="2" customWidth="1"/>
    <col min="7961" max="7961" width="10.85546875" style="2" customWidth="1"/>
    <col min="7962" max="7962" width="16.85546875" style="2" customWidth="1"/>
    <col min="7963" max="7963" width="5" style="2" customWidth="1"/>
    <col min="7964" max="7964" width="13" style="2" customWidth="1"/>
    <col min="7965" max="7965" width="13.140625" style="2" customWidth="1"/>
    <col min="7966" max="7967" width="14" style="2" customWidth="1"/>
    <col min="7968" max="7968" width="11.42578125" style="2" customWidth="1"/>
    <col min="7969" max="7969" width="15.85546875" style="2" customWidth="1"/>
    <col min="7970" max="7970" width="23.7109375" style="2" customWidth="1"/>
    <col min="7971" max="7971" width="12" style="2" customWidth="1"/>
    <col min="7972" max="7973" width="0.28515625" style="2" customWidth="1"/>
    <col min="7974" max="7974" width="1.42578125" style="2" customWidth="1"/>
    <col min="7975" max="7975" width="0" style="2" hidden="1" customWidth="1"/>
    <col min="7976" max="8192" width="11.42578125" style="2"/>
    <col min="8193" max="8193" width="10.28515625" style="2" customWidth="1"/>
    <col min="8194" max="8194" width="13.42578125" style="2" customWidth="1"/>
    <col min="8195" max="8195" width="4.28515625" style="2" customWidth="1"/>
    <col min="8196" max="8196" width="4" style="2" customWidth="1"/>
    <col min="8197" max="8197" width="15" style="2" customWidth="1"/>
    <col min="8198" max="8198" width="4.140625" style="2" customWidth="1"/>
    <col min="8199" max="8199" width="11.28515625" style="2" customWidth="1"/>
    <col min="8200" max="8200" width="16.140625" style="2" customWidth="1"/>
    <col min="8201" max="8201" width="11" style="2" customWidth="1"/>
    <col min="8202" max="8203" width="2.140625" style="2" customWidth="1"/>
    <col min="8204" max="8204" width="3.28515625" style="2" customWidth="1"/>
    <col min="8205" max="8206" width="0" style="2" hidden="1" customWidth="1"/>
    <col min="8207" max="8207" width="2.85546875" style="2" customWidth="1"/>
    <col min="8208" max="8208" width="3.28515625" style="2" customWidth="1"/>
    <col min="8209" max="8209" width="1.42578125" style="2" customWidth="1"/>
    <col min="8210" max="8210" width="0" style="2" hidden="1" customWidth="1"/>
    <col min="8211" max="8211" width="6.85546875" style="2" customWidth="1"/>
    <col min="8212" max="8212" width="0" style="2" hidden="1" customWidth="1"/>
    <col min="8213" max="8214" width="6.28515625" style="2" customWidth="1"/>
    <col min="8215" max="8215" width="17.7109375" style="2" customWidth="1"/>
    <col min="8216" max="8216" width="13.85546875" style="2" customWidth="1"/>
    <col min="8217" max="8217" width="10.85546875" style="2" customWidth="1"/>
    <col min="8218" max="8218" width="16.85546875" style="2" customWidth="1"/>
    <col min="8219" max="8219" width="5" style="2" customWidth="1"/>
    <col min="8220" max="8220" width="13" style="2" customWidth="1"/>
    <col min="8221" max="8221" width="13.140625" style="2" customWidth="1"/>
    <col min="8222" max="8223" width="14" style="2" customWidth="1"/>
    <col min="8224" max="8224" width="11.42578125" style="2" customWidth="1"/>
    <col min="8225" max="8225" width="15.85546875" style="2" customWidth="1"/>
    <col min="8226" max="8226" width="23.7109375" style="2" customWidth="1"/>
    <col min="8227" max="8227" width="12" style="2" customWidth="1"/>
    <col min="8228" max="8229" width="0.28515625" style="2" customWidth="1"/>
    <col min="8230" max="8230" width="1.42578125" style="2" customWidth="1"/>
    <col min="8231" max="8231" width="0" style="2" hidden="1" customWidth="1"/>
    <col min="8232" max="8448" width="11.42578125" style="2"/>
    <col min="8449" max="8449" width="10.28515625" style="2" customWidth="1"/>
    <col min="8450" max="8450" width="13.42578125" style="2" customWidth="1"/>
    <col min="8451" max="8451" width="4.28515625" style="2" customWidth="1"/>
    <col min="8452" max="8452" width="4" style="2" customWidth="1"/>
    <col min="8453" max="8453" width="15" style="2" customWidth="1"/>
    <col min="8454" max="8454" width="4.140625" style="2" customWidth="1"/>
    <col min="8455" max="8455" width="11.28515625" style="2" customWidth="1"/>
    <col min="8456" max="8456" width="16.140625" style="2" customWidth="1"/>
    <col min="8457" max="8457" width="11" style="2" customWidth="1"/>
    <col min="8458" max="8459" width="2.140625" style="2" customWidth="1"/>
    <col min="8460" max="8460" width="3.28515625" style="2" customWidth="1"/>
    <col min="8461" max="8462" width="0" style="2" hidden="1" customWidth="1"/>
    <col min="8463" max="8463" width="2.85546875" style="2" customWidth="1"/>
    <col min="8464" max="8464" width="3.28515625" style="2" customWidth="1"/>
    <col min="8465" max="8465" width="1.42578125" style="2" customWidth="1"/>
    <col min="8466" max="8466" width="0" style="2" hidden="1" customWidth="1"/>
    <col min="8467" max="8467" width="6.85546875" style="2" customWidth="1"/>
    <col min="8468" max="8468" width="0" style="2" hidden="1" customWidth="1"/>
    <col min="8469" max="8470" width="6.28515625" style="2" customWidth="1"/>
    <col min="8471" max="8471" width="17.7109375" style="2" customWidth="1"/>
    <col min="8472" max="8472" width="13.85546875" style="2" customWidth="1"/>
    <col min="8473" max="8473" width="10.85546875" style="2" customWidth="1"/>
    <col min="8474" max="8474" width="16.85546875" style="2" customWidth="1"/>
    <col min="8475" max="8475" width="5" style="2" customWidth="1"/>
    <col min="8476" max="8476" width="13" style="2" customWidth="1"/>
    <col min="8477" max="8477" width="13.140625" style="2" customWidth="1"/>
    <col min="8478" max="8479" width="14" style="2" customWidth="1"/>
    <col min="8480" max="8480" width="11.42578125" style="2" customWidth="1"/>
    <col min="8481" max="8481" width="15.85546875" style="2" customWidth="1"/>
    <col min="8482" max="8482" width="23.7109375" style="2" customWidth="1"/>
    <col min="8483" max="8483" width="12" style="2" customWidth="1"/>
    <col min="8484" max="8485" width="0.28515625" style="2" customWidth="1"/>
    <col min="8486" max="8486" width="1.42578125" style="2" customWidth="1"/>
    <col min="8487" max="8487" width="0" style="2" hidden="1" customWidth="1"/>
    <col min="8488" max="8704" width="11.42578125" style="2"/>
    <col min="8705" max="8705" width="10.28515625" style="2" customWidth="1"/>
    <col min="8706" max="8706" width="13.42578125" style="2" customWidth="1"/>
    <col min="8707" max="8707" width="4.28515625" style="2" customWidth="1"/>
    <col min="8708" max="8708" width="4" style="2" customWidth="1"/>
    <col min="8709" max="8709" width="15" style="2" customWidth="1"/>
    <col min="8710" max="8710" width="4.140625" style="2" customWidth="1"/>
    <col min="8711" max="8711" width="11.28515625" style="2" customWidth="1"/>
    <col min="8712" max="8712" width="16.140625" style="2" customWidth="1"/>
    <col min="8713" max="8713" width="11" style="2" customWidth="1"/>
    <col min="8714" max="8715" width="2.140625" style="2" customWidth="1"/>
    <col min="8716" max="8716" width="3.28515625" style="2" customWidth="1"/>
    <col min="8717" max="8718" width="0" style="2" hidden="1" customWidth="1"/>
    <col min="8719" max="8719" width="2.85546875" style="2" customWidth="1"/>
    <col min="8720" max="8720" width="3.28515625" style="2" customWidth="1"/>
    <col min="8721" max="8721" width="1.42578125" style="2" customWidth="1"/>
    <col min="8722" max="8722" width="0" style="2" hidden="1" customWidth="1"/>
    <col min="8723" max="8723" width="6.85546875" style="2" customWidth="1"/>
    <col min="8724" max="8724" width="0" style="2" hidden="1" customWidth="1"/>
    <col min="8725" max="8726" width="6.28515625" style="2" customWidth="1"/>
    <col min="8727" max="8727" width="17.7109375" style="2" customWidth="1"/>
    <col min="8728" max="8728" width="13.85546875" style="2" customWidth="1"/>
    <col min="8729" max="8729" width="10.85546875" style="2" customWidth="1"/>
    <col min="8730" max="8730" width="16.85546875" style="2" customWidth="1"/>
    <col min="8731" max="8731" width="5" style="2" customWidth="1"/>
    <col min="8732" max="8732" width="13" style="2" customWidth="1"/>
    <col min="8733" max="8733" width="13.140625" style="2" customWidth="1"/>
    <col min="8734" max="8735" width="14" style="2" customWidth="1"/>
    <col min="8736" max="8736" width="11.42578125" style="2" customWidth="1"/>
    <col min="8737" max="8737" width="15.85546875" style="2" customWidth="1"/>
    <col min="8738" max="8738" width="23.7109375" style="2" customWidth="1"/>
    <col min="8739" max="8739" width="12" style="2" customWidth="1"/>
    <col min="8740" max="8741" width="0.28515625" style="2" customWidth="1"/>
    <col min="8742" max="8742" width="1.42578125" style="2" customWidth="1"/>
    <col min="8743" max="8743" width="0" style="2" hidden="1" customWidth="1"/>
    <col min="8744" max="8960" width="11.42578125" style="2"/>
    <col min="8961" max="8961" width="10.28515625" style="2" customWidth="1"/>
    <col min="8962" max="8962" width="13.42578125" style="2" customWidth="1"/>
    <col min="8963" max="8963" width="4.28515625" style="2" customWidth="1"/>
    <col min="8964" max="8964" width="4" style="2" customWidth="1"/>
    <col min="8965" max="8965" width="15" style="2" customWidth="1"/>
    <col min="8966" max="8966" width="4.140625" style="2" customWidth="1"/>
    <col min="8967" max="8967" width="11.28515625" style="2" customWidth="1"/>
    <col min="8968" max="8968" width="16.140625" style="2" customWidth="1"/>
    <col min="8969" max="8969" width="11" style="2" customWidth="1"/>
    <col min="8970" max="8971" width="2.140625" style="2" customWidth="1"/>
    <col min="8972" max="8972" width="3.28515625" style="2" customWidth="1"/>
    <col min="8973" max="8974" width="0" style="2" hidden="1" customWidth="1"/>
    <col min="8975" max="8975" width="2.85546875" style="2" customWidth="1"/>
    <col min="8976" max="8976" width="3.28515625" style="2" customWidth="1"/>
    <col min="8977" max="8977" width="1.42578125" style="2" customWidth="1"/>
    <col min="8978" max="8978" width="0" style="2" hidden="1" customWidth="1"/>
    <col min="8979" max="8979" width="6.85546875" style="2" customWidth="1"/>
    <col min="8980" max="8980" width="0" style="2" hidden="1" customWidth="1"/>
    <col min="8981" max="8982" width="6.28515625" style="2" customWidth="1"/>
    <col min="8983" max="8983" width="17.7109375" style="2" customWidth="1"/>
    <col min="8984" max="8984" width="13.85546875" style="2" customWidth="1"/>
    <col min="8985" max="8985" width="10.85546875" style="2" customWidth="1"/>
    <col min="8986" max="8986" width="16.85546875" style="2" customWidth="1"/>
    <col min="8987" max="8987" width="5" style="2" customWidth="1"/>
    <col min="8988" max="8988" width="13" style="2" customWidth="1"/>
    <col min="8989" max="8989" width="13.140625" style="2" customWidth="1"/>
    <col min="8990" max="8991" width="14" style="2" customWidth="1"/>
    <col min="8992" max="8992" width="11.42578125" style="2" customWidth="1"/>
    <col min="8993" max="8993" width="15.85546875" style="2" customWidth="1"/>
    <col min="8994" max="8994" width="23.7109375" style="2" customWidth="1"/>
    <col min="8995" max="8995" width="12" style="2" customWidth="1"/>
    <col min="8996" max="8997" width="0.28515625" style="2" customWidth="1"/>
    <col min="8998" max="8998" width="1.42578125" style="2" customWidth="1"/>
    <col min="8999" max="8999" width="0" style="2" hidden="1" customWidth="1"/>
    <col min="9000" max="9216" width="11.42578125" style="2"/>
    <col min="9217" max="9217" width="10.28515625" style="2" customWidth="1"/>
    <col min="9218" max="9218" width="13.42578125" style="2" customWidth="1"/>
    <col min="9219" max="9219" width="4.28515625" style="2" customWidth="1"/>
    <col min="9220" max="9220" width="4" style="2" customWidth="1"/>
    <col min="9221" max="9221" width="15" style="2" customWidth="1"/>
    <col min="9222" max="9222" width="4.140625" style="2" customWidth="1"/>
    <col min="9223" max="9223" width="11.28515625" style="2" customWidth="1"/>
    <col min="9224" max="9224" width="16.140625" style="2" customWidth="1"/>
    <col min="9225" max="9225" width="11" style="2" customWidth="1"/>
    <col min="9226" max="9227" width="2.140625" style="2" customWidth="1"/>
    <col min="9228" max="9228" width="3.28515625" style="2" customWidth="1"/>
    <col min="9229" max="9230" width="0" style="2" hidden="1" customWidth="1"/>
    <col min="9231" max="9231" width="2.85546875" style="2" customWidth="1"/>
    <col min="9232" max="9232" width="3.28515625" style="2" customWidth="1"/>
    <col min="9233" max="9233" width="1.42578125" style="2" customWidth="1"/>
    <col min="9234" max="9234" width="0" style="2" hidden="1" customWidth="1"/>
    <col min="9235" max="9235" width="6.85546875" style="2" customWidth="1"/>
    <col min="9236" max="9236" width="0" style="2" hidden="1" customWidth="1"/>
    <col min="9237" max="9238" width="6.28515625" style="2" customWidth="1"/>
    <col min="9239" max="9239" width="17.7109375" style="2" customWidth="1"/>
    <col min="9240" max="9240" width="13.85546875" style="2" customWidth="1"/>
    <col min="9241" max="9241" width="10.85546875" style="2" customWidth="1"/>
    <col min="9242" max="9242" width="16.85546875" style="2" customWidth="1"/>
    <col min="9243" max="9243" width="5" style="2" customWidth="1"/>
    <col min="9244" max="9244" width="13" style="2" customWidth="1"/>
    <col min="9245" max="9245" width="13.140625" style="2" customWidth="1"/>
    <col min="9246" max="9247" width="14" style="2" customWidth="1"/>
    <col min="9248" max="9248" width="11.42578125" style="2" customWidth="1"/>
    <col min="9249" max="9249" width="15.85546875" style="2" customWidth="1"/>
    <col min="9250" max="9250" width="23.7109375" style="2" customWidth="1"/>
    <col min="9251" max="9251" width="12" style="2" customWidth="1"/>
    <col min="9252" max="9253" width="0.28515625" style="2" customWidth="1"/>
    <col min="9254" max="9254" width="1.42578125" style="2" customWidth="1"/>
    <col min="9255" max="9255" width="0" style="2" hidden="1" customWidth="1"/>
    <col min="9256" max="9472" width="11.42578125" style="2"/>
    <col min="9473" max="9473" width="10.28515625" style="2" customWidth="1"/>
    <col min="9474" max="9474" width="13.42578125" style="2" customWidth="1"/>
    <col min="9475" max="9475" width="4.28515625" style="2" customWidth="1"/>
    <col min="9476" max="9476" width="4" style="2" customWidth="1"/>
    <col min="9477" max="9477" width="15" style="2" customWidth="1"/>
    <col min="9478" max="9478" width="4.140625" style="2" customWidth="1"/>
    <col min="9479" max="9479" width="11.28515625" style="2" customWidth="1"/>
    <col min="9480" max="9480" width="16.140625" style="2" customWidth="1"/>
    <col min="9481" max="9481" width="11" style="2" customWidth="1"/>
    <col min="9482" max="9483" width="2.140625" style="2" customWidth="1"/>
    <col min="9484" max="9484" width="3.28515625" style="2" customWidth="1"/>
    <col min="9485" max="9486" width="0" style="2" hidden="1" customWidth="1"/>
    <col min="9487" max="9487" width="2.85546875" style="2" customWidth="1"/>
    <col min="9488" max="9488" width="3.28515625" style="2" customWidth="1"/>
    <col min="9489" max="9489" width="1.42578125" style="2" customWidth="1"/>
    <col min="9490" max="9490" width="0" style="2" hidden="1" customWidth="1"/>
    <col min="9491" max="9491" width="6.85546875" style="2" customWidth="1"/>
    <col min="9492" max="9492" width="0" style="2" hidden="1" customWidth="1"/>
    <col min="9493" max="9494" width="6.28515625" style="2" customWidth="1"/>
    <col min="9495" max="9495" width="17.7109375" style="2" customWidth="1"/>
    <col min="9496" max="9496" width="13.85546875" style="2" customWidth="1"/>
    <col min="9497" max="9497" width="10.85546875" style="2" customWidth="1"/>
    <col min="9498" max="9498" width="16.85546875" style="2" customWidth="1"/>
    <col min="9499" max="9499" width="5" style="2" customWidth="1"/>
    <col min="9500" max="9500" width="13" style="2" customWidth="1"/>
    <col min="9501" max="9501" width="13.140625" style="2" customWidth="1"/>
    <col min="9502" max="9503" width="14" style="2" customWidth="1"/>
    <col min="9504" max="9504" width="11.42578125" style="2" customWidth="1"/>
    <col min="9505" max="9505" width="15.85546875" style="2" customWidth="1"/>
    <col min="9506" max="9506" width="23.7109375" style="2" customWidth="1"/>
    <col min="9507" max="9507" width="12" style="2" customWidth="1"/>
    <col min="9508" max="9509" width="0.28515625" style="2" customWidth="1"/>
    <col min="9510" max="9510" width="1.42578125" style="2" customWidth="1"/>
    <col min="9511" max="9511" width="0" style="2" hidden="1" customWidth="1"/>
    <col min="9512" max="9728" width="11.42578125" style="2"/>
    <col min="9729" max="9729" width="10.28515625" style="2" customWidth="1"/>
    <col min="9730" max="9730" width="13.42578125" style="2" customWidth="1"/>
    <col min="9731" max="9731" width="4.28515625" style="2" customWidth="1"/>
    <col min="9732" max="9732" width="4" style="2" customWidth="1"/>
    <col min="9733" max="9733" width="15" style="2" customWidth="1"/>
    <col min="9734" max="9734" width="4.140625" style="2" customWidth="1"/>
    <col min="9735" max="9735" width="11.28515625" style="2" customWidth="1"/>
    <col min="9736" max="9736" width="16.140625" style="2" customWidth="1"/>
    <col min="9737" max="9737" width="11" style="2" customWidth="1"/>
    <col min="9738" max="9739" width="2.140625" style="2" customWidth="1"/>
    <col min="9740" max="9740" width="3.28515625" style="2" customWidth="1"/>
    <col min="9741" max="9742" width="0" style="2" hidden="1" customWidth="1"/>
    <col min="9743" max="9743" width="2.85546875" style="2" customWidth="1"/>
    <col min="9744" max="9744" width="3.28515625" style="2" customWidth="1"/>
    <col min="9745" max="9745" width="1.42578125" style="2" customWidth="1"/>
    <col min="9746" max="9746" width="0" style="2" hidden="1" customWidth="1"/>
    <col min="9747" max="9747" width="6.85546875" style="2" customWidth="1"/>
    <col min="9748" max="9748" width="0" style="2" hidden="1" customWidth="1"/>
    <col min="9749" max="9750" width="6.28515625" style="2" customWidth="1"/>
    <col min="9751" max="9751" width="17.7109375" style="2" customWidth="1"/>
    <col min="9752" max="9752" width="13.85546875" style="2" customWidth="1"/>
    <col min="9753" max="9753" width="10.85546875" style="2" customWidth="1"/>
    <col min="9754" max="9754" width="16.85546875" style="2" customWidth="1"/>
    <col min="9755" max="9755" width="5" style="2" customWidth="1"/>
    <col min="9756" max="9756" width="13" style="2" customWidth="1"/>
    <col min="9757" max="9757" width="13.140625" style="2" customWidth="1"/>
    <col min="9758" max="9759" width="14" style="2" customWidth="1"/>
    <col min="9760" max="9760" width="11.42578125" style="2" customWidth="1"/>
    <col min="9761" max="9761" width="15.85546875" style="2" customWidth="1"/>
    <col min="9762" max="9762" width="23.7109375" style="2" customWidth="1"/>
    <col min="9763" max="9763" width="12" style="2" customWidth="1"/>
    <col min="9764" max="9765" width="0.28515625" style="2" customWidth="1"/>
    <col min="9766" max="9766" width="1.42578125" style="2" customWidth="1"/>
    <col min="9767" max="9767" width="0" style="2" hidden="1" customWidth="1"/>
    <col min="9768" max="9984" width="11.42578125" style="2"/>
    <col min="9985" max="9985" width="10.28515625" style="2" customWidth="1"/>
    <col min="9986" max="9986" width="13.42578125" style="2" customWidth="1"/>
    <col min="9987" max="9987" width="4.28515625" style="2" customWidth="1"/>
    <col min="9988" max="9988" width="4" style="2" customWidth="1"/>
    <col min="9989" max="9989" width="15" style="2" customWidth="1"/>
    <col min="9990" max="9990" width="4.140625" style="2" customWidth="1"/>
    <col min="9991" max="9991" width="11.28515625" style="2" customWidth="1"/>
    <col min="9992" max="9992" width="16.140625" style="2" customWidth="1"/>
    <col min="9993" max="9993" width="11" style="2" customWidth="1"/>
    <col min="9994" max="9995" width="2.140625" style="2" customWidth="1"/>
    <col min="9996" max="9996" width="3.28515625" style="2" customWidth="1"/>
    <col min="9997" max="9998" width="0" style="2" hidden="1" customWidth="1"/>
    <col min="9999" max="9999" width="2.85546875" style="2" customWidth="1"/>
    <col min="10000" max="10000" width="3.28515625" style="2" customWidth="1"/>
    <col min="10001" max="10001" width="1.42578125" style="2" customWidth="1"/>
    <col min="10002" max="10002" width="0" style="2" hidden="1" customWidth="1"/>
    <col min="10003" max="10003" width="6.85546875" style="2" customWidth="1"/>
    <col min="10004" max="10004" width="0" style="2" hidden="1" customWidth="1"/>
    <col min="10005" max="10006" width="6.28515625" style="2" customWidth="1"/>
    <col min="10007" max="10007" width="17.7109375" style="2" customWidth="1"/>
    <col min="10008" max="10008" width="13.85546875" style="2" customWidth="1"/>
    <col min="10009" max="10009" width="10.85546875" style="2" customWidth="1"/>
    <col min="10010" max="10010" width="16.85546875" style="2" customWidth="1"/>
    <col min="10011" max="10011" width="5" style="2" customWidth="1"/>
    <col min="10012" max="10012" width="13" style="2" customWidth="1"/>
    <col min="10013" max="10013" width="13.140625" style="2" customWidth="1"/>
    <col min="10014" max="10015" width="14" style="2" customWidth="1"/>
    <col min="10016" max="10016" width="11.42578125" style="2" customWidth="1"/>
    <col min="10017" max="10017" width="15.85546875" style="2" customWidth="1"/>
    <col min="10018" max="10018" width="23.7109375" style="2" customWidth="1"/>
    <col min="10019" max="10019" width="12" style="2" customWidth="1"/>
    <col min="10020" max="10021" width="0.28515625" style="2" customWidth="1"/>
    <col min="10022" max="10022" width="1.42578125" style="2" customWidth="1"/>
    <col min="10023" max="10023" width="0" style="2" hidden="1" customWidth="1"/>
    <col min="10024" max="10240" width="11.42578125" style="2"/>
    <col min="10241" max="10241" width="10.28515625" style="2" customWidth="1"/>
    <col min="10242" max="10242" width="13.42578125" style="2" customWidth="1"/>
    <col min="10243" max="10243" width="4.28515625" style="2" customWidth="1"/>
    <col min="10244" max="10244" width="4" style="2" customWidth="1"/>
    <col min="10245" max="10245" width="15" style="2" customWidth="1"/>
    <col min="10246" max="10246" width="4.140625" style="2" customWidth="1"/>
    <col min="10247" max="10247" width="11.28515625" style="2" customWidth="1"/>
    <col min="10248" max="10248" width="16.140625" style="2" customWidth="1"/>
    <col min="10249" max="10249" width="11" style="2" customWidth="1"/>
    <col min="10250" max="10251" width="2.140625" style="2" customWidth="1"/>
    <col min="10252" max="10252" width="3.28515625" style="2" customWidth="1"/>
    <col min="10253" max="10254" width="0" style="2" hidden="1" customWidth="1"/>
    <col min="10255" max="10255" width="2.85546875" style="2" customWidth="1"/>
    <col min="10256" max="10256" width="3.28515625" style="2" customWidth="1"/>
    <col min="10257" max="10257" width="1.42578125" style="2" customWidth="1"/>
    <col min="10258" max="10258" width="0" style="2" hidden="1" customWidth="1"/>
    <col min="10259" max="10259" width="6.85546875" style="2" customWidth="1"/>
    <col min="10260" max="10260" width="0" style="2" hidden="1" customWidth="1"/>
    <col min="10261" max="10262" width="6.28515625" style="2" customWidth="1"/>
    <col min="10263" max="10263" width="17.7109375" style="2" customWidth="1"/>
    <col min="10264" max="10264" width="13.85546875" style="2" customWidth="1"/>
    <col min="10265" max="10265" width="10.85546875" style="2" customWidth="1"/>
    <col min="10266" max="10266" width="16.85546875" style="2" customWidth="1"/>
    <col min="10267" max="10267" width="5" style="2" customWidth="1"/>
    <col min="10268" max="10268" width="13" style="2" customWidth="1"/>
    <col min="10269" max="10269" width="13.140625" style="2" customWidth="1"/>
    <col min="10270" max="10271" width="14" style="2" customWidth="1"/>
    <col min="10272" max="10272" width="11.42578125" style="2" customWidth="1"/>
    <col min="10273" max="10273" width="15.85546875" style="2" customWidth="1"/>
    <col min="10274" max="10274" width="23.7109375" style="2" customWidth="1"/>
    <col min="10275" max="10275" width="12" style="2" customWidth="1"/>
    <col min="10276" max="10277" width="0.28515625" style="2" customWidth="1"/>
    <col min="10278" max="10278" width="1.42578125" style="2" customWidth="1"/>
    <col min="10279" max="10279" width="0" style="2" hidden="1" customWidth="1"/>
    <col min="10280" max="10496" width="11.42578125" style="2"/>
    <col min="10497" max="10497" width="10.28515625" style="2" customWidth="1"/>
    <col min="10498" max="10498" width="13.42578125" style="2" customWidth="1"/>
    <col min="10499" max="10499" width="4.28515625" style="2" customWidth="1"/>
    <col min="10500" max="10500" width="4" style="2" customWidth="1"/>
    <col min="10501" max="10501" width="15" style="2" customWidth="1"/>
    <col min="10502" max="10502" width="4.140625" style="2" customWidth="1"/>
    <col min="10503" max="10503" width="11.28515625" style="2" customWidth="1"/>
    <col min="10504" max="10504" width="16.140625" style="2" customWidth="1"/>
    <col min="10505" max="10505" width="11" style="2" customWidth="1"/>
    <col min="10506" max="10507" width="2.140625" style="2" customWidth="1"/>
    <col min="10508" max="10508" width="3.28515625" style="2" customWidth="1"/>
    <col min="10509" max="10510" width="0" style="2" hidden="1" customWidth="1"/>
    <col min="10511" max="10511" width="2.85546875" style="2" customWidth="1"/>
    <col min="10512" max="10512" width="3.28515625" style="2" customWidth="1"/>
    <col min="10513" max="10513" width="1.42578125" style="2" customWidth="1"/>
    <col min="10514" max="10514" width="0" style="2" hidden="1" customWidth="1"/>
    <col min="10515" max="10515" width="6.85546875" style="2" customWidth="1"/>
    <col min="10516" max="10516" width="0" style="2" hidden="1" customWidth="1"/>
    <col min="10517" max="10518" width="6.28515625" style="2" customWidth="1"/>
    <col min="10519" max="10519" width="17.7109375" style="2" customWidth="1"/>
    <col min="10520" max="10520" width="13.85546875" style="2" customWidth="1"/>
    <col min="10521" max="10521" width="10.85546875" style="2" customWidth="1"/>
    <col min="10522" max="10522" width="16.85546875" style="2" customWidth="1"/>
    <col min="10523" max="10523" width="5" style="2" customWidth="1"/>
    <col min="10524" max="10524" width="13" style="2" customWidth="1"/>
    <col min="10525" max="10525" width="13.140625" style="2" customWidth="1"/>
    <col min="10526" max="10527" width="14" style="2" customWidth="1"/>
    <col min="10528" max="10528" width="11.42578125" style="2" customWidth="1"/>
    <col min="10529" max="10529" width="15.85546875" style="2" customWidth="1"/>
    <col min="10530" max="10530" width="23.7109375" style="2" customWidth="1"/>
    <col min="10531" max="10531" width="12" style="2" customWidth="1"/>
    <col min="10532" max="10533" width="0.28515625" style="2" customWidth="1"/>
    <col min="10534" max="10534" width="1.42578125" style="2" customWidth="1"/>
    <col min="10535" max="10535" width="0" style="2" hidden="1" customWidth="1"/>
    <col min="10536" max="10752" width="11.42578125" style="2"/>
    <col min="10753" max="10753" width="10.28515625" style="2" customWidth="1"/>
    <col min="10754" max="10754" width="13.42578125" style="2" customWidth="1"/>
    <col min="10755" max="10755" width="4.28515625" style="2" customWidth="1"/>
    <col min="10756" max="10756" width="4" style="2" customWidth="1"/>
    <col min="10757" max="10757" width="15" style="2" customWidth="1"/>
    <col min="10758" max="10758" width="4.140625" style="2" customWidth="1"/>
    <col min="10759" max="10759" width="11.28515625" style="2" customWidth="1"/>
    <col min="10760" max="10760" width="16.140625" style="2" customWidth="1"/>
    <col min="10761" max="10761" width="11" style="2" customWidth="1"/>
    <col min="10762" max="10763" width="2.140625" style="2" customWidth="1"/>
    <col min="10764" max="10764" width="3.28515625" style="2" customWidth="1"/>
    <col min="10765" max="10766" width="0" style="2" hidden="1" customWidth="1"/>
    <col min="10767" max="10767" width="2.85546875" style="2" customWidth="1"/>
    <col min="10768" max="10768" width="3.28515625" style="2" customWidth="1"/>
    <col min="10769" max="10769" width="1.42578125" style="2" customWidth="1"/>
    <col min="10770" max="10770" width="0" style="2" hidden="1" customWidth="1"/>
    <col min="10771" max="10771" width="6.85546875" style="2" customWidth="1"/>
    <col min="10772" max="10772" width="0" style="2" hidden="1" customWidth="1"/>
    <col min="10773" max="10774" width="6.28515625" style="2" customWidth="1"/>
    <col min="10775" max="10775" width="17.7109375" style="2" customWidth="1"/>
    <col min="10776" max="10776" width="13.85546875" style="2" customWidth="1"/>
    <col min="10777" max="10777" width="10.85546875" style="2" customWidth="1"/>
    <col min="10778" max="10778" width="16.85546875" style="2" customWidth="1"/>
    <col min="10779" max="10779" width="5" style="2" customWidth="1"/>
    <col min="10780" max="10780" width="13" style="2" customWidth="1"/>
    <col min="10781" max="10781" width="13.140625" style="2" customWidth="1"/>
    <col min="10782" max="10783" width="14" style="2" customWidth="1"/>
    <col min="10784" max="10784" width="11.42578125" style="2" customWidth="1"/>
    <col min="10785" max="10785" width="15.85546875" style="2" customWidth="1"/>
    <col min="10786" max="10786" width="23.7109375" style="2" customWidth="1"/>
    <col min="10787" max="10787" width="12" style="2" customWidth="1"/>
    <col min="10788" max="10789" width="0.28515625" style="2" customWidth="1"/>
    <col min="10790" max="10790" width="1.42578125" style="2" customWidth="1"/>
    <col min="10791" max="10791" width="0" style="2" hidden="1" customWidth="1"/>
    <col min="10792" max="11008" width="11.42578125" style="2"/>
    <col min="11009" max="11009" width="10.28515625" style="2" customWidth="1"/>
    <col min="11010" max="11010" width="13.42578125" style="2" customWidth="1"/>
    <col min="11011" max="11011" width="4.28515625" style="2" customWidth="1"/>
    <col min="11012" max="11012" width="4" style="2" customWidth="1"/>
    <col min="11013" max="11013" width="15" style="2" customWidth="1"/>
    <col min="11014" max="11014" width="4.140625" style="2" customWidth="1"/>
    <col min="11015" max="11015" width="11.28515625" style="2" customWidth="1"/>
    <col min="11016" max="11016" width="16.140625" style="2" customWidth="1"/>
    <col min="11017" max="11017" width="11" style="2" customWidth="1"/>
    <col min="11018" max="11019" width="2.140625" style="2" customWidth="1"/>
    <col min="11020" max="11020" width="3.28515625" style="2" customWidth="1"/>
    <col min="11021" max="11022" width="0" style="2" hidden="1" customWidth="1"/>
    <col min="11023" max="11023" width="2.85546875" style="2" customWidth="1"/>
    <col min="11024" max="11024" width="3.28515625" style="2" customWidth="1"/>
    <col min="11025" max="11025" width="1.42578125" style="2" customWidth="1"/>
    <col min="11026" max="11026" width="0" style="2" hidden="1" customWidth="1"/>
    <col min="11027" max="11027" width="6.85546875" style="2" customWidth="1"/>
    <col min="11028" max="11028" width="0" style="2" hidden="1" customWidth="1"/>
    <col min="11029" max="11030" width="6.28515625" style="2" customWidth="1"/>
    <col min="11031" max="11031" width="17.7109375" style="2" customWidth="1"/>
    <col min="11032" max="11032" width="13.85546875" style="2" customWidth="1"/>
    <col min="11033" max="11033" width="10.85546875" style="2" customWidth="1"/>
    <col min="11034" max="11034" width="16.85546875" style="2" customWidth="1"/>
    <col min="11035" max="11035" width="5" style="2" customWidth="1"/>
    <col min="11036" max="11036" width="13" style="2" customWidth="1"/>
    <col min="11037" max="11037" width="13.140625" style="2" customWidth="1"/>
    <col min="11038" max="11039" width="14" style="2" customWidth="1"/>
    <col min="11040" max="11040" width="11.42578125" style="2" customWidth="1"/>
    <col min="11041" max="11041" width="15.85546875" style="2" customWidth="1"/>
    <col min="11042" max="11042" width="23.7109375" style="2" customWidth="1"/>
    <col min="11043" max="11043" width="12" style="2" customWidth="1"/>
    <col min="11044" max="11045" width="0.28515625" style="2" customWidth="1"/>
    <col min="11046" max="11046" width="1.42578125" style="2" customWidth="1"/>
    <col min="11047" max="11047" width="0" style="2" hidden="1" customWidth="1"/>
    <col min="11048" max="11264" width="11.42578125" style="2"/>
    <col min="11265" max="11265" width="10.28515625" style="2" customWidth="1"/>
    <col min="11266" max="11266" width="13.42578125" style="2" customWidth="1"/>
    <col min="11267" max="11267" width="4.28515625" style="2" customWidth="1"/>
    <col min="11268" max="11268" width="4" style="2" customWidth="1"/>
    <col min="11269" max="11269" width="15" style="2" customWidth="1"/>
    <col min="11270" max="11270" width="4.140625" style="2" customWidth="1"/>
    <col min="11271" max="11271" width="11.28515625" style="2" customWidth="1"/>
    <col min="11272" max="11272" width="16.140625" style="2" customWidth="1"/>
    <col min="11273" max="11273" width="11" style="2" customWidth="1"/>
    <col min="11274" max="11275" width="2.140625" style="2" customWidth="1"/>
    <col min="11276" max="11276" width="3.28515625" style="2" customWidth="1"/>
    <col min="11277" max="11278" width="0" style="2" hidden="1" customWidth="1"/>
    <col min="11279" max="11279" width="2.85546875" style="2" customWidth="1"/>
    <col min="11280" max="11280" width="3.28515625" style="2" customWidth="1"/>
    <col min="11281" max="11281" width="1.42578125" style="2" customWidth="1"/>
    <col min="11282" max="11282" width="0" style="2" hidden="1" customWidth="1"/>
    <col min="11283" max="11283" width="6.85546875" style="2" customWidth="1"/>
    <col min="11284" max="11284" width="0" style="2" hidden="1" customWidth="1"/>
    <col min="11285" max="11286" width="6.28515625" style="2" customWidth="1"/>
    <col min="11287" max="11287" width="17.7109375" style="2" customWidth="1"/>
    <col min="11288" max="11288" width="13.85546875" style="2" customWidth="1"/>
    <col min="11289" max="11289" width="10.85546875" style="2" customWidth="1"/>
    <col min="11290" max="11290" width="16.85546875" style="2" customWidth="1"/>
    <col min="11291" max="11291" width="5" style="2" customWidth="1"/>
    <col min="11292" max="11292" width="13" style="2" customWidth="1"/>
    <col min="11293" max="11293" width="13.140625" style="2" customWidth="1"/>
    <col min="11294" max="11295" width="14" style="2" customWidth="1"/>
    <col min="11296" max="11296" width="11.42578125" style="2" customWidth="1"/>
    <col min="11297" max="11297" width="15.85546875" style="2" customWidth="1"/>
    <col min="11298" max="11298" width="23.7109375" style="2" customWidth="1"/>
    <col min="11299" max="11299" width="12" style="2" customWidth="1"/>
    <col min="11300" max="11301" width="0.28515625" style="2" customWidth="1"/>
    <col min="11302" max="11302" width="1.42578125" style="2" customWidth="1"/>
    <col min="11303" max="11303" width="0" style="2" hidden="1" customWidth="1"/>
    <col min="11304" max="11520" width="11.42578125" style="2"/>
    <col min="11521" max="11521" width="10.28515625" style="2" customWidth="1"/>
    <col min="11522" max="11522" width="13.42578125" style="2" customWidth="1"/>
    <col min="11523" max="11523" width="4.28515625" style="2" customWidth="1"/>
    <col min="11524" max="11524" width="4" style="2" customWidth="1"/>
    <col min="11525" max="11525" width="15" style="2" customWidth="1"/>
    <col min="11526" max="11526" width="4.140625" style="2" customWidth="1"/>
    <col min="11527" max="11527" width="11.28515625" style="2" customWidth="1"/>
    <col min="11528" max="11528" width="16.140625" style="2" customWidth="1"/>
    <col min="11529" max="11529" width="11" style="2" customWidth="1"/>
    <col min="11530" max="11531" width="2.140625" style="2" customWidth="1"/>
    <col min="11532" max="11532" width="3.28515625" style="2" customWidth="1"/>
    <col min="11533" max="11534" width="0" style="2" hidden="1" customWidth="1"/>
    <col min="11535" max="11535" width="2.85546875" style="2" customWidth="1"/>
    <col min="11536" max="11536" width="3.28515625" style="2" customWidth="1"/>
    <col min="11537" max="11537" width="1.42578125" style="2" customWidth="1"/>
    <col min="11538" max="11538" width="0" style="2" hidden="1" customWidth="1"/>
    <col min="11539" max="11539" width="6.85546875" style="2" customWidth="1"/>
    <col min="11540" max="11540" width="0" style="2" hidden="1" customWidth="1"/>
    <col min="11541" max="11542" width="6.28515625" style="2" customWidth="1"/>
    <col min="11543" max="11543" width="17.7109375" style="2" customWidth="1"/>
    <col min="11544" max="11544" width="13.85546875" style="2" customWidth="1"/>
    <col min="11545" max="11545" width="10.85546875" style="2" customWidth="1"/>
    <col min="11546" max="11546" width="16.85546875" style="2" customWidth="1"/>
    <col min="11547" max="11547" width="5" style="2" customWidth="1"/>
    <col min="11548" max="11548" width="13" style="2" customWidth="1"/>
    <col min="11549" max="11549" width="13.140625" style="2" customWidth="1"/>
    <col min="11550" max="11551" width="14" style="2" customWidth="1"/>
    <col min="11552" max="11552" width="11.42578125" style="2" customWidth="1"/>
    <col min="11553" max="11553" width="15.85546875" style="2" customWidth="1"/>
    <col min="11554" max="11554" width="23.7109375" style="2" customWidth="1"/>
    <col min="11555" max="11555" width="12" style="2" customWidth="1"/>
    <col min="11556" max="11557" width="0.28515625" style="2" customWidth="1"/>
    <col min="11558" max="11558" width="1.42578125" style="2" customWidth="1"/>
    <col min="11559" max="11559" width="0" style="2" hidden="1" customWidth="1"/>
    <col min="11560" max="11776" width="11.42578125" style="2"/>
    <col min="11777" max="11777" width="10.28515625" style="2" customWidth="1"/>
    <col min="11778" max="11778" width="13.42578125" style="2" customWidth="1"/>
    <col min="11779" max="11779" width="4.28515625" style="2" customWidth="1"/>
    <col min="11780" max="11780" width="4" style="2" customWidth="1"/>
    <col min="11781" max="11781" width="15" style="2" customWidth="1"/>
    <col min="11782" max="11782" width="4.140625" style="2" customWidth="1"/>
    <col min="11783" max="11783" width="11.28515625" style="2" customWidth="1"/>
    <col min="11784" max="11784" width="16.140625" style="2" customWidth="1"/>
    <col min="11785" max="11785" width="11" style="2" customWidth="1"/>
    <col min="11786" max="11787" width="2.140625" style="2" customWidth="1"/>
    <col min="11788" max="11788" width="3.28515625" style="2" customWidth="1"/>
    <col min="11789" max="11790" width="0" style="2" hidden="1" customWidth="1"/>
    <col min="11791" max="11791" width="2.85546875" style="2" customWidth="1"/>
    <col min="11792" max="11792" width="3.28515625" style="2" customWidth="1"/>
    <col min="11793" max="11793" width="1.42578125" style="2" customWidth="1"/>
    <col min="11794" max="11794" width="0" style="2" hidden="1" customWidth="1"/>
    <col min="11795" max="11795" width="6.85546875" style="2" customWidth="1"/>
    <col min="11796" max="11796" width="0" style="2" hidden="1" customWidth="1"/>
    <col min="11797" max="11798" width="6.28515625" style="2" customWidth="1"/>
    <col min="11799" max="11799" width="17.7109375" style="2" customWidth="1"/>
    <col min="11800" max="11800" width="13.85546875" style="2" customWidth="1"/>
    <col min="11801" max="11801" width="10.85546875" style="2" customWidth="1"/>
    <col min="11802" max="11802" width="16.85546875" style="2" customWidth="1"/>
    <col min="11803" max="11803" width="5" style="2" customWidth="1"/>
    <col min="11804" max="11804" width="13" style="2" customWidth="1"/>
    <col min="11805" max="11805" width="13.140625" style="2" customWidth="1"/>
    <col min="11806" max="11807" width="14" style="2" customWidth="1"/>
    <col min="11808" max="11808" width="11.42578125" style="2" customWidth="1"/>
    <col min="11809" max="11809" width="15.85546875" style="2" customWidth="1"/>
    <col min="11810" max="11810" width="23.7109375" style="2" customWidth="1"/>
    <col min="11811" max="11811" width="12" style="2" customWidth="1"/>
    <col min="11812" max="11813" width="0.28515625" style="2" customWidth="1"/>
    <col min="11814" max="11814" width="1.42578125" style="2" customWidth="1"/>
    <col min="11815" max="11815" width="0" style="2" hidden="1" customWidth="1"/>
    <col min="11816" max="12032" width="11.42578125" style="2"/>
    <col min="12033" max="12033" width="10.28515625" style="2" customWidth="1"/>
    <col min="12034" max="12034" width="13.42578125" style="2" customWidth="1"/>
    <col min="12035" max="12035" width="4.28515625" style="2" customWidth="1"/>
    <col min="12036" max="12036" width="4" style="2" customWidth="1"/>
    <col min="12037" max="12037" width="15" style="2" customWidth="1"/>
    <col min="12038" max="12038" width="4.140625" style="2" customWidth="1"/>
    <col min="12039" max="12039" width="11.28515625" style="2" customWidth="1"/>
    <col min="12040" max="12040" width="16.140625" style="2" customWidth="1"/>
    <col min="12041" max="12041" width="11" style="2" customWidth="1"/>
    <col min="12042" max="12043" width="2.140625" style="2" customWidth="1"/>
    <col min="12044" max="12044" width="3.28515625" style="2" customWidth="1"/>
    <col min="12045" max="12046" width="0" style="2" hidden="1" customWidth="1"/>
    <col min="12047" max="12047" width="2.85546875" style="2" customWidth="1"/>
    <col min="12048" max="12048" width="3.28515625" style="2" customWidth="1"/>
    <col min="12049" max="12049" width="1.42578125" style="2" customWidth="1"/>
    <col min="12050" max="12050" width="0" style="2" hidden="1" customWidth="1"/>
    <col min="12051" max="12051" width="6.85546875" style="2" customWidth="1"/>
    <col min="12052" max="12052" width="0" style="2" hidden="1" customWidth="1"/>
    <col min="12053" max="12054" width="6.28515625" style="2" customWidth="1"/>
    <col min="12055" max="12055" width="17.7109375" style="2" customWidth="1"/>
    <col min="12056" max="12056" width="13.85546875" style="2" customWidth="1"/>
    <col min="12057" max="12057" width="10.85546875" style="2" customWidth="1"/>
    <col min="12058" max="12058" width="16.85546875" style="2" customWidth="1"/>
    <col min="12059" max="12059" width="5" style="2" customWidth="1"/>
    <col min="12060" max="12060" width="13" style="2" customWidth="1"/>
    <col min="12061" max="12061" width="13.140625" style="2" customWidth="1"/>
    <col min="12062" max="12063" width="14" style="2" customWidth="1"/>
    <col min="12064" max="12064" width="11.42578125" style="2" customWidth="1"/>
    <col min="12065" max="12065" width="15.85546875" style="2" customWidth="1"/>
    <col min="12066" max="12066" width="23.7109375" style="2" customWidth="1"/>
    <col min="12067" max="12067" width="12" style="2" customWidth="1"/>
    <col min="12068" max="12069" width="0.28515625" style="2" customWidth="1"/>
    <col min="12070" max="12070" width="1.42578125" style="2" customWidth="1"/>
    <col min="12071" max="12071" width="0" style="2" hidden="1" customWidth="1"/>
    <col min="12072" max="12288" width="11.42578125" style="2"/>
    <col min="12289" max="12289" width="10.28515625" style="2" customWidth="1"/>
    <col min="12290" max="12290" width="13.42578125" style="2" customWidth="1"/>
    <col min="12291" max="12291" width="4.28515625" style="2" customWidth="1"/>
    <col min="12292" max="12292" width="4" style="2" customWidth="1"/>
    <col min="12293" max="12293" width="15" style="2" customWidth="1"/>
    <col min="12294" max="12294" width="4.140625" style="2" customWidth="1"/>
    <col min="12295" max="12295" width="11.28515625" style="2" customWidth="1"/>
    <col min="12296" max="12296" width="16.140625" style="2" customWidth="1"/>
    <col min="12297" max="12297" width="11" style="2" customWidth="1"/>
    <col min="12298" max="12299" width="2.140625" style="2" customWidth="1"/>
    <col min="12300" max="12300" width="3.28515625" style="2" customWidth="1"/>
    <col min="12301" max="12302" width="0" style="2" hidden="1" customWidth="1"/>
    <col min="12303" max="12303" width="2.85546875" style="2" customWidth="1"/>
    <col min="12304" max="12304" width="3.28515625" style="2" customWidth="1"/>
    <col min="12305" max="12305" width="1.42578125" style="2" customWidth="1"/>
    <col min="12306" max="12306" width="0" style="2" hidden="1" customWidth="1"/>
    <col min="12307" max="12307" width="6.85546875" style="2" customWidth="1"/>
    <col min="12308" max="12308" width="0" style="2" hidden="1" customWidth="1"/>
    <col min="12309" max="12310" width="6.28515625" style="2" customWidth="1"/>
    <col min="12311" max="12311" width="17.7109375" style="2" customWidth="1"/>
    <col min="12312" max="12312" width="13.85546875" style="2" customWidth="1"/>
    <col min="12313" max="12313" width="10.85546875" style="2" customWidth="1"/>
    <col min="12314" max="12314" width="16.85546875" style="2" customWidth="1"/>
    <col min="12315" max="12315" width="5" style="2" customWidth="1"/>
    <col min="12316" max="12316" width="13" style="2" customWidth="1"/>
    <col min="12317" max="12317" width="13.140625" style="2" customWidth="1"/>
    <col min="12318" max="12319" width="14" style="2" customWidth="1"/>
    <col min="12320" max="12320" width="11.42578125" style="2" customWidth="1"/>
    <col min="12321" max="12321" width="15.85546875" style="2" customWidth="1"/>
    <col min="12322" max="12322" width="23.7109375" style="2" customWidth="1"/>
    <col min="12323" max="12323" width="12" style="2" customWidth="1"/>
    <col min="12324" max="12325" width="0.28515625" style="2" customWidth="1"/>
    <col min="12326" max="12326" width="1.42578125" style="2" customWidth="1"/>
    <col min="12327" max="12327" width="0" style="2" hidden="1" customWidth="1"/>
    <col min="12328" max="12544" width="11.42578125" style="2"/>
    <col min="12545" max="12545" width="10.28515625" style="2" customWidth="1"/>
    <col min="12546" max="12546" width="13.42578125" style="2" customWidth="1"/>
    <col min="12547" max="12547" width="4.28515625" style="2" customWidth="1"/>
    <col min="12548" max="12548" width="4" style="2" customWidth="1"/>
    <col min="12549" max="12549" width="15" style="2" customWidth="1"/>
    <col min="12550" max="12550" width="4.140625" style="2" customWidth="1"/>
    <col min="12551" max="12551" width="11.28515625" style="2" customWidth="1"/>
    <col min="12552" max="12552" width="16.140625" style="2" customWidth="1"/>
    <col min="12553" max="12553" width="11" style="2" customWidth="1"/>
    <col min="12554" max="12555" width="2.140625" style="2" customWidth="1"/>
    <col min="12556" max="12556" width="3.28515625" style="2" customWidth="1"/>
    <col min="12557" max="12558" width="0" style="2" hidden="1" customWidth="1"/>
    <col min="12559" max="12559" width="2.85546875" style="2" customWidth="1"/>
    <col min="12560" max="12560" width="3.28515625" style="2" customWidth="1"/>
    <col min="12561" max="12561" width="1.42578125" style="2" customWidth="1"/>
    <col min="12562" max="12562" width="0" style="2" hidden="1" customWidth="1"/>
    <col min="12563" max="12563" width="6.85546875" style="2" customWidth="1"/>
    <col min="12564" max="12564" width="0" style="2" hidden="1" customWidth="1"/>
    <col min="12565" max="12566" width="6.28515625" style="2" customWidth="1"/>
    <col min="12567" max="12567" width="17.7109375" style="2" customWidth="1"/>
    <col min="12568" max="12568" width="13.85546875" style="2" customWidth="1"/>
    <col min="12569" max="12569" width="10.85546875" style="2" customWidth="1"/>
    <col min="12570" max="12570" width="16.85546875" style="2" customWidth="1"/>
    <col min="12571" max="12571" width="5" style="2" customWidth="1"/>
    <col min="12572" max="12572" width="13" style="2" customWidth="1"/>
    <col min="12573" max="12573" width="13.140625" style="2" customWidth="1"/>
    <col min="12574" max="12575" width="14" style="2" customWidth="1"/>
    <col min="12576" max="12576" width="11.42578125" style="2" customWidth="1"/>
    <col min="12577" max="12577" width="15.85546875" style="2" customWidth="1"/>
    <col min="12578" max="12578" width="23.7109375" style="2" customWidth="1"/>
    <col min="12579" max="12579" width="12" style="2" customWidth="1"/>
    <col min="12580" max="12581" width="0.28515625" style="2" customWidth="1"/>
    <col min="12582" max="12582" width="1.42578125" style="2" customWidth="1"/>
    <col min="12583" max="12583" width="0" style="2" hidden="1" customWidth="1"/>
    <col min="12584" max="12800" width="11.42578125" style="2"/>
    <col min="12801" max="12801" width="10.28515625" style="2" customWidth="1"/>
    <col min="12802" max="12802" width="13.42578125" style="2" customWidth="1"/>
    <col min="12803" max="12803" width="4.28515625" style="2" customWidth="1"/>
    <col min="12804" max="12804" width="4" style="2" customWidth="1"/>
    <col min="12805" max="12805" width="15" style="2" customWidth="1"/>
    <col min="12806" max="12806" width="4.140625" style="2" customWidth="1"/>
    <col min="12807" max="12807" width="11.28515625" style="2" customWidth="1"/>
    <col min="12808" max="12808" width="16.140625" style="2" customWidth="1"/>
    <col min="12809" max="12809" width="11" style="2" customWidth="1"/>
    <col min="12810" max="12811" width="2.140625" style="2" customWidth="1"/>
    <col min="12812" max="12812" width="3.28515625" style="2" customWidth="1"/>
    <col min="12813" max="12814" width="0" style="2" hidden="1" customWidth="1"/>
    <col min="12815" max="12815" width="2.85546875" style="2" customWidth="1"/>
    <col min="12816" max="12816" width="3.28515625" style="2" customWidth="1"/>
    <col min="12817" max="12817" width="1.42578125" style="2" customWidth="1"/>
    <col min="12818" max="12818" width="0" style="2" hidden="1" customWidth="1"/>
    <col min="12819" max="12819" width="6.85546875" style="2" customWidth="1"/>
    <col min="12820" max="12820" width="0" style="2" hidden="1" customWidth="1"/>
    <col min="12821" max="12822" width="6.28515625" style="2" customWidth="1"/>
    <col min="12823" max="12823" width="17.7109375" style="2" customWidth="1"/>
    <col min="12824" max="12824" width="13.85546875" style="2" customWidth="1"/>
    <col min="12825" max="12825" width="10.85546875" style="2" customWidth="1"/>
    <col min="12826" max="12826" width="16.85546875" style="2" customWidth="1"/>
    <col min="12827" max="12827" width="5" style="2" customWidth="1"/>
    <col min="12828" max="12828" width="13" style="2" customWidth="1"/>
    <col min="12829" max="12829" width="13.140625" style="2" customWidth="1"/>
    <col min="12830" max="12831" width="14" style="2" customWidth="1"/>
    <col min="12832" max="12832" width="11.42578125" style="2" customWidth="1"/>
    <col min="12833" max="12833" width="15.85546875" style="2" customWidth="1"/>
    <col min="12834" max="12834" width="23.7109375" style="2" customWidth="1"/>
    <col min="12835" max="12835" width="12" style="2" customWidth="1"/>
    <col min="12836" max="12837" width="0.28515625" style="2" customWidth="1"/>
    <col min="12838" max="12838" width="1.42578125" style="2" customWidth="1"/>
    <col min="12839" max="12839" width="0" style="2" hidden="1" customWidth="1"/>
    <col min="12840" max="13056" width="11.42578125" style="2"/>
    <col min="13057" max="13057" width="10.28515625" style="2" customWidth="1"/>
    <col min="13058" max="13058" width="13.42578125" style="2" customWidth="1"/>
    <col min="13059" max="13059" width="4.28515625" style="2" customWidth="1"/>
    <col min="13060" max="13060" width="4" style="2" customWidth="1"/>
    <col min="13061" max="13061" width="15" style="2" customWidth="1"/>
    <col min="13062" max="13062" width="4.140625" style="2" customWidth="1"/>
    <col min="13063" max="13063" width="11.28515625" style="2" customWidth="1"/>
    <col min="13064" max="13064" width="16.140625" style="2" customWidth="1"/>
    <col min="13065" max="13065" width="11" style="2" customWidth="1"/>
    <col min="13066" max="13067" width="2.140625" style="2" customWidth="1"/>
    <col min="13068" max="13068" width="3.28515625" style="2" customWidth="1"/>
    <col min="13069" max="13070" width="0" style="2" hidden="1" customWidth="1"/>
    <col min="13071" max="13071" width="2.85546875" style="2" customWidth="1"/>
    <col min="13072" max="13072" width="3.28515625" style="2" customWidth="1"/>
    <col min="13073" max="13073" width="1.42578125" style="2" customWidth="1"/>
    <col min="13074" max="13074" width="0" style="2" hidden="1" customWidth="1"/>
    <col min="13075" max="13075" width="6.85546875" style="2" customWidth="1"/>
    <col min="13076" max="13076" width="0" style="2" hidden="1" customWidth="1"/>
    <col min="13077" max="13078" width="6.28515625" style="2" customWidth="1"/>
    <col min="13079" max="13079" width="17.7109375" style="2" customWidth="1"/>
    <col min="13080" max="13080" width="13.85546875" style="2" customWidth="1"/>
    <col min="13081" max="13081" width="10.85546875" style="2" customWidth="1"/>
    <col min="13082" max="13082" width="16.85546875" style="2" customWidth="1"/>
    <col min="13083" max="13083" width="5" style="2" customWidth="1"/>
    <col min="13084" max="13084" width="13" style="2" customWidth="1"/>
    <col min="13085" max="13085" width="13.140625" style="2" customWidth="1"/>
    <col min="13086" max="13087" width="14" style="2" customWidth="1"/>
    <col min="13088" max="13088" width="11.42578125" style="2" customWidth="1"/>
    <col min="13089" max="13089" width="15.85546875" style="2" customWidth="1"/>
    <col min="13090" max="13090" width="23.7109375" style="2" customWidth="1"/>
    <col min="13091" max="13091" width="12" style="2" customWidth="1"/>
    <col min="13092" max="13093" width="0.28515625" style="2" customWidth="1"/>
    <col min="13094" max="13094" width="1.42578125" style="2" customWidth="1"/>
    <col min="13095" max="13095" width="0" style="2" hidden="1" customWidth="1"/>
    <col min="13096" max="13312" width="11.42578125" style="2"/>
    <col min="13313" max="13313" width="10.28515625" style="2" customWidth="1"/>
    <col min="13314" max="13314" width="13.42578125" style="2" customWidth="1"/>
    <col min="13315" max="13315" width="4.28515625" style="2" customWidth="1"/>
    <col min="13316" max="13316" width="4" style="2" customWidth="1"/>
    <col min="13317" max="13317" width="15" style="2" customWidth="1"/>
    <col min="13318" max="13318" width="4.140625" style="2" customWidth="1"/>
    <col min="13319" max="13319" width="11.28515625" style="2" customWidth="1"/>
    <col min="13320" max="13320" width="16.140625" style="2" customWidth="1"/>
    <col min="13321" max="13321" width="11" style="2" customWidth="1"/>
    <col min="13322" max="13323" width="2.140625" style="2" customWidth="1"/>
    <col min="13324" max="13324" width="3.28515625" style="2" customWidth="1"/>
    <col min="13325" max="13326" width="0" style="2" hidden="1" customWidth="1"/>
    <col min="13327" max="13327" width="2.85546875" style="2" customWidth="1"/>
    <col min="13328" max="13328" width="3.28515625" style="2" customWidth="1"/>
    <col min="13329" max="13329" width="1.42578125" style="2" customWidth="1"/>
    <col min="13330" max="13330" width="0" style="2" hidden="1" customWidth="1"/>
    <col min="13331" max="13331" width="6.85546875" style="2" customWidth="1"/>
    <col min="13332" max="13332" width="0" style="2" hidden="1" customWidth="1"/>
    <col min="13333" max="13334" width="6.28515625" style="2" customWidth="1"/>
    <col min="13335" max="13335" width="17.7109375" style="2" customWidth="1"/>
    <col min="13336" max="13336" width="13.85546875" style="2" customWidth="1"/>
    <col min="13337" max="13337" width="10.85546875" style="2" customWidth="1"/>
    <col min="13338" max="13338" width="16.85546875" style="2" customWidth="1"/>
    <col min="13339" max="13339" width="5" style="2" customWidth="1"/>
    <col min="13340" max="13340" width="13" style="2" customWidth="1"/>
    <col min="13341" max="13341" width="13.140625" style="2" customWidth="1"/>
    <col min="13342" max="13343" width="14" style="2" customWidth="1"/>
    <col min="13344" max="13344" width="11.42578125" style="2" customWidth="1"/>
    <col min="13345" max="13345" width="15.85546875" style="2" customWidth="1"/>
    <col min="13346" max="13346" width="23.7109375" style="2" customWidth="1"/>
    <col min="13347" max="13347" width="12" style="2" customWidth="1"/>
    <col min="13348" max="13349" width="0.28515625" style="2" customWidth="1"/>
    <col min="13350" max="13350" width="1.42578125" style="2" customWidth="1"/>
    <col min="13351" max="13351" width="0" style="2" hidden="1" customWidth="1"/>
    <col min="13352" max="13568" width="11.42578125" style="2"/>
    <col min="13569" max="13569" width="10.28515625" style="2" customWidth="1"/>
    <col min="13570" max="13570" width="13.42578125" style="2" customWidth="1"/>
    <col min="13571" max="13571" width="4.28515625" style="2" customWidth="1"/>
    <col min="13572" max="13572" width="4" style="2" customWidth="1"/>
    <col min="13573" max="13573" width="15" style="2" customWidth="1"/>
    <col min="13574" max="13574" width="4.140625" style="2" customWidth="1"/>
    <col min="13575" max="13575" width="11.28515625" style="2" customWidth="1"/>
    <col min="13576" max="13576" width="16.140625" style="2" customWidth="1"/>
    <col min="13577" max="13577" width="11" style="2" customWidth="1"/>
    <col min="13578" max="13579" width="2.140625" style="2" customWidth="1"/>
    <col min="13580" max="13580" width="3.28515625" style="2" customWidth="1"/>
    <col min="13581" max="13582" width="0" style="2" hidden="1" customWidth="1"/>
    <col min="13583" max="13583" width="2.85546875" style="2" customWidth="1"/>
    <col min="13584" max="13584" width="3.28515625" style="2" customWidth="1"/>
    <col min="13585" max="13585" width="1.42578125" style="2" customWidth="1"/>
    <col min="13586" max="13586" width="0" style="2" hidden="1" customWidth="1"/>
    <col min="13587" max="13587" width="6.85546875" style="2" customWidth="1"/>
    <col min="13588" max="13588" width="0" style="2" hidden="1" customWidth="1"/>
    <col min="13589" max="13590" width="6.28515625" style="2" customWidth="1"/>
    <col min="13591" max="13591" width="17.7109375" style="2" customWidth="1"/>
    <col min="13592" max="13592" width="13.85546875" style="2" customWidth="1"/>
    <col min="13593" max="13593" width="10.85546875" style="2" customWidth="1"/>
    <col min="13594" max="13594" width="16.85546875" style="2" customWidth="1"/>
    <col min="13595" max="13595" width="5" style="2" customWidth="1"/>
    <col min="13596" max="13596" width="13" style="2" customWidth="1"/>
    <col min="13597" max="13597" width="13.140625" style="2" customWidth="1"/>
    <col min="13598" max="13599" width="14" style="2" customWidth="1"/>
    <col min="13600" max="13600" width="11.42578125" style="2" customWidth="1"/>
    <col min="13601" max="13601" width="15.85546875" style="2" customWidth="1"/>
    <col min="13602" max="13602" width="23.7109375" style="2" customWidth="1"/>
    <col min="13603" max="13603" width="12" style="2" customWidth="1"/>
    <col min="13604" max="13605" width="0.28515625" style="2" customWidth="1"/>
    <col min="13606" max="13606" width="1.42578125" style="2" customWidth="1"/>
    <col min="13607" max="13607" width="0" style="2" hidden="1" customWidth="1"/>
    <col min="13608" max="13824" width="11.42578125" style="2"/>
    <col min="13825" max="13825" width="10.28515625" style="2" customWidth="1"/>
    <col min="13826" max="13826" width="13.42578125" style="2" customWidth="1"/>
    <col min="13827" max="13827" width="4.28515625" style="2" customWidth="1"/>
    <col min="13828" max="13828" width="4" style="2" customWidth="1"/>
    <col min="13829" max="13829" width="15" style="2" customWidth="1"/>
    <col min="13830" max="13830" width="4.140625" style="2" customWidth="1"/>
    <col min="13831" max="13831" width="11.28515625" style="2" customWidth="1"/>
    <col min="13832" max="13832" width="16.140625" style="2" customWidth="1"/>
    <col min="13833" max="13833" width="11" style="2" customWidth="1"/>
    <col min="13834" max="13835" width="2.140625" style="2" customWidth="1"/>
    <col min="13836" max="13836" width="3.28515625" style="2" customWidth="1"/>
    <col min="13837" max="13838" width="0" style="2" hidden="1" customWidth="1"/>
    <col min="13839" max="13839" width="2.85546875" style="2" customWidth="1"/>
    <col min="13840" max="13840" width="3.28515625" style="2" customWidth="1"/>
    <col min="13841" max="13841" width="1.42578125" style="2" customWidth="1"/>
    <col min="13842" max="13842" width="0" style="2" hidden="1" customWidth="1"/>
    <col min="13843" max="13843" width="6.85546875" style="2" customWidth="1"/>
    <col min="13844" max="13844" width="0" style="2" hidden="1" customWidth="1"/>
    <col min="13845" max="13846" width="6.28515625" style="2" customWidth="1"/>
    <col min="13847" max="13847" width="17.7109375" style="2" customWidth="1"/>
    <col min="13848" max="13848" width="13.85546875" style="2" customWidth="1"/>
    <col min="13849" max="13849" width="10.85546875" style="2" customWidth="1"/>
    <col min="13850" max="13850" width="16.85546875" style="2" customWidth="1"/>
    <col min="13851" max="13851" width="5" style="2" customWidth="1"/>
    <col min="13852" max="13852" width="13" style="2" customWidth="1"/>
    <col min="13853" max="13853" width="13.140625" style="2" customWidth="1"/>
    <col min="13854" max="13855" width="14" style="2" customWidth="1"/>
    <col min="13856" max="13856" width="11.42578125" style="2" customWidth="1"/>
    <col min="13857" max="13857" width="15.85546875" style="2" customWidth="1"/>
    <col min="13858" max="13858" width="23.7109375" style="2" customWidth="1"/>
    <col min="13859" max="13859" width="12" style="2" customWidth="1"/>
    <col min="13860" max="13861" width="0.28515625" style="2" customWidth="1"/>
    <col min="13862" max="13862" width="1.42578125" style="2" customWidth="1"/>
    <col min="13863" max="13863" width="0" style="2" hidden="1" customWidth="1"/>
    <col min="13864" max="14080" width="11.42578125" style="2"/>
    <col min="14081" max="14081" width="10.28515625" style="2" customWidth="1"/>
    <col min="14082" max="14082" width="13.42578125" style="2" customWidth="1"/>
    <col min="14083" max="14083" width="4.28515625" style="2" customWidth="1"/>
    <col min="14084" max="14084" width="4" style="2" customWidth="1"/>
    <col min="14085" max="14085" width="15" style="2" customWidth="1"/>
    <col min="14086" max="14086" width="4.140625" style="2" customWidth="1"/>
    <col min="14087" max="14087" width="11.28515625" style="2" customWidth="1"/>
    <col min="14088" max="14088" width="16.140625" style="2" customWidth="1"/>
    <col min="14089" max="14089" width="11" style="2" customWidth="1"/>
    <col min="14090" max="14091" width="2.140625" style="2" customWidth="1"/>
    <col min="14092" max="14092" width="3.28515625" style="2" customWidth="1"/>
    <col min="14093" max="14094" width="0" style="2" hidden="1" customWidth="1"/>
    <col min="14095" max="14095" width="2.85546875" style="2" customWidth="1"/>
    <col min="14096" max="14096" width="3.28515625" style="2" customWidth="1"/>
    <col min="14097" max="14097" width="1.42578125" style="2" customWidth="1"/>
    <col min="14098" max="14098" width="0" style="2" hidden="1" customWidth="1"/>
    <col min="14099" max="14099" width="6.85546875" style="2" customWidth="1"/>
    <col min="14100" max="14100" width="0" style="2" hidden="1" customWidth="1"/>
    <col min="14101" max="14102" width="6.28515625" style="2" customWidth="1"/>
    <col min="14103" max="14103" width="17.7109375" style="2" customWidth="1"/>
    <col min="14104" max="14104" width="13.85546875" style="2" customWidth="1"/>
    <col min="14105" max="14105" width="10.85546875" style="2" customWidth="1"/>
    <col min="14106" max="14106" width="16.85546875" style="2" customWidth="1"/>
    <col min="14107" max="14107" width="5" style="2" customWidth="1"/>
    <col min="14108" max="14108" width="13" style="2" customWidth="1"/>
    <col min="14109" max="14109" width="13.140625" style="2" customWidth="1"/>
    <col min="14110" max="14111" width="14" style="2" customWidth="1"/>
    <col min="14112" max="14112" width="11.42578125" style="2" customWidth="1"/>
    <col min="14113" max="14113" width="15.85546875" style="2" customWidth="1"/>
    <col min="14114" max="14114" width="23.7109375" style="2" customWidth="1"/>
    <col min="14115" max="14115" width="12" style="2" customWidth="1"/>
    <col min="14116" max="14117" width="0.28515625" style="2" customWidth="1"/>
    <col min="14118" max="14118" width="1.42578125" style="2" customWidth="1"/>
    <col min="14119" max="14119" width="0" style="2" hidden="1" customWidth="1"/>
    <col min="14120" max="14336" width="11.42578125" style="2"/>
    <col min="14337" max="14337" width="10.28515625" style="2" customWidth="1"/>
    <col min="14338" max="14338" width="13.42578125" style="2" customWidth="1"/>
    <col min="14339" max="14339" width="4.28515625" style="2" customWidth="1"/>
    <col min="14340" max="14340" width="4" style="2" customWidth="1"/>
    <col min="14341" max="14341" width="15" style="2" customWidth="1"/>
    <col min="14342" max="14342" width="4.140625" style="2" customWidth="1"/>
    <col min="14343" max="14343" width="11.28515625" style="2" customWidth="1"/>
    <col min="14344" max="14344" width="16.140625" style="2" customWidth="1"/>
    <col min="14345" max="14345" width="11" style="2" customWidth="1"/>
    <col min="14346" max="14347" width="2.140625" style="2" customWidth="1"/>
    <col min="14348" max="14348" width="3.28515625" style="2" customWidth="1"/>
    <col min="14349" max="14350" width="0" style="2" hidden="1" customWidth="1"/>
    <col min="14351" max="14351" width="2.85546875" style="2" customWidth="1"/>
    <col min="14352" max="14352" width="3.28515625" style="2" customWidth="1"/>
    <col min="14353" max="14353" width="1.42578125" style="2" customWidth="1"/>
    <col min="14354" max="14354" width="0" style="2" hidden="1" customWidth="1"/>
    <col min="14355" max="14355" width="6.85546875" style="2" customWidth="1"/>
    <col min="14356" max="14356" width="0" style="2" hidden="1" customWidth="1"/>
    <col min="14357" max="14358" width="6.28515625" style="2" customWidth="1"/>
    <col min="14359" max="14359" width="17.7109375" style="2" customWidth="1"/>
    <col min="14360" max="14360" width="13.85546875" style="2" customWidth="1"/>
    <col min="14361" max="14361" width="10.85546875" style="2" customWidth="1"/>
    <col min="14362" max="14362" width="16.85546875" style="2" customWidth="1"/>
    <col min="14363" max="14363" width="5" style="2" customWidth="1"/>
    <col min="14364" max="14364" width="13" style="2" customWidth="1"/>
    <col min="14365" max="14365" width="13.140625" style="2" customWidth="1"/>
    <col min="14366" max="14367" width="14" style="2" customWidth="1"/>
    <col min="14368" max="14368" width="11.42578125" style="2" customWidth="1"/>
    <col min="14369" max="14369" width="15.85546875" style="2" customWidth="1"/>
    <col min="14370" max="14370" width="23.7109375" style="2" customWidth="1"/>
    <col min="14371" max="14371" width="12" style="2" customWidth="1"/>
    <col min="14372" max="14373" width="0.28515625" style="2" customWidth="1"/>
    <col min="14374" max="14374" width="1.42578125" style="2" customWidth="1"/>
    <col min="14375" max="14375" width="0" style="2" hidden="1" customWidth="1"/>
    <col min="14376" max="14592" width="11.42578125" style="2"/>
    <col min="14593" max="14593" width="10.28515625" style="2" customWidth="1"/>
    <col min="14594" max="14594" width="13.42578125" style="2" customWidth="1"/>
    <col min="14595" max="14595" width="4.28515625" style="2" customWidth="1"/>
    <col min="14596" max="14596" width="4" style="2" customWidth="1"/>
    <col min="14597" max="14597" width="15" style="2" customWidth="1"/>
    <col min="14598" max="14598" width="4.140625" style="2" customWidth="1"/>
    <col min="14599" max="14599" width="11.28515625" style="2" customWidth="1"/>
    <col min="14600" max="14600" width="16.140625" style="2" customWidth="1"/>
    <col min="14601" max="14601" width="11" style="2" customWidth="1"/>
    <col min="14602" max="14603" width="2.140625" style="2" customWidth="1"/>
    <col min="14604" max="14604" width="3.28515625" style="2" customWidth="1"/>
    <col min="14605" max="14606" width="0" style="2" hidden="1" customWidth="1"/>
    <col min="14607" max="14607" width="2.85546875" style="2" customWidth="1"/>
    <col min="14608" max="14608" width="3.28515625" style="2" customWidth="1"/>
    <col min="14609" max="14609" width="1.42578125" style="2" customWidth="1"/>
    <col min="14610" max="14610" width="0" style="2" hidden="1" customWidth="1"/>
    <col min="14611" max="14611" width="6.85546875" style="2" customWidth="1"/>
    <col min="14612" max="14612" width="0" style="2" hidden="1" customWidth="1"/>
    <col min="14613" max="14614" width="6.28515625" style="2" customWidth="1"/>
    <col min="14615" max="14615" width="17.7109375" style="2" customWidth="1"/>
    <col min="14616" max="14616" width="13.85546875" style="2" customWidth="1"/>
    <col min="14617" max="14617" width="10.85546875" style="2" customWidth="1"/>
    <col min="14618" max="14618" width="16.85546875" style="2" customWidth="1"/>
    <col min="14619" max="14619" width="5" style="2" customWidth="1"/>
    <col min="14620" max="14620" width="13" style="2" customWidth="1"/>
    <col min="14621" max="14621" width="13.140625" style="2" customWidth="1"/>
    <col min="14622" max="14623" width="14" style="2" customWidth="1"/>
    <col min="14624" max="14624" width="11.42578125" style="2" customWidth="1"/>
    <col min="14625" max="14625" width="15.85546875" style="2" customWidth="1"/>
    <col min="14626" max="14626" width="23.7109375" style="2" customWidth="1"/>
    <col min="14627" max="14627" width="12" style="2" customWidth="1"/>
    <col min="14628" max="14629" width="0.28515625" style="2" customWidth="1"/>
    <col min="14630" max="14630" width="1.42578125" style="2" customWidth="1"/>
    <col min="14631" max="14631" width="0" style="2" hidden="1" customWidth="1"/>
    <col min="14632" max="14848" width="11.42578125" style="2"/>
    <col min="14849" max="14849" width="10.28515625" style="2" customWidth="1"/>
    <col min="14850" max="14850" width="13.42578125" style="2" customWidth="1"/>
    <col min="14851" max="14851" width="4.28515625" style="2" customWidth="1"/>
    <col min="14852" max="14852" width="4" style="2" customWidth="1"/>
    <col min="14853" max="14853" width="15" style="2" customWidth="1"/>
    <col min="14854" max="14854" width="4.140625" style="2" customWidth="1"/>
    <col min="14855" max="14855" width="11.28515625" style="2" customWidth="1"/>
    <col min="14856" max="14856" width="16.140625" style="2" customWidth="1"/>
    <col min="14857" max="14857" width="11" style="2" customWidth="1"/>
    <col min="14858" max="14859" width="2.140625" style="2" customWidth="1"/>
    <col min="14860" max="14860" width="3.28515625" style="2" customWidth="1"/>
    <col min="14861" max="14862" width="0" style="2" hidden="1" customWidth="1"/>
    <col min="14863" max="14863" width="2.85546875" style="2" customWidth="1"/>
    <col min="14864" max="14864" width="3.28515625" style="2" customWidth="1"/>
    <col min="14865" max="14865" width="1.42578125" style="2" customWidth="1"/>
    <col min="14866" max="14866" width="0" style="2" hidden="1" customWidth="1"/>
    <col min="14867" max="14867" width="6.85546875" style="2" customWidth="1"/>
    <col min="14868" max="14868" width="0" style="2" hidden="1" customWidth="1"/>
    <col min="14869" max="14870" width="6.28515625" style="2" customWidth="1"/>
    <col min="14871" max="14871" width="17.7109375" style="2" customWidth="1"/>
    <col min="14872" max="14872" width="13.85546875" style="2" customWidth="1"/>
    <col min="14873" max="14873" width="10.85546875" style="2" customWidth="1"/>
    <col min="14874" max="14874" width="16.85546875" style="2" customWidth="1"/>
    <col min="14875" max="14875" width="5" style="2" customWidth="1"/>
    <col min="14876" max="14876" width="13" style="2" customWidth="1"/>
    <col min="14877" max="14877" width="13.140625" style="2" customWidth="1"/>
    <col min="14878" max="14879" width="14" style="2" customWidth="1"/>
    <col min="14880" max="14880" width="11.42578125" style="2" customWidth="1"/>
    <col min="14881" max="14881" width="15.85546875" style="2" customWidth="1"/>
    <col min="14882" max="14882" width="23.7109375" style="2" customWidth="1"/>
    <col min="14883" max="14883" width="12" style="2" customWidth="1"/>
    <col min="14884" max="14885" width="0.28515625" style="2" customWidth="1"/>
    <col min="14886" max="14886" width="1.42578125" style="2" customWidth="1"/>
    <col min="14887" max="14887" width="0" style="2" hidden="1" customWidth="1"/>
    <col min="14888" max="15104" width="11.42578125" style="2"/>
    <col min="15105" max="15105" width="10.28515625" style="2" customWidth="1"/>
    <col min="15106" max="15106" width="13.42578125" style="2" customWidth="1"/>
    <col min="15107" max="15107" width="4.28515625" style="2" customWidth="1"/>
    <col min="15108" max="15108" width="4" style="2" customWidth="1"/>
    <col min="15109" max="15109" width="15" style="2" customWidth="1"/>
    <col min="15110" max="15110" width="4.140625" style="2" customWidth="1"/>
    <col min="15111" max="15111" width="11.28515625" style="2" customWidth="1"/>
    <col min="15112" max="15112" width="16.140625" style="2" customWidth="1"/>
    <col min="15113" max="15113" width="11" style="2" customWidth="1"/>
    <col min="15114" max="15115" width="2.140625" style="2" customWidth="1"/>
    <col min="15116" max="15116" width="3.28515625" style="2" customWidth="1"/>
    <col min="15117" max="15118" width="0" style="2" hidden="1" customWidth="1"/>
    <col min="15119" max="15119" width="2.85546875" style="2" customWidth="1"/>
    <col min="15120" max="15120" width="3.28515625" style="2" customWidth="1"/>
    <col min="15121" max="15121" width="1.42578125" style="2" customWidth="1"/>
    <col min="15122" max="15122" width="0" style="2" hidden="1" customWidth="1"/>
    <col min="15123" max="15123" width="6.85546875" style="2" customWidth="1"/>
    <col min="15124" max="15124" width="0" style="2" hidden="1" customWidth="1"/>
    <col min="15125" max="15126" width="6.28515625" style="2" customWidth="1"/>
    <col min="15127" max="15127" width="17.7109375" style="2" customWidth="1"/>
    <col min="15128" max="15128" width="13.85546875" style="2" customWidth="1"/>
    <col min="15129" max="15129" width="10.85546875" style="2" customWidth="1"/>
    <col min="15130" max="15130" width="16.85546875" style="2" customWidth="1"/>
    <col min="15131" max="15131" width="5" style="2" customWidth="1"/>
    <col min="15132" max="15132" width="13" style="2" customWidth="1"/>
    <col min="15133" max="15133" width="13.140625" style="2" customWidth="1"/>
    <col min="15134" max="15135" width="14" style="2" customWidth="1"/>
    <col min="15136" max="15136" width="11.42578125" style="2" customWidth="1"/>
    <col min="15137" max="15137" width="15.85546875" style="2" customWidth="1"/>
    <col min="15138" max="15138" width="23.7109375" style="2" customWidth="1"/>
    <col min="15139" max="15139" width="12" style="2" customWidth="1"/>
    <col min="15140" max="15141" width="0.28515625" style="2" customWidth="1"/>
    <col min="15142" max="15142" width="1.42578125" style="2" customWidth="1"/>
    <col min="15143" max="15143" width="0" style="2" hidden="1" customWidth="1"/>
    <col min="15144" max="15360" width="11.42578125" style="2"/>
    <col min="15361" max="15361" width="10.28515625" style="2" customWidth="1"/>
    <col min="15362" max="15362" width="13.42578125" style="2" customWidth="1"/>
    <col min="15363" max="15363" width="4.28515625" style="2" customWidth="1"/>
    <col min="15364" max="15364" width="4" style="2" customWidth="1"/>
    <col min="15365" max="15365" width="15" style="2" customWidth="1"/>
    <col min="15366" max="15366" width="4.140625" style="2" customWidth="1"/>
    <col min="15367" max="15367" width="11.28515625" style="2" customWidth="1"/>
    <col min="15368" max="15368" width="16.140625" style="2" customWidth="1"/>
    <col min="15369" max="15369" width="11" style="2" customWidth="1"/>
    <col min="15370" max="15371" width="2.140625" style="2" customWidth="1"/>
    <col min="15372" max="15372" width="3.28515625" style="2" customWidth="1"/>
    <col min="15373" max="15374" width="0" style="2" hidden="1" customWidth="1"/>
    <col min="15375" max="15375" width="2.85546875" style="2" customWidth="1"/>
    <col min="15376" max="15376" width="3.28515625" style="2" customWidth="1"/>
    <col min="15377" max="15377" width="1.42578125" style="2" customWidth="1"/>
    <col min="15378" max="15378" width="0" style="2" hidden="1" customWidth="1"/>
    <col min="15379" max="15379" width="6.85546875" style="2" customWidth="1"/>
    <col min="15380" max="15380" width="0" style="2" hidden="1" customWidth="1"/>
    <col min="15381" max="15382" width="6.28515625" style="2" customWidth="1"/>
    <col min="15383" max="15383" width="17.7109375" style="2" customWidth="1"/>
    <col min="15384" max="15384" width="13.85546875" style="2" customWidth="1"/>
    <col min="15385" max="15385" width="10.85546875" style="2" customWidth="1"/>
    <col min="15386" max="15386" width="16.85546875" style="2" customWidth="1"/>
    <col min="15387" max="15387" width="5" style="2" customWidth="1"/>
    <col min="15388" max="15388" width="13" style="2" customWidth="1"/>
    <col min="15389" max="15389" width="13.140625" style="2" customWidth="1"/>
    <col min="15390" max="15391" width="14" style="2" customWidth="1"/>
    <col min="15392" max="15392" width="11.42578125" style="2" customWidth="1"/>
    <col min="15393" max="15393" width="15.85546875" style="2" customWidth="1"/>
    <col min="15394" max="15394" width="23.7109375" style="2" customWidth="1"/>
    <col min="15395" max="15395" width="12" style="2" customWidth="1"/>
    <col min="15396" max="15397" width="0.28515625" style="2" customWidth="1"/>
    <col min="15398" max="15398" width="1.42578125" style="2" customWidth="1"/>
    <col min="15399" max="15399" width="0" style="2" hidden="1" customWidth="1"/>
    <col min="15400" max="15616" width="11.42578125" style="2"/>
    <col min="15617" max="15617" width="10.28515625" style="2" customWidth="1"/>
    <col min="15618" max="15618" width="13.42578125" style="2" customWidth="1"/>
    <col min="15619" max="15619" width="4.28515625" style="2" customWidth="1"/>
    <col min="15620" max="15620" width="4" style="2" customWidth="1"/>
    <col min="15621" max="15621" width="15" style="2" customWidth="1"/>
    <col min="15622" max="15622" width="4.140625" style="2" customWidth="1"/>
    <col min="15623" max="15623" width="11.28515625" style="2" customWidth="1"/>
    <col min="15624" max="15624" width="16.140625" style="2" customWidth="1"/>
    <col min="15625" max="15625" width="11" style="2" customWidth="1"/>
    <col min="15626" max="15627" width="2.140625" style="2" customWidth="1"/>
    <col min="15628" max="15628" width="3.28515625" style="2" customWidth="1"/>
    <col min="15629" max="15630" width="0" style="2" hidden="1" customWidth="1"/>
    <col min="15631" max="15631" width="2.85546875" style="2" customWidth="1"/>
    <col min="15632" max="15632" width="3.28515625" style="2" customWidth="1"/>
    <col min="15633" max="15633" width="1.42578125" style="2" customWidth="1"/>
    <col min="15634" max="15634" width="0" style="2" hidden="1" customWidth="1"/>
    <col min="15635" max="15635" width="6.85546875" style="2" customWidth="1"/>
    <col min="15636" max="15636" width="0" style="2" hidden="1" customWidth="1"/>
    <col min="15637" max="15638" width="6.28515625" style="2" customWidth="1"/>
    <col min="15639" max="15639" width="17.7109375" style="2" customWidth="1"/>
    <col min="15640" max="15640" width="13.85546875" style="2" customWidth="1"/>
    <col min="15641" max="15641" width="10.85546875" style="2" customWidth="1"/>
    <col min="15642" max="15642" width="16.85546875" style="2" customWidth="1"/>
    <col min="15643" max="15643" width="5" style="2" customWidth="1"/>
    <col min="15644" max="15644" width="13" style="2" customWidth="1"/>
    <col min="15645" max="15645" width="13.140625" style="2" customWidth="1"/>
    <col min="15646" max="15647" width="14" style="2" customWidth="1"/>
    <col min="15648" max="15648" width="11.42578125" style="2" customWidth="1"/>
    <col min="15649" max="15649" width="15.85546875" style="2" customWidth="1"/>
    <col min="15650" max="15650" width="23.7109375" style="2" customWidth="1"/>
    <col min="15651" max="15651" width="12" style="2" customWidth="1"/>
    <col min="15652" max="15653" width="0.28515625" style="2" customWidth="1"/>
    <col min="15654" max="15654" width="1.42578125" style="2" customWidth="1"/>
    <col min="15655" max="15655" width="0" style="2" hidden="1" customWidth="1"/>
    <col min="15656" max="15872" width="11.42578125" style="2"/>
    <col min="15873" max="15873" width="10.28515625" style="2" customWidth="1"/>
    <col min="15874" max="15874" width="13.42578125" style="2" customWidth="1"/>
    <col min="15875" max="15875" width="4.28515625" style="2" customWidth="1"/>
    <col min="15876" max="15876" width="4" style="2" customWidth="1"/>
    <col min="15877" max="15877" width="15" style="2" customWidth="1"/>
    <col min="15878" max="15878" width="4.140625" style="2" customWidth="1"/>
    <col min="15879" max="15879" width="11.28515625" style="2" customWidth="1"/>
    <col min="15880" max="15880" width="16.140625" style="2" customWidth="1"/>
    <col min="15881" max="15881" width="11" style="2" customWidth="1"/>
    <col min="15882" max="15883" width="2.140625" style="2" customWidth="1"/>
    <col min="15884" max="15884" width="3.28515625" style="2" customWidth="1"/>
    <col min="15885" max="15886" width="0" style="2" hidden="1" customWidth="1"/>
    <col min="15887" max="15887" width="2.85546875" style="2" customWidth="1"/>
    <col min="15888" max="15888" width="3.28515625" style="2" customWidth="1"/>
    <col min="15889" max="15889" width="1.42578125" style="2" customWidth="1"/>
    <col min="15890" max="15890" width="0" style="2" hidden="1" customWidth="1"/>
    <col min="15891" max="15891" width="6.85546875" style="2" customWidth="1"/>
    <col min="15892" max="15892" width="0" style="2" hidden="1" customWidth="1"/>
    <col min="15893" max="15894" width="6.28515625" style="2" customWidth="1"/>
    <col min="15895" max="15895" width="17.7109375" style="2" customWidth="1"/>
    <col min="15896" max="15896" width="13.85546875" style="2" customWidth="1"/>
    <col min="15897" max="15897" width="10.85546875" style="2" customWidth="1"/>
    <col min="15898" max="15898" width="16.85546875" style="2" customWidth="1"/>
    <col min="15899" max="15899" width="5" style="2" customWidth="1"/>
    <col min="15900" max="15900" width="13" style="2" customWidth="1"/>
    <col min="15901" max="15901" width="13.140625" style="2" customWidth="1"/>
    <col min="15902" max="15903" width="14" style="2" customWidth="1"/>
    <col min="15904" max="15904" width="11.42578125" style="2" customWidth="1"/>
    <col min="15905" max="15905" width="15.85546875" style="2" customWidth="1"/>
    <col min="15906" max="15906" width="23.7109375" style="2" customWidth="1"/>
    <col min="15907" max="15907" width="12" style="2" customWidth="1"/>
    <col min="15908" max="15909" width="0.28515625" style="2" customWidth="1"/>
    <col min="15910" max="15910" width="1.42578125" style="2" customWidth="1"/>
    <col min="15911" max="15911" width="0" style="2" hidden="1" customWidth="1"/>
    <col min="15912" max="16128" width="11.42578125" style="2"/>
    <col min="16129" max="16129" width="10.28515625" style="2" customWidth="1"/>
    <col min="16130" max="16130" width="13.42578125" style="2" customWidth="1"/>
    <col min="16131" max="16131" width="4.28515625" style="2" customWidth="1"/>
    <col min="16132" max="16132" width="4" style="2" customWidth="1"/>
    <col min="16133" max="16133" width="15" style="2" customWidth="1"/>
    <col min="16134" max="16134" width="4.140625" style="2" customWidth="1"/>
    <col min="16135" max="16135" width="11.28515625" style="2" customWidth="1"/>
    <col min="16136" max="16136" width="16.140625" style="2" customWidth="1"/>
    <col min="16137" max="16137" width="11" style="2" customWidth="1"/>
    <col min="16138" max="16139" width="2.140625" style="2" customWidth="1"/>
    <col min="16140" max="16140" width="3.28515625" style="2" customWidth="1"/>
    <col min="16141" max="16142" width="0" style="2" hidden="1" customWidth="1"/>
    <col min="16143" max="16143" width="2.85546875" style="2" customWidth="1"/>
    <col min="16144" max="16144" width="3.28515625" style="2" customWidth="1"/>
    <col min="16145" max="16145" width="1.42578125" style="2" customWidth="1"/>
    <col min="16146" max="16146" width="0" style="2" hidden="1" customWidth="1"/>
    <col min="16147" max="16147" width="6.85546875" style="2" customWidth="1"/>
    <col min="16148" max="16148" width="0" style="2" hidden="1" customWidth="1"/>
    <col min="16149" max="16150" width="6.28515625" style="2" customWidth="1"/>
    <col min="16151" max="16151" width="17.7109375" style="2" customWidth="1"/>
    <col min="16152" max="16152" width="13.85546875" style="2" customWidth="1"/>
    <col min="16153" max="16153" width="10.85546875" style="2" customWidth="1"/>
    <col min="16154" max="16154" width="16.85546875" style="2" customWidth="1"/>
    <col min="16155" max="16155" width="5" style="2" customWidth="1"/>
    <col min="16156" max="16156" width="13" style="2" customWidth="1"/>
    <col min="16157" max="16157" width="13.140625" style="2" customWidth="1"/>
    <col min="16158" max="16159" width="14" style="2" customWidth="1"/>
    <col min="16160" max="16160" width="11.42578125" style="2" customWidth="1"/>
    <col min="16161" max="16161" width="15.85546875" style="2" customWidth="1"/>
    <col min="16162" max="16162" width="23.7109375" style="2" customWidth="1"/>
    <col min="16163" max="16163" width="12" style="2" customWidth="1"/>
    <col min="16164" max="16165" width="0.28515625" style="2" customWidth="1"/>
    <col min="16166" max="16166" width="1.42578125" style="2" customWidth="1"/>
    <col min="16167" max="16167" width="0" style="2" hidden="1" customWidth="1"/>
    <col min="16168" max="16384" width="11.42578125" style="2"/>
  </cols>
  <sheetData>
    <row r="1" spans="1:37" ht="45" customHeight="1">
      <c r="A1" s="600"/>
      <c r="B1" s="600"/>
      <c r="C1" s="684" t="s">
        <v>0</v>
      </c>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6"/>
      <c r="AH1" s="689" t="s">
        <v>45</v>
      </c>
      <c r="AJ1" s="3" t="s">
        <v>17</v>
      </c>
      <c r="AK1" s="6" t="s">
        <v>23</v>
      </c>
    </row>
    <row r="2" spans="1:37" ht="45" customHeight="1">
      <c r="A2" s="600"/>
      <c r="B2" s="600"/>
      <c r="C2" s="690" t="s">
        <v>37</v>
      </c>
      <c r="D2" s="691"/>
      <c r="E2" s="691"/>
      <c r="F2" s="691"/>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2"/>
      <c r="AH2" s="689"/>
      <c r="AJ2" s="2" t="s">
        <v>18</v>
      </c>
      <c r="AK2" s="7" t="s">
        <v>24</v>
      </c>
    </row>
    <row r="3" spans="1:37"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G3" s="604"/>
      <c r="AH3" s="604"/>
      <c r="AJ3" s="3" t="s">
        <v>16</v>
      </c>
      <c r="AK3" s="6" t="s">
        <v>25</v>
      </c>
    </row>
    <row r="4" spans="1:37" ht="30.75" customHeight="1">
      <c r="A4" s="597" t="s">
        <v>5</v>
      </c>
      <c r="B4" s="597"/>
      <c r="C4" s="597"/>
      <c r="D4" s="597"/>
      <c r="E4" s="598" t="s">
        <v>605</v>
      </c>
      <c r="F4" s="598"/>
      <c r="G4" s="598"/>
      <c r="H4" s="598"/>
      <c r="I4" s="598"/>
      <c r="J4" s="598"/>
      <c r="K4" s="598"/>
      <c r="L4" s="598"/>
      <c r="M4" s="598"/>
      <c r="N4" s="598"/>
      <c r="O4" s="598"/>
      <c r="P4" s="598"/>
      <c r="Q4" s="598"/>
      <c r="R4" s="598"/>
      <c r="S4" s="598"/>
      <c r="T4" s="598"/>
      <c r="U4" s="598"/>
      <c r="V4" s="598"/>
      <c r="W4" s="599" t="s">
        <v>20</v>
      </c>
      <c r="X4" s="599"/>
      <c r="Y4" s="599"/>
      <c r="Z4" s="679" t="s">
        <v>606</v>
      </c>
      <c r="AA4" s="680"/>
      <c r="AB4" s="680"/>
      <c r="AC4" s="680"/>
      <c r="AD4" s="680"/>
      <c r="AE4" s="681"/>
      <c r="AF4" s="682" t="s">
        <v>48</v>
      </c>
      <c r="AG4" s="683"/>
      <c r="AH4" s="45"/>
      <c r="AJ4" s="6" t="s">
        <v>19</v>
      </c>
    </row>
    <row r="5" spans="1:37" ht="4.5" customHeight="1" thickBo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row>
    <row r="6" spans="1:37" ht="57" customHeight="1">
      <c r="A6" s="605" t="s">
        <v>39</v>
      </c>
      <c r="B6" s="606"/>
      <c r="C6" s="599" t="s">
        <v>1</v>
      </c>
      <c r="D6" s="599" t="s">
        <v>49</v>
      </c>
      <c r="E6" s="599"/>
      <c r="F6" s="608" t="s">
        <v>6</v>
      </c>
      <c r="G6" s="599" t="s">
        <v>9</v>
      </c>
      <c r="H6" s="607" t="s">
        <v>50</v>
      </c>
      <c r="I6" s="599" t="s">
        <v>2</v>
      </c>
      <c r="J6" s="599" t="s">
        <v>21</v>
      </c>
      <c r="K6" s="599"/>
      <c r="L6" s="599"/>
      <c r="M6" s="599"/>
      <c r="N6" s="599"/>
      <c r="O6" s="599"/>
      <c r="P6" s="599"/>
      <c r="Q6" s="599"/>
      <c r="R6" s="599"/>
      <c r="S6" s="599"/>
      <c r="T6" s="599"/>
      <c r="U6" s="599"/>
      <c r="V6" s="599"/>
      <c r="W6" s="599" t="s">
        <v>51</v>
      </c>
      <c r="X6" s="607" t="s">
        <v>52</v>
      </c>
      <c r="Y6" s="599" t="s">
        <v>3</v>
      </c>
      <c r="Z6" s="599"/>
      <c r="AA6" s="599"/>
      <c r="AB6" s="610" t="s">
        <v>53</v>
      </c>
      <c r="AC6" s="610" t="s">
        <v>4</v>
      </c>
      <c r="AD6" s="610"/>
      <c r="AE6" s="611" t="s">
        <v>54</v>
      </c>
      <c r="AF6" s="599" t="s">
        <v>55</v>
      </c>
      <c r="AG6" s="599" t="s">
        <v>56</v>
      </c>
      <c r="AH6" s="599" t="s">
        <v>57</v>
      </c>
    </row>
    <row r="7" spans="1:37" ht="37.5" customHeight="1">
      <c r="A7" s="97" t="s">
        <v>40</v>
      </c>
      <c r="B7" s="98" t="s">
        <v>41</v>
      </c>
      <c r="C7" s="607"/>
      <c r="D7" s="599"/>
      <c r="E7" s="599"/>
      <c r="F7" s="608"/>
      <c r="G7" s="599"/>
      <c r="H7" s="693"/>
      <c r="I7" s="599"/>
      <c r="J7" s="599" t="s">
        <v>11</v>
      </c>
      <c r="K7" s="599"/>
      <c r="L7" s="599"/>
      <c r="M7" s="599"/>
      <c r="N7" s="599"/>
      <c r="O7" s="599"/>
      <c r="P7" s="644" t="s">
        <v>12</v>
      </c>
      <c r="Q7" s="644"/>
      <c r="R7" s="644"/>
      <c r="S7" s="644"/>
      <c r="T7" s="644"/>
      <c r="U7" s="644" t="s">
        <v>13</v>
      </c>
      <c r="V7" s="644"/>
      <c r="W7" s="599"/>
      <c r="X7" s="693"/>
      <c r="Y7" s="607"/>
      <c r="Z7" s="607"/>
      <c r="AA7" s="607"/>
      <c r="AB7" s="611"/>
      <c r="AC7" s="539" t="s">
        <v>14</v>
      </c>
      <c r="AD7" s="541" t="s">
        <v>15</v>
      </c>
      <c r="AE7" s="687"/>
      <c r="AF7" s="599"/>
      <c r="AG7" s="599"/>
      <c r="AH7" s="599"/>
    </row>
    <row r="8" spans="1:37" ht="68.099999999999994" customHeight="1" thickBot="1">
      <c r="A8" s="671"/>
      <c r="B8" s="671"/>
      <c r="C8" s="671">
        <v>1</v>
      </c>
      <c r="D8" s="922" t="s">
        <v>1203</v>
      </c>
      <c r="E8" s="923"/>
      <c r="F8" s="701">
        <v>44068</v>
      </c>
      <c r="G8" s="695" t="s">
        <v>38</v>
      </c>
      <c r="H8" s="695" t="s">
        <v>65</v>
      </c>
      <c r="I8" s="696" t="s">
        <v>23</v>
      </c>
      <c r="J8" s="915" t="s">
        <v>162</v>
      </c>
      <c r="K8" s="928"/>
      <c r="L8" s="928"/>
      <c r="M8" s="928"/>
      <c r="N8" s="928"/>
      <c r="O8" s="916"/>
      <c r="P8" s="915" t="s">
        <v>162</v>
      </c>
      <c r="Q8" s="928"/>
      <c r="R8" s="928"/>
      <c r="S8" s="916"/>
      <c r="T8" s="555"/>
      <c r="U8" s="915" t="s">
        <v>162</v>
      </c>
      <c r="V8" s="916"/>
      <c r="W8" s="1180">
        <v>1</v>
      </c>
      <c r="X8" s="700" t="s">
        <v>1204</v>
      </c>
      <c r="Y8" s="1183" t="s">
        <v>1205</v>
      </c>
      <c r="Z8" s="1183"/>
      <c r="AA8" s="1183"/>
      <c r="AB8" s="578" t="s">
        <v>625</v>
      </c>
      <c r="AC8" s="546">
        <v>44068</v>
      </c>
      <c r="AD8" s="546">
        <v>44196</v>
      </c>
      <c r="AE8" s="553"/>
      <c r="AF8" s="550"/>
      <c r="AG8" s="287"/>
      <c r="AH8" s="1404"/>
    </row>
    <row r="9" spans="1:37" ht="75" customHeight="1">
      <c r="A9" s="671"/>
      <c r="B9" s="671"/>
      <c r="C9" s="671"/>
      <c r="D9" s="834"/>
      <c r="E9" s="835"/>
      <c r="F9" s="791"/>
      <c r="G9" s="668"/>
      <c r="H9" s="668"/>
      <c r="I9" s="674"/>
      <c r="J9" s="917"/>
      <c r="K9" s="929"/>
      <c r="L9" s="929"/>
      <c r="M9" s="929"/>
      <c r="N9" s="929"/>
      <c r="O9" s="918"/>
      <c r="P9" s="917"/>
      <c r="Q9" s="929"/>
      <c r="R9" s="929"/>
      <c r="S9" s="918"/>
      <c r="T9" s="1412"/>
      <c r="U9" s="917"/>
      <c r="V9" s="918"/>
      <c r="W9" s="657"/>
      <c r="X9" s="657"/>
      <c r="Y9" s="1183" t="s">
        <v>1206</v>
      </c>
      <c r="Z9" s="1183"/>
      <c r="AA9" s="1183"/>
      <c r="AB9" s="578" t="s">
        <v>1207</v>
      </c>
      <c r="AC9" s="546">
        <v>44069</v>
      </c>
      <c r="AD9" s="546">
        <v>44196</v>
      </c>
      <c r="AE9" s="577"/>
      <c r="AF9" s="552"/>
      <c r="AG9" s="1413"/>
      <c r="AH9" s="221"/>
    </row>
    <row r="10" spans="1:37" ht="69" customHeight="1">
      <c r="A10" s="671"/>
      <c r="B10" s="671"/>
      <c r="C10" s="671"/>
      <c r="D10" s="834"/>
      <c r="E10" s="835"/>
      <c r="F10" s="791"/>
      <c r="G10" s="668"/>
      <c r="H10" s="668"/>
      <c r="I10" s="674"/>
      <c r="J10" s="917"/>
      <c r="K10" s="929"/>
      <c r="L10" s="929"/>
      <c r="M10" s="929"/>
      <c r="N10" s="929"/>
      <c r="O10" s="918"/>
      <c r="P10" s="917"/>
      <c r="Q10" s="929"/>
      <c r="R10" s="929"/>
      <c r="S10" s="918"/>
      <c r="T10" s="1412"/>
      <c r="U10" s="917"/>
      <c r="V10" s="918"/>
      <c r="W10" s="657"/>
      <c r="X10" s="657"/>
      <c r="Y10" s="1183" t="s">
        <v>1208</v>
      </c>
      <c r="Z10" s="1183"/>
      <c r="AA10" s="1183"/>
      <c r="AB10" s="578" t="s">
        <v>1209</v>
      </c>
      <c r="AC10" s="546">
        <v>44069</v>
      </c>
      <c r="AD10" s="546">
        <v>44196</v>
      </c>
      <c r="AE10" s="577"/>
      <c r="AF10" s="552"/>
      <c r="AG10" s="1413"/>
      <c r="AH10" s="221"/>
    </row>
    <row r="11" spans="1:37" ht="65.099999999999994" customHeight="1">
      <c r="A11" s="671"/>
      <c r="B11" s="671"/>
      <c r="C11" s="671"/>
      <c r="D11" s="834"/>
      <c r="E11" s="835"/>
      <c r="F11" s="791"/>
      <c r="G11" s="668"/>
      <c r="H11" s="668"/>
      <c r="I11" s="674"/>
      <c r="J11" s="917"/>
      <c r="K11" s="929"/>
      <c r="L11" s="929"/>
      <c r="M11" s="929"/>
      <c r="N11" s="929"/>
      <c r="O11" s="918"/>
      <c r="P11" s="917"/>
      <c r="Q11" s="929"/>
      <c r="R11" s="929"/>
      <c r="S11" s="918"/>
      <c r="T11" s="1412"/>
      <c r="U11" s="917"/>
      <c r="V11" s="918"/>
      <c r="W11" s="657"/>
      <c r="X11" s="657"/>
      <c r="Y11" s="1183" t="s">
        <v>1210</v>
      </c>
      <c r="Z11" s="1183"/>
      <c r="AA11" s="1183"/>
      <c r="AB11" s="578" t="s">
        <v>1211</v>
      </c>
      <c r="AC11" s="546" t="s">
        <v>1212</v>
      </c>
      <c r="AD11" s="546" t="s">
        <v>1212</v>
      </c>
      <c r="AE11" s="577"/>
      <c r="AF11" s="552"/>
      <c r="AG11" s="1413"/>
      <c r="AH11" s="221"/>
    </row>
    <row r="12" spans="1:37" ht="57.75" customHeight="1">
      <c r="A12" s="671"/>
      <c r="B12" s="671"/>
      <c r="C12" s="671"/>
      <c r="D12" s="834"/>
      <c r="E12" s="835"/>
      <c r="F12" s="791"/>
      <c r="G12" s="668"/>
      <c r="H12" s="668"/>
      <c r="I12" s="674"/>
      <c r="J12" s="917"/>
      <c r="K12" s="929"/>
      <c r="L12" s="929"/>
      <c r="M12" s="929"/>
      <c r="N12" s="929"/>
      <c r="O12" s="918"/>
      <c r="P12" s="917"/>
      <c r="Q12" s="929"/>
      <c r="R12" s="929"/>
      <c r="S12" s="918"/>
      <c r="T12" s="1412"/>
      <c r="U12" s="917"/>
      <c r="V12" s="918"/>
      <c r="W12" s="657"/>
      <c r="X12" s="657"/>
      <c r="Y12" s="1183" t="s">
        <v>1213</v>
      </c>
      <c r="Z12" s="1183"/>
      <c r="AA12" s="1183"/>
      <c r="AB12" s="578" t="s">
        <v>1209</v>
      </c>
      <c r="AC12" s="546" t="s">
        <v>1212</v>
      </c>
      <c r="AD12" s="546" t="s">
        <v>1212</v>
      </c>
      <c r="AE12" s="577"/>
      <c r="AF12" s="552"/>
      <c r="AG12" s="1413"/>
      <c r="AH12" s="221"/>
    </row>
    <row r="13" spans="1:37" ht="72" customHeight="1">
      <c r="A13" s="671"/>
      <c r="B13" s="671"/>
      <c r="C13" s="671"/>
      <c r="D13" s="924"/>
      <c r="E13" s="925"/>
      <c r="F13" s="926"/>
      <c r="G13" s="927"/>
      <c r="H13" s="927"/>
      <c r="I13" s="921"/>
      <c r="J13" s="919"/>
      <c r="K13" s="930"/>
      <c r="L13" s="930"/>
      <c r="M13" s="930"/>
      <c r="N13" s="930"/>
      <c r="O13" s="920"/>
      <c r="P13" s="919"/>
      <c r="Q13" s="930"/>
      <c r="R13" s="930"/>
      <c r="S13" s="920"/>
      <c r="T13" s="1412"/>
      <c r="U13" s="919"/>
      <c r="V13" s="920"/>
      <c r="W13" s="627"/>
      <c r="X13" s="627"/>
      <c r="Y13" s="1403" t="s">
        <v>1214</v>
      </c>
      <c r="Z13" s="1403"/>
      <c r="AA13" s="1403"/>
      <c r="AB13" s="1414" t="s">
        <v>625</v>
      </c>
      <c r="AC13" s="547">
        <v>44166</v>
      </c>
      <c r="AD13" s="547">
        <v>44285</v>
      </c>
      <c r="AE13" s="553"/>
      <c r="AF13" s="552"/>
      <c r="AG13" s="1413"/>
      <c r="AH13" s="221"/>
    </row>
    <row r="14" spans="1:37" ht="86.25" customHeight="1">
      <c r="A14" s="696"/>
      <c r="B14" s="696"/>
      <c r="C14" s="696">
        <v>2</v>
      </c>
      <c r="D14" s="922" t="s">
        <v>1215</v>
      </c>
      <c r="E14" s="923"/>
      <c r="F14" s="701">
        <v>44068</v>
      </c>
      <c r="G14" s="695" t="s">
        <v>38</v>
      </c>
      <c r="H14" s="695" t="s">
        <v>65</v>
      </c>
      <c r="I14" s="696" t="s">
        <v>23</v>
      </c>
      <c r="J14" s="915" t="s">
        <v>162</v>
      </c>
      <c r="K14" s="928"/>
      <c r="L14" s="928"/>
      <c r="M14" s="928"/>
      <c r="N14" s="928"/>
      <c r="O14" s="916"/>
      <c r="P14" s="915" t="s">
        <v>162</v>
      </c>
      <c r="Q14" s="928"/>
      <c r="R14" s="928"/>
      <c r="S14" s="916"/>
      <c r="T14" s="1412"/>
      <c r="U14" s="915" t="s">
        <v>162</v>
      </c>
      <c r="V14" s="916"/>
      <c r="W14" s="700">
        <v>1</v>
      </c>
      <c r="X14" s="700" t="s">
        <v>1216</v>
      </c>
      <c r="Y14" s="1183" t="s">
        <v>1217</v>
      </c>
      <c r="Z14" s="1183"/>
      <c r="AA14" s="1183"/>
      <c r="AB14" s="578" t="s">
        <v>625</v>
      </c>
      <c r="AC14" s="546">
        <v>44069</v>
      </c>
      <c r="AD14" s="546">
        <v>44196</v>
      </c>
      <c r="AE14" s="553"/>
      <c r="AF14" s="552"/>
      <c r="AG14" s="1413"/>
      <c r="AH14" s="544"/>
    </row>
    <row r="15" spans="1:37" ht="63" customHeight="1">
      <c r="A15" s="674"/>
      <c r="B15" s="674"/>
      <c r="C15" s="674"/>
      <c r="D15" s="834"/>
      <c r="E15" s="835"/>
      <c r="F15" s="791"/>
      <c r="G15" s="668"/>
      <c r="H15" s="668"/>
      <c r="I15" s="674"/>
      <c r="J15" s="917"/>
      <c r="K15" s="929"/>
      <c r="L15" s="929"/>
      <c r="M15" s="929"/>
      <c r="N15" s="929"/>
      <c r="O15" s="918"/>
      <c r="P15" s="917"/>
      <c r="Q15" s="929"/>
      <c r="R15" s="929"/>
      <c r="S15" s="918"/>
      <c r="T15" s="1412"/>
      <c r="U15" s="917"/>
      <c r="V15" s="918"/>
      <c r="W15" s="657"/>
      <c r="X15" s="657"/>
      <c r="Y15" s="1183" t="s">
        <v>1219</v>
      </c>
      <c r="Z15" s="1183"/>
      <c r="AA15" s="1183"/>
      <c r="AB15" s="578" t="s">
        <v>625</v>
      </c>
      <c r="AC15" s="546">
        <v>44069</v>
      </c>
      <c r="AD15" s="546">
        <v>44196</v>
      </c>
      <c r="AE15" s="553"/>
      <c r="AF15" s="552"/>
      <c r="AG15" s="1413"/>
      <c r="AH15" s="544"/>
    </row>
    <row r="16" spans="1:37" ht="63" customHeight="1">
      <c r="A16" s="921"/>
      <c r="B16" s="921"/>
      <c r="C16" s="921"/>
      <c r="D16" s="924"/>
      <c r="E16" s="925"/>
      <c r="F16" s="926"/>
      <c r="G16" s="927"/>
      <c r="H16" s="927"/>
      <c r="I16" s="921"/>
      <c r="J16" s="919"/>
      <c r="K16" s="930"/>
      <c r="L16" s="930"/>
      <c r="M16" s="930"/>
      <c r="N16" s="930"/>
      <c r="O16" s="920"/>
      <c r="P16" s="919"/>
      <c r="Q16" s="930"/>
      <c r="R16" s="930"/>
      <c r="S16" s="920"/>
      <c r="T16" s="1412"/>
      <c r="U16" s="919"/>
      <c r="V16" s="920"/>
      <c r="W16" s="627"/>
      <c r="X16" s="627"/>
      <c r="Y16" s="1183" t="s">
        <v>1218</v>
      </c>
      <c r="Z16" s="1183"/>
      <c r="AA16" s="1183"/>
      <c r="AB16" s="578" t="s">
        <v>625</v>
      </c>
      <c r="AC16" s="546">
        <v>44075</v>
      </c>
      <c r="AD16" s="546">
        <v>44196</v>
      </c>
      <c r="AE16" s="553"/>
      <c r="AF16" s="552"/>
      <c r="AG16" s="1413"/>
      <c r="AH16" s="544"/>
    </row>
    <row r="17" spans="1:37" ht="6" customHeight="1">
      <c r="A17" s="604"/>
      <c r="B17" s="604"/>
      <c r="C17" s="604"/>
      <c r="D17" s="604"/>
      <c r="E17" s="604"/>
      <c r="F17" s="604"/>
      <c r="G17" s="604"/>
      <c r="H17" s="604"/>
      <c r="I17" s="604"/>
      <c r="J17" s="604"/>
      <c r="K17" s="604"/>
      <c r="L17" s="604"/>
      <c r="M17" s="604"/>
      <c r="N17" s="604"/>
      <c r="O17" s="604"/>
      <c r="P17" s="604"/>
      <c r="Q17" s="604"/>
      <c r="R17" s="604"/>
      <c r="S17" s="604"/>
      <c r="T17" s="604"/>
      <c r="U17" s="604"/>
      <c r="V17" s="604"/>
      <c r="W17" s="604"/>
      <c r="X17" s="604"/>
      <c r="Y17" s="604"/>
      <c r="Z17" s="604"/>
      <c r="AA17" s="604"/>
      <c r="AB17" s="604"/>
      <c r="AC17" s="604"/>
      <c r="AD17" s="604"/>
      <c r="AE17" s="604"/>
      <c r="AF17" s="604"/>
      <c r="AG17" s="604"/>
      <c r="AH17" s="604"/>
    </row>
    <row r="18" spans="1:37" ht="12.75" customHeight="1">
      <c r="A18" s="644" t="s">
        <v>22</v>
      </c>
      <c r="B18" s="644"/>
      <c r="C18" s="644"/>
      <c r="D18" s="644"/>
      <c r="E18" s="644"/>
      <c r="F18" s="644"/>
      <c r="G18" s="644"/>
      <c r="H18" s="644"/>
      <c r="I18" s="644"/>
      <c r="J18" s="644"/>
      <c r="K18" s="644"/>
      <c r="L18" s="644"/>
      <c r="M18" s="4"/>
      <c r="N18" s="4"/>
      <c r="O18" s="645" t="s">
        <v>34</v>
      </c>
      <c r="P18" s="645"/>
      <c r="Q18" s="645"/>
      <c r="R18" s="645"/>
      <c r="S18" s="645"/>
      <c r="T18" s="645"/>
      <c r="U18" s="645"/>
      <c r="V18" s="645"/>
      <c r="W18" s="645"/>
      <c r="X18" s="645"/>
      <c r="Y18" s="645"/>
      <c r="Z18" s="645"/>
      <c r="AA18" s="645"/>
      <c r="AB18" s="645"/>
      <c r="AC18" s="645"/>
      <c r="AD18" s="646" t="s">
        <v>35</v>
      </c>
      <c r="AE18" s="646"/>
      <c r="AF18" s="646"/>
      <c r="AG18" s="646"/>
      <c r="AH18" s="646"/>
    </row>
    <row r="19" spans="1:37">
      <c r="A19" s="644"/>
      <c r="B19" s="644"/>
      <c r="C19" s="644"/>
      <c r="D19" s="644"/>
      <c r="E19" s="644"/>
      <c r="F19" s="644"/>
      <c r="G19" s="644"/>
      <c r="H19" s="644"/>
      <c r="I19" s="644"/>
      <c r="J19" s="644"/>
      <c r="K19" s="644"/>
      <c r="L19" s="644"/>
      <c r="M19" s="4"/>
      <c r="N19" s="4"/>
      <c r="O19" s="645"/>
      <c r="P19" s="645"/>
      <c r="Q19" s="645"/>
      <c r="R19" s="645"/>
      <c r="S19" s="645"/>
      <c r="T19" s="645"/>
      <c r="U19" s="645"/>
      <c r="V19" s="645"/>
      <c r="W19" s="645"/>
      <c r="X19" s="645"/>
      <c r="Y19" s="645"/>
      <c r="Z19" s="645"/>
      <c r="AA19" s="645"/>
      <c r="AB19" s="645"/>
      <c r="AC19" s="645"/>
      <c r="AD19" s="646"/>
      <c r="AE19" s="646"/>
      <c r="AF19" s="646"/>
      <c r="AG19" s="646"/>
      <c r="AH19" s="646"/>
    </row>
    <row r="20" spans="1:37" ht="38.25" customHeight="1">
      <c r="A20" s="694"/>
      <c r="B20" s="694"/>
      <c r="C20" s="694"/>
      <c r="D20" s="694"/>
      <c r="E20" s="694"/>
      <c r="F20" s="694"/>
      <c r="G20" s="694"/>
      <c r="H20" s="694"/>
      <c r="I20" s="694"/>
      <c r="J20" s="694"/>
      <c r="K20" s="694"/>
      <c r="L20" s="694"/>
      <c r="M20" s="4"/>
      <c r="N20" s="4"/>
      <c r="O20" s="1415"/>
      <c r="P20" s="1415"/>
      <c r="Q20" s="1415"/>
      <c r="R20" s="1415"/>
      <c r="S20" s="1415"/>
      <c r="T20" s="1415"/>
      <c r="U20" s="1415"/>
      <c r="V20" s="1415"/>
      <c r="W20" s="1415"/>
      <c r="X20" s="1415"/>
      <c r="Y20" s="1415"/>
      <c r="Z20" s="1415"/>
      <c r="AA20" s="1415"/>
      <c r="AB20" s="1415"/>
      <c r="AC20" s="1415"/>
      <c r="AD20" s="1416"/>
      <c r="AE20" s="1416"/>
      <c r="AF20" s="1416"/>
      <c r="AG20" s="1416"/>
      <c r="AH20" s="1416"/>
    </row>
    <row r="21" spans="1:37" ht="15" customHeight="1">
      <c r="A21" s="641" t="s">
        <v>36</v>
      </c>
      <c r="B21" s="641"/>
      <c r="C21" s="641"/>
      <c r="D21" s="641"/>
      <c r="E21" s="641"/>
      <c r="F21" s="641"/>
      <c r="G21" s="641"/>
      <c r="H21" s="641"/>
      <c r="I21" s="641"/>
      <c r="J21" s="641"/>
      <c r="K21" s="641"/>
      <c r="L21" s="641"/>
      <c r="M21" s="641"/>
      <c r="N21" s="641"/>
      <c r="O21" s="641"/>
      <c r="P21" s="641"/>
      <c r="Q21" s="641"/>
      <c r="R21" s="641"/>
      <c r="S21" s="641"/>
      <c r="T21" s="641"/>
      <c r="U21" s="641"/>
      <c r="V21" s="641"/>
      <c r="W21" s="641"/>
      <c r="X21" s="641"/>
      <c r="Y21" s="641"/>
      <c r="Z21" s="641"/>
      <c r="AA21" s="641"/>
      <c r="AB21" s="641"/>
      <c r="AC21" s="641"/>
      <c r="AD21" s="641"/>
      <c r="AE21" s="641"/>
      <c r="AF21" s="641"/>
      <c r="AG21" s="641"/>
      <c r="AH21" s="641"/>
    </row>
    <row r="22" spans="1:37" ht="0.95" customHeight="1">
      <c r="A22" s="642"/>
      <c r="B22" s="642"/>
      <c r="C22" s="642"/>
      <c r="D22" s="642"/>
      <c r="E22" s="642"/>
      <c r="F22" s="642"/>
      <c r="G22" s="642"/>
      <c r="H22" s="642"/>
      <c r="I22" s="642"/>
      <c r="J22" s="642"/>
      <c r="K22" s="642"/>
      <c r="L22" s="642"/>
      <c r="M22" s="642"/>
      <c r="N22" s="642"/>
      <c r="O22" s="642"/>
      <c r="P22" s="642"/>
      <c r="Q22" s="642"/>
      <c r="R22" s="642"/>
      <c r="S22" s="642"/>
      <c r="T22" s="642"/>
      <c r="U22" s="642"/>
      <c r="V22" s="642"/>
      <c r="W22" s="642"/>
      <c r="X22" s="642"/>
      <c r="Y22" s="642"/>
      <c r="Z22" s="642"/>
      <c r="AA22" s="642"/>
      <c r="AB22" s="642"/>
      <c r="AC22" s="642"/>
      <c r="AD22" s="642"/>
      <c r="AE22" s="642"/>
      <c r="AF22" s="642"/>
      <c r="AG22" s="642"/>
      <c r="AH22" s="642"/>
      <c r="AI22" s="642"/>
    </row>
    <row r="23" spans="1:37">
      <c r="A23" s="642"/>
      <c r="B23" s="642"/>
      <c r="C23" s="642"/>
      <c r="D23" s="642"/>
      <c r="E23" s="642"/>
      <c r="F23" s="642"/>
      <c r="G23" s="642"/>
      <c r="H23" s="642"/>
      <c r="I23" s="642"/>
      <c r="J23" s="642"/>
      <c r="K23" s="642"/>
      <c r="L23" s="642"/>
      <c r="M23" s="642"/>
      <c r="N23" s="642"/>
      <c r="O23" s="642"/>
      <c r="P23" s="642"/>
      <c r="Q23" s="642"/>
      <c r="R23" s="642"/>
      <c r="S23" s="642"/>
      <c r="T23" s="642"/>
      <c r="U23" s="642"/>
      <c r="V23" s="642"/>
      <c r="W23" s="642"/>
      <c r="X23" s="642"/>
      <c r="Y23" s="642"/>
      <c r="Z23" s="642"/>
      <c r="AA23" s="642"/>
      <c r="AB23" s="642"/>
      <c r="AC23" s="642"/>
      <c r="AD23" s="642"/>
      <c r="AE23" s="642"/>
      <c r="AF23" s="642"/>
      <c r="AG23" s="642"/>
      <c r="AH23" s="642"/>
      <c r="AI23" s="8"/>
      <c r="AJ23" s="8"/>
    </row>
    <row r="24" spans="1:37" ht="24" customHeight="1">
      <c r="A24" s="74"/>
      <c r="B24" s="75"/>
      <c r="C24" s="74"/>
      <c r="D24" s="74"/>
      <c r="E24" s="74"/>
      <c r="F24" s="74"/>
      <c r="G24" s="74"/>
      <c r="H24" s="76" t="s">
        <v>66</v>
      </c>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8"/>
      <c r="AJ24" s="8"/>
    </row>
    <row r="25" spans="1:37" ht="54.95" customHeight="1">
      <c r="A25" s="74"/>
      <c r="B25" s="75"/>
      <c r="C25" s="74"/>
      <c r="D25" s="74"/>
      <c r="E25" s="74"/>
      <c r="F25" s="74"/>
      <c r="G25" s="74"/>
      <c r="H25" s="76" t="s">
        <v>67</v>
      </c>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8"/>
      <c r="AJ25" s="8"/>
    </row>
    <row r="26" spans="1:37" ht="0.95" customHeight="1">
      <c r="A26" s="74"/>
      <c r="B26" s="75" t="s">
        <v>68</v>
      </c>
      <c r="C26" s="74"/>
      <c r="D26" s="74"/>
      <c r="E26" s="74"/>
      <c r="F26" s="74"/>
      <c r="G26" s="74"/>
      <c r="H26" s="76" t="s">
        <v>69</v>
      </c>
      <c r="I26" s="74"/>
      <c r="J26" s="74"/>
      <c r="K26" s="74"/>
      <c r="L26" s="74"/>
      <c r="M26" s="74"/>
      <c r="N26" s="74"/>
      <c r="O26" s="74"/>
      <c r="P26" s="74"/>
      <c r="Q26" s="74"/>
      <c r="R26" s="74"/>
      <c r="S26" s="74"/>
      <c r="T26" s="74"/>
      <c r="U26" s="74"/>
      <c r="V26" s="74"/>
      <c r="W26" s="74"/>
      <c r="X26" s="76" t="s">
        <v>23</v>
      </c>
      <c r="Y26" s="74"/>
      <c r="Z26" s="74"/>
      <c r="AA26" s="74"/>
      <c r="AB26" s="74"/>
      <c r="AC26" s="74"/>
      <c r="AD26" s="74"/>
      <c r="AE26" s="74"/>
      <c r="AF26" s="74"/>
      <c r="AG26" s="74"/>
      <c r="AH26" s="74"/>
      <c r="AI26" s="8"/>
      <c r="AJ26" s="8"/>
    </row>
    <row r="27" spans="1:37" ht="0.95" customHeight="1">
      <c r="A27" s="74"/>
      <c r="B27" s="75" t="s">
        <v>70</v>
      </c>
      <c r="C27" s="74"/>
      <c r="D27" s="74"/>
      <c r="E27" s="74"/>
      <c r="F27" s="74"/>
      <c r="G27" s="74"/>
      <c r="H27" s="77" t="s">
        <v>59</v>
      </c>
      <c r="I27" s="74"/>
      <c r="J27" s="74"/>
      <c r="K27" s="74"/>
      <c r="L27" s="74"/>
      <c r="M27" s="74"/>
      <c r="N27" s="74"/>
      <c r="O27" s="74"/>
      <c r="P27" s="74"/>
      <c r="Q27" s="74"/>
      <c r="R27" s="74"/>
      <c r="S27" s="74"/>
      <c r="T27" s="74"/>
      <c r="U27" s="74"/>
      <c r="V27" s="74"/>
      <c r="W27" s="74"/>
      <c r="X27" s="76" t="s">
        <v>25</v>
      </c>
      <c r="Y27" s="74"/>
      <c r="Z27" s="74"/>
      <c r="AA27" s="74"/>
      <c r="AB27" s="74"/>
      <c r="AC27" s="74"/>
      <c r="AD27" s="74"/>
      <c r="AE27" s="74"/>
      <c r="AF27" s="74"/>
      <c r="AG27" s="74"/>
      <c r="AH27" s="74"/>
      <c r="AI27" s="8"/>
      <c r="AJ27" s="8"/>
    </row>
    <row r="28" spans="1:37" ht="0.95" customHeight="1">
      <c r="A28" s="78"/>
      <c r="B28" s="79" t="s">
        <v>16</v>
      </c>
      <c r="C28" s="78"/>
      <c r="D28" s="78"/>
      <c r="E28" s="78"/>
      <c r="F28" s="78"/>
      <c r="G28" s="78"/>
      <c r="H28" s="80" t="s">
        <v>65</v>
      </c>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row>
    <row r="30" spans="1:37" ht="24.75" customHeight="1">
      <c r="AK30" s="6" t="s">
        <v>38</v>
      </c>
    </row>
    <row r="31" spans="1:37" ht="24.75" customHeight="1">
      <c r="AK31" s="6" t="s">
        <v>10</v>
      </c>
    </row>
    <row r="32" spans="1:37" ht="24.75" customHeight="1">
      <c r="AK32" s="6" t="s">
        <v>42</v>
      </c>
    </row>
    <row r="33" spans="37:37" ht="24.75" customHeight="1">
      <c r="AK33" s="6" t="s">
        <v>43</v>
      </c>
    </row>
    <row r="34" spans="37:37" ht="24.75" customHeight="1">
      <c r="AK34" s="6" t="s">
        <v>44</v>
      </c>
    </row>
    <row r="35" spans="37:37" ht="24.75" customHeight="1">
      <c r="AK35" s="6" t="s">
        <v>26</v>
      </c>
    </row>
    <row r="36" spans="37:37" ht="24.75" customHeight="1">
      <c r="AK36" s="6" t="s">
        <v>27</v>
      </c>
    </row>
    <row r="37" spans="37:37" ht="24.75" customHeight="1">
      <c r="AK37" s="6" t="s">
        <v>28</v>
      </c>
    </row>
    <row r="38" spans="37:37" ht="24.75" customHeight="1">
      <c r="AK38" s="6" t="s">
        <v>30</v>
      </c>
    </row>
    <row r="39" spans="37:37" ht="24.75" customHeight="1">
      <c r="AK39" s="6" t="s">
        <v>29</v>
      </c>
    </row>
    <row r="40" spans="37:37" ht="24.75" customHeight="1">
      <c r="AK40" s="6" t="s">
        <v>31</v>
      </c>
    </row>
    <row r="41" spans="37:37" ht="24.75" customHeight="1">
      <c r="AK41" s="6" t="s">
        <v>32</v>
      </c>
    </row>
    <row r="42" spans="37:37" ht="51">
      <c r="AK42" s="6" t="s">
        <v>33</v>
      </c>
    </row>
  </sheetData>
  <mergeCells count="76">
    <mergeCell ref="A21:AH21"/>
    <mergeCell ref="A22:AI22"/>
    <mergeCell ref="A23:AH23"/>
    <mergeCell ref="H14:H16"/>
    <mergeCell ref="G14:G16"/>
    <mergeCell ref="A17:AH17"/>
    <mergeCell ref="A18:L19"/>
    <mergeCell ref="O18:AC19"/>
    <mergeCell ref="AD18:AH19"/>
    <mergeCell ref="A20:L20"/>
    <mergeCell ref="O20:AC20"/>
    <mergeCell ref="AD20:AH20"/>
    <mergeCell ref="J14:O16"/>
    <mergeCell ref="P14:S16"/>
    <mergeCell ref="U14:V16"/>
    <mergeCell ref="W14:W16"/>
    <mergeCell ref="X14:X16"/>
    <mergeCell ref="Y14:AA14"/>
    <mergeCell ref="Y15:AA15"/>
    <mergeCell ref="Y16:AA16"/>
    <mergeCell ref="A14:A16"/>
    <mergeCell ref="B14:B16"/>
    <mergeCell ref="C14:C16"/>
    <mergeCell ref="D14:E16"/>
    <mergeCell ref="F14:F16"/>
    <mergeCell ref="I14:I16"/>
    <mergeCell ref="W8:W13"/>
    <mergeCell ref="X8:X13"/>
    <mergeCell ref="Y8:AA8"/>
    <mergeCell ref="Y9:AA9"/>
    <mergeCell ref="Y10:AA10"/>
    <mergeCell ref="Y11:AA11"/>
    <mergeCell ref="Y12:AA12"/>
    <mergeCell ref="Y13:AA13"/>
    <mergeCell ref="G8:G13"/>
    <mergeCell ref="H8:H13"/>
    <mergeCell ref="I8:I13"/>
    <mergeCell ref="J8:O13"/>
    <mergeCell ref="P8:S13"/>
    <mergeCell ref="U8:V13"/>
    <mergeCell ref="AG6:AG7"/>
    <mergeCell ref="AH6:AH7"/>
    <mergeCell ref="J7:O7"/>
    <mergeCell ref="P7:T7"/>
    <mergeCell ref="U7:V7"/>
    <mergeCell ref="A8:A13"/>
    <mergeCell ref="B8:B13"/>
    <mergeCell ref="C8:C13"/>
    <mergeCell ref="D8:E13"/>
    <mergeCell ref="F8:F13"/>
    <mergeCell ref="X6:X7"/>
    <mergeCell ref="Y6:AA7"/>
    <mergeCell ref="AB6:AB7"/>
    <mergeCell ref="AC6:AD6"/>
    <mergeCell ref="AE6:AE7"/>
    <mergeCell ref="AF6:AF7"/>
    <mergeCell ref="A5:AH5"/>
    <mergeCell ref="A6:B6"/>
    <mergeCell ref="C6:C7"/>
    <mergeCell ref="D6:E7"/>
    <mergeCell ref="F6:F7"/>
    <mergeCell ref="G6:G7"/>
    <mergeCell ref="H6:H7"/>
    <mergeCell ref="I6:I7"/>
    <mergeCell ref="J6:V6"/>
    <mergeCell ref="W6:W7"/>
    <mergeCell ref="A1:B2"/>
    <mergeCell ref="C1:AG1"/>
    <mergeCell ref="AH1:AH2"/>
    <mergeCell ref="C2:AG2"/>
    <mergeCell ref="A3:AH3"/>
    <mergeCell ref="A4:D4"/>
    <mergeCell ref="E4:V4"/>
    <mergeCell ref="W4:Y4"/>
    <mergeCell ref="Z4:AE4"/>
    <mergeCell ref="AF4:AG4"/>
  </mergeCells>
  <conditionalFormatting sqref="AG8:AG16">
    <cfRule type="cellIs" dxfId="123" priority="1" operator="between">
      <formula>0.001</formula>
      <formula>0.99</formula>
    </cfRule>
    <cfRule type="cellIs" dxfId="122" priority="2" operator="equal">
      <formula>1</formula>
    </cfRule>
    <cfRule type="cellIs" dxfId="121" priority="3" operator="equal">
      <formula>0</formula>
    </cfRule>
  </conditionalFormatting>
  <conditionalFormatting sqref="AG8:AG16">
    <cfRule type="cellIs" dxfId="120" priority="4" operator="between">
      <formula>0.01</formula>
      <formula>0.99</formula>
    </cfRule>
    <cfRule type="cellIs" dxfId="119" priority="5" operator="equal">
      <formula>1</formula>
    </cfRule>
    <cfRule type="cellIs" dxfId="118" priority="6" operator="equal">
      <formula>0</formula>
    </cfRule>
  </conditionalFormatting>
  <dataValidations count="6">
    <dataValidation type="list" allowBlank="1" showInputMessage="1" showErrorMessage="1" sqref="WVO983052 SY8:SY16 ACU8:ACU16 AMQ8:AMQ16 AWM8:AWM16 BGI8:BGI16 BQE8:BQE16 CAA8:CAA16 CJW8:CJW16 CTS8:CTS16 DDO8:DDO16 DNK8:DNK16 DXG8:DXG16 EHC8:EHC16 EQY8:EQY16 FAU8:FAU16 FKQ8:FKQ16 FUM8:FUM16 GEI8:GEI16 GOE8:GOE16 GYA8:GYA16 HHW8:HHW16 HRS8:HRS16 IBO8:IBO16 ILK8:ILK16 IVG8:IVG16 JFC8:JFC16 JOY8:JOY16 JYU8:JYU16 KIQ8:KIQ16 KSM8:KSM16 LCI8:LCI16 LME8:LME16 LWA8:LWA16 MFW8:MFW16 MPS8:MPS16 MZO8:MZO16 NJK8:NJK16 NTG8:NTG16 ODC8:ODC16 OMY8:OMY16 OWU8:OWU16 PGQ8:PGQ16 PQM8:PQM16 QAI8:QAI16 QKE8:QKE16 QUA8:QUA16 RDW8:RDW16 RNS8:RNS16 RXO8:RXO16 SHK8:SHK16 SRG8:SRG16 TBC8:TBC16 TKY8:TKY16 TUU8:TUU16 UEQ8:UEQ16 UOM8:UOM16 UYI8:UYI16 VIE8:VIE16 VSA8:VSA16 WBW8:WBW16 WLS8:WLS16 WVO8:WVO16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JC8:JC16 G8 G14">
      <formula1>$AK$30:$AK$42</formula1>
    </dataValidation>
    <dataValidation type="list" allowBlank="1" showInputMessage="1" showErrorMessage="1" sqref="WVQ983052 TA8:TA16 ACW8:ACW16 AMS8:AMS16 AWO8:AWO16 BGK8:BGK16 BQG8:BQG16 CAC8:CAC16 CJY8:CJY16 CTU8:CTU16 DDQ8:DDQ16 DNM8:DNM16 DXI8:DXI16 EHE8:EHE16 ERA8:ERA16 FAW8:FAW16 FKS8:FKS16 FUO8:FUO16 GEK8:GEK16 GOG8:GOG16 GYC8:GYC16 HHY8:HHY16 HRU8:HRU16 IBQ8:IBQ16 ILM8:ILM16 IVI8:IVI16 JFE8:JFE16 JPA8:JPA16 JYW8:JYW16 KIS8:KIS16 KSO8:KSO16 LCK8:LCK16 LMG8:LMG16 LWC8:LWC16 MFY8:MFY16 MPU8:MPU16 MZQ8:MZQ16 NJM8:NJM16 NTI8:NTI16 ODE8:ODE16 ONA8:ONA16 OWW8:OWW16 PGS8:PGS16 PQO8:PQO16 QAK8:QAK16 QKG8:QKG16 QUC8:QUC16 RDY8:RDY16 RNU8:RNU16 RXQ8:RXQ16 SHM8:SHM16 SRI8:SRI16 TBE8:TBE16 TLA8:TLA16 TUW8:TUW16 UES8:UES16 UOO8:UOO16 UYK8:UYK16 VIG8:VIG16 VSC8:VSC16 WBY8:WBY16 WLU8:WLU16 WVQ8:WVQ16 I65548 JE65548 TA65548 ACW65548 AMS65548 AWO65548 BGK65548 BQG65548 CAC65548 CJY65548 CTU65548 DDQ65548 DNM65548 DXI65548 EHE65548 ERA65548 FAW65548 FKS65548 FUO65548 GEK65548 GOG65548 GYC65548 HHY65548 HRU65548 IBQ65548 ILM65548 IVI65548 JFE65548 JPA65548 JYW65548 KIS65548 KSO65548 LCK65548 LMG65548 LWC65548 MFY65548 MPU65548 MZQ65548 NJM65548 NTI65548 ODE65548 ONA65548 OWW65548 PGS65548 PQO65548 QAK65548 QKG65548 QUC65548 RDY65548 RNU65548 RXQ65548 SHM65548 SRI65548 TBE65548 TLA65548 TUW65548 UES65548 UOO65548 UYK65548 VIG65548 VSC65548 WBY65548 WLU65548 WVQ65548 I131084 JE131084 TA131084 ACW131084 AMS131084 AWO131084 BGK131084 BQG131084 CAC131084 CJY131084 CTU131084 DDQ131084 DNM131084 DXI131084 EHE131084 ERA131084 FAW131084 FKS131084 FUO131084 GEK131084 GOG131084 GYC131084 HHY131084 HRU131084 IBQ131084 ILM131084 IVI131084 JFE131084 JPA131084 JYW131084 KIS131084 KSO131084 LCK131084 LMG131084 LWC131084 MFY131084 MPU131084 MZQ131084 NJM131084 NTI131084 ODE131084 ONA131084 OWW131084 PGS131084 PQO131084 QAK131084 QKG131084 QUC131084 RDY131084 RNU131084 RXQ131084 SHM131084 SRI131084 TBE131084 TLA131084 TUW131084 UES131084 UOO131084 UYK131084 VIG131084 VSC131084 WBY131084 WLU131084 WVQ131084 I196620 JE196620 TA196620 ACW196620 AMS196620 AWO196620 BGK196620 BQG196620 CAC196620 CJY196620 CTU196620 DDQ196620 DNM196620 DXI196620 EHE196620 ERA196620 FAW196620 FKS196620 FUO196620 GEK196620 GOG196620 GYC196620 HHY196620 HRU196620 IBQ196620 ILM196620 IVI196620 JFE196620 JPA196620 JYW196620 KIS196620 KSO196620 LCK196620 LMG196620 LWC196620 MFY196620 MPU196620 MZQ196620 NJM196620 NTI196620 ODE196620 ONA196620 OWW196620 PGS196620 PQO196620 QAK196620 QKG196620 QUC196620 RDY196620 RNU196620 RXQ196620 SHM196620 SRI196620 TBE196620 TLA196620 TUW196620 UES196620 UOO196620 UYK196620 VIG196620 VSC196620 WBY196620 WLU196620 WVQ196620 I262156 JE262156 TA262156 ACW262156 AMS262156 AWO262156 BGK262156 BQG262156 CAC262156 CJY262156 CTU262156 DDQ262156 DNM262156 DXI262156 EHE262156 ERA262156 FAW262156 FKS262156 FUO262156 GEK262156 GOG262156 GYC262156 HHY262156 HRU262156 IBQ262156 ILM262156 IVI262156 JFE262156 JPA262156 JYW262156 KIS262156 KSO262156 LCK262156 LMG262156 LWC262156 MFY262156 MPU262156 MZQ262156 NJM262156 NTI262156 ODE262156 ONA262156 OWW262156 PGS262156 PQO262156 QAK262156 QKG262156 QUC262156 RDY262156 RNU262156 RXQ262156 SHM262156 SRI262156 TBE262156 TLA262156 TUW262156 UES262156 UOO262156 UYK262156 VIG262156 VSC262156 WBY262156 WLU262156 WVQ262156 I327692 JE327692 TA327692 ACW327692 AMS327692 AWO327692 BGK327692 BQG327692 CAC327692 CJY327692 CTU327692 DDQ327692 DNM327692 DXI327692 EHE327692 ERA327692 FAW327692 FKS327692 FUO327692 GEK327692 GOG327692 GYC327692 HHY327692 HRU327692 IBQ327692 ILM327692 IVI327692 JFE327692 JPA327692 JYW327692 KIS327692 KSO327692 LCK327692 LMG327692 LWC327692 MFY327692 MPU327692 MZQ327692 NJM327692 NTI327692 ODE327692 ONA327692 OWW327692 PGS327692 PQO327692 QAK327692 QKG327692 QUC327692 RDY327692 RNU327692 RXQ327692 SHM327692 SRI327692 TBE327692 TLA327692 TUW327692 UES327692 UOO327692 UYK327692 VIG327692 VSC327692 WBY327692 WLU327692 WVQ327692 I393228 JE393228 TA393228 ACW393228 AMS393228 AWO393228 BGK393228 BQG393228 CAC393228 CJY393228 CTU393228 DDQ393228 DNM393228 DXI393228 EHE393228 ERA393228 FAW393228 FKS393228 FUO393228 GEK393228 GOG393228 GYC393228 HHY393228 HRU393228 IBQ393228 ILM393228 IVI393228 JFE393228 JPA393228 JYW393228 KIS393228 KSO393228 LCK393228 LMG393228 LWC393228 MFY393228 MPU393228 MZQ393228 NJM393228 NTI393228 ODE393228 ONA393228 OWW393228 PGS393228 PQO393228 QAK393228 QKG393228 QUC393228 RDY393228 RNU393228 RXQ393228 SHM393228 SRI393228 TBE393228 TLA393228 TUW393228 UES393228 UOO393228 UYK393228 VIG393228 VSC393228 WBY393228 WLU393228 WVQ393228 I458764 JE458764 TA458764 ACW458764 AMS458764 AWO458764 BGK458764 BQG458764 CAC458764 CJY458764 CTU458764 DDQ458764 DNM458764 DXI458764 EHE458764 ERA458764 FAW458764 FKS458764 FUO458764 GEK458764 GOG458764 GYC458764 HHY458764 HRU458764 IBQ458764 ILM458764 IVI458764 JFE458764 JPA458764 JYW458764 KIS458764 KSO458764 LCK458764 LMG458764 LWC458764 MFY458764 MPU458764 MZQ458764 NJM458764 NTI458764 ODE458764 ONA458764 OWW458764 PGS458764 PQO458764 QAK458764 QKG458764 QUC458764 RDY458764 RNU458764 RXQ458764 SHM458764 SRI458764 TBE458764 TLA458764 TUW458764 UES458764 UOO458764 UYK458764 VIG458764 VSC458764 WBY458764 WLU458764 WVQ458764 I524300 JE524300 TA524300 ACW524300 AMS524300 AWO524300 BGK524300 BQG524300 CAC524300 CJY524300 CTU524300 DDQ524300 DNM524300 DXI524300 EHE524300 ERA524300 FAW524300 FKS524300 FUO524300 GEK524300 GOG524300 GYC524300 HHY524300 HRU524300 IBQ524300 ILM524300 IVI524300 JFE524300 JPA524300 JYW524300 KIS524300 KSO524300 LCK524300 LMG524300 LWC524300 MFY524300 MPU524300 MZQ524300 NJM524300 NTI524300 ODE524300 ONA524300 OWW524300 PGS524300 PQO524300 QAK524300 QKG524300 QUC524300 RDY524300 RNU524300 RXQ524300 SHM524300 SRI524300 TBE524300 TLA524300 TUW524300 UES524300 UOO524300 UYK524300 VIG524300 VSC524300 WBY524300 WLU524300 WVQ524300 I589836 JE589836 TA589836 ACW589836 AMS589836 AWO589836 BGK589836 BQG589836 CAC589836 CJY589836 CTU589836 DDQ589836 DNM589836 DXI589836 EHE589836 ERA589836 FAW589836 FKS589836 FUO589836 GEK589836 GOG589836 GYC589836 HHY589836 HRU589836 IBQ589836 ILM589836 IVI589836 JFE589836 JPA589836 JYW589836 KIS589836 KSO589836 LCK589836 LMG589836 LWC589836 MFY589836 MPU589836 MZQ589836 NJM589836 NTI589836 ODE589836 ONA589836 OWW589836 PGS589836 PQO589836 QAK589836 QKG589836 QUC589836 RDY589836 RNU589836 RXQ589836 SHM589836 SRI589836 TBE589836 TLA589836 TUW589836 UES589836 UOO589836 UYK589836 VIG589836 VSC589836 WBY589836 WLU589836 WVQ589836 I655372 JE655372 TA655372 ACW655372 AMS655372 AWO655372 BGK655372 BQG655372 CAC655372 CJY655372 CTU655372 DDQ655372 DNM655372 DXI655372 EHE655372 ERA655372 FAW655372 FKS655372 FUO655372 GEK655372 GOG655372 GYC655372 HHY655372 HRU655372 IBQ655372 ILM655372 IVI655372 JFE655372 JPA655372 JYW655372 KIS655372 KSO655372 LCK655372 LMG655372 LWC655372 MFY655372 MPU655372 MZQ655372 NJM655372 NTI655372 ODE655372 ONA655372 OWW655372 PGS655372 PQO655372 QAK655372 QKG655372 QUC655372 RDY655372 RNU655372 RXQ655372 SHM655372 SRI655372 TBE655372 TLA655372 TUW655372 UES655372 UOO655372 UYK655372 VIG655372 VSC655372 WBY655372 WLU655372 WVQ655372 I720908 JE720908 TA720908 ACW720908 AMS720908 AWO720908 BGK720908 BQG720908 CAC720908 CJY720908 CTU720908 DDQ720908 DNM720908 DXI720908 EHE720908 ERA720908 FAW720908 FKS720908 FUO720908 GEK720908 GOG720908 GYC720908 HHY720908 HRU720908 IBQ720908 ILM720908 IVI720908 JFE720908 JPA720908 JYW720908 KIS720908 KSO720908 LCK720908 LMG720908 LWC720908 MFY720908 MPU720908 MZQ720908 NJM720908 NTI720908 ODE720908 ONA720908 OWW720908 PGS720908 PQO720908 QAK720908 QKG720908 QUC720908 RDY720908 RNU720908 RXQ720908 SHM720908 SRI720908 TBE720908 TLA720908 TUW720908 UES720908 UOO720908 UYK720908 VIG720908 VSC720908 WBY720908 WLU720908 WVQ720908 I786444 JE786444 TA786444 ACW786444 AMS786444 AWO786444 BGK786444 BQG786444 CAC786444 CJY786444 CTU786444 DDQ786444 DNM786444 DXI786444 EHE786444 ERA786444 FAW786444 FKS786444 FUO786444 GEK786444 GOG786444 GYC786444 HHY786444 HRU786444 IBQ786444 ILM786444 IVI786444 JFE786444 JPA786444 JYW786444 KIS786444 KSO786444 LCK786444 LMG786444 LWC786444 MFY786444 MPU786444 MZQ786444 NJM786444 NTI786444 ODE786444 ONA786444 OWW786444 PGS786444 PQO786444 QAK786444 QKG786444 QUC786444 RDY786444 RNU786444 RXQ786444 SHM786444 SRI786444 TBE786444 TLA786444 TUW786444 UES786444 UOO786444 UYK786444 VIG786444 VSC786444 WBY786444 WLU786444 WVQ786444 I851980 JE851980 TA851980 ACW851980 AMS851980 AWO851980 BGK851980 BQG851980 CAC851980 CJY851980 CTU851980 DDQ851980 DNM851980 DXI851980 EHE851980 ERA851980 FAW851980 FKS851980 FUO851980 GEK851980 GOG851980 GYC851980 HHY851980 HRU851980 IBQ851980 ILM851980 IVI851980 JFE851980 JPA851980 JYW851980 KIS851980 KSO851980 LCK851980 LMG851980 LWC851980 MFY851980 MPU851980 MZQ851980 NJM851980 NTI851980 ODE851980 ONA851980 OWW851980 PGS851980 PQO851980 QAK851980 QKG851980 QUC851980 RDY851980 RNU851980 RXQ851980 SHM851980 SRI851980 TBE851980 TLA851980 TUW851980 UES851980 UOO851980 UYK851980 VIG851980 VSC851980 WBY851980 WLU851980 WVQ851980 I917516 JE917516 TA917516 ACW917516 AMS917516 AWO917516 BGK917516 BQG917516 CAC917516 CJY917516 CTU917516 DDQ917516 DNM917516 DXI917516 EHE917516 ERA917516 FAW917516 FKS917516 FUO917516 GEK917516 GOG917516 GYC917516 HHY917516 HRU917516 IBQ917516 ILM917516 IVI917516 JFE917516 JPA917516 JYW917516 KIS917516 KSO917516 LCK917516 LMG917516 LWC917516 MFY917516 MPU917516 MZQ917516 NJM917516 NTI917516 ODE917516 ONA917516 OWW917516 PGS917516 PQO917516 QAK917516 QKG917516 QUC917516 RDY917516 RNU917516 RXQ917516 SHM917516 SRI917516 TBE917516 TLA917516 TUW917516 UES917516 UOO917516 UYK917516 VIG917516 VSC917516 WBY917516 WLU917516 WVQ917516 I983052 JE983052 TA983052 ACW983052 AMS983052 AWO983052 BGK983052 BQG983052 CAC983052 CJY983052 CTU983052 DDQ983052 DNM983052 DXI983052 EHE983052 ERA983052 FAW983052 FKS983052 FUO983052 GEK983052 GOG983052 GYC983052 HHY983052 HRU983052 IBQ983052 ILM983052 IVI983052 JFE983052 JPA983052 JYW983052 KIS983052 KSO983052 LCK983052 LMG983052 LWC983052 MFY983052 MPU983052 MZQ983052 NJM983052 NTI983052 ODE983052 ONA983052 OWW983052 PGS983052 PQO983052 QAK983052 QKG983052 QUC983052 RDY983052 RNU983052 RXQ983052 SHM983052 SRI983052 TBE983052 TLA983052 TUW983052 UES983052 UOO983052 UYK983052 VIG983052 VSC983052 WBY983052 WLU983052 JE8:JE16 I8 I14">
      <formula1>$X$26:$X$27</formula1>
    </dataValidation>
    <dataValidation type="list" allowBlank="1" showInputMessage="1" showErrorMessage="1" sqref="AF8:AF16 KB8:KB16 TX8:TX16 ADT8:ADT16 ANP8:ANP16 AXL8:AXL16 BHH8:BHH16 BRD8:BRD16 CAZ8:CAZ16 CKV8:CKV16 CUR8:CUR16 DEN8:DEN16 DOJ8:DOJ16 DYF8:DYF16 EIB8:EIB16 ERX8:ERX16 FBT8:FBT16 FLP8:FLP16 FVL8:FVL16 GFH8:GFH16 GPD8:GPD16 GYZ8:GYZ16 HIV8:HIV16 HSR8:HSR16 ICN8:ICN16 IMJ8:IMJ16 IWF8:IWF16 JGB8:JGB16 JPX8:JPX16 JZT8:JZT16 KJP8:KJP16 KTL8:KTL16 LDH8:LDH16 LND8:LND16 LWZ8:LWZ16 MGV8:MGV16 MQR8:MQR16 NAN8:NAN16 NKJ8:NKJ16 NUF8:NUF16 OEB8:OEB16 ONX8:ONX16 OXT8:OXT16 PHP8:PHP16 PRL8:PRL16 QBH8:QBH16 QLD8:QLD16 QUZ8:QUZ16 REV8:REV16 ROR8:ROR16 RYN8:RYN16 SIJ8:SIJ16 SSF8:SSF16 TCB8:TCB16 TLX8:TLX16 TVT8:TVT16 UFP8:UFP16 UPL8:UPL16 UZH8:UZH16 VJD8:VJD16 VSZ8:VSZ16 WCV8:WCV16 WMR8:WMR16 WWN8:WWN16 AF65548:AF65552 KB65548:KB65552 TX65548:TX65552 ADT65548:ADT65552 ANP65548:ANP65552 AXL65548:AXL65552 BHH65548:BHH65552 BRD65548:BRD65552 CAZ65548:CAZ65552 CKV65548:CKV65552 CUR65548:CUR65552 DEN65548:DEN65552 DOJ65548:DOJ65552 DYF65548:DYF65552 EIB65548:EIB65552 ERX65548:ERX65552 FBT65548:FBT65552 FLP65548:FLP65552 FVL65548:FVL65552 GFH65548:GFH65552 GPD65548:GPD65552 GYZ65548:GYZ65552 HIV65548:HIV65552 HSR65548:HSR65552 ICN65548:ICN65552 IMJ65548:IMJ65552 IWF65548:IWF65552 JGB65548:JGB65552 JPX65548:JPX65552 JZT65548:JZT65552 KJP65548:KJP65552 KTL65548:KTL65552 LDH65548:LDH65552 LND65548:LND65552 LWZ65548:LWZ65552 MGV65548:MGV65552 MQR65548:MQR65552 NAN65548:NAN65552 NKJ65548:NKJ65552 NUF65548:NUF65552 OEB65548:OEB65552 ONX65548:ONX65552 OXT65548:OXT65552 PHP65548:PHP65552 PRL65548:PRL65552 QBH65548:QBH65552 QLD65548:QLD65552 QUZ65548:QUZ65552 REV65548:REV65552 ROR65548:ROR65552 RYN65548:RYN65552 SIJ65548:SIJ65552 SSF65548:SSF65552 TCB65548:TCB65552 TLX65548:TLX65552 TVT65548:TVT65552 UFP65548:UFP65552 UPL65548:UPL65552 UZH65548:UZH65552 VJD65548:VJD65552 VSZ65548:VSZ65552 WCV65548:WCV65552 WMR65548:WMR65552 WWN65548:WWN65552 AF131084:AF131088 KB131084:KB131088 TX131084:TX131088 ADT131084:ADT131088 ANP131084:ANP131088 AXL131084:AXL131088 BHH131084:BHH131088 BRD131084:BRD131088 CAZ131084:CAZ131088 CKV131084:CKV131088 CUR131084:CUR131088 DEN131084:DEN131088 DOJ131084:DOJ131088 DYF131084:DYF131088 EIB131084:EIB131088 ERX131084:ERX131088 FBT131084:FBT131088 FLP131084:FLP131088 FVL131084:FVL131088 GFH131084:GFH131088 GPD131084:GPD131088 GYZ131084:GYZ131088 HIV131084:HIV131088 HSR131084:HSR131088 ICN131084:ICN131088 IMJ131084:IMJ131088 IWF131084:IWF131088 JGB131084:JGB131088 JPX131084:JPX131088 JZT131084:JZT131088 KJP131084:KJP131088 KTL131084:KTL131088 LDH131084:LDH131088 LND131084:LND131088 LWZ131084:LWZ131088 MGV131084:MGV131088 MQR131084:MQR131088 NAN131084:NAN131088 NKJ131084:NKJ131088 NUF131084:NUF131088 OEB131084:OEB131088 ONX131084:ONX131088 OXT131084:OXT131088 PHP131084:PHP131088 PRL131084:PRL131088 QBH131084:QBH131088 QLD131084:QLD131088 QUZ131084:QUZ131088 REV131084:REV131088 ROR131084:ROR131088 RYN131084:RYN131088 SIJ131084:SIJ131088 SSF131084:SSF131088 TCB131084:TCB131088 TLX131084:TLX131088 TVT131084:TVT131088 UFP131084:UFP131088 UPL131084:UPL131088 UZH131084:UZH131088 VJD131084:VJD131088 VSZ131084:VSZ131088 WCV131084:WCV131088 WMR131084:WMR131088 WWN131084:WWN131088 AF196620:AF196624 KB196620:KB196624 TX196620:TX196624 ADT196620:ADT196624 ANP196620:ANP196624 AXL196620:AXL196624 BHH196620:BHH196624 BRD196620:BRD196624 CAZ196620:CAZ196624 CKV196620:CKV196624 CUR196620:CUR196624 DEN196620:DEN196624 DOJ196620:DOJ196624 DYF196620:DYF196624 EIB196620:EIB196624 ERX196620:ERX196624 FBT196620:FBT196624 FLP196620:FLP196624 FVL196620:FVL196624 GFH196620:GFH196624 GPD196620:GPD196624 GYZ196620:GYZ196624 HIV196620:HIV196624 HSR196620:HSR196624 ICN196620:ICN196624 IMJ196620:IMJ196624 IWF196620:IWF196624 JGB196620:JGB196624 JPX196620:JPX196624 JZT196620:JZT196624 KJP196620:KJP196624 KTL196620:KTL196624 LDH196620:LDH196624 LND196620:LND196624 LWZ196620:LWZ196624 MGV196620:MGV196624 MQR196620:MQR196624 NAN196620:NAN196624 NKJ196620:NKJ196624 NUF196620:NUF196624 OEB196620:OEB196624 ONX196620:ONX196624 OXT196620:OXT196624 PHP196620:PHP196624 PRL196620:PRL196624 QBH196620:QBH196624 QLD196620:QLD196624 QUZ196620:QUZ196624 REV196620:REV196624 ROR196620:ROR196624 RYN196620:RYN196624 SIJ196620:SIJ196624 SSF196620:SSF196624 TCB196620:TCB196624 TLX196620:TLX196624 TVT196620:TVT196624 UFP196620:UFP196624 UPL196620:UPL196624 UZH196620:UZH196624 VJD196620:VJD196624 VSZ196620:VSZ196624 WCV196620:WCV196624 WMR196620:WMR196624 WWN196620:WWN196624 AF262156:AF262160 KB262156:KB262160 TX262156:TX262160 ADT262156:ADT262160 ANP262156:ANP262160 AXL262156:AXL262160 BHH262156:BHH262160 BRD262156:BRD262160 CAZ262156:CAZ262160 CKV262156:CKV262160 CUR262156:CUR262160 DEN262156:DEN262160 DOJ262156:DOJ262160 DYF262156:DYF262160 EIB262156:EIB262160 ERX262156:ERX262160 FBT262156:FBT262160 FLP262156:FLP262160 FVL262156:FVL262160 GFH262156:GFH262160 GPD262156:GPD262160 GYZ262156:GYZ262160 HIV262156:HIV262160 HSR262156:HSR262160 ICN262156:ICN262160 IMJ262156:IMJ262160 IWF262156:IWF262160 JGB262156:JGB262160 JPX262156:JPX262160 JZT262156:JZT262160 KJP262156:KJP262160 KTL262156:KTL262160 LDH262156:LDH262160 LND262156:LND262160 LWZ262156:LWZ262160 MGV262156:MGV262160 MQR262156:MQR262160 NAN262156:NAN262160 NKJ262156:NKJ262160 NUF262156:NUF262160 OEB262156:OEB262160 ONX262156:ONX262160 OXT262156:OXT262160 PHP262156:PHP262160 PRL262156:PRL262160 QBH262156:QBH262160 QLD262156:QLD262160 QUZ262156:QUZ262160 REV262156:REV262160 ROR262156:ROR262160 RYN262156:RYN262160 SIJ262156:SIJ262160 SSF262156:SSF262160 TCB262156:TCB262160 TLX262156:TLX262160 TVT262156:TVT262160 UFP262156:UFP262160 UPL262156:UPL262160 UZH262156:UZH262160 VJD262156:VJD262160 VSZ262156:VSZ262160 WCV262156:WCV262160 WMR262156:WMR262160 WWN262156:WWN262160 AF327692:AF327696 KB327692:KB327696 TX327692:TX327696 ADT327692:ADT327696 ANP327692:ANP327696 AXL327692:AXL327696 BHH327692:BHH327696 BRD327692:BRD327696 CAZ327692:CAZ327696 CKV327692:CKV327696 CUR327692:CUR327696 DEN327692:DEN327696 DOJ327692:DOJ327696 DYF327692:DYF327696 EIB327692:EIB327696 ERX327692:ERX327696 FBT327692:FBT327696 FLP327692:FLP327696 FVL327692:FVL327696 GFH327692:GFH327696 GPD327692:GPD327696 GYZ327692:GYZ327696 HIV327692:HIV327696 HSR327692:HSR327696 ICN327692:ICN327696 IMJ327692:IMJ327696 IWF327692:IWF327696 JGB327692:JGB327696 JPX327692:JPX327696 JZT327692:JZT327696 KJP327692:KJP327696 KTL327692:KTL327696 LDH327692:LDH327696 LND327692:LND327696 LWZ327692:LWZ327696 MGV327692:MGV327696 MQR327692:MQR327696 NAN327692:NAN327696 NKJ327692:NKJ327696 NUF327692:NUF327696 OEB327692:OEB327696 ONX327692:ONX327696 OXT327692:OXT327696 PHP327692:PHP327696 PRL327692:PRL327696 QBH327692:QBH327696 QLD327692:QLD327696 QUZ327692:QUZ327696 REV327692:REV327696 ROR327692:ROR327696 RYN327692:RYN327696 SIJ327692:SIJ327696 SSF327692:SSF327696 TCB327692:TCB327696 TLX327692:TLX327696 TVT327692:TVT327696 UFP327692:UFP327696 UPL327692:UPL327696 UZH327692:UZH327696 VJD327692:VJD327696 VSZ327692:VSZ327696 WCV327692:WCV327696 WMR327692:WMR327696 WWN327692:WWN327696 AF393228:AF393232 KB393228:KB393232 TX393228:TX393232 ADT393228:ADT393232 ANP393228:ANP393232 AXL393228:AXL393232 BHH393228:BHH393232 BRD393228:BRD393232 CAZ393228:CAZ393232 CKV393228:CKV393232 CUR393228:CUR393232 DEN393228:DEN393232 DOJ393228:DOJ393232 DYF393228:DYF393232 EIB393228:EIB393232 ERX393228:ERX393232 FBT393228:FBT393232 FLP393228:FLP393232 FVL393228:FVL393232 GFH393228:GFH393232 GPD393228:GPD393232 GYZ393228:GYZ393232 HIV393228:HIV393232 HSR393228:HSR393232 ICN393228:ICN393232 IMJ393228:IMJ393232 IWF393228:IWF393232 JGB393228:JGB393232 JPX393228:JPX393232 JZT393228:JZT393232 KJP393228:KJP393232 KTL393228:KTL393232 LDH393228:LDH393232 LND393228:LND393232 LWZ393228:LWZ393232 MGV393228:MGV393232 MQR393228:MQR393232 NAN393228:NAN393232 NKJ393228:NKJ393232 NUF393228:NUF393232 OEB393228:OEB393232 ONX393228:ONX393232 OXT393228:OXT393232 PHP393228:PHP393232 PRL393228:PRL393232 QBH393228:QBH393232 QLD393228:QLD393232 QUZ393228:QUZ393232 REV393228:REV393232 ROR393228:ROR393232 RYN393228:RYN393232 SIJ393228:SIJ393232 SSF393228:SSF393232 TCB393228:TCB393232 TLX393228:TLX393232 TVT393228:TVT393232 UFP393228:UFP393232 UPL393228:UPL393232 UZH393228:UZH393232 VJD393228:VJD393232 VSZ393228:VSZ393232 WCV393228:WCV393232 WMR393228:WMR393232 WWN393228:WWN393232 AF458764:AF458768 KB458764:KB458768 TX458764:TX458768 ADT458764:ADT458768 ANP458764:ANP458768 AXL458764:AXL458768 BHH458764:BHH458768 BRD458764:BRD458768 CAZ458764:CAZ458768 CKV458764:CKV458768 CUR458764:CUR458768 DEN458764:DEN458768 DOJ458764:DOJ458768 DYF458764:DYF458768 EIB458764:EIB458768 ERX458764:ERX458768 FBT458764:FBT458768 FLP458764:FLP458768 FVL458764:FVL458768 GFH458764:GFH458768 GPD458764:GPD458768 GYZ458764:GYZ458768 HIV458764:HIV458768 HSR458764:HSR458768 ICN458764:ICN458768 IMJ458764:IMJ458768 IWF458764:IWF458768 JGB458764:JGB458768 JPX458764:JPX458768 JZT458764:JZT458768 KJP458764:KJP458768 KTL458764:KTL458768 LDH458764:LDH458768 LND458764:LND458768 LWZ458764:LWZ458768 MGV458764:MGV458768 MQR458764:MQR458768 NAN458764:NAN458768 NKJ458764:NKJ458768 NUF458764:NUF458768 OEB458764:OEB458768 ONX458764:ONX458768 OXT458764:OXT458768 PHP458764:PHP458768 PRL458764:PRL458768 QBH458764:QBH458768 QLD458764:QLD458768 QUZ458764:QUZ458768 REV458764:REV458768 ROR458764:ROR458768 RYN458764:RYN458768 SIJ458764:SIJ458768 SSF458764:SSF458768 TCB458764:TCB458768 TLX458764:TLX458768 TVT458764:TVT458768 UFP458764:UFP458768 UPL458764:UPL458768 UZH458764:UZH458768 VJD458764:VJD458768 VSZ458764:VSZ458768 WCV458764:WCV458768 WMR458764:WMR458768 WWN458764:WWN458768 AF524300:AF524304 KB524300:KB524304 TX524300:TX524304 ADT524300:ADT524304 ANP524300:ANP524304 AXL524300:AXL524304 BHH524300:BHH524304 BRD524300:BRD524304 CAZ524300:CAZ524304 CKV524300:CKV524304 CUR524300:CUR524304 DEN524300:DEN524304 DOJ524300:DOJ524304 DYF524300:DYF524304 EIB524300:EIB524304 ERX524300:ERX524304 FBT524300:FBT524304 FLP524300:FLP524304 FVL524300:FVL524304 GFH524300:GFH524304 GPD524300:GPD524304 GYZ524300:GYZ524304 HIV524300:HIV524304 HSR524300:HSR524304 ICN524300:ICN524304 IMJ524300:IMJ524304 IWF524300:IWF524304 JGB524300:JGB524304 JPX524300:JPX524304 JZT524300:JZT524304 KJP524300:KJP524304 KTL524300:KTL524304 LDH524300:LDH524304 LND524300:LND524304 LWZ524300:LWZ524304 MGV524300:MGV524304 MQR524300:MQR524304 NAN524300:NAN524304 NKJ524300:NKJ524304 NUF524300:NUF524304 OEB524300:OEB524304 ONX524300:ONX524304 OXT524300:OXT524304 PHP524300:PHP524304 PRL524300:PRL524304 QBH524300:QBH524304 QLD524300:QLD524304 QUZ524300:QUZ524304 REV524300:REV524304 ROR524300:ROR524304 RYN524300:RYN524304 SIJ524300:SIJ524304 SSF524300:SSF524304 TCB524300:TCB524304 TLX524300:TLX524304 TVT524300:TVT524304 UFP524300:UFP524304 UPL524300:UPL524304 UZH524300:UZH524304 VJD524300:VJD524304 VSZ524300:VSZ524304 WCV524300:WCV524304 WMR524300:WMR524304 WWN524300:WWN524304 AF589836:AF589840 KB589836:KB589840 TX589836:TX589840 ADT589836:ADT589840 ANP589836:ANP589840 AXL589836:AXL589840 BHH589836:BHH589840 BRD589836:BRD589840 CAZ589836:CAZ589840 CKV589836:CKV589840 CUR589836:CUR589840 DEN589836:DEN589840 DOJ589836:DOJ589840 DYF589836:DYF589840 EIB589836:EIB589840 ERX589836:ERX589840 FBT589836:FBT589840 FLP589836:FLP589840 FVL589836:FVL589840 GFH589836:GFH589840 GPD589836:GPD589840 GYZ589836:GYZ589840 HIV589836:HIV589840 HSR589836:HSR589840 ICN589836:ICN589840 IMJ589836:IMJ589840 IWF589836:IWF589840 JGB589836:JGB589840 JPX589836:JPX589840 JZT589836:JZT589840 KJP589836:KJP589840 KTL589836:KTL589840 LDH589836:LDH589840 LND589836:LND589840 LWZ589836:LWZ589840 MGV589836:MGV589840 MQR589836:MQR589840 NAN589836:NAN589840 NKJ589836:NKJ589840 NUF589836:NUF589840 OEB589836:OEB589840 ONX589836:ONX589840 OXT589836:OXT589840 PHP589836:PHP589840 PRL589836:PRL589840 QBH589836:QBH589840 QLD589836:QLD589840 QUZ589836:QUZ589840 REV589836:REV589840 ROR589836:ROR589840 RYN589836:RYN589840 SIJ589836:SIJ589840 SSF589836:SSF589840 TCB589836:TCB589840 TLX589836:TLX589840 TVT589836:TVT589840 UFP589836:UFP589840 UPL589836:UPL589840 UZH589836:UZH589840 VJD589836:VJD589840 VSZ589836:VSZ589840 WCV589836:WCV589840 WMR589836:WMR589840 WWN589836:WWN589840 AF655372:AF655376 KB655372:KB655376 TX655372:TX655376 ADT655372:ADT655376 ANP655372:ANP655376 AXL655372:AXL655376 BHH655372:BHH655376 BRD655372:BRD655376 CAZ655372:CAZ655376 CKV655372:CKV655376 CUR655372:CUR655376 DEN655372:DEN655376 DOJ655372:DOJ655376 DYF655372:DYF655376 EIB655372:EIB655376 ERX655372:ERX655376 FBT655372:FBT655376 FLP655372:FLP655376 FVL655372:FVL655376 GFH655372:GFH655376 GPD655372:GPD655376 GYZ655372:GYZ655376 HIV655372:HIV655376 HSR655372:HSR655376 ICN655372:ICN655376 IMJ655372:IMJ655376 IWF655372:IWF655376 JGB655372:JGB655376 JPX655372:JPX655376 JZT655372:JZT655376 KJP655372:KJP655376 KTL655372:KTL655376 LDH655372:LDH655376 LND655372:LND655376 LWZ655372:LWZ655376 MGV655372:MGV655376 MQR655372:MQR655376 NAN655372:NAN655376 NKJ655372:NKJ655376 NUF655372:NUF655376 OEB655372:OEB655376 ONX655372:ONX655376 OXT655372:OXT655376 PHP655372:PHP655376 PRL655372:PRL655376 QBH655372:QBH655376 QLD655372:QLD655376 QUZ655372:QUZ655376 REV655372:REV655376 ROR655372:ROR655376 RYN655372:RYN655376 SIJ655372:SIJ655376 SSF655372:SSF655376 TCB655372:TCB655376 TLX655372:TLX655376 TVT655372:TVT655376 UFP655372:UFP655376 UPL655372:UPL655376 UZH655372:UZH655376 VJD655372:VJD655376 VSZ655372:VSZ655376 WCV655372:WCV655376 WMR655372:WMR655376 WWN655372:WWN655376 AF720908:AF720912 KB720908:KB720912 TX720908:TX720912 ADT720908:ADT720912 ANP720908:ANP720912 AXL720908:AXL720912 BHH720908:BHH720912 BRD720908:BRD720912 CAZ720908:CAZ720912 CKV720908:CKV720912 CUR720908:CUR720912 DEN720908:DEN720912 DOJ720908:DOJ720912 DYF720908:DYF720912 EIB720908:EIB720912 ERX720908:ERX720912 FBT720908:FBT720912 FLP720908:FLP720912 FVL720908:FVL720912 GFH720908:GFH720912 GPD720908:GPD720912 GYZ720908:GYZ720912 HIV720908:HIV720912 HSR720908:HSR720912 ICN720908:ICN720912 IMJ720908:IMJ720912 IWF720908:IWF720912 JGB720908:JGB720912 JPX720908:JPX720912 JZT720908:JZT720912 KJP720908:KJP720912 KTL720908:KTL720912 LDH720908:LDH720912 LND720908:LND720912 LWZ720908:LWZ720912 MGV720908:MGV720912 MQR720908:MQR720912 NAN720908:NAN720912 NKJ720908:NKJ720912 NUF720908:NUF720912 OEB720908:OEB720912 ONX720908:ONX720912 OXT720908:OXT720912 PHP720908:PHP720912 PRL720908:PRL720912 QBH720908:QBH720912 QLD720908:QLD720912 QUZ720908:QUZ720912 REV720908:REV720912 ROR720908:ROR720912 RYN720908:RYN720912 SIJ720908:SIJ720912 SSF720908:SSF720912 TCB720908:TCB720912 TLX720908:TLX720912 TVT720908:TVT720912 UFP720908:UFP720912 UPL720908:UPL720912 UZH720908:UZH720912 VJD720908:VJD720912 VSZ720908:VSZ720912 WCV720908:WCV720912 WMR720908:WMR720912 WWN720908:WWN720912 AF786444:AF786448 KB786444:KB786448 TX786444:TX786448 ADT786444:ADT786448 ANP786444:ANP786448 AXL786444:AXL786448 BHH786444:BHH786448 BRD786444:BRD786448 CAZ786444:CAZ786448 CKV786444:CKV786448 CUR786444:CUR786448 DEN786444:DEN786448 DOJ786444:DOJ786448 DYF786444:DYF786448 EIB786444:EIB786448 ERX786444:ERX786448 FBT786444:FBT786448 FLP786444:FLP786448 FVL786444:FVL786448 GFH786444:GFH786448 GPD786444:GPD786448 GYZ786444:GYZ786448 HIV786444:HIV786448 HSR786444:HSR786448 ICN786444:ICN786448 IMJ786444:IMJ786448 IWF786444:IWF786448 JGB786444:JGB786448 JPX786444:JPX786448 JZT786444:JZT786448 KJP786444:KJP786448 KTL786444:KTL786448 LDH786444:LDH786448 LND786444:LND786448 LWZ786444:LWZ786448 MGV786444:MGV786448 MQR786444:MQR786448 NAN786444:NAN786448 NKJ786444:NKJ786448 NUF786444:NUF786448 OEB786444:OEB786448 ONX786444:ONX786448 OXT786444:OXT786448 PHP786444:PHP786448 PRL786444:PRL786448 QBH786444:QBH786448 QLD786444:QLD786448 QUZ786444:QUZ786448 REV786444:REV786448 ROR786444:ROR786448 RYN786444:RYN786448 SIJ786444:SIJ786448 SSF786444:SSF786448 TCB786444:TCB786448 TLX786444:TLX786448 TVT786444:TVT786448 UFP786444:UFP786448 UPL786444:UPL786448 UZH786444:UZH786448 VJD786444:VJD786448 VSZ786444:VSZ786448 WCV786444:WCV786448 WMR786444:WMR786448 WWN786444:WWN786448 AF851980:AF851984 KB851980:KB851984 TX851980:TX851984 ADT851980:ADT851984 ANP851980:ANP851984 AXL851980:AXL851984 BHH851980:BHH851984 BRD851980:BRD851984 CAZ851980:CAZ851984 CKV851980:CKV851984 CUR851980:CUR851984 DEN851980:DEN851984 DOJ851980:DOJ851984 DYF851980:DYF851984 EIB851980:EIB851984 ERX851980:ERX851984 FBT851980:FBT851984 FLP851980:FLP851984 FVL851980:FVL851984 GFH851980:GFH851984 GPD851980:GPD851984 GYZ851980:GYZ851984 HIV851980:HIV851984 HSR851980:HSR851984 ICN851980:ICN851984 IMJ851980:IMJ851984 IWF851980:IWF851984 JGB851980:JGB851984 JPX851980:JPX851984 JZT851980:JZT851984 KJP851980:KJP851984 KTL851980:KTL851984 LDH851980:LDH851984 LND851980:LND851984 LWZ851980:LWZ851984 MGV851980:MGV851984 MQR851980:MQR851984 NAN851980:NAN851984 NKJ851980:NKJ851984 NUF851980:NUF851984 OEB851980:OEB851984 ONX851980:ONX851984 OXT851980:OXT851984 PHP851980:PHP851984 PRL851980:PRL851984 QBH851980:QBH851984 QLD851980:QLD851984 QUZ851980:QUZ851984 REV851980:REV851984 ROR851980:ROR851984 RYN851980:RYN851984 SIJ851980:SIJ851984 SSF851980:SSF851984 TCB851980:TCB851984 TLX851980:TLX851984 TVT851980:TVT851984 UFP851980:UFP851984 UPL851980:UPL851984 UZH851980:UZH851984 VJD851980:VJD851984 VSZ851980:VSZ851984 WCV851980:WCV851984 WMR851980:WMR851984 WWN851980:WWN851984 AF917516:AF917520 KB917516:KB917520 TX917516:TX917520 ADT917516:ADT917520 ANP917516:ANP917520 AXL917516:AXL917520 BHH917516:BHH917520 BRD917516:BRD917520 CAZ917516:CAZ917520 CKV917516:CKV917520 CUR917516:CUR917520 DEN917516:DEN917520 DOJ917516:DOJ917520 DYF917516:DYF917520 EIB917516:EIB917520 ERX917516:ERX917520 FBT917516:FBT917520 FLP917516:FLP917520 FVL917516:FVL917520 GFH917516:GFH917520 GPD917516:GPD917520 GYZ917516:GYZ917520 HIV917516:HIV917520 HSR917516:HSR917520 ICN917516:ICN917520 IMJ917516:IMJ917520 IWF917516:IWF917520 JGB917516:JGB917520 JPX917516:JPX917520 JZT917516:JZT917520 KJP917516:KJP917520 KTL917516:KTL917520 LDH917516:LDH917520 LND917516:LND917520 LWZ917516:LWZ917520 MGV917516:MGV917520 MQR917516:MQR917520 NAN917516:NAN917520 NKJ917516:NKJ917520 NUF917516:NUF917520 OEB917516:OEB917520 ONX917516:ONX917520 OXT917516:OXT917520 PHP917516:PHP917520 PRL917516:PRL917520 QBH917516:QBH917520 QLD917516:QLD917520 QUZ917516:QUZ917520 REV917516:REV917520 ROR917516:ROR917520 RYN917516:RYN917520 SIJ917516:SIJ917520 SSF917516:SSF917520 TCB917516:TCB917520 TLX917516:TLX917520 TVT917516:TVT917520 UFP917516:UFP917520 UPL917516:UPL917520 UZH917516:UZH917520 VJD917516:VJD917520 VSZ917516:VSZ917520 WCV917516:WCV917520 WMR917516:WMR917520 WWN917516:WWN917520 AF983052:AF983056 KB983052:KB983056 TX983052:TX983056 ADT983052:ADT983056 ANP983052:ANP983056 AXL983052:AXL983056 BHH983052:BHH983056 BRD983052:BRD983056 CAZ983052:CAZ983056 CKV983052:CKV983056 CUR983052:CUR983056 DEN983052:DEN983056 DOJ983052:DOJ983056 DYF983052:DYF983056 EIB983052:EIB983056 ERX983052:ERX983056 FBT983052:FBT983056 FLP983052:FLP983056 FVL983052:FVL983056 GFH983052:GFH983056 GPD983052:GPD983056 GYZ983052:GYZ983056 HIV983052:HIV983056 HSR983052:HSR983056 ICN983052:ICN983056 IMJ983052:IMJ983056 IWF983052:IWF983056 JGB983052:JGB983056 JPX983052:JPX983056 JZT983052:JZT983056 KJP983052:KJP983056 KTL983052:KTL983056 LDH983052:LDH983056 LND983052:LND983056 LWZ983052:LWZ983056 MGV983052:MGV983056 MQR983052:MQR983056 NAN983052:NAN983056 NKJ983052:NKJ983056 NUF983052:NUF983056 OEB983052:OEB983056 ONX983052:ONX983056 OXT983052:OXT983056 PHP983052:PHP983056 PRL983052:PRL983056 QBH983052:QBH983056 QLD983052:QLD983056 QUZ983052:QUZ983056 REV983052:REV983056 ROR983052:ROR983056 RYN983052:RYN983056 SIJ983052:SIJ983056 SSF983052:SSF983056 TCB983052:TCB983056 TLX983052:TLX983056 TVT983052:TVT983056 UFP983052:UFP983056 UPL983052:UPL983056 UZH983052:UZH983056 VJD983052:VJD983056 VSZ983052:VSZ983056 WCV983052:WCV983056 WMR983052:WMR983056 WWN983052:WWN983056">
      <formula1>$AJ$1:$AJ$4</formula1>
    </dataValidation>
    <dataValidation type="list" allowBlank="1" showInputMessage="1" showErrorMessage="1" sqref="AE8:AE16 KA8:KA16 TW8:TW16 ADS8:ADS16 ANO8:ANO16 AXK8:AXK16 BHG8:BHG16 BRC8:BRC16 CAY8:CAY16 CKU8:CKU16 CUQ8:CUQ16 DEM8:DEM16 DOI8:DOI16 DYE8:DYE16 EIA8:EIA16 ERW8:ERW16 FBS8:FBS16 FLO8:FLO16 FVK8:FVK16 GFG8:GFG16 GPC8:GPC16 GYY8:GYY16 HIU8:HIU16 HSQ8:HSQ16 ICM8:ICM16 IMI8:IMI16 IWE8:IWE16 JGA8:JGA16 JPW8:JPW16 JZS8:JZS16 KJO8:KJO16 KTK8:KTK16 LDG8:LDG16 LNC8:LNC16 LWY8:LWY16 MGU8:MGU16 MQQ8:MQQ16 NAM8:NAM16 NKI8:NKI16 NUE8:NUE16 OEA8:OEA16 ONW8:ONW16 OXS8:OXS16 PHO8:PHO16 PRK8:PRK16 QBG8:QBG16 QLC8:QLC16 QUY8:QUY16 REU8:REU16 ROQ8:ROQ16 RYM8:RYM16 SII8:SII16 SSE8:SSE16 TCA8:TCA16 TLW8:TLW16 TVS8:TVS16 UFO8:UFO16 UPK8:UPK16 UZG8:UZG16 VJC8:VJC16 VSY8:VSY16 WCU8:WCU16 WMQ8:WMQ16 WWM8:WWM16 AE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AE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AE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AE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AE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AE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AE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AE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AE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AE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AE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AE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AE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AE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AE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formula1>$B$26:$B$28</formula1>
    </dataValidation>
    <dataValidation type="list" allowBlank="1" showInputMessage="1" showErrorMessage="1" sqref="WVP983052 SZ8:SZ16 ACV8:ACV16 AMR8:AMR16 AWN8:AWN16 BGJ8:BGJ16 BQF8:BQF16 CAB8:CAB16 CJX8:CJX16 CTT8:CTT16 DDP8:DDP16 DNL8:DNL16 DXH8:DXH16 EHD8:EHD16 EQZ8:EQZ16 FAV8:FAV16 FKR8:FKR16 FUN8:FUN16 GEJ8:GEJ16 GOF8:GOF16 GYB8:GYB16 HHX8:HHX16 HRT8:HRT16 IBP8:IBP16 ILL8:ILL16 IVH8:IVH16 JFD8:JFD16 JOZ8:JOZ16 JYV8:JYV16 KIR8:KIR16 KSN8:KSN16 LCJ8:LCJ16 LMF8:LMF16 LWB8:LWB16 MFX8:MFX16 MPT8:MPT16 MZP8:MZP16 NJL8:NJL16 NTH8:NTH16 ODD8:ODD16 OMZ8:OMZ16 OWV8:OWV16 PGR8:PGR16 PQN8:PQN16 QAJ8:QAJ16 QKF8:QKF16 QUB8:QUB16 RDX8:RDX16 RNT8:RNT16 RXP8:RXP16 SHL8:SHL16 SRH8:SRH16 TBD8:TBD16 TKZ8:TKZ16 TUV8:TUV16 UER8:UER16 UON8:UON16 UYJ8:UYJ16 VIF8:VIF16 VSB8:VSB16 WBX8:WBX16 WLT8:WLT16 WVP8:WVP16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JD8:JD16 H8 H14">
      <formula1>$H$24:$H$28</formula1>
    </dataValidation>
    <dataValidation type="date" showInputMessage="1" showErrorMessage="1" error="Debe Digitar una Fecha Valida o Verificar la Fecha Inicial" sqref="AD65548:AD65552 JZ65548:JZ65552 TV65548:TV65552 ADR65548:ADR65552 ANN65548:ANN65552 AXJ65548:AXJ65552 BHF65548:BHF65552 BRB65548:BRB65552 CAX65548:CAX65552 CKT65548:CKT65552 CUP65548:CUP65552 DEL65548:DEL65552 DOH65548:DOH65552 DYD65548:DYD65552 EHZ65548:EHZ65552 ERV65548:ERV65552 FBR65548:FBR65552 FLN65548:FLN65552 FVJ65548:FVJ65552 GFF65548:GFF65552 GPB65548:GPB65552 GYX65548:GYX65552 HIT65548:HIT65552 HSP65548:HSP65552 ICL65548:ICL65552 IMH65548:IMH65552 IWD65548:IWD65552 JFZ65548:JFZ65552 JPV65548:JPV65552 JZR65548:JZR65552 KJN65548:KJN65552 KTJ65548:KTJ65552 LDF65548:LDF65552 LNB65548:LNB65552 LWX65548:LWX65552 MGT65548:MGT65552 MQP65548:MQP65552 NAL65548:NAL65552 NKH65548:NKH65552 NUD65548:NUD65552 ODZ65548:ODZ65552 ONV65548:ONV65552 OXR65548:OXR65552 PHN65548:PHN65552 PRJ65548:PRJ65552 QBF65548:QBF65552 QLB65548:QLB65552 QUX65548:QUX65552 RET65548:RET65552 ROP65548:ROP65552 RYL65548:RYL65552 SIH65548:SIH65552 SSD65548:SSD65552 TBZ65548:TBZ65552 TLV65548:TLV65552 TVR65548:TVR65552 UFN65548:UFN65552 UPJ65548:UPJ65552 UZF65548:UZF65552 VJB65548:VJB65552 VSX65548:VSX65552 WCT65548:WCT65552 WMP65548:WMP65552 WWL65548:WWL65552 AD131084:AD131088 JZ131084:JZ131088 TV131084:TV131088 ADR131084:ADR131088 ANN131084:ANN131088 AXJ131084:AXJ131088 BHF131084:BHF131088 BRB131084:BRB131088 CAX131084:CAX131088 CKT131084:CKT131088 CUP131084:CUP131088 DEL131084:DEL131088 DOH131084:DOH131088 DYD131084:DYD131088 EHZ131084:EHZ131088 ERV131084:ERV131088 FBR131084:FBR131088 FLN131084:FLN131088 FVJ131084:FVJ131088 GFF131084:GFF131088 GPB131084:GPB131088 GYX131084:GYX131088 HIT131084:HIT131088 HSP131084:HSP131088 ICL131084:ICL131088 IMH131084:IMH131088 IWD131084:IWD131088 JFZ131084:JFZ131088 JPV131084:JPV131088 JZR131084:JZR131088 KJN131084:KJN131088 KTJ131084:KTJ131088 LDF131084:LDF131088 LNB131084:LNB131088 LWX131084:LWX131088 MGT131084:MGT131088 MQP131084:MQP131088 NAL131084:NAL131088 NKH131084:NKH131088 NUD131084:NUD131088 ODZ131084:ODZ131088 ONV131084:ONV131088 OXR131084:OXR131088 PHN131084:PHN131088 PRJ131084:PRJ131088 QBF131084:QBF131088 QLB131084:QLB131088 QUX131084:QUX131088 RET131084:RET131088 ROP131084:ROP131088 RYL131084:RYL131088 SIH131084:SIH131088 SSD131084:SSD131088 TBZ131084:TBZ131088 TLV131084:TLV131088 TVR131084:TVR131088 UFN131084:UFN131088 UPJ131084:UPJ131088 UZF131084:UZF131088 VJB131084:VJB131088 VSX131084:VSX131088 WCT131084:WCT131088 WMP131084:WMP131088 WWL131084:WWL131088 AD196620:AD196624 JZ196620:JZ196624 TV196620:TV196624 ADR196620:ADR196624 ANN196620:ANN196624 AXJ196620:AXJ196624 BHF196620:BHF196624 BRB196620:BRB196624 CAX196620:CAX196624 CKT196620:CKT196624 CUP196620:CUP196624 DEL196620:DEL196624 DOH196620:DOH196624 DYD196620:DYD196624 EHZ196620:EHZ196624 ERV196620:ERV196624 FBR196620:FBR196624 FLN196620:FLN196624 FVJ196620:FVJ196624 GFF196620:GFF196624 GPB196620:GPB196624 GYX196620:GYX196624 HIT196620:HIT196624 HSP196620:HSP196624 ICL196620:ICL196624 IMH196620:IMH196624 IWD196620:IWD196624 JFZ196620:JFZ196624 JPV196620:JPV196624 JZR196620:JZR196624 KJN196620:KJN196624 KTJ196620:KTJ196624 LDF196620:LDF196624 LNB196620:LNB196624 LWX196620:LWX196624 MGT196620:MGT196624 MQP196620:MQP196624 NAL196620:NAL196624 NKH196620:NKH196624 NUD196620:NUD196624 ODZ196620:ODZ196624 ONV196620:ONV196624 OXR196620:OXR196624 PHN196620:PHN196624 PRJ196620:PRJ196624 QBF196620:QBF196624 QLB196620:QLB196624 QUX196620:QUX196624 RET196620:RET196624 ROP196620:ROP196624 RYL196620:RYL196624 SIH196620:SIH196624 SSD196620:SSD196624 TBZ196620:TBZ196624 TLV196620:TLV196624 TVR196620:TVR196624 UFN196620:UFN196624 UPJ196620:UPJ196624 UZF196620:UZF196624 VJB196620:VJB196624 VSX196620:VSX196624 WCT196620:WCT196624 WMP196620:WMP196624 WWL196620:WWL196624 AD262156:AD262160 JZ262156:JZ262160 TV262156:TV262160 ADR262156:ADR262160 ANN262156:ANN262160 AXJ262156:AXJ262160 BHF262156:BHF262160 BRB262156:BRB262160 CAX262156:CAX262160 CKT262156:CKT262160 CUP262156:CUP262160 DEL262156:DEL262160 DOH262156:DOH262160 DYD262156:DYD262160 EHZ262156:EHZ262160 ERV262156:ERV262160 FBR262156:FBR262160 FLN262156:FLN262160 FVJ262156:FVJ262160 GFF262156:GFF262160 GPB262156:GPB262160 GYX262156:GYX262160 HIT262156:HIT262160 HSP262156:HSP262160 ICL262156:ICL262160 IMH262156:IMH262160 IWD262156:IWD262160 JFZ262156:JFZ262160 JPV262156:JPV262160 JZR262156:JZR262160 KJN262156:KJN262160 KTJ262156:KTJ262160 LDF262156:LDF262160 LNB262156:LNB262160 LWX262156:LWX262160 MGT262156:MGT262160 MQP262156:MQP262160 NAL262156:NAL262160 NKH262156:NKH262160 NUD262156:NUD262160 ODZ262156:ODZ262160 ONV262156:ONV262160 OXR262156:OXR262160 PHN262156:PHN262160 PRJ262156:PRJ262160 QBF262156:QBF262160 QLB262156:QLB262160 QUX262156:QUX262160 RET262156:RET262160 ROP262156:ROP262160 RYL262156:RYL262160 SIH262156:SIH262160 SSD262156:SSD262160 TBZ262156:TBZ262160 TLV262156:TLV262160 TVR262156:TVR262160 UFN262156:UFN262160 UPJ262156:UPJ262160 UZF262156:UZF262160 VJB262156:VJB262160 VSX262156:VSX262160 WCT262156:WCT262160 WMP262156:WMP262160 WWL262156:WWL262160 AD327692:AD327696 JZ327692:JZ327696 TV327692:TV327696 ADR327692:ADR327696 ANN327692:ANN327696 AXJ327692:AXJ327696 BHF327692:BHF327696 BRB327692:BRB327696 CAX327692:CAX327696 CKT327692:CKT327696 CUP327692:CUP327696 DEL327692:DEL327696 DOH327692:DOH327696 DYD327692:DYD327696 EHZ327692:EHZ327696 ERV327692:ERV327696 FBR327692:FBR327696 FLN327692:FLN327696 FVJ327692:FVJ327696 GFF327692:GFF327696 GPB327692:GPB327696 GYX327692:GYX327696 HIT327692:HIT327696 HSP327692:HSP327696 ICL327692:ICL327696 IMH327692:IMH327696 IWD327692:IWD327696 JFZ327692:JFZ327696 JPV327692:JPV327696 JZR327692:JZR327696 KJN327692:KJN327696 KTJ327692:KTJ327696 LDF327692:LDF327696 LNB327692:LNB327696 LWX327692:LWX327696 MGT327692:MGT327696 MQP327692:MQP327696 NAL327692:NAL327696 NKH327692:NKH327696 NUD327692:NUD327696 ODZ327692:ODZ327696 ONV327692:ONV327696 OXR327692:OXR327696 PHN327692:PHN327696 PRJ327692:PRJ327696 QBF327692:QBF327696 QLB327692:QLB327696 QUX327692:QUX327696 RET327692:RET327696 ROP327692:ROP327696 RYL327692:RYL327696 SIH327692:SIH327696 SSD327692:SSD327696 TBZ327692:TBZ327696 TLV327692:TLV327696 TVR327692:TVR327696 UFN327692:UFN327696 UPJ327692:UPJ327696 UZF327692:UZF327696 VJB327692:VJB327696 VSX327692:VSX327696 WCT327692:WCT327696 WMP327692:WMP327696 WWL327692:WWL327696 AD393228:AD393232 JZ393228:JZ393232 TV393228:TV393232 ADR393228:ADR393232 ANN393228:ANN393232 AXJ393228:AXJ393232 BHF393228:BHF393232 BRB393228:BRB393232 CAX393228:CAX393232 CKT393228:CKT393232 CUP393228:CUP393232 DEL393228:DEL393232 DOH393228:DOH393232 DYD393228:DYD393232 EHZ393228:EHZ393232 ERV393228:ERV393232 FBR393228:FBR393232 FLN393228:FLN393232 FVJ393228:FVJ393232 GFF393228:GFF393232 GPB393228:GPB393232 GYX393228:GYX393232 HIT393228:HIT393232 HSP393228:HSP393232 ICL393228:ICL393232 IMH393228:IMH393232 IWD393228:IWD393232 JFZ393228:JFZ393232 JPV393228:JPV393232 JZR393228:JZR393232 KJN393228:KJN393232 KTJ393228:KTJ393232 LDF393228:LDF393232 LNB393228:LNB393232 LWX393228:LWX393232 MGT393228:MGT393232 MQP393228:MQP393232 NAL393228:NAL393232 NKH393228:NKH393232 NUD393228:NUD393232 ODZ393228:ODZ393232 ONV393228:ONV393232 OXR393228:OXR393232 PHN393228:PHN393232 PRJ393228:PRJ393232 QBF393228:QBF393232 QLB393228:QLB393232 QUX393228:QUX393232 RET393228:RET393232 ROP393228:ROP393232 RYL393228:RYL393232 SIH393228:SIH393232 SSD393228:SSD393232 TBZ393228:TBZ393232 TLV393228:TLV393232 TVR393228:TVR393232 UFN393228:UFN393232 UPJ393228:UPJ393232 UZF393228:UZF393232 VJB393228:VJB393232 VSX393228:VSX393232 WCT393228:WCT393232 WMP393228:WMP393232 WWL393228:WWL393232 AD458764:AD458768 JZ458764:JZ458768 TV458764:TV458768 ADR458764:ADR458768 ANN458764:ANN458768 AXJ458764:AXJ458768 BHF458764:BHF458768 BRB458764:BRB458768 CAX458764:CAX458768 CKT458764:CKT458768 CUP458764:CUP458768 DEL458764:DEL458768 DOH458764:DOH458768 DYD458764:DYD458768 EHZ458764:EHZ458768 ERV458764:ERV458768 FBR458764:FBR458768 FLN458764:FLN458768 FVJ458764:FVJ458768 GFF458764:GFF458768 GPB458764:GPB458768 GYX458764:GYX458768 HIT458764:HIT458768 HSP458764:HSP458768 ICL458764:ICL458768 IMH458764:IMH458768 IWD458764:IWD458768 JFZ458764:JFZ458768 JPV458764:JPV458768 JZR458764:JZR458768 KJN458764:KJN458768 KTJ458764:KTJ458768 LDF458764:LDF458768 LNB458764:LNB458768 LWX458764:LWX458768 MGT458764:MGT458768 MQP458764:MQP458768 NAL458764:NAL458768 NKH458764:NKH458768 NUD458764:NUD458768 ODZ458764:ODZ458768 ONV458764:ONV458768 OXR458764:OXR458768 PHN458764:PHN458768 PRJ458764:PRJ458768 QBF458764:QBF458768 QLB458764:QLB458768 QUX458764:QUX458768 RET458764:RET458768 ROP458764:ROP458768 RYL458764:RYL458768 SIH458764:SIH458768 SSD458764:SSD458768 TBZ458764:TBZ458768 TLV458764:TLV458768 TVR458764:TVR458768 UFN458764:UFN458768 UPJ458764:UPJ458768 UZF458764:UZF458768 VJB458764:VJB458768 VSX458764:VSX458768 WCT458764:WCT458768 WMP458764:WMP458768 WWL458764:WWL458768 AD524300:AD524304 JZ524300:JZ524304 TV524300:TV524304 ADR524300:ADR524304 ANN524300:ANN524304 AXJ524300:AXJ524304 BHF524300:BHF524304 BRB524300:BRB524304 CAX524300:CAX524304 CKT524300:CKT524304 CUP524300:CUP524304 DEL524300:DEL524304 DOH524300:DOH524304 DYD524300:DYD524304 EHZ524300:EHZ524304 ERV524300:ERV524304 FBR524300:FBR524304 FLN524300:FLN524304 FVJ524300:FVJ524304 GFF524300:GFF524304 GPB524300:GPB524304 GYX524300:GYX524304 HIT524300:HIT524304 HSP524300:HSP524304 ICL524300:ICL524304 IMH524300:IMH524304 IWD524300:IWD524304 JFZ524300:JFZ524304 JPV524300:JPV524304 JZR524300:JZR524304 KJN524300:KJN524304 KTJ524300:KTJ524304 LDF524300:LDF524304 LNB524300:LNB524304 LWX524300:LWX524304 MGT524300:MGT524304 MQP524300:MQP524304 NAL524300:NAL524304 NKH524300:NKH524304 NUD524300:NUD524304 ODZ524300:ODZ524304 ONV524300:ONV524304 OXR524300:OXR524304 PHN524300:PHN524304 PRJ524300:PRJ524304 QBF524300:QBF524304 QLB524300:QLB524304 QUX524300:QUX524304 RET524300:RET524304 ROP524300:ROP524304 RYL524300:RYL524304 SIH524300:SIH524304 SSD524300:SSD524304 TBZ524300:TBZ524304 TLV524300:TLV524304 TVR524300:TVR524304 UFN524300:UFN524304 UPJ524300:UPJ524304 UZF524300:UZF524304 VJB524300:VJB524304 VSX524300:VSX524304 WCT524300:WCT524304 WMP524300:WMP524304 WWL524300:WWL524304 AD589836:AD589840 JZ589836:JZ589840 TV589836:TV589840 ADR589836:ADR589840 ANN589836:ANN589840 AXJ589836:AXJ589840 BHF589836:BHF589840 BRB589836:BRB589840 CAX589836:CAX589840 CKT589836:CKT589840 CUP589836:CUP589840 DEL589836:DEL589840 DOH589836:DOH589840 DYD589836:DYD589840 EHZ589836:EHZ589840 ERV589836:ERV589840 FBR589836:FBR589840 FLN589836:FLN589840 FVJ589836:FVJ589840 GFF589836:GFF589840 GPB589836:GPB589840 GYX589836:GYX589840 HIT589836:HIT589840 HSP589836:HSP589840 ICL589836:ICL589840 IMH589836:IMH589840 IWD589836:IWD589840 JFZ589836:JFZ589840 JPV589836:JPV589840 JZR589836:JZR589840 KJN589836:KJN589840 KTJ589836:KTJ589840 LDF589836:LDF589840 LNB589836:LNB589840 LWX589836:LWX589840 MGT589836:MGT589840 MQP589836:MQP589840 NAL589836:NAL589840 NKH589836:NKH589840 NUD589836:NUD589840 ODZ589836:ODZ589840 ONV589836:ONV589840 OXR589836:OXR589840 PHN589836:PHN589840 PRJ589836:PRJ589840 QBF589836:QBF589840 QLB589836:QLB589840 QUX589836:QUX589840 RET589836:RET589840 ROP589836:ROP589840 RYL589836:RYL589840 SIH589836:SIH589840 SSD589836:SSD589840 TBZ589836:TBZ589840 TLV589836:TLV589840 TVR589836:TVR589840 UFN589836:UFN589840 UPJ589836:UPJ589840 UZF589836:UZF589840 VJB589836:VJB589840 VSX589836:VSX589840 WCT589836:WCT589840 WMP589836:WMP589840 WWL589836:WWL589840 AD655372:AD655376 JZ655372:JZ655376 TV655372:TV655376 ADR655372:ADR655376 ANN655372:ANN655376 AXJ655372:AXJ655376 BHF655372:BHF655376 BRB655372:BRB655376 CAX655372:CAX655376 CKT655372:CKT655376 CUP655372:CUP655376 DEL655372:DEL655376 DOH655372:DOH655376 DYD655372:DYD655376 EHZ655372:EHZ655376 ERV655372:ERV655376 FBR655372:FBR655376 FLN655372:FLN655376 FVJ655372:FVJ655376 GFF655372:GFF655376 GPB655372:GPB655376 GYX655372:GYX655376 HIT655372:HIT655376 HSP655372:HSP655376 ICL655372:ICL655376 IMH655372:IMH655376 IWD655372:IWD655376 JFZ655372:JFZ655376 JPV655372:JPV655376 JZR655372:JZR655376 KJN655372:KJN655376 KTJ655372:KTJ655376 LDF655372:LDF655376 LNB655372:LNB655376 LWX655372:LWX655376 MGT655372:MGT655376 MQP655372:MQP655376 NAL655372:NAL655376 NKH655372:NKH655376 NUD655372:NUD655376 ODZ655372:ODZ655376 ONV655372:ONV655376 OXR655372:OXR655376 PHN655372:PHN655376 PRJ655372:PRJ655376 QBF655372:QBF655376 QLB655372:QLB655376 QUX655372:QUX655376 RET655372:RET655376 ROP655372:ROP655376 RYL655372:RYL655376 SIH655372:SIH655376 SSD655372:SSD655376 TBZ655372:TBZ655376 TLV655372:TLV655376 TVR655372:TVR655376 UFN655372:UFN655376 UPJ655372:UPJ655376 UZF655372:UZF655376 VJB655372:VJB655376 VSX655372:VSX655376 WCT655372:WCT655376 WMP655372:WMP655376 WWL655372:WWL655376 AD720908:AD720912 JZ720908:JZ720912 TV720908:TV720912 ADR720908:ADR720912 ANN720908:ANN720912 AXJ720908:AXJ720912 BHF720908:BHF720912 BRB720908:BRB720912 CAX720908:CAX720912 CKT720908:CKT720912 CUP720908:CUP720912 DEL720908:DEL720912 DOH720908:DOH720912 DYD720908:DYD720912 EHZ720908:EHZ720912 ERV720908:ERV720912 FBR720908:FBR720912 FLN720908:FLN720912 FVJ720908:FVJ720912 GFF720908:GFF720912 GPB720908:GPB720912 GYX720908:GYX720912 HIT720908:HIT720912 HSP720908:HSP720912 ICL720908:ICL720912 IMH720908:IMH720912 IWD720908:IWD720912 JFZ720908:JFZ720912 JPV720908:JPV720912 JZR720908:JZR720912 KJN720908:KJN720912 KTJ720908:KTJ720912 LDF720908:LDF720912 LNB720908:LNB720912 LWX720908:LWX720912 MGT720908:MGT720912 MQP720908:MQP720912 NAL720908:NAL720912 NKH720908:NKH720912 NUD720908:NUD720912 ODZ720908:ODZ720912 ONV720908:ONV720912 OXR720908:OXR720912 PHN720908:PHN720912 PRJ720908:PRJ720912 QBF720908:QBF720912 QLB720908:QLB720912 QUX720908:QUX720912 RET720908:RET720912 ROP720908:ROP720912 RYL720908:RYL720912 SIH720908:SIH720912 SSD720908:SSD720912 TBZ720908:TBZ720912 TLV720908:TLV720912 TVR720908:TVR720912 UFN720908:UFN720912 UPJ720908:UPJ720912 UZF720908:UZF720912 VJB720908:VJB720912 VSX720908:VSX720912 WCT720908:WCT720912 WMP720908:WMP720912 WWL720908:WWL720912 AD786444:AD786448 JZ786444:JZ786448 TV786444:TV786448 ADR786444:ADR786448 ANN786444:ANN786448 AXJ786444:AXJ786448 BHF786444:BHF786448 BRB786444:BRB786448 CAX786444:CAX786448 CKT786444:CKT786448 CUP786444:CUP786448 DEL786444:DEL786448 DOH786444:DOH786448 DYD786444:DYD786448 EHZ786444:EHZ786448 ERV786444:ERV786448 FBR786444:FBR786448 FLN786444:FLN786448 FVJ786444:FVJ786448 GFF786444:GFF786448 GPB786444:GPB786448 GYX786444:GYX786448 HIT786444:HIT786448 HSP786444:HSP786448 ICL786444:ICL786448 IMH786444:IMH786448 IWD786444:IWD786448 JFZ786444:JFZ786448 JPV786444:JPV786448 JZR786444:JZR786448 KJN786444:KJN786448 KTJ786444:KTJ786448 LDF786444:LDF786448 LNB786444:LNB786448 LWX786444:LWX786448 MGT786444:MGT786448 MQP786444:MQP786448 NAL786444:NAL786448 NKH786444:NKH786448 NUD786444:NUD786448 ODZ786444:ODZ786448 ONV786444:ONV786448 OXR786444:OXR786448 PHN786444:PHN786448 PRJ786444:PRJ786448 QBF786444:QBF786448 QLB786444:QLB786448 QUX786444:QUX786448 RET786444:RET786448 ROP786444:ROP786448 RYL786444:RYL786448 SIH786444:SIH786448 SSD786444:SSD786448 TBZ786444:TBZ786448 TLV786444:TLV786448 TVR786444:TVR786448 UFN786444:UFN786448 UPJ786444:UPJ786448 UZF786444:UZF786448 VJB786444:VJB786448 VSX786444:VSX786448 WCT786444:WCT786448 WMP786444:WMP786448 WWL786444:WWL786448 AD851980:AD851984 JZ851980:JZ851984 TV851980:TV851984 ADR851980:ADR851984 ANN851980:ANN851984 AXJ851980:AXJ851984 BHF851980:BHF851984 BRB851980:BRB851984 CAX851980:CAX851984 CKT851980:CKT851984 CUP851980:CUP851984 DEL851980:DEL851984 DOH851980:DOH851984 DYD851980:DYD851984 EHZ851980:EHZ851984 ERV851980:ERV851984 FBR851980:FBR851984 FLN851980:FLN851984 FVJ851980:FVJ851984 GFF851980:GFF851984 GPB851980:GPB851984 GYX851980:GYX851984 HIT851980:HIT851984 HSP851980:HSP851984 ICL851980:ICL851984 IMH851980:IMH851984 IWD851980:IWD851984 JFZ851980:JFZ851984 JPV851980:JPV851984 JZR851980:JZR851984 KJN851980:KJN851984 KTJ851980:KTJ851984 LDF851980:LDF851984 LNB851980:LNB851984 LWX851980:LWX851984 MGT851980:MGT851984 MQP851980:MQP851984 NAL851980:NAL851984 NKH851980:NKH851984 NUD851980:NUD851984 ODZ851980:ODZ851984 ONV851980:ONV851984 OXR851980:OXR851984 PHN851980:PHN851984 PRJ851980:PRJ851984 QBF851980:QBF851984 QLB851980:QLB851984 QUX851980:QUX851984 RET851980:RET851984 ROP851980:ROP851984 RYL851980:RYL851984 SIH851980:SIH851984 SSD851980:SSD851984 TBZ851980:TBZ851984 TLV851980:TLV851984 TVR851980:TVR851984 UFN851980:UFN851984 UPJ851980:UPJ851984 UZF851980:UZF851984 VJB851980:VJB851984 VSX851980:VSX851984 WCT851980:WCT851984 WMP851980:WMP851984 WWL851980:WWL851984 AD917516:AD917520 JZ917516:JZ917520 TV917516:TV917520 ADR917516:ADR917520 ANN917516:ANN917520 AXJ917516:AXJ917520 BHF917516:BHF917520 BRB917516:BRB917520 CAX917516:CAX917520 CKT917516:CKT917520 CUP917516:CUP917520 DEL917516:DEL917520 DOH917516:DOH917520 DYD917516:DYD917520 EHZ917516:EHZ917520 ERV917516:ERV917520 FBR917516:FBR917520 FLN917516:FLN917520 FVJ917516:FVJ917520 GFF917516:GFF917520 GPB917516:GPB917520 GYX917516:GYX917520 HIT917516:HIT917520 HSP917516:HSP917520 ICL917516:ICL917520 IMH917516:IMH917520 IWD917516:IWD917520 JFZ917516:JFZ917520 JPV917516:JPV917520 JZR917516:JZR917520 KJN917516:KJN917520 KTJ917516:KTJ917520 LDF917516:LDF917520 LNB917516:LNB917520 LWX917516:LWX917520 MGT917516:MGT917520 MQP917516:MQP917520 NAL917516:NAL917520 NKH917516:NKH917520 NUD917516:NUD917520 ODZ917516:ODZ917520 ONV917516:ONV917520 OXR917516:OXR917520 PHN917516:PHN917520 PRJ917516:PRJ917520 QBF917516:QBF917520 QLB917516:QLB917520 QUX917516:QUX917520 RET917516:RET917520 ROP917516:ROP917520 RYL917516:RYL917520 SIH917516:SIH917520 SSD917516:SSD917520 TBZ917516:TBZ917520 TLV917516:TLV917520 TVR917516:TVR917520 UFN917516:UFN917520 UPJ917516:UPJ917520 UZF917516:UZF917520 VJB917516:VJB917520 VSX917516:VSX917520 WCT917516:WCT917520 WMP917516:WMP917520 WWL917516:WWL917520 AD983052:AD983056 JZ983052:JZ983056 TV983052:TV983056 ADR983052:ADR983056 ANN983052:ANN983056 AXJ983052:AXJ983056 BHF983052:BHF983056 BRB983052:BRB983056 CAX983052:CAX983056 CKT983052:CKT983056 CUP983052:CUP983056 DEL983052:DEL983056 DOH983052:DOH983056 DYD983052:DYD983056 EHZ983052:EHZ983056 ERV983052:ERV983056 FBR983052:FBR983056 FLN983052:FLN983056 FVJ983052:FVJ983056 GFF983052:GFF983056 GPB983052:GPB983056 GYX983052:GYX983056 HIT983052:HIT983056 HSP983052:HSP983056 ICL983052:ICL983056 IMH983052:IMH983056 IWD983052:IWD983056 JFZ983052:JFZ983056 JPV983052:JPV983056 JZR983052:JZR983056 KJN983052:KJN983056 KTJ983052:KTJ983056 LDF983052:LDF983056 LNB983052:LNB983056 LWX983052:LWX983056 MGT983052:MGT983056 MQP983052:MQP983056 NAL983052:NAL983056 NKH983052:NKH983056 NUD983052:NUD983056 ODZ983052:ODZ983056 ONV983052:ONV983056 OXR983052:OXR983056 PHN983052:PHN983056 PRJ983052:PRJ983056 QBF983052:QBF983056 QLB983052:QLB983056 QUX983052:QUX983056 RET983052:RET983056 ROP983052:ROP983056 RYL983052:RYL983056 SIH983052:SIH983056 SSD983052:SSD983056 TBZ983052:TBZ983056 TLV983052:TLV983056 TVR983052:TVR983056 UFN983052:UFN983056 UPJ983052:UPJ983056 UZF983052:UZF983056 VJB983052:VJB983056 VSX983052:VSX983056 WCT983052:WCT983056 WMP983052:WMP983056 WWL983052:WWL983056 WWL8:WWL16 JZ8:JZ16 TV8:TV16 ADR8:ADR16 ANN8:ANN16 AXJ8:AXJ16 BHF8:BHF16 BRB8:BRB16 CAX8:CAX16 CKT8:CKT16 CUP8:CUP16 DEL8:DEL16 DOH8:DOH16 DYD8:DYD16 EHZ8:EHZ16 ERV8:ERV16 FBR8:FBR16 FLN8:FLN16 FVJ8:FVJ16 GFF8:GFF16 GPB8:GPB16 GYX8:GYX16 HIT8:HIT16 HSP8:HSP16 ICL8:ICL16 IMH8:IMH16 IWD8:IWD16 JFZ8:JFZ16 JPV8:JPV16 JZR8:JZR16 KJN8:KJN16 KTJ8:KTJ16 LDF8:LDF16 LNB8:LNB16 LWX8:LWX16 MGT8:MGT16 MQP8:MQP16 NAL8:NAL16 NKH8:NKH16 NUD8:NUD16 ODZ8:ODZ16 ONV8:ONV16 OXR8:OXR16 PHN8:PHN16 PRJ8:PRJ16 QBF8:QBF16 QLB8:QLB16 QUX8:QUX16 RET8:RET16 ROP8:ROP16 RYL8:RYL16 SIH8:SIH16 SSD8:SSD16 TBZ8:TBZ16 TLV8:TLV16 TVR8:TVR16 UFN8:UFN16 UPJ8:UPJ16 UZF8:UZF16 VJB8:VJB16 VSX8:VSX16 WCT8:WCT16 WMP8:WMP16 AD8:AD10 AD13:AD16">
      <formula1>AC8</formula1>
      <formula2>IF(AC8&lt;&gt;0,IF(AD8-AC8&gt;=0,AD8,),)</formula2>
    </dataValidation>
  </dataValidations>
  <printOptions horizontalCentered="1"/>
  <pageMargins left="0.25" right="0.25" top="0.75" bottom="0.75" header="0.3" footer="0.3"/>
  <pageSetup scale="45" orientation="landscape" copies="2"/>
  <headerFooter>
    <oddFooter>&amp;C&amp;"Tahoma,Cursiva"&amp;9Si usted ha accedido a este formato a través de un medio diferente al sitio web del Sistema de Control Documental del SIGEC asegúrese que ésta es la versión vigente</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AK36"/>
  <sheetViews>
    <sheetView topLeftCell="A6" zoomScale="70" zoomScaleNormal="70" zoomScaleSheetLayoutView="100" workbookViewId="0">
      <selection activeCell="D6" sqref="D6:E7"/>
    </sheetView>
  </sheetViews>
  <sheetFormatPr baseColWidth="10" defaultRowHeight="12.75"/>
  <cols>
    <col min="1" max="1" width="8" style="2" customWidth="1"/>
    <col min="2" max="2" width="13.42578125" style="2" customWidth="1"/>
    <col min="3" max="3" width="4.28515625" style="2" customWidth="1"/>
    <col min="4" max="4" width="4" style="2" customWidth="1"/>
    <col min="5" max="5" width="54" style="2" customWidth="1"/>
    <col min="6" max="6" width="7" style="2" customWidth="1"/>
    <col min="7" max="7" width="11.28515625" style="2" customWidth="1"/>
    <col min="8" max="8" width="11" style="2" customWidth="1"/>
    <col min="9" max="10" width="2.140625" style="2" customWidth="1"/>
    <col min="11" max="11" width="3.28515625" style="2" customWidth="1"/>
    <col min="12" max="12" width="0.28515625" style="2" hidden="1" customWidth="1"/>
    <col min="13" max="13" width="0.42578125" style="2" hidden="1" customWidth="1"/>
    <col min="14" max="14" width="2.85546875" style="2" customWidth="1"/>
    <col min="15" max="15" width="3.28515625" style="2" customWidth="1"/>
    <col min="16" max="16" width="1.42578125" style="2" customWidth="1"/>
    <col min="17" max="17" width="1.85546875" style="2" hidden="1" customWidth="1"/>
    <col min="18" max="18" width="6.85546875" style="2" customWidth="1"/>
    <col min="19" max="19" width="3" style="2" hidden="1" customWidth="1"/>
    <col min="20" max="21" width="6.28515625" style="2" customWidth="1"/>
    <col min="22" max="22" width="26.42578125" style="2" customWidth="1"/>
    <col min="23" max="23" width="11.7109375" style="2" customWidth="1"/>
    <col min="24" max="24" width="25.42578125" style="2" customWidth="1"/>
    <col min="25" max="25" width="0.42578125" style="2" hidden="1" customWidth="1"/>
    <col min="26" max="26" width="16.42578125" style="2" customWidth="1"/>
    <col min="27" max="27" width="15.85546875" style="2" customWidth="1"/>
    <col min="28" max="28" width="13.140625" style="2" customWidth="1"/>
    <col min="29" max="29" width="14" style="2" customWidth="1"/>
    <col min="30" max="30" width="8.140625" style="2" customWidth="1"/>
    <col min="31" max="31" width="11.42578125" style="2" customWidth="1"/>
    <col min="32" max="32" width="33.7109375" style="2" customWidth="1"/>
    <col min="33" max="33" width="12" style="2" customWidth="1"/>
    <col min="34" max="35" width="0.28515625" style="2" customWidth="1"/>
    <col min="36" max="36" width="1.42578125" style="2" customWidth="1"/>
    <col min="37" max="37" width="1.28515625" style="2" hidden="1" customWidth="1"/>
    <col min="38" max="256" width="11.42578125" style="2"/>
    <col min="257" max="257" width="8" style="2" customWidth="1"/>
    <col min="258" max="258" width="13.42578125" style="2" customWidth="1"/>
    <col min="259" max="259" width="4.28515625" style="2" customWidth="1"/>
    <col min="260" max="260" width="4" style="2" customWidth="1"/>
    <col min="261" max="261" width="54" style="2" customWidth="1"/>
    <col min="262" max="262" width="7" style="2" customWidth="1"/>
    <col min="263" max="263" width="11.28515625" style="2" customWidth="1"/>
    <col min="264" max="264" width="11" style="2" customWidth="1"/>
    <col min="265" max="266" width="2.140625" style="2" customWidth="1"/>
    <col min="267" max="267" width="3.28515625" style="2" customWidth="1"/>
    <col min="268" max="269" width="0" style="2" hidden="1" customWidth="1"/>
    <col min="270" max="270" width="2.85546875" style="2" customWidth="1"/>
    <col min="271" max="271" width="3.28515625" style="2" customWidth="1"/>
    <col min="272" max="272" width="1.42578125" style="2" customWidth="1"/>
    <col min="273" max="273" width="0" style="2" hidden="1" customWidth="1"/>
    <col min="274" max="274" width="6.85546875" style="2" customWidth="1"/>
    <col min="275" max="275" width="0" style="2" hidden="1" customWidth="1"/>
    <col min="276" max="277" width="6.28515625" style="2" customWidth="1"/>
    <col min="278" max="278" width="26.42578125" style="2" customWidth="1"/>
    <col min="279" max="279" width="11.7109375" style="2" customWidth="1"/>
    <col min="280" max="280" width="25.42578125" style="2" customWidth="1"/>
    <col min="281" max="281" width="0" style="2" hidden="1" customWidth="1"/>
    <col min="282" max="282" width="16.42578125" style="2" customWidth="1"/>
    <col min="283" max="283" width="15.85546875" style="2" customWidth="1"/>
    <col min="284" max="284" width="13.140625" style="2" customWidth="1"/>
    <col min="285" max="285" width="14" style="2" customWidth="1"/>
    <col min="286" max="286" width="8.140625" style="2" customWidth="1"/>
    <col min="287" max="287" width="11.42578125" style="2" customWidth="1"/>
    <col min="288" max="288" width="33.7109375" style="2" customWidth="1"/>
    <col min="289" max="289" width="12" style="2" customWidth="1"/>
    <col min="290" max="291" width="0.28515625" style="2" customWidth="1"/>
    <col min="292" max="292" width="1.42578125" style="2" customWidth="1"/>
    <col min="293" max="293" width="0" style="2" hidden="1" customWidth="1"/>
    <col min="294" max="512" width="11.42578125" style="2"/>
    <col min="513" max="513" width="8" style="2" customWidth="1"/>
    <col min="514" max="514" width="13.42578125" style="2" customWidth="1"/>
    <col min="515" max="515" width="4.28515625" style="2" customWidth="1"/>
    <col min="516" max="516" width="4" style="2" customWidth="1"/>
    <col min="517" max="517" width="54" style="2" customWidth="1"/>
    <col min="518" max="518" width="7" style="2" customWidth="1"/>
    <col min="519" max="519" width="11.28515625" style="2" customWidth="1"/>
    <col min="520" max="520" width="11" style="2" customWidth="1"/>
    <col min="521" max="522" width="2.140625" style="2" customWidth="1"/>
    <col min="523" max="523" width="3.28515625" style="2" customWidth="1"/>
    <col min="524" max="525" width="0" style="2" hidden="1" customWidth="1"/>
    <col min="526" max="526" width="2.85546875" style="2" customWidth="1"/>
    <col min="527" max="527" width="3.28515625" style="2" customWidth="1"/>
    <col min="528" max="528" width="1.42578125" style="2" customWidth="1"/>
    <col min="529" max="529" width="0" style="2" hidden="1" customWidth="1"/>
    <col min="530" max="530" width="6.85546875" style="2" customWidth="1"/>
    <col min="531" max="531" width="0" style="2" hidden="1" customWidth="1"/>
    <col min="532" max="533" width="6.28515625" style="2" customWidth="1"/>
    <col min="534" max="534" width="26.42578125" style="2" customWidth="1"/>
    <col min="535" max="535" width="11.7109375" style="2" customWidth="1"/>
    <col min="536" max="536" width="25.42578125" style="2" customWidth="1"/>
    <col min="537" max="537" width="0" style="2" hidden="1" customWidth="1"/>
    <col min="538" max="538" width="16.42578125" style="2" customWidth="1"/>
    <col min="539" max="539" width="15.85546875" style="2" customWidth="1"/>
    <col min="540" max="540" width="13.140625" style="2" customWidth="1"/>
    <col min="541" max="541" width="14" style="2" customWidth="1"/>
    <col min="542" max="542" width="8.140625" style="2" customWidth="1"/>
    <col min="543" max="543" width="11.42578125" style="2" customWidth="1"/>
    <col min="544" max="544" width="33.7109375" style="2" customWidth="1"/>
    <col min="545" max="545" width="12" style="2" customWidth="1"/>
    <col min="546" max="547" width="0.28515625" style="2" customWidth="1"/>
    <col min="548" max="548" width="1.42578125" style="2" customWidth="1"/>
    <col min="549" max="549" width="0" style="2" hidden="1" customWidth="1"/>
    <col min="550" max="768" width="11.42578125" style="2"/>
    <col min="769" max="769" width="8" style="2" customWidth="1"/>
    <col min="770" max="770" width="13.42578125" style="2" customWidth="1"/>
    <col min="771" max="771" width="4.28515625" style="2" customWidth="1"/>
    <col min="772" max="772" width="4" style="2" customWidth="1"/>
    <col min="773" max="773" width="54" style="2" customWidth="1"/>
    <col min="774" max="774" width="7" style="2" customWidth="1"/>
    <col min="775" max="775" width="11.28515625" style="2" customWidth="1"/>
    <col min="776" max="776" width="11" style="2" customWidth="1"/>
    <col min="777" max="778" width="2.140625" style="2" customWidth="1"/>
    <col min="779" max="779" width="3.28515625" style="2" customWidth="1"/>
    <col min="780" max="781" width="0" style="2" hidden="1" customWidth="1"/>
    <col min="782" max="782" width="2.85546875" style="2" customWidth="1"/>
    <col min="783" max="783" width="3.28515625" style="2" customWidth="1"/>
    <col min="784" max="784" width="1.42578125" style="2" customWidth="1"/>
    <col min="785" max="785" width="0" style="2" hidden="1" customWidth="1"/>
    <col min="786" max="786" width="6.85546875" style="2" customWidth="1"/>
    <col min="787" max="787" width="0" style="2" hidden="1" customWidth="1"/>
    <col min="788" max="789" width="6.28515625" style="2" customWidth="1"/>
    <col min="790" max="790" width="26.42578125" style="2" customWidth="1"/>
    <col min="791" max="791" width="11.7109375" style="2" customWidth="1"/>
    <col min="792" max="792" width="25.42578125" style="2" customWidth="1"/>
    <col min="793" max="793" width="0" style="2" hidden="1" customWidth="1"/>
    <col min="794" max="794" width="16.42578125" style="2" customWidth="1"/>
    <col min="795" max="795" width="15.85546875" style="2" customWidth="1"/>
    <col min="796" max="796" width="13.140625" style="2" customWidth="1"/>
    <col min="797" max="797" width="14" style="2" customWidth="1"/>
    <col min="798" max="798" width="8.140625" style="2" customWidth="1"/>
    <col min="799" max="799" width="11.42578125" style="2" customWidth="1"/>
    <col min="800" max="800" width="33.7109375" style="2" customWidth="1"/>
    <col min="801" max="801" width="12" style="2" customWidth="1"/>
    <col min="802" max="803" width="0.28515625" style="2" customWidth="1"/>
    <col min="804" max="804" width="1.42578125" style="2" customWidth="1"/>
    <col min="805" max="805" width="0" style="2" hidden="1" customWidth="1"/>
    <col min="806" max="1024" width="11.42578125" style="2"/>
    <col min="1025" max="1025" width="8" style="2" customWidth="1"/>
    <col min="1026" max="1026" width="13.42578125" style="2" customWidth="1"/>
    <col min="1027" max="1027" width="4.28515625" style="2" customWidth="1"/>
    <col min="1028" max="1028" width="4" style="2" customWidth="1"/>
    <col min="1029" max="1029" width="54" style="2" customWidth="1"/>
    <col min="1030" max="1030" width="7" style="2" customWidth="1"/>
    <col min="1031" max="1031" width="11.28515625" style="2" customWidth="1"/>
    <col min="1032" max="1032" width="11" style="2" customWidth="1"/>
    <col min="1033" max="1034" width="2.140625" style="2" customWidth="1"/>
    <col min="1035" max="1035" width="3.28515625" style="2" customWidth="1"/>
    <col min="1036" max="1037" width="0" style="2" hidden="1" customWidth="1"/>
    <col min="1038" max="1038" width="2.85546875" style="2" customWidth="1"/>
    <col min="1039" max="1039" width="3.28515625" style="2" customWidth="1"/>
    <col min="1040" max="1040" width="1.42578125" style="2" customWidth="1"/>
    <col min="1041" max="1041" width="0" style="2" hidden="1" customWidth="1"/>
    <col min="1042" max="1042" width="6.85546875" style="2" customWidth="1"/>
    <col min="1043" max="1043" width="0" style="2" hidden="1" customWidth="1"/>
    <col min="1044" max="1045" width="6.28515625" style="2" customWidth="1"/>
    <col min="1046" max="1046" width="26.42578125" style="2" customWidth="1"/>
    <col min="1047" max="1047" width="11.7109375" style="2" customWidth="1"/>
    <col min="1048" max="1048" width="25.42578125" style="2" customWidth="1"/>
    <col min="1049" max="1049" width="0" style="2" hidden="1" customWidth="1"/>
    <col min="1050" max="1050" width="16.42578125" style="2" customWidth="1"/>
    <col min="1051" max="1051" width="15.85546875" style="2" customWidth="1"/>
    <col min="1052" max="1052" width="13.140625" style="2" customWidth="1"/>
    <col min="1053" max="1053" width="14" style="2" customWidth="1"/>
    <col min="1054" max="1054" width="8.140625" style="2" customWidth="1"/>
    <col min="1055" max="1055" width="11.42578125" style="2" customWidth="1"/>
    <col min="1056" max="1056" width="33.7109375" style="2" customWidth="1"/>
    <col min="1057" max="1057" width="12" style="2" customWidth="1"/>
    <col min="1058" max="1059" width="0.28515625" style="2" customWidth="1"/>
    <col min="1060" max="1060" width="1.42578125" style="2" customWidth="1"/>
    <col min="1061" max="1061" width="0" style="2" hidden="1" customWidth="1"/>
    <col min="1062" max="1280" width="11.42578125" style="2"/>
    <col min="1281" max="1281" width="8" style="2" customWidth="1"/>
    <col min="1282" max="1282" width="13.42578125" style="2" customWidth="1"/>
    <col min="1283" max="1283" width="4.28515625" style="2" customWidth="1"/>
    <col min="1284" max="1284" width="4" style="2" customWidth="1"/>
    <col min="1285" max="1285" width="54" style="2" customWidth="1"/>
    <col min="1286" max="1286" width="7" style="2" customWidth="1"/>
    <col min="1287" max="1287" width="11.28515625" style="2" customWidth="1"/>
    <col min="1288" max="1288" width="11" style="2" customWidth="1"/>
    <col min="1289" max="1290" width="2.140625" style="2" customWidth="1"/>
    <col min="1291" max="1291" width="3.28515625" style="2" customWidth="1"/>
    <col min="1292" max="1293" width="0" style="2" hidden="1" customWidth="1"/>
    <col min="1294" max="1294" width="2.85546875" style="2" customWidth="1"/>
    <col min="1295" max="1295" width="3.28515625" style="2" customWidth="1"/>
    <col min="1296" max="1296" width="1.42578125" style="2" customWidth="1"/>
    <col min="1297" max="1297" width="0" style="2" hidden="1" customWidth="1"/>
    <col min="1298" max="1298" width="6.85546875" style="2" customWidth="1"/>
    <col min="1299" max="1299" width="0" style="2" hidden="1" customWidth="1"/>
    <col min="1300" max="1301" width="6.28515625" style="2" customWidth="1"/>
    <col min="1302" max="1302" width="26.42578125" style="2" customWidth="1"/>
    <col min="1303" max="1303" width="11.7109375" style="2" customWidth="1"/>
    <col min="1304" max="1304" width="25.42578125" style="2" customWidth="1"/>
    <col min="1305" max="1305" width="0" style="2" hidden="1" customWidth="1"/>
    <col min="1306" max="1306" width="16.42578125" style="2" customWidth="1"/>
    <col min="1307" max="1307" width="15.85546875" style="2" customWidth="1"/>
    <col min="1308" max="1308" width="13.140625" style="2" customWidth="1"/>
    <col min="1309" max="1309" width="14" style="2" customWidth="1"/>
    <col min="1310" max="1310" width="8.140625" style="2" customWidth="1"/>
    <col min="1311" max="1311" width="11.42578125" style="2" customWidth="1"/>
    <col min="1312" max="1312" width="33.7109375" style="2" customWidth="1"/>
    <col min="1313" max="1313" width="12" style="2" customWidth="1"/>
    <col min="1314" max="1315" width="0.28515625" style="2" customWidth="1"/>
    <col min="1316" max="1316" width="1.42578125" style="2" customWidth="1"/>
    <col min="1317" max="1317" width="0" style="2" hidden="1" customWidth="1"/>
    <col min="1318" max="1536" width="11.42578125" style="2"/>
    <col min="1537" max="1537" width="8" style="2" customWidth="1"/>
    <col min="1538" max="1538" width="13.42578125" style="2" customWidth="1"/>
    <col min="1539" max="1539" width="4.28515625" style="2" customWidth="1"/>
    <col min="1540" max="1540" width="4" style="2" customWidth="1"/>
    <col min="1541" max="1541" width="54" style="2" customWidth="1"/>
    <col min="1542" max="1542" width="7" style="2" customWidth="1"/>
    <col min="1543" max="1543" width="11.28515625" style="2" customWidth="1"/>
    <col min="1544" max="1544" width="11" style="2" customWidth="1"/>
    <col min="1545" max="1546" width="2.140625" style="2" customWidth="1"/>
    <col min="1547" max="1547" width="3.28515625" style="2" customWidth="1"/>
    <col min="1548" max="1549" width="0" style="2" hidden="1" customWidth="1"/>
    <col min="1550" max="1550" width="2.85546875" style="2" customWidth="1"/>
    <col min="1551" max="1551" width="3.28515625" style="2" customWidth="1"/>
    <col min="1552" max="1552" width="1.42578125" style="2" customWidth="1"/>
    <col min="1553" max="1553" width="0" style="2" hidden="1" customWidth="1"/>
    <col min="1554" max="1554" width="6.85546875" style="2" customWidth="1"/>
    <col min="1555" max="1555" width="0" style="2" hidden="1" customWidth="1"/>
    <col min="1556" max="1557" width="6.28515625" style="2" customWidth="1"/>
    <col min="1558" max="1558" width="26.42578125" style="2" customWidth="1"/>
    <col min="1559" max="1559" width="11.7109375" style="2" customWidth="1"/>
    <col min="1560" max="1560" width="25.42578125" style="2" customWidth="1"/>
    <col min="1561" max="1561" width="0" style="2" hidden="1" customWidth="1"/>
    <col min="1562" max="1562" width="16.42578125" style="2" customWidth="1"/>
    <col min="1563" max="1563" width="15.85546875" style="2" customWidth="1"/>
    <col min="1564" max="1564" width="13.140625" style="2" customWidth="1"/>
    <col min="1565" max="1565" width="14" style="2" customWidth="1"/>
    <col min="1566" max="1566" width="8.140625" style="2" customWidth="1"/>
    <col min="1567" max="1567" width="11.42578125" style="2" customWidth="1"/>
    <col min="1568" max="1568" width="33.7109375" style="2" customWidth="1"/>
    <col min="1569" max="1569" width="12" style="2" customWidth="1"/>
    <col min="1570" max="1571" width="0.28515625" style="2" customWidth="1"/>
    <col min="1572" max="1572" width="1.42578125" style="2" customWidth="1"/>
    <col min="1573" max="1573" width="0" style="2" hidden="1" customWidth="1"/>
    <col min="1574" max="1792" width="11.42578125" style="2"/>
    <col min="1793" max="1793" width="8" style="2" customWidth="1"/>
    <col min="1794" max="1794" width="13.42578125" style="2" customWidth="1"/>
    <col min="1795" max="1795" width="4.28515625" style="2" customWidth="1"/>
    <col min="1796" max="1796" width="4" style="2" customWidth="1"/>
    <col min="1797" max="1797" width="54" style="2" customWidth="1"/>
    <col min="1798" max="1798" width="7" style="2" customWidth="1"/>
    <col min="1799" max="1799" width="11.28515625" style="2" customWidth="1"/>
    <col min="1800" max="1800" width="11" style="2" customWidth="1"/>
    <col min="1801" max="1802" width="2.140625" style="2" customWidth="1"/>
    <col min="1803" max="1803" width="3.28515625" style="2" customWidth="1"/>
    <col min="1804" max="1805" width="0" style="2" hidden="1" customWidth="1"/>
    <col min="1806" max="1806" width="2.85546875" style="2" customWidth="1"/>
    <col min="1807" max="1807" width="3.28515625" style="2" customWidth="1"/>
    <col min="1808" max="1808" width="1.42578125" style="2" customWidth="1"/>
    <col min="1809" max="1809" width="0" style="2" hidden="1" customWidth="1"/>
    <col min="1810" max="1810" width="6.85546875" style="2" customWidth="1"/>
    <col min="1811" max="1811" width="0" style="2" hidden="1" customWidth="1"/>
    <col min="1812" max="1813" width="6.28515625" style="2" customWidth="1"/>
    <col min="1814" max="1814" width="26.42578125" style="2" customWidth="1"/>
    <col min="1815" max="1815" width="11.7109375" style="2" customWidth="1"/>
    <col min="1816" max="1816" width="25.42578125" style="2" customWidth="1"/>
    <col min="1817" max="1817" width="0" style="2" hidden="1" customWidth="1"/>
    <col min="1818" max="1818" width="16.42578125" style="2" customWidth="1"/>
    <col min="1819" max="1819" width="15.85546875" style="2" customWidth="1"/>
    <col min="1820" max="1820" width="13.140625" style="2" customWidth="1"/>
    <col min="1821" max="1821" width="14" style="2" customWidth="1"/>
    <col min="1822" max="1822" width="8.140625" style="2" customWidth="1"/>
    <col min="1823" max="1823" width="11.42578125" style="2" customWidth="1"/>
    <col min="1824" max="1824" width="33.7109375" style="2" customWidth="1"/>
    <col min="1825" max="1825" width="12" style="2" customWidth="1"/>
    <col min="1826" max="1827" width="0.28515625" style="2" customWidth="1"/>
    <col min="1828" max="1828" width="1.42578125" style="2" customWidth="1"/>
    <col min="1829" max="1829" width="0" style="2" hidden="1" customWidth="1"/>
    <col min="1830" max="2048" width="11.42578125" style="2"/>
    <col min="2049" max="2049" width="8" style="2" customWidth="1"/>
    <col min="2050" max="2050" width="13.42578125" style="2" customWidth="1"/>
    <col min="2051" max="2051" width="4.28515625" style="2" customWidth="1"/>
    <col min="2052" max="2052" width="4" style="2" customWidth="1"/>
    <col min="2053" max="2053" width="54" style="2" customWidth="1"/>
    <col min="2054" max="2054" width="7" style="2" customWidth="1"/>
    <col min="2055" max="2055" width="11.28515625" style="2" customWidth="1"/>
    <col min="2056" max="2056" width="11" style="2" customWidth="1"/>
    <col min="2057" max="2058" width="2.140625" style="2" customWidth="1"/>
    <col min="2059" max="2059" width="3.28515625" style="2" customWidth="1"/>
    <col min="2060" max="2061" width="0" style="2" hidden="1" customWidth="1"/>
    <col min="2062" max="2062" width="2.85546875" style="2" customWidth="1"/>
    <col min="2063" max="2063" width="3.28515625" style="2" customWidth="1"/>
    <col min="2064" max="2064" width="1.42578125" style="2" customWidth="1"/>
    <col min="2065" max="2065" width="0" style="2" hidden="1" customWidth="1"/>
    <col min="2066" max="2066" width="6.85546875" style="2" customWidth="1"/>
    <col min="2067" max="2067" width="0" style="2" hidden="1" customWidth="1"/>
    <col min="2068" max="2069" width="6.28515625" style="2" customWidth="1"/>
    <col min="2070" max="2070" width="26.42578125" style="2" customWidth="1"/>
    <col min="2071" max="2071" width="11.7109375" style="2" customWidth="1"/>
    <col min="2072" max="2072" width="25.42578125" style="2" customWidth="1"/>
    <col min="2073" max="2073" width="0" style="2" hidden="1" customWidth="1"/>
    <col min="2074" max="2074" width="16.42578125" style="2" customWidth="1"/>
    <col min="2075" max="2075" width="15.85546875" style="2" customWidth="1"/>
    <col min="2076" max="2076" width="13.140625" style="2" customWidth="1"/>
    <col min="2077" max="2077" width="14" style="2" customWidth="1"/>
    <col min="2078" max="2078" width="8.140625" style="2" customWidth="1"/>
    <col min="2079" max="2079" width="11.42578125" style="2" customWidth="1"/>
    <col min="2080" max="2080" width="33.7109375" style="2" customWidth="1"/>
    <col min="2081" max="2081" width="12" style="2" customWidth="1"/>
    <col min="2082" max="2083" width="0.28515625" style="2" customWidth="1"/>
    <col min="2084" max="2084" width="1.42578125" style="2" customWidth="1"/>
    <col min="2085" max="2085" width="0" style="2" hidden="1" customWidth="1"/>
    <col min="2086" max="2304" width="11.42578125" style="2"/>
    <col min="2305" max="2305" width="8" style="2" customWidth="1"/>
    <col min="2306" max="2306" width="13.42578125" style="2" customWidth="1"/>
    <col min="2307" max="2307" width="4.28515625" style="2" customWidth="1"/>
    <col min="2308" max="2308" width="4" style="2" customWidth="1"/>
    <col min="2309" max="2309" width="54" style="2" customWidth="1"/>
    <col min="2310" max="2310" width="7" style="2" customWidth="1"/>
    <col min="2311" max="2311" width="11.28515625" style="2" customWidth="1"/>
    <col min="2312" max="2312" width="11" style="2" customWidth="1"/>
    <col min="2313" max="2314" width="2.140625" style="2" customWidth="1"/>
    <col min="2315" max="2315" width="3.28515625" style="2" customWidth="1"/>
    <col min="2316" max="2317" width="0" style="2" hidden="1" customWidth="1"/>
    <col min="2318" max="2318" width="2.85546875" style="2" customWidth="1"/>
    <col min="2319" max="2319" width="3.28515625" style="2" customWidth="1"/>
    <col min="2320" max="2320" width="1.42578125" style="2" customWidth="1"/>
    <col min="2321" max="2321" width="0" style="2" hidden="1" customWidth="1"/>
    <col min="2322" max="2322" width="6.85546875" style="2" customWidth="1"/>
    <col min="2323" max="2323" width="0" style="2" hidden="1" customWidth="1"/>
    <col min="2324" max="2325" width="6.28515625" style="2" customWidth="1"/>
    <col min="2326" max="2326" width="26.42578125" style="2" customWidth="1"/>
    <col min="2327" max="2327" width="11.7109375" style="2" customWidth="1"/>
    <col min="2328" max="2328" width="25.42578125" style="2" customWidth="1"/>
    <col min="2329" max="2329" width="0" style="2" hidden="1" customWidth="1"/>
    <col min="2330" max="2330" width="16.42578125" style="2" customWidth="1"/>
    <col min="2331" max="2331" width="15.85546875" style="2" customWidth="1"/>
    <col min="2332" max="2332" width="13.140625" style="2" customWidth="1"/>
    <col min="2333" max="2333" width="14" style="2" customWidth="1"/>
    <col min="2334" max="2334" width="8.140625" style="2" customWidth="1"/>
    <col min="2335" max="2335" width="11.42578125" style="2" customWidth="1"/>
    <col min="2336" max="2336" width="33.7109375" style="2" customWidth="1"/>
    <col min="2337" max="2337" width="12" style="2" customWidth="1"/>
    <col min="2338" max="2339" width="0.28515625" style="2" customWidth="1"/>
    <col min="2340" max="2340" width="1.42578125" style="2" customWidth="1"/>
    <col min="2341" max="2341" width="0" style="2" hidden="1" customWidth="1"/>
    <col min="2342" max="2560" width="11.42578125" style="2"/>
    <col min="2561" max="2561" width="8" style="2" customWidth="1"/>
    <col min="2562" max="2562" width="13.42578125" style="2" customWidth="1"/>
    <col min="2563" max="2563" width="4.28515625" style="2" customWidth="1"/>
    <col min="2564" max="2564" width="4" style="2" customWidth="1"/>
    <col min="2565" max="2565" width="54" style="2" customWidth="1"/>
    <col min="2566" max="2566" width="7" style="2" customWidth="1"/>
    <col min="2567" max="2567" width="11.28515625" style="2" customWidth="1"/>
    <col min="2568" max="2568" width="11" style="2" customWidth="1"/>
    <col min="2569" max="2570" width="2.140625" style="2" customWidth="1"/>
    <col min="2571" max="2571" width="3.28515625" style="2" customWidth="1"/>
    <col min="2572" max="2573" width="0" style="2" hidden="1" customWidth="1"/>
    <col min="2574" max="2574" width="2.85546875" style="2" customWidth="1"/>
    <col min="2575" max="2575" width="3.28515625" style="2" customWidth="1"/>
    <col min="2576" max="2576" width="1.42578125" style="2" customWidth="1"/>
    <col min="2577" max="2577" width="0" style="2" hidden="1" customWidth="1"/>
    <col min="2578" max="2578" width="6.85546875" style="2" customWidth="1"/>
    <col min="2579" max="2579" width="0" style="2" hidden="1" customWidth="1"/>
    <col min="2580" max="2581" width="6.28515625" style="2" customWidth="1"/>
    <col min="2582" max="2582" width="26.42578125" style="2" customWidth="1"/>
    <col min="2583" max="2583" width="11.7109375" style="2" customWidth="1"/>
    <col min="2584" max="2584" width="25.42578125" style="2" customWidth="1"/>
    <col min="2585" max="2585" width="0" style="2" hidden="1" customWidth="1"/>
    <col min="2586" max="2586" width="16.42578125" style="2" customWidth="1"/>
    <col min="2587" max="2587" width="15.85546875" style="2" customWidth="1"/>
    <col min="2588" max="2588" width="13.140625" style="2" customWidth="1"/>
    <col min="2589" max="2589" width="14" style="2" customWidth="1"/>
    <col min="2590" max="2590" width="8.140625" style="2" customWidth="1"/>
    <col min="2591" max="2591" width="11.42578125" style="2" customWidth="1"/>
    <col min="2592" max="2592" width="33.7109375" style="2" customWidth="1"/>
    <col min="2593" max="2593" width="12" style="2" customWidth="1"/>
    <col min="2594" max="2595" width="0.28515625" style="2" customWidth="1"/>
    <col min="2596" max="2596" width="1.42578125" style="2" customWidth="1"/>
    <col min="2597" max="2597" width="0" style="2" hidden="1" customWidth="1"/>
    <col min="2598" max="2816" width="11.42578125" style="2"/>
    <col min="2817" max="2817" width="8" style="2" customWidth="1"/>
    <col min="2818" max="2818" width="13.42578125" style="2" customWidth="1"/>
    <col min="2819" max="2819" width="4.28515625" style="2" customWidth="1"/>
    <col min="2820" max="2820" width="4" style="2" customWidth="1"/>
    <col min="2821" max="2821" width="54" style="2" customWidth="1"/>
    <col min="2822" max="2822" width="7" style="2" customWidth="1"/>
    <col min="2823" max="2823" width="11.28515625" style="2" customWidth="1"/>
    <col min="2824" max="2824" width="11" style="2" customWidth="1"/>
    <col min="2825" max="2826" width="2.140625" style="2" customWidth="1"/>
    <col min="2827" max="2827" width="3.28515625" style="2" customWidth="1"/>
    <col min="2828" max="2829" width="0" style="2" hidden="1" customWidth="1"/>
    <col min="2830" max="2830" width="2.85546875" style="2" customWidth="1"/>
    <col min="2831" max="2831" width="3.28515625" style="2" customWidth="1"/>
    <col min="2832" max="2832" width="1.42578125" style="2" customWidth="1"/>
    <col min="2833" max="2833" width="0" style="2" hidden="1" customWidth="1"/>
    <col min="2834" max="2834" width="6.85546875" style="2" customWidth="1"/>
    <col min="2835" max="2835" width="0" style="2" hidden="1" customWidth="1"/>
    <col min="2836" max="2837" width="6.28515625" style="2" customWidth="1"/>
    <col min="2838" max="2838" width="26.42578125" style="2" customWidth="1"/>
    <col min="2839" max="2839" width="11.7109375" style="2" customWidth="1"/>
    <col min="2840" max="2840" width="25.42578125" style="2" customWidth="1"/>
    <col min="2841" max="2841" width="0" style="2" hidden="1" customWidth="1"/>
    <col min="2842" max="2842" width="16.42578125" style="2" customWidth="1"/>
    <col min="2843" max="2843" width="15.85546875" style="2" customWidth="1"/>
    <col min="2844" max="2844" width="13.140625" style="2" customWidth="1"/>
    <col min="2845" max="2845" width="14" style="2" customWidth="1"/>
    <col min="2846" max="2846" width="8.140625" style="2" customWidth="1"/>
    <col min="2847" max="2847" width="11.42578125" style="2" customWidth="1"/>
    <col min="2848" max="2848" width="33.7109375" style="2" customWidth="1"/>
    <col min="2849" max="2849" width="12" style="2" customWidth="1"/>
    <col min="2850" max="2851" width="0.28515625" style="2" customWidth="1"/>
    <col min="2852" max="2852" width="1.42578125" style="2" customWidth="1"/>
    <col min="2853" max="2853" width="0" style="2" hidden="1" customWidth="1"/>
    <col min="2854" max="3072" width="11.42578125" style="2"/>
    <col min="3073" max="3073" width="8" style="2" customWidth="1"/>
    <col min="3074" max="3074" width="13.42578125" style="2" customWidth="1"/>
    <col min="3075" max="3075" width="4.28515625" style="2" customWidth="1"/>
    <col min="3076" max="3076" width="4" style="2" customWidth="1"/>
    <col min="3077" max="3077" width="54" style="2" customWidth="1"/>
    <col min="3078" max="3078" width="7" style="2" customWidth="1"/>
    <col min="3079" max="3079" width="11.28515625" style="2" customWidth="1"/>
    <col min="3080" max="3080" width="11" style="2" customWidth="1"/>
    <col min="3081" max="3082" width="2.140625" style="2" customWidth="1"/>
    <col min="3083" max="3083" width="3.28515625" style="2" customWidth="1"/>
    <col min="3084" max="3085" width="0" style="2" hidden="1" customWidth="1"/>
    <col min="3086" max="3086" width="2.85546875" style="2" customWidth="1"/>
    <col min="3087" max="3087" width="3.28515625" style="2" customWidth="1"/>
    <col min="3088" max="3088" width="1.42578125" style="2" customWidth="1"/>
    <col min="3089" max="3089" width="0" style="2" hidden="1" customWidth="1"/>
    <col min="3090" max="3090" width="6.85546875" style="2" customWidth="1"/>
    <col min="3091" max="3091" width="0" style="2" hidden="1" customWidth="1"/>
    <col min="3092" max="3093" width="6.28515625" style="2" customWidth="1"/>
    <col min="3094" max="3094" width="26.42578125" style="2" customWidth="1"/>
    <col min="3095" max="3095" width="11.7109375" style="2" customWidth="1"/>
    <col min="3096" max="3096" width="25.42578125" style="2" customWidth="1"/>
    <col min="3097" max="3097" width="0" style="2" hidden="1" customWidth="1"/>
    <col min="3098" max="3098" width="16.42578125" style="2" customWidth="1"/>
    <col min="3099" max="3099" width="15.85546875" style="2" customWidth="1"/>
    <col min="3100" max="3100" width="13.140625" style="2" customWidth="1"/>
    <col min="3101" max="3101" width="14" style="2" customWidth="1"/>
    <col min="3102" max="3102" width="8.140625" style="2" customWidth="1"/>
    <col min="3103" max="3103" width="11.42578125" style="2" customWidth="1"/>
    <col min="3104" max="3104" width="33.7109375" style="2" customWidth="1"/>
    <col min="3105" max="3105" width="12" style="2" customWidth="1"/>
    <col min="3106" max="3107" width="0.28515625" style="2" customWidth="1"/>
    <col min="3108" max="3108" width="1.42578125" style="2" customWidth="1"/>
    <col min="3109" max="3109" width="0" style="2" hidden="1" customWidth="1"/>
    <col min="3110" max="3328" width="11.42578125" style="2"/>
    <col min="3329" max="3329" width="8" style="2" customWidth="1"/>
    <col min="3330" max="3330" width="13.42578125" style="2" customWidth="1"/>
    <col min="3331" max="3331" width="4.28515625" style="2" customWidth="1"/>
    <col min="3332" max="3332" width="4" style="2" customWidth="1"/>
    <col min="3333" max="3333" width="54" style="2" customWidth="1"/>
    <col min="3334" max="3334" width="7" style="2" customWidth="1"/>
    <col min="3335" max="3335" width="11.28515625" style="2" customWidth="1"/>
    <col min="3336" max="3336" width="11" style="2" customWidth="1"/>
    <col min="3337" max="3338" width="2.140625" style="2" customWidth="1"/>
    <col min="3339" max="3339" width="3.28515625" style="2" customWidth="1"/>
    <col min="3340" max="3341" width="0" style="2" hidden="1" customWidth="1"/>
    <col min="3342" max="3342" width="2.85546875" style="2" customWidth="1"/>
    <col min="3343" max="3343" width="3.28515625" style="2" customWidth="1"/>
    <col min="3344" max="3344" width="1.42578125" style="2" customWidth="1"/>
    <col min="3345" max="3345" width="0" style="2" hidden="1" customWidth="1"/>
    <col min="3346" max="3346" width="6.85546875" style="2" customWidth="1"/>
    <col min="3347" max="3347" width="0" style="2" hidden="1" customWidth="1"/>
    <col min="3348" max="3349" width="6.28515625" style="2" customWidth="1"/>
    <col min="3350" max="3350" width="26.42578125" style="2" customWidth="1"/>
    <col min="3351" max="3351" width="11.7109375" style="2" customWidth="1"/>
    <col min="3352" max="3352" width="25.42578125" style="2" customWidth="1"/>
    <col min="3353" max="3353" width="0" style="2" hidden="1" customWidth="1"/>
    <col min="3354" max="3354" width="16.42578125" style="2" customWidth="1"/>
    <col min="3355" max="3355" width="15.85546875" style="2" customWidth="1"/>
    <col min="3356" max="3356" width="13.140625" style="2" customWidth="1"/>
    <col min="3357" max="3357" width="14" style="2" customWidth="1"/>
    <col min="3358" max="3358" width="8.140625" style="2" customWidth="1"/>
    <col min="3359" max="3359" width="11.42578125" style="2" customWidth="1"/>
    <col min="3360" max="3360" width="33.7109375" style="2" customWidth="1"/>
    <col min="3361" max="3361" width="12" style="2" customWidth="1"/>
    <col min="3362" max="3363" width="0.28515625" style="2" customWidth="1"/>
    <col min="3364" max="3364" width="1.42578125" style="2" customWidth="1"/>
    <col min="3365" max="3365" width="0" style="2" hidden="1" customWidth="1"/>
    <col min="3366" max="3584" width="11.42578125" style="2"/>
    <col min="3585" max="3585" width="8" style="2" customWidth="1"/>
    <col min="3586" max="3586" width="13.42578125" style="2" customWidth="1"/>
    <col min="3587" max="3587" width="4.28515625" style="2" customWidth="1"/>
    <col min="3588" max="3588" width="4" style="2" customWidth="1"/>
    <col min="3589" max="3589" width="54" style="2" customWidth="1"/>
    <col min="3590" max="3590" width="7" style="2" customWidth="1"/>
    <col min="3591" max="3591" width="11.28515625" style="2" customWidth="1"/>
    <col min="3592" max="3592" width="11" style="2" customWidth="1"/>
    <col min="3593" max="3594" width="2.140625" style="2" customWidth="1"/>
    <col min="3595" max="3595" width="3.28515625" style="2" customWidth="1"/>
    <col min="3596" max="3597" width="0" style="2" hidden="1" customWidth="1"/>
    <col min="3598" max="3598" width="2.85546875" style="2" customWidth="1"/>
    <col min="3599" max="3599" width="3.28515625" style="2" customWidth="1"/>
    <col min="3600" max="3600" width="1.42578125" style="2" customWidth="1"/>
    <col min="3601" max="3601" width="0" style="2" hidden="1" customWidth="1"/>
    <col min="3602" max="3602" width="6.85546875" style="2" customWidth="1"/>
    <col min="3603" max="3603" width="0" style="2" hidden="1" customWidth="1"/>
    <col min="3604" max="3605" width="6.28515625" style="2" customWidth="1"/>
    <col min="3606" max="3606" width="26.42578125" style="2" customWidth="1"/>
    <col min="3607" max="3607" width="11.7109375" style="2" customWidth="1"/>
    <col min="3608" max="3608" width="25.42578125" style="2" customWidth="1"/>
    <col min="3609" max="3609" width="0" style="2" hidden="1" customWidth="1"/>
    <col min="3610" max="3610" width="16.42578125" style="2" customWidth="1"/>
    <col min="3611" max="3611" width="15.85546875" style="2" customWidth="1"/>
    <col min="3612" max="3612" width="13.140625" style="2" customWidth="1"/>
    <col min="3613" max="3613" width="14" style="2" customWidth="1"/>
    <col min="3614" max="3614" width="8.140625" style="2" customWidth="1"/>
    <col min="3615" max="3615" width="11.42578125" style="2" customWidth="1"/>
    <col min="3616" max="3616" width="33.7109375" style="2" customWidth="1"/>
    <col min="3617" max="3617" width="12" style="2" customWidth="1"/>
    <col min="3618" max="3619" width="0.28515625" style="2" customWidth="1"/>
    <col min="3620" max="3620" width="1.42578125" style="2" customWidth="1"/>
    <col min="3621" max="3621" width="0" style="2" hidden="1" customWidth="1"/>
    <col min="3622" max="3840" width="11.42578125" style="2"/>
    <col min="3841" max="3841" width="8" style="2" customWidth="1"/>
    <col min="3842" max="3842" width="13.42578125" style="2" customWidth="1"/>
    <col min="3843" max="3843" width="4.28515625" style="2" customWidth="1"/>
    <col min="3844" max="3844" width="4" style="2" customWidth="1"/>
    <col min="3845" max="3845" width="54" style="2" customWidth="1"/>
    <col min="3846" max="3846" width="7" style="2" customWidth="1"/>
    <col min="3847" max="3847" width="11.28515625" style="2" customWidth="1"/>
    <col min="3848" max="3848" width="11" style="2" customWidth="1"/>
    <col min="3849" max="3850" width="2.140625" style="2" customWidth="1"/>
    <col min="3851" max="3851" width="3.28515625" style="2" customWidth="1"/>
    <col min="3852" max="3853" width="0" style="2" hidden="1" customWidth="1"/>
    <col min="3854" max="3854" width="2.85546875" style="2" customWidth="1"/>
    <col min="3855" max="3855" width="3.28515625" style="2" customWidth="1"/>
    <col min="3856" max="3856" width="1.42578125" style="2" customWidth="1"/>
    <col min="3857" max="3857" width="0" style="2" hidden="1" customWidth="1"/>
    <col min="3858" max="3858" width="6.85546875" style="2" customWidth="1"/>
    <col min="3859" max="3859" width="0" style="2" hidden="1" customWidth="1"/>
    <col min="3860" max="3861" width="6.28515625" style="2" customWidth="1"/>
    <col min="3862" max="3862" width="26.42578125" style="2" customWidth="1"/>
    <col min="3863" max="3863" width="11.7109375" style="2" customWidth="1"/>
    <col min="3864" max="3864" width="25.42578125" style="2" customWidth="1"/>
    <col min="3865" max="3865" width="0" style="2" hidden="1" customWidth="1"/>
    <col min="3866" max="3866" width="16.42578125" style="2" customWidth="1"/>
    <col min="3867" max="3867" width="15.85546875" style="2" customWidth="1"/>
    <col min="3868" max="3868" width="13.140625" style="2" customWidth="1"/>
    <col min="3869" max="3869" width="14" style="2" customWidth="1"/>
    <col min="3870" max="3870" width="8.140625" style="2" customWidth="1"/>
    <col min="3871" max="3871" width="11.42578125" style="2" customWidth="1"/>
    <col min="3872" max="3872" width="33.7109375" style="2" customWidth="1"/>
    <col min="3873" max="3873" width="12" style="2" customWidth="1"/>
    <col min="3874" max="3875" width="0.28515625" style="2" customWidth="1"/>
    <col min="3876" max="3876" width="1.42578125" style="2" customWidth="1"/>
    <col min="3877" max="3877" width="0" style="2" hidden="1" customWidth="1"/>
    <col min="3878" max="4096" width="11.42578125" style="2"/>
    <col min="4097" max="4097" width="8" style="2" customWidth="1"/>
    <col min="4098" max="4098" width="13.42578125" style="2" customWidth="1"/>
    <col min="4099" max="4099" width="4.28515625" style="2" customWidth="1"/>
    <col min="4100" max="4100" width="4" style="2" customWidth="1"/>
    <col min="4101" max="4101" width="54" style="2" customWidth="1"/>
    <col min="4102" max="4102" width="7" style="2" customWidth="1"/>
    <col min="4103" max="4103" width="11.28515625" style="2" customWidth="1"/>
    <col min="4104" max="4104" width="11" style="2" customWidth="1"/>
    <col min="4105" max="4106" width="2.140625" style="2" customWidth="1"/>
    <col min="4107" max="4107" width="3.28515625" style="2" customWidth="1"/>
    <col min="4108" max="4109" width="0" style="2" hidden="1" customWidth="1"/>
    <col min="4110" max="4110" width="2.85546875" style="2" customWidth="1"/>
    <col min="4111" max="4111" width="3.28515625" style="2" customWidth="1"/>
    <col min="4112" max="4112" width="1.42578125" style="2" customWidth="1"/>
    <col min="4113" max="4113" width="0" style="2" hidden="1" customWidth="1"/>
    <col min="4114" max="4114" width="6.85546875" style="2" customWidth="1"/>
    <col min="4115" max="4115" width="0" style="2" hidden="1" customWidth="1"/>
    <col min="4116" max="4117" width="6.28515625" style="2" customWidth="1"/>
    <col min="4118" max="4118" width="26.42578125" style="2" customWidth="1"/>
    <col min="4119" max="4119" width="11.7109375" style="2" customWidth="1"/>
    <col min="4120" max="4120" width="25.42578125" style="2" customWidth="1"/>
    <col min="4121" max="4121" width="0" style="2" hidden="1" customWidth="1"/>
    <col min="4122" max="4122" width="16.42578125" style="2" customWidth="1"/>
    <col min="4123" max="4123" width="15.85546875" style="2" customWidth="1"/>
    <col min="4124" max="4124" width="13.140625" style="2" customWidth="1"/>
    <col min="4125" max="4125" width="14" style="2" customWidth="1"/>
    <col min="4126" max="4126" width="8.140625" style="2" customWidth="1"/>
    <col min="4127" max="4127" width="11.42578125" style="2" customWidth="1"/>
    <col min="4128" max="4128" width="33.7109375" style="2" customWidth="1"/>
    <col min="4129" max="4129" width="12" style="2" customWidth="1"/>
    <col min="4130" max="4131" width="0.28515625" style="2" customWidth="1"/>
    <col min="4132" max="4132" width="1.42578125" style="2" customWidth="1"/>
    <col min="4133" max="4133" width="0" style="2" hidden="1" customWidth="1"/>
    <col min="4134" max="4352" width="11.42578125" style="2"/>
    <col min="4353" max="4353" width="8" style="2" customWidth="1"/>
    <col min="4354" max="4354" width="13.42578125" style="2" customWidth="1"/>
    <col min="4355" max="4355" width="4.28515625" style="2" customWidth="1"/>
    <col min="4356" max="4356" width="4" style="2" customWidth="1"/>
    <col min="4357" max="4357" width="54" style="2" customWidth="1"/>
    <col min="4358" max="4358" width="7" style="2" customWidth="1"/>
    <col min="4359" max="4359" width="11.28515625" style="2" customWidth="1"/>
    <col min="4360" max="4360" width="11" style="2" customWidth="1"/>
    <col min="4361" max="4362" width="2.140625" style="2" customWidth="1"/>
    <col min="4363" max="4363" width="3.28515625" style="2" customWidth="1"/>
    <col min="4364" max="4365" width="0" style="2" hidden="1" customWidth="1"/>
    <col min="4366" max="4366" width="2.85546875" style="2" customWidth="1"/>
    <col min="4367" max="4367" width="3.28515625" style="2" customWidth="1"/>
    <col min="4368" max="4368" width="1.42578125" style="2" customWidth="1"/>
    <col min="4369" max="4369" width="0" style="2" hidden="1" customWidth="1"/>
    <col min="4370" max="4370" width="6.85546875" style="2" customWidth="1"/>
    <col min="4371" max="4371" width="0" style="2" hidden="1" customWidth="1"/>
    <col min="4372" max="4373" width="6.28515625" style="2" customWidth="1"/>
    <col min="4374" max="4374" width="26.42578125" style="2" customWidth="1"/>
    <col min="4375" max="4375" width="11.7109375" style="2" customWidth="1"/>
    <col min="4376" max="4376" width="25.42578125" style="2" customWidth="1"/>
    <col min="4377" max="4377" width="0" style="2" hidden="1" customWidth="1"/>
    <col min="4378" max="4378" width="16.42578125" style="2" customWidth="1"/>
    <col min="4379" max="4379" width="15.85546875" style="2" customWidth="1"/>
    <col min="4380" max="4380" width="13.140625" style="2" customWidth="1"/>
    <col min="4381" max="4381" width="14" style="2" customWidth="1"/>
    <col min="4382" max="4382" width="8.140625" style="2" customWidth="1"/>
    <col min="4383" max="4383" width="11.42578125" style="2" customWidth="1"/>
    <col min="4384" max="4384" width="33.7109375" style="2" customWidth="1"/>
    <col min="4385" max="4385" width="12" style="2" customWidth="1"/>
    <col min="4386" max="4387" width="0.28515625" style="2" customWidth="1"/>
    <col min="4388" max="4388" width="1.42578125" style="2" customWidth="1"/>
    <col min="4389" max="4389" width="0" style="2" hidden="1" customWidth="1"/>
    <col min="4390" max="4608" width="11.42578125" style="2"/>
    <col min="4609" max="4609" width="8" style="2" customWidth="1"/>
    <col min="4610" max="4610" width="13.42578125" style="2" customWidth="1"/>
    <col min="4611" max="4611" width="4.28515625" style="2" customWidth="1"/>
    <col min="4612" max="4612" width="4" style="2" customWidth="1"/>
    <col min="4613" max="4613" width="54" style="2" customWidth="1"/>
    <col min="4614" max="4614" width="7" style="2" customWidth="1"/>
    <col min="4615" max="4615" width="11.28515625" style="2" customWidth="1"/>
    <col min="4616" max="4616" width="11" style="2" customWidth="1"/>
    <col min="4617" max="4618" width="2.140625" style="2" customWidth="1"/>
    <col min="4619" max="4619" width="3.28515625" style="2" customWidth="1"/>
    <col min="4620" max="4621" width="0" style="2" hidden="1" customWidth="1"/>
    <col min="4622" max="4622" width="2.85546875" style="2" customWidth="1"/>
    <col min="4623" max="4623" width="3.28515625" style="2" customWidth="1"/>
    <col min="4624" max="4624" width="1.42578125" style="2" customWidth="1"/>
    <col min="4625" max="4625" width="0" style="2" hidden="1" customWidth="1"/>
    <col min="4626" max="4626" width="6.85546875" style="2" customWidth="1"/>
    <col min="4627" max="4627" width="0" style="2" hidden="1" customWidth="1"/>
    <col min="4628" max="4629" width="6.28515625" style="2" customWidth="1"/>
    <col min="4630" max="4630" width="26.42578125" style="2" customWidth="1"/>
    <col min="4631" max="4631" width="11.7109375" style="2" customWidth="1"/>
    <col min="4632" max="4632" width="25.42578125" style="2" customWidth="1"/>
    <col min="4633" max="4633" width="0" style="2" hidden="1" customWidth="1"/>
    <col min="4634" max="4634" width="16.42578125" style="2" customWidth="1"/>
    <col min="4635" max="4635" width="15.85546875" style="2" customWidth="1"/>
    <col min="4636" max="4636" width="13.140625" style="2" customWidth="1"/>
    <col min="4637" max="4637" width="14" style="2" customWidth="1"/>
    <col min="4638" max="4638" width="8.140625" style="2" customWidth="1"/>
    <col min="4639" max="4639" width="11.42578125" style="2" customWidth="1"/>
    <col min="4640" max="4640" width="33.7109375" style="2" customWidth="1"/>
    <col min="4641" max="4641" width="12" style="2" customWidth="1"/>
    <col min="4642" max="4643" width="0.28515625" style="2" customWidth="1"/>
    <col min="4644" max="4644" width="1.42578125" style="2" customWidth="1"/>
    <col min="4645" max="4645" width="0" style="2" hidden="1" customWidth="1"/>
    <col min="4646" max="4864" width="11.42578125" style="2"/>
    <col min="4865" max="4865" width="8" style="2" customWidth="1"/>
    <col min="4866" max="4866" width="13.42578125" style="2" customWidth="1"/>
    <col min="4867" max="4867" width="4.28515625" style="2" customWidth="1"/>
    <col min="4868" max="4868" width="4" style="2" customWidth="1"/>
    <col min="4869" max="4869" width="54" style="2" customWidth="1"/>
    <col min="4870" max="4870" width="7" style="2" customWidth="1"/>
    <col min="4871" max="4871" width="11.28515625" style="2" customWidth="1"/>
    <col min="4872" max="4872" width="11" style="2" customWidth="1"/>
    <col min="4873" max="4874" width="2.140625" style="2" customWidth="1"/>
    <col min="4875" max="4875" width="3.28515625" style="2" customWidth="1"/>
    <col min="4876" max="4877" width="0" style="2" hidden="1" customWidth="1"/>
    <col min="4878" max="4878" width="2.85546875" style="2" customWidth="1"/>
    <col min="4879" max="4879" width="3.28515625" style="2" customWidth="1"/>
    <col min="4880" max="4880" width="1.42578125" style="2" customWidth="1"/>
    <col min="4881" max="4881" width="0" style="2" hidden="1" customWidth="1"/>
    <col min="4882" max="4882" width="6.85546875" style="2" customWidth="1"/>
    <col min="4883" max="4883" width="0" style="2" hidden="1" customWidth="1"/>
    <col min="4884" max="4885" width="6.28515625" style="2" customWidth="1"/>
    <col min="4886" max="4886" width="26.42578125" style="2" customWidth="1"/>
    <col min="4887" max="4887" width="11.7109375" style="2" customWidth="1"/>
    <col min="4888" max="4888" width="25.42578125" style="2" customWidth="1"/>
    <col min="4889" max="4889" width="0" style="2" hidden="1" customWidth="1"/>
    <col min="4890" max="4890" width="16.42578125" style="2" customWidth="1"/>
    <col min="4891" max="4891" width="15.85546875" style="2" customWidth="1"/>
    <col min="4892" max="4892" width="13.140625" style="2" customWidth="1"/>
    <col min="4893" max="4893" width="14" style="2" customWidth="1"/>
    <col min="4894" max="4894" width="8.140625" style="2" customWidth="1"/>
    <col min="4895" max="4895" width="11.42578125" style="2" customWidth="1"/>
    <col min="4896" max="4896" width="33.7109375" style="2" customWidth="1"/>
    <col min="4897" max="4897" width="12" style="2" customWidth="1"/>
    <col min="4898" max="4899" width="0.28515625" style="2" customWidth="1"/>
    <col min="4900" max="4900" width="1.42578125" style="2" customWidth="1"/>
    <col min="4901" max="4901" width="0" style="2" hidden="1" customWidth="1"/>
    <col min="4902" max="5120" width="11.42578125" style="2"/>
    <col min="5121" max="5121" width="8" style="2" customWidth="1"/>
    <col min="5122" max="5122" width="13.42578125" style="2" customWidth="1"/>
    <col min="5123" max="5123" width="4.28515625" style="2" customWidth="1"/>
    <col min="5124" max="5124" width="4" style="2" customWidth="1"/>
    <col min="5125" max="5125" width="54" style="2" customWidth="1"/>
    <col min="5126" max="5126" width="7" style="2" customWidth="1"/>
    <col min="5127" max="5127" width="11.28515625" style="2" customWidth="1"/>
    <col min="5128" max="5128" width="11" style="2" customWidth="1"/>
    <col min="5129" max="5130" width="2.140625" style="2" customWidth="1"/>
    <col min="5131" max="5131" width="3.28515625" style="2" customWidth="1"/>
    <col min="5132" max="5133" width="0" style="2" hidden="1" customWidth="1"/>
    <col min="5134" max="5134" width="2.85546875" style="2" customWidth="1"/>
    <col min="5135" max="5135" width="3.28515625" style="2" customWidth="1"/>
    <col min="5136" max="5136" width="1.42578125" style="2" customWidth="1"/>
    <col min="5137" max="5137" width="0" style="2" hidden="1" customWidth="1"/>
    <col min="5138" max="5138" width="6.85546875" style="2" customWidth="1"/>
    <col min="5139" max="5139" width="0" style="2" hidden="1" customWidth="1"/>
    <col min="5140" max="5141" width="6.28515625" style="2" customWidth="1"/>
    <col min="5142" max="5142" width="26.42578125" style="2" customWidth="1"/>
    <col min="5143" max="5143" width="11.7109375" style="2" customWidth="1"/>
    <col min="5144" max="5144" width="25.42578125" style="2" customWidth="1"/>
    <col min="5145" max="5145" width="0" style="2" hidden="1" customWidth="1"/>
    <col min="5146" max="5146" width="16.42578125" style="2" customWidth="1"/>
    <col min="5147" max="5147" width="15.85546875" style="2" customWidth="1"/>
    <col min="5148" max="5148" width="13.140625" style="2" customWidth="1"/>
    <col min="5149" max="5149" width="14" style="2" customWidth="1"/>
    <col min="5150" max="5150" width="8.140625" style="2" customWidth="1"/>
    <col min="5151" max="5151" width="11.42578125" style="2" customWidth="1"/>
    <col min="5152" max="5152" width="33.7109375" style="2" customWidth="1"/>
    <col min="5153" max="5153" width="12" style="2" customWidth="1"/>
    <col min="5154" max="5155" width="0.28515625" style="2" customWidth="1"/>
    <col min="5156" max="5156" width="1.42578125" style="2" customWidth="1"/>
    <col min="5157" max="5157" width="0" style="2" hidden="1" customWidth="1"/>
    <col min="5158" max="5376" width="11.42578125" style="2"/>
    <col min="5377" max="5377" width="8" style="2" customWidth="1"/>
    <col min="5378" max="5378" width="13.42578125" style="2" customWidth="1"/>
    <col min="5379" max="5379" width="4.28515625" style="2" customWidth="1"/>
    <col min="5380" max="5380" width="4" style="2" customWidth="1"/>
    <col min="5381" max="5381" width="54" style="2" customWidth="1"/>
    <col min="5382" max="5382" width="7" style="2" customWidth="1"/>
    <col min="5383" max="5383" width="11.28515625" style="2" customWidth="1"/>
    <col min="5384" max="5384" width="11" style="2" customWidth="1"/>
    <col min="5385" max="5386" width="2.140625" style="2" customWidth="1"/>
    <col min="5387" max="5387" width="3.28515625" style="2" customWidth="1"/>
    <col min="5388" max="5389" width="0" style="2" hidden="1" customWidth="1"/>
    <col min="5390" max="5390" width="2.85546875" style="2" customWidth="1"/>
    <col min="5391" max="5391" width="3.28515625" style="2" customWidth="1"/>
    <col min="5392" max="5392" width="1.42578125" style="2" customWidth="1"/>
    <col min="5393" max="5393" width="0" style="2" hidden="1" customWidth="1"/>
    <col min="5394" max="5394" width="6.85546875" style="2" customWidth="1"/>
    <col min="5395" max="5395" width="0" style="2" hidden="1" customWidth="1"/>
    <col min="5396" max="5397" width="6.28515625" style="2" customWidth="1"/>
    <col min="5398" max="5398" width="26.42578125" style="2" customWidth="1"/>
    <col min="5399" max="5399" width="11.7109375" style="2" customWidth="1"/>
    <col min="5400" max="5400" width="25.42578125" style="2" customWidth="1"/>
    <col min="5401" max="5401" width="0" style="2" hidden="1" customWidth="1"/>
    <col min="5402" max="5402" width="16.42578125" style="2" customWidth="1"/>
    <col min="5403" max="5403" width="15.85546875" style="2" customWidth="1"/>
    <col min="5404" max="5404" width="13.140625" style="2" customWidth="1"/>
    <col min="5405" max="5405" width="14" style="2" customWidth="1"/>
    <col min="5406" max="5406" width="8.140625" style="2" customWidth="1"/>
    <col min="5407" max="5407" width="11.42578125" style="2" customWidth="1"/>
    <col min="5408" max="5408" width="33.7109375" style="2" customWidth="1"/>
    <col min="5409" max="5409" width="12" style="2" customWidth="1"/>
    <col min="5410" max="5411" width="0.28515625" style="2" customWidth="1"/>
    <col min="5412" max="5412" width="1.42578125" style="2" customWidth="1"/>
    <col min="5413" max="5413" width="0" style="2" hidden="1" customWidth="1"/>
    <col min="5414" max="5632" width="11.42578125" style="2"/>
    <col min="5633" max="5633" width="8" style="2" customWidth="1"/>
    <col min="5634" max="5634" width="13.42578125" style="2" customWidth="1"/>
    <col min="5635" max="5635" width="4.28515625" style="2" customWidth="1"/>
    <col min="5636" max="5636" width="4" style="2" customWidth="1"/>
    <col min="5637" max="5637" width="54" style="2" customWidth="1"/>
    <col min="5638" max="5638" width="7" style="2" customWidth="1"/>
    <col min="5639" max="5639" width="11.28515625" style="2" customWidth="1"/>
    <col min="5640" max="5640" width="11" style="2" customWidth="1"/>
    <col min="5641" max="5642" width="2.140625" style="2" customWidth="1"/>
    <col min="5643" max="5643" width="3.28515625" style="2" customWidth="1"/>
    <col min="5644" max="5645" width="0" style="2" hidden="1" customWidth="1"/>
    <col min="5646" max="5646" width="2.85546875" style="2" customWidth="1"/>
    <col min="5647" max="5647" width="3.28515625" style="2" customWidth="1"/>
    <col min="5648" max="5648" width="1.42578125" style="2" customWidth="1"/>
    <col min="5649" max="5649" width="0" style="2" hidden="1" customWidth="1"/>
    <col min="5650" max="5650" width="6.85546875" style="2" customWidth="1"/>
    <col min="5651" max="5651" width="0" style="2" hidden="1" customWidth="1"/>
    <col min="5652" max="5653" width="6.28515625" style="2" customWidth="1"/>
    <col min="5654" max="5654" width="26.42578125" style="2" customWidth="1"/>
    <col min="5655" max="5655" width="11.7109375" style="2" customWidth="1"/>
    <col min="5656" max="5656" width="25.42578125" style="2" customWidth="1"/>
    <col min="5657" max="5657" width="0" style="2" hidden="1" customWidth="1"/>
    <col min="5658" max="5658" width="16.42578125" style="2" customWidth="1"/>
    <col min="5659" max="5659" width="15.85546875" style="2" customWidth="1"/>
    <col min="5660" max="5660" width="13.140625" style="2" customWidth="1"/>
    <col min="5661" max="5661" width="14" style="2" customWidth="1"/>
    <col min="5662" max="5662" width="8.140625" style="2" customWidth="1"/>
    <col min="5663" max="5663" width="11.42578125" style="2" customWidth="1"/>
    <col min="5664" max="5664" width="33.7109375" style="2" customWidth="1"/>
    <col min="5665" max="5665" width="12" style="2" customWidth="1"/>
    <col min="5666" max="5667" width="0.28515625" style="2" customWidth="1"/>
    <col min="5668" max="5668" width="1.42578125" style="2" customWidth="1"/>
    <col min="5669" max="5669" width="0" style="2" hidden="1" customWidth="1"/>
    <col min="5670" max="5888" width="11.42578125" style="2"/>
    <col min="5889" max="5889" width="8" style="2" customWidth="1"/>
    <col min="5890" max="5890" width="13.42578125" style="2" customWidth="1"/>
    <col min="5891" max="5891" width="4.28515625" style="2" customWidth="1"/>
    <col min="5892" max="5892" width="4" style="2" customWidth="1"/>
    <col min="5893" max="5893" width="54" style="2" customWidth="1"/>
    <col min="5894" max="5894" width="7" style="2" customWidth="1"/>
    <col min="5895" max="5895" width="11.28515625" style="2" customWidth="1"/>
    <col min="5896" max="5896" width="11" style="2" customWidth="1"/>
    <col min="5897" max="5898" width="2.140625" style="2" customWidth="1"/>
    <col min="5899" max="5899" width="3.28515625" style="2" customWidth="1"/>
    <col min="5900" max="5901" width="0" style="2" hidden="1" customWidth="1"/>
    <col min="5902" max="5902" width="2.85546875" style="2" customWidth="1"/>
    <col min="5903" max="5903" width="3.28515625" style="2" customWidth="1"/>
    <col min="5904" max="5904" width="1.42578125" style="2" customWidth="1"/>
    <col min="5905" max="5905" width="0" style="2" hidden="1" customWidth="1"/>
    <col min="5906" max="5906" width="6.85546875" style="2" customWidth="1"/>
    <col min="5907" max="5907" width="0" style="2" hidden="1" customWidth="1"/>
    <col min="5908" max="5909" width="6.28515625" style="2" customWidth="1"/>
    <col min="5910" max="5910" width="26.42578125" style="2" customWidth="1"/>
    <col min="5911" max="5911" width="11.7109375" style="2" customWidth="1"/>
    <col min="5912" max="5912" width="25.42578125" style="2" customWidth="1"/>
    <col min="5913" max="5913" width="0" style="2" hidden="1" customWidth="1"/>
    <col min="5914" max="5914" width="16.42578125" style="2" customWidth="1"/>
    <col min="5915" max="5915" width="15.85546875" style="2" customWidth="1"/>
    <col min="5916" max="5916" width="13.140625" style="2" customWidth="1"/>
    <col min="5917" max="5917" width="14" style="2" customWidth="1"/>
    <col min="5918" max="5918" width="8.140625" style="2" customWidth="1"/>
    <col min="5919" max="5919" width="11.42578125" style="2" customWidth="1"/>
    <col min="5920" max="5920" width="33.7109375" style="2" customWidth="1"/>
    <col min="5921" max="5921" width="12" style="2" customWidth="1"/>
    <col min="5922" max="5923" width="0.28515625" style="2" customWidth="1"/>
    <col min="5924" max="5924" width="1.42578125" style="2" customWidth="1"/>
    <col min="5925" max="5925" width="0" style="2" hidden="1" customWidth="1"/>
    <col min="5926" max="6144" width="11.42578125" style="2"/>
    <col min="6145" max="6145" width="8" style="2" customWidth="1"/>
    <col min="6146" max="6146" width="13.42578125" style="2" customWidth="1"/>
    <col min="6147" max="6147" width="4.28515625" style="2" customWidth="1"/>
    <col min="6148" max="6148" width="4" style="2" customWidth="1"/>
    <col min="6149" max="6149" width="54" style="2" customWidth="1"/>
    <col min="6150" max="6150" width="7" style="2" customWidth="1"/>
    <col min="6151" max="6151" width="11.28515625" style="2" customWidth="1"/>
    <col min="6152" max="6152" width="11" style="2" customWidth="1"/>
    <col min="6153" max="6154" width="2.140625" style="2" customWidth="1"/>
    <col min="6155" max="6155" width="3.28515625" style="2" customWidth="1"/>
    <col min="6156" max="6157" width="0" style="2" hidden="1" customWidth="1"/>
    <col min="6158" max="6158" width="2.85546875" style="2" customWidth="1"/>
    <col min="6159" max="6159" width="3.28515625" style="2" customWidth="1"/>
    <col min="6160" max="6160" width="1.42578125" style="2" customWidth="1"/>
    <col min="6161" max="6161" width="0" style="2" hidden="1" customWidth="1"/>
    <col min="6162" max="6162" width="6.85546875" style="2" customWidth="1"/>
    <col min="6163" max="6163" width="0" style="2" hidden="1" customWidth="1"/>
    <col min="6164" max="6165" width="6.28515625" style="2" customWidth="1"/>
    <col min="6166" max="6166" width="26.42578125" style="2" customWidth="1"/>
    <col min="6167" max="6167" width="11.7109375" style="2" customWidth="1"/>
    <col min="6168" max="6168" width="25.42578125" style="2" customWidth="1"/>
    <col min="6169" max="6169" width="0" style="2" hidden="1" customWidth="1"/>
    <col min="6170" max="6170" width="16.42578125" style="2" customWidth="1"/>
    <col min="6171" max="6171" width="15.85546875" style="2" customWidth="1"/>
    <col min="6172" max="6172" width="13.140625" style="2" customWidth="1"/>
    <col min="6173" max="6173" width="14" style="2" customWidth="1"/>
    <col min="6174" max="6174" width="8.140625" style="2" customWidth="1"/>
    <col min="6175" max="6175" width="11.42578125" style="2" customWidth="1"/>
    <col min="6176" max="6176" width="33.7109375" style="2" customWidth="1"/>
    <col min="6177" max="6177" width="12" style="2" customWidth="1"/>
    <col min="6178" max="6179" width="0.28515625" style="2" customWidth="1"/>
    <col min="6180" max="6180" width="1.42578125" style="2" customWidth="1"/>
    <col min="6181" max="6181" width="0" style="2" hidden="1" customWidth="1"/>
    <col min="6182" max="6400" width="11.42578125" style="2"/>
    <col min="6401" max="6401" width="8" style="2" customWidth="1"/>
    <col min="6402" max="6402" width="13.42578125" style="2" customWidth="1"/>
    <col min="6403" max="6403" width="4.28515625" style="2" customWidth="1"/>
    <col min="6404" max="6404" width="4" style="2" customWidth="1"/>
    <col min="6405" max="6405" width="54" style="2" customWidth="1"/>
    <col min="6406" max="6406" width="7" style="2" customWidth="1"/>
    <col min="6407" max="6407" width="11.28515625" style="2" customWidth="1"/>
    <col min="6408" max="6408" width="11" style="2" customWidth="1"/>
    <col min="6409" max="6410" width="2.140625" style="2" customWidth="1"/>
    <col min="6411" max="6411" width="3.28515625" style="2" customWidth="1"/>
    <col min="6412" max="6413" width="0" style="2" hidden="1" customWidth="1"/>
    <col min="6414" max="6414" width="2.85546875" style="2" customWidth="1"/>
    <col min="6415" max="6415" width="3.28515625" style="2" customWidth="1"/>
    <col min="6416" max="6416" width="1.42578125" style="2" customWidth="1"/>
    <col min="6417" max="6417" width="0" style="2" hidden="1" customWidth="1"/>
    <col min="6418" max="6418" width="6.85546875" style="2" customWidth="1"/>
    <col min="6419" max="6419" width="0" style="2" hidden="1" customWidth="1"/>
    <col min="6420" max="6421" width="6.28515625" style="2" customWidth="1"/>
    <col min="6422" max="6422" width="26.42578125" style="2" customWidth="1"/>
    <col min="6423" max="6423" width="11.7109375" style="2" customWidth="1"/>
    <col min="6424" max="6424" width="25.42578125" style="2" customWidth="1"/>
    <col min="6425" max="6425" width="0" style="2" hidden="1" customWidth="1"/>
    <col min="6426" max="6426" width="16.42578125" style="2" customWidth="1"/>
    <col min="6427" max="6427" width="15.85546875" style="2" customWidth="1"/>
    <col min="6428" max="6428" width="13.140625" style="2" customWidth="1"/>
    <col min="6429" max="6429" width="14" style="2" customWidth="1"/>
    <col min="6430" max="6430" width="8.140625" style="2" customWidth="1"/>
    <col min="6431" max="6431" width="11.42578125" style="2" customWidth="1"/>
    <col min="6432" max="6432" width="33.7109375" style="2" customWidth="1"/>
    <col min="6433" max="6433" width="12" style="2" customWidth="1"/>
    <col min="6434" max="6435" width="0.28515625" style="2" customWidth="1"/>
    <col min="6436" max="6436" width="1.42578125" style="2" customWidth="1"/>
    <col min="6437" max="6437" width="0" style="2" hidden="1" customWidth="1"/>
    <col min="6438" max="6656" width="11.42578125" style="2"/>
    <col min="6657" max="6657" width="8" style="2" customWidth="1"/>
    <col min="6658" max="6658" width="13.42578125" style="2" customWidth="1"/>
    <col min="6659" max="6659" width="4.28515625" style="2" customWidth="1"/>
    <col min="6660" max="6660" width="4" style="2" customWidth="1"/>
    <col min="6661" max="6661" width="54" style="2" customWidth="1"/>
    <col min="6662" max="6662" width="7" style="2" customWidth="1"/>
    <col min="6663" max="6663" width="11.28515625" style="2" customWidth="1"/>
    <col min="6664" max="6664" width="11" style="2" customWidth="1"/>
    <col min="6665" max="6666" width="2.140625" style="2" customWidth="1"/>
    <col min="6667" max="6667" width="3.28515625" style="2" customWidth="1"/>
    <col min="6668" max="6669" width="0" style="2" hidden="1" customWidth="1"/>
    <col min="6670" max="6670" width="2.85546875" style="2" customWidth="1"/>
    <col min="6671" max="6671" width="3.28515625" style="2" customWidth="1"/>
    <col min="6672" max="6672" width="1.42578125" style="2" customWidth="1"/>
    <col min="6673" max="6673" width="0" style="2" hidden="1" customWidth="1"/>
    <col min="6674" max="6674" width="6.85546875" style="2" customWidth="1"/>
    <col min="6675" max="6675" width="0" style="2" hidden="1" customWidth="1"/>
    <col min="6676" max="6677" width="6.28515625" style="2" customWidth="1"/>
    <col min="6678" max="6678" width="26.42578125" style="2" customWidth="1"/>
    <col min="6679" max="6679" width="11.7109375" style="2" customWidth="1"/>
    <col min="6680" max="6680" width="25.42578125" style="2" customWidth="1"/>
    <col min="6681" max="6681" width="0" style="2" hidden="1" customWidth="1"/>
    <col min="6682" max="6682" width="16.42578125" style="2" customWidth="1"/>
    <col min="6683" max="6683" width="15.85546875" style="2" customWidth="1"/>
    <col min="6684" max="6684" width="13.140625" style="2" customWidth="1"/>
    <col min="6685" max="6685" width="14" style="2" customWidth="1"/>
    <col min="6686" max="6686" width="8.140625" style="2" customWidth="1"/>
    <col min="6687" max="6687" width="11.42578125" style="2" customWidth="1"/>
    <col min="6688" max="6688" width="33.7109375" style="2" customWidth="1"/>
    <col min="6689" max="6689" width="12" style="2" customWidth="1"/>
    <col min="6690" max="6691" width="0.28515625" style="2" customWidth="1"/>
    <col min="6692" max="6692" width="1.42578125" style="2" customWidth="1"/>
    <col min="6693" max="6693" width="0" style="2" hidden="1" customWidth="1"/>
    <col min="6694" max="6912" width="11.42578125" style="2"/>
    <col min="6913" max="6913" width="8" style="2" customWidth="1"/>
    <col min="6914" max="6914" width="13.42578125" style="2" customWidth="1"/>
    <col min="6915" max="6915" width="4.28515625" style="2" customWidth="1"/>
    <col min="6916" max="6916" width="4" style="2" customWidth="1"/>
    <col min="6917" max="6917" width="54" style="2" customWidth="1"/>
    <col min="6918" max="6918" width="7" style="2" customWidth="1"/>
    <col min="6919" max="6919" width="11.28515625" style="2" customWidth="1"/>
    <col min="6920" max="6920" width="11" style="2" customWidth="1"/>
    <col min="6921" max="6922" width="2.140625" style="2" customWidth="1"/>
    <col min="6923" max="6923" width="3.28515625" style="2" customWidth="1"/>
    <col min="6924" max="6925" width="0" style="2" hidden="1" customWidth="1"/>
    <col min="6926" max="6926" width="2.85546875" style="2" customWidth="1"/>
    <col min="6927" max="6927" width="3.28515625" style="2" customWidth="1"/>
    <col min="6928" max="6928" width="1.42578125" style="2" customWidth="1"/>
    <col min="6929" max="6929" width="0" style="2" hidden="1" customWidth="1"/>
    <col min="6930" max="6930" width="6.85546875" style="2" customWidth="1"/>
    <col min="6931" max="6931" width="0" style="2" hidden="1" customWidth="1"/>
    <col min="6932" max="6933" width="6.28515625" style="2" customWidth="1"/>
    <col min="6934" max="6934" width="26.42578125" style="2" customWidth="1"/>
    <col min="6935" max="6935" width="11.7109375" style="2" customWidth="1"/>
    <col min="6936" max="6936" width="25.42578125" style="2" customWidth="1"/>
    <col min="6937" max="6937" width="0" style="2" hidden="1" customWidth="1"/>
    <col min="6938" max="6938" width="16.42578125" style="2" customWidth="1"/>
    <col min="6939" max="6939" width="15.85546875" style="2" customWidth="1"/>
    <col min="6940" max="6940" width="13.140625" style="2" customWidth="1"/>
    <col min="6941" max="6941" width="14" style="2" customWidth="1"/>
    <col min="6942" max="6942" width="8.140625" style="2" customWidth="1"/>
    <col min="6943" max="6943" width="11.42578125" style="2" customWidth="1"/>
    <col min="6944" max="6944" width="33.7109375" style="2" customWidth="1"/>
    <col min="6945" max="6945" width="12" style="2" customWidth="1"/>
    <col min="6946" max="6947" width="0.28515625" style="2" customWidth="1"/>
    <col min="6948" max="6948" width="1.42578125" style="2" customWidth="1"/>
    <col min="6949" max="6949" width="0" style="2" hidden="1" customWidth="1"/>
    <col min="6950" max="7168" width="11.42578125" style="2"/>
    <col min="7169" max="7169" width="8" style="2" customWidth="1"/>
    <col min="7170" max="7170" width="13.42578125" style="2" customWidth="1"/>
    <col min="7171" max="7171" width="4.28515625" style="2" customWidth="1"/>
    <col min="7172" max="7172" width="4" style="2" customWidth="1"/>
    <col min="7173" max="7173" width="54" style="2" customWidth="1"/>
    <col min="7174" max="7174" width="7" style="2" customWidth="1"/>
    <col min="7175" max="7175" width="11.28515625" style="2" customWidth="1"/>
    <col min="7176" max="7176" width="11" style="2" customWidth="1"/>
    <col min="7177" max="7178" width="2.140625" style="2" customWidth="1"/>
    <col min="7179" max="7179" width="3.28515625" style="2" customWidth="1"/>
    <col min="7180" max="7181" width="0" style="2" hidden="1" customWidth="1"/>
    <col min="7182" max="7182" width="2.85546875" style="2" customWidth="1"/>
    <col min="7183" max="7183" width="3.28515625" style="2" customWidth="1"/>
    <col min="7184" max="7184" width="1.42578125" style="2" customWidth="1"/>
    <col min="7185" max="7185" width="0" style="2" hidden="1" customWidth="1"/>
    <col min="7186" max="7186" width="6.85546875" style="2" customWidth="1"/>
    <col min="7187" max="7187" width="0" style="2" hidden="1" customWidth="1"/>
    <col min="7188" max="7189" width="6.28515625" style="2" customWidth="1"/>
    <col min="7190" max="7190" width="26.42578125" style="2" customWidth="1"/>
    <col min="7191" max="7191" width="11.7109375" style="2" customWidth="1"/>
    <col min="7192" max="7192" width="25.42578125" style="2" customWidth="1"/>
    <col min="7193" max="7193" width="0" style="2" hidden="1" customWidth="1"/>
    <col min="7194" max="7194" width="16.42578125" style="2" customWidth="1"/>
    <col min="7195" max="7195" width="15.85546875" style="2" customWidth="1"/>
    <col min="7196" max="7196" width="13.140625" style="2" customWidth="1"/>
    <col min="7197" max="7197" width="14" style="2" customWidth="1"/>
    <col min="7198" max="7198" width="8.140625" style="2" customWidth="1"/>
    <col min="7199" max="7199" width="11.42578125" style="2" customWidth="1"/>
    <col min="7200" max="7200" width="33.7109375" style="2" customWidth="1"/>
    <col min="7201" max="7201" width="12" style="2" customWidth="1"/>
    <col min="7202" max="7203" width="0.28515625" style="2" customWidth="1"/>
    <col min="7204" max="7204" width="1.42578125" style="2" customWidth="1"/>
    <col min="7205" max="7205" width="0" style="2" hidden="1" customWidth="1"/>
    <col min="7206" max="7424" width="11.42578125" style="2"/>
    <col min="7425" max="7425" width="8" style="2" customWidth="1"/>
    <col min="7426" max="7426" width="13.42578125" style="2" customWidth="1"/>
    <col min="7427" max="7427" width="4.28515625" style="2" customWidth="1"/>
    <col min="7428" max="7428" width="4" style="2" customWidth="1"/>
    <col min="7429" max="7429" width="54" style="2" customWidth="1"/>
    <col min="7430" max="7430" width="7" style="2" customWidth="1"/>
    <col min="7431" max="7431" width="11.28515625" style="2" customWidth="1"/>
    <col min="7432" max="7432" width="11" style="2" customWidth="1"/>
    <col min="7433" max="7434" width="2.140625" style="2" customWidth="1"/>
    <col min="7435" max="7435" width="3.28515625" style="2" customWidth="1"/>
    <col min="7436" max="7437" width="0" style="2" hidden="1" customWidth="1"/>
    <col min="7438" max="7438" width="2.85546875" style="2" customWidth="1"/>
    <col min="7439" max="7439" width="3.28515625" style="2" customWidth="1"/>
    <col min="7440" max="7440" width="1.42578125" style="2" customWidth="1"/>
    <col min="7441" max="7441" width="0" style="2" hidden="1" customWidth="1"/>
    <col min="7442" max="7442" width="6.85546875" style="2" customWidth="1"/>
    <col min="7443" max="7443" width="0" style="2" hidden="1" customWidth="1"/>
    <col min="7444" max="7445" width="6.28515625" style="2" customWidth="1"/>
    <col min="7446" max="7446" width="26.42578125" style="2" customWidth="1"/>
    <col min="7447" max="7447" width="11.7109375" style="2" customWidth="1"/>
    <col min="7448" max="7448" width="25.42578125" style="2" customWidth="1"/>
    <col min="7449" max="7449" width="0" style="2" hidden="1" customWidth="1"/>
    <col min="7450" max="7450" width="16.42578125" style="2" customWidth="1"/>
    <col min="7451" max="7451" width="15.85546875" style="2" customWidth="1"/>
    <col min="7452" max="7452" width="13.140625" style="2" customWidth="1"/>
    <col min="7453" max="7453" width="14" style="2" customWidth="1"/>
    <col min="7454" max="7454" width="8.140625" style="2" customWidth="1"/>
    <col min="7455" max="7455" width="11.42578125" style="2" customWidth="1"/>
    <col min="7456" max="7456" width="33.7109375" style="2" customWidth="1"/>
    <col min="7457" max="7457" width="12" style="2" customWidth="1"/>
    <col min="7458" max="7459" width="0.28515625" style="2" customWidth="1"/>
    <col min="7460" max="7460" width="1.42578125" style="2" customWidth="1"/>
    <col min="7461" max="7461" width="0" style="2" hidden="1" customWidth="1"/>
    <col min="7462" max="7680" width="11.42578125" style="2"/>
    <col min="7681" max="7681" width="8" style="2" customWidth="1"/>
    <col min="7682" max="7682" width="13.42578125" style="2" customWidth="1"/>
    <col min="7683" max="7683" width="4.28515625" style="2" customWidth="1"/>
    <col min="7684" max="7684" width="4" style="2" customWidth="1"/>
    <col min="7685" max="7685" width="54" style="2" customWidth="1"/>
    <col min="7686" max="7686" width="7" style="2" customWidth="1"/>
    <col min="7687" max="7687" width="11.28515625" style="2" customWidth="1"/>
    <col min="7688" max="7688" width="11" style="2" customWidth="1"/>
    <col min="7689" max="7690" width="2.140625" style="2" customWidth="1"/>
    <col min="7691" max="7691" width="3.28515625" style="2" customWidth="1"/>
    <col min="7692" max="7693" width="0" style="2" hidden="1" customWidth="1"/>
    <col min="7694" max="7694" width="2.85546875" style="2" customWidth="1"/>
    <col min="7695" max="7695" width="3.28515625" style="2" customWidth="1"/>
    <col min="7696" max="7696" width="1.42578125" style="2" customWidth="1"/>
    <col min="7697" max="7697" width="0" style="2" hidden="1" customWidth="1"/>
    <col min="7698" max="7698" width="6.85546875" style="2" customWidth="1"/>
    <col min="7699" max="7699" width="0" style="2" hidden="1" customWidth="1"/>
    <col min="7700" max="7701" width="6.28515625" style="2" customWidth="1"/>
    <col min="7702" max="7702" width="26.42578125" style="2" customWidth="1"/>
    <col min="7703" max="7703" width="11.7109375" style="2" customWidth="1"/>
    <col min="7704" max="7704" width="25.42578125" style="2" customWidth="1"/>
    <col min="7705" max="7705" width="0" style="2" hidden="1" customWidth="1"/>
    <col min="7706" max="7706" width="16.42578125" style="2" customWidth="1"/>
    <col min="7707" max="7707" width="15.85546875" style="2" customWidth="1"/>
    <col min="7708" max="7708" width="13.140625" style="2" customWidth="1"/>
    <col min="7709" max="7709" width="14" style="2" customWidth="1"/>
    <col min="7710" max="7710" width="8.140625" style="2" customWidth="1"/>
    <col min="7711" max="7711" width="11.42578125" style="2" customWidth="1"/>
    <col min="7712" max="7712" width="33.7109375" style="2" customWidth="1"/>
    <col min="7713" max="7713" width="12" style="2" customWidth="1"/>
    <col min="7714" max="7715" width="0.28515625" style="2" customWidth="1"/>
    <col min="7716" max="7716" width="1.42578125" style="2" customWidth="1"/>
    <col min="7717" max="7717" width="0" style="2" hidden="1" customWidth="1"/>
    <col min="7718" max="7936" width="11.42578125" style="2"/>
    <col min="7937" max="7937" width="8" style="2" customWidth="1"/>
    <col min="7938" max="7938" width="13.42578125" style="2" customWidth="1"/>
    <col min="7939" max="7939" width="4.28515625" style="2" customWidth="1"/>
    <col min="7940" max="7940" width="4" style="2" customWidth="1"/>
    <col min="7941" max="7941" width="54" style="2" customWidth="1"/>
    <col min="7942" max="7942" width="7" style="2" customWidth="1"/>
    <col min="7943" max="7943" width="11.28515625" style="2" customWidth="1"/>
    <col min="7944" max="7944" width="11" style="2" customWidth="1"/>
    <col min="7945" max="7946" width="2.140625" style="2" customWidth="1"/>
    <col min="7947" max="7947" width="3.28515625" style="2" customWidth="1"/>
    <col min="7948" max="7949" width="0" style="2" hidden="1" customWidth="1"/>
    <col min="7950" max="7950" width="2.85546875" style="2" customWidth="1"/>
    <col min="7951" max="7951" width="3.28515625" style="2" customWidth="1"/>
    <col min="7952" max="7952" width="1.42578125" style="2" customWidth="1"/>
    <col min="7953" max="7953" width="0" style="2" hidden="1" customWidth="1"/>
    <col min="7954" max="7954" width="6.85546875" style="2" customWidth="1"/>
    <col min="7955" max="7955" width="0" style="2" hidden="1" customWidth="1"/>
    <col min="7956" max="7957" width="6.28515625" style="2" customWidth="1"/>
    <col min="7958" max="7958" width="26.42578125" style="2" customWidth="1"/>
    <col min="7959" max="7959" width="11.7109375" style="2" customWidth="1"/>
    <col min="7960" max="7960" width="25.42578125" style="2" customWidth="1"/>
    <col min="7961" max="7961" width="0" style="2" hidden="1" customWidth="1"/>
    <col min="7962" max="7962" width="16.42578125" style="2" customWidth="1"/>
    <col min="7963" max="7963" width="15.85546875" style="2" customWidth="1"/>
    <col min="7964" max="7964" width="13.140625" style="2" customWidth="1"/>
    <col min="7965" max="7965" width="14" style="2" customWidth="1"/>
    <col min="7966" max="7966" width="8.140625" style="2" customWidth="1"/>
    <col min="7967" max="7967" width="11.42578125" style="2" customWidth="1"/>
    <col min="7968" max="7968" width="33.7109375" style="2" customWidth="1"/>
    <col min="7969" max="7969" width="12" style="2" customWidth="1"/>
    <col min="7970" max="7971" width="0.28515625" style="2" customWidth="1"/>
    <col min="7972" max="7972" width="1.42578125" style="2" customWidth="1"/>
    <col min="7973" max="7973" width="0" style="2" hidden="1" customWidth="1"/>
    <col min="7974" max="8192" width="11.42578125" style="2"/>
    <col min="8193" max="8193" width="8" style="2" customWidth="1"/>
    <col min="8194" max="8194" width="13.42578125" style="2" customWidth="1"/>
    <col min="8195" max="8195" width="4.28515625" style="2" customWidth="1"/>
    <col min="8196" max="8196" width="4" style="2" customWidth="1"/>
    <col min="8197" max="8197" width="54" style="2" customWidth="1"/>
    <col min="8198" max="8198" width="7" style="2" customWidth="1"/>
    <col min="8199" max="8199" width="11.28515625" style="2" customWidth="1"/>
    <col min="8200" max="8200" width="11" style="2" customWidth="1"/>
    <col min="8201" max="8202" width="2.140625" style="2" customWidth="1"/>
    <col min="8203" max="8203" width="3.28515625" style="2" customWidth="1"/>
    <col min="8204" max="8205" width="0" style="2" hidden="1" customWidth="1"/>
    <col min="8206" max="8206" width="2.85546875" style="2" customWidth="1"/>
    <col min="8207" max="8207" width="3.28515625" style="2" customWidth="1"/>
    <col min="8208" max="8208" width="1.42578125" style="2" customWidth="1"/>
    <col min="8209" max="8209" width="0" style="2" hidden="1" customWidth="1"/>
    <col min="8210" max="8210" width="6.85546875" style="2" customWidth="1"/>
    <col min="8211" max="8211" width="0" style="2" hidden="1" customWidth="1"/>
    <col min="8212" max="8213" width="6.28515625" style="2" customWidth="1"/>
    <col min="8214" max="8214" width="26.42578125" style="2" customWidth="1"/>
    <col min="8215" max="8215" width="11.7109375" style="2" customWidth="1"/>
    <col min="8216" max="8216" width="25.42578125" style="2" customWidth="1"/>
    <col min="8217" max="8217" width="0" style="2" hidden="1" customWidth="1"/>
    <col min="8218" max="8218" width="16.42578125" style="2" customWidth="1"/>
    <col min="8219" max="8219" width="15.85546875" style="2" customWidth="1"/>
    <col min="8220" max="8220" width="13.140625" style="2" customWidth="1"/>
    <col min="8221" max="8221" width="14" style="2" customWidth="1"/>
    <col min="8222" max="8222" width="8.140625" style="2" customWidth="1"/>
    <col min="8223" max="8223" width="11.42578125" style="2" customWidth="1"/>
    <col min="8224" max="8224" width="33.7109375" style="2" customWidth="1"/>
    <col min="8225" max="8225" width="12" style="2" customWidth="1"/>
    <col min="8226" max="8227" width="0.28515625" style="2" customWidth="1"/>
    <col min="8228" max="8228" width="1.42578125" style="2" customWidth="1"/>
    <col min="8229" max="8229" width="0" style="2" hidden="1" customWidth="1"/>
    <col min="8230" max="8448" width="11.42578125" style="2"/>
    <col min="8449" max="8449" width="8" style="2" customWidth="1"/>
    <col min="8450" max="8450" width="13.42578125" style="2" customWidth="1"/>
    <col min="8451" max="8451" width="4.28515625" style="2" customWidth="1"/>
    <col min="8452" max="8452" width="4" style="2" customWidth="1"/>
    <col min="8453" max="8453" width="54" style="2" customWidth="1"/>
    <col min="8454" max="8454" width="7" style="2" customWidth="1"/>
    <col min="8455" max="8455" width="11.28515625" style="2" customWidth="1"/>
    <col min="8456" max="8456" width="11" style="2" customWidth="1"/>
    <col min="8457" max="8458" width="2.140625" style="2" customWidth="1"/>
    <col min="8459" max="8459" width="3.28515625" style="2" customWidth="1"/>
    <col min="8460" max="8461" width="0" style="2" hidden="1" customWidth="1"/>
    <col min="8462" max="8462" width="2.85546875" style="2" customWidth="1"/>
    <col min="8463" max="8463" width="3.28515625" style="2" customWidth="1"/>
    <col min="8464" max="8464" width="1.42578125" style="2" customWidth="1"/>
    <col min="8465" max="8465" width="0" style="2" hidden="1" customWidth="1"/>
    <col min="8466" max="8466" width="6.85546875" style="2" customWidth="1"/>
    <col min="8467" max="8467" width="0" style="2" hidden="1" customWidth="1"/>
    <col min="8468" max="8469" width="6.28515625" style="2" customWidth="1"/>
    <col min="8470" max="8470" width="26.42578125" style="2" customWidth="1"/>
    <col min="8471" max="8471" width="11.7109375" style="2" customWidth="1"/>
    <col min="8472" max="8472" width="25.42578125" style="2" customWidth="1"/>
    <col min="8473" max="8473" width="0" style="2" hidden="1" customWidth="1"/>
    <col min="8474" max="8474" width="16.42578125" style="2" customWidth="1"/>
    <col min="8475" max="8475" width="15.85546875" style="2" customWidth="1"/>
    <col min="8476" max="8476" width="13.140625" style="2" customWidth="1"/>
    <col min="8477" max="8477" width="14" style="2" customWidth="1"/>
    <col min="8478" max="8478" width="8.140625" style="2" customWidth="1"/>
    <col min="8479" max="8479" width="11.42578125" style="2" customWidth="1"/>
    <col min="8480" max="8480" width="33.7109375" style="2" customWidth="1"/>
    <col min="8481" max="8481" width="12" style="2" customWidth="1"/>
    <col min="8482" max="8483" width="0.28515625" style="2" customWidth="1"/>
    <col min="8484" max="8484" width="1.42578125" style="2" customWidth="1"/>
    <col min="8485" max="8485" width="0" style="2" hidden="1" customWidth="1"/>
    <col min="8486" max="8704" width="11.42578125" style="2"/>
    <col min="8705" max="8705" width="8" style="2" customWidth="1"/>
    <col min="8706" max="8706" width="13.42578125" style="2" customWidth="1"/>
    <col min="8707" max="8707" width="4.28515625" style="2" customWidth="1"/>
    <col min="8708" max="8708" width="4" style="2" customWidth="1"/>
    <col min="8709" max="8709" width="54" style="2" customWidth="1"/>
    <col min="8710" max="8710" width="7" style="2" customWidth="1"/>
    <col min="8711" max="8711" width="11.28515625" style="2" customWidth="1"/>
    <col min="8712" max="8712" width="11" style="2" customWidth="1"/>
    <col min="8713" max="8714" width="2.140625" style="2" customWidth="1"/>
    <col min="8715" max="8715" width="3.28515625" style="2" customWidth="1"/>
    <col min="8716" max="8717" width="0" style="2" hidden="1" customWidth="1"/>
    <col min="8718" max="8718" width="2.85546875" style="2" customWidth="1"/>
    <col min="8719" max="8719" width="3.28515625" style="2" customWidth="1"/>
    <col min="8720" max="8720" width="1.42578125" style="2" customWidth="1"/>
    <col min="8721" max="8721" width="0" style="2" hidden="1" customWidth="1"/>
    <col min="8722" max="8722" width="6.85546875" style="2" customWidth="1"/>
    <col min="8723" max="8723" width="0" style="2" hidden="1" customWidth="1"/>
    <col min="8724" max="8725" width="6.28515625" style="2" customWidth="1"/>
    <col min="8726" max="8726" width="26.42578125" style="2" customWidth="1"/>
    <col min="8727" max="8727" width="11.7109375" style="2" customWidth="1"/>
    <col min="8728" max="8728" width="25.42578125" style="2" customWidth="1"/>
    <col min="8729" max="8729" width="0" style="2" hidden="1" customWidth="1"/>
    <col min="8730" max="8730" width="16.42578125" style="2" customWidth="1"/>
    <col min="8731" max="8731" width="15.85546875" style="2" customWidth="1"/>
    <col min="8732" max="8732" width="13.140625" style="2" customWidth="1"/>
    <col min="8733" max="8733" width="14" style="2" customWidth="1"/>
    <col min="8734" max="8734" width="8.140625" style="2" customWidth="1"/>
    <col min="8735" max="8735" width="11.42578125" style="2" customWidth="1"/>
    <col min="8736" max="8736" width="33.7109375" style="2" customWidth="1"/>
    <col min="8737" max="8737" width="12" style="2" customWidth="1"/>
    <col min="8738" max="8739" width="0.28515625" style="2" customWidth="1"/>
    <col min="8740" max="8740" width="1.42578125" style="2" customWidth="1"/>
    <col min="8741" max="8741" width="0" style="2" hidden="1" customWidth="1"/>
    <col min="8742" max="8960" width="11.42578125" style="2"/>
    <col min="8961" max="8961" width="8" style="2" customWidth="1"/>
    <col min="8962" max="8962" width="13.42578125" style="2" customWidth="1"/>
    <col min="8963" max="8963" width="4.28515625" style="2" customWidth="1"/>
    <col min="8964" max="8964" width="4" style="2" customWidth="1"/>
    <col min="8965" max="8965" width="54" style="2" customWidth="1"/>
    <col min="8966" max="8966" width="7" style="2" customWidth="1"/>
    <col min="8967" max="8967" width="11.28515625" style="2" customWidth="1"/>
    <col min="8968" max="8968" width="11" style="2" customWidth="1"/>
    <col min="8969" max="8970" width="2.140625" style="2" customWidth="1"/>
    <col min="8971" max="8971" width="3.28515625" style="2" customWidth="1"/>
    <col min="8972" max="8973" width="0" style="2" hidden="1" customWidth="1"/>
    <col min="8974" max="8974" width="2.85546875" style="2" customWidth="1"/>
    <col min="8975" max="8975" width="3.28515625" style="2" customWidth="1"/>
    <col min="8976" max="8976" width="1.42578125" style="2" customWidth="1"/>
    <col min="8977" max="8977" width="0" style="2" hidden="1" customWidth="1"/>
    <col min="8978" max="8978" width="6.85546875" style="2" customWidth="1"/>
    <col min="8979" max="8979" width="0" style="2" hidden="1" customWidth="1"/>
    <col min="8980" max="8981" width="6.28515625" style="2" customWidth="1"/>
    <col min="8982" max="8982" width="26.42578125" style="2" customWidth="1"/>
    <col min="8983" max="8983" width="11.7109375" style="2" customWidth="1"/>
    <col min="8984" max="8984" width="25.42578125" style="2" customWidth="1"/>
    <col min="8985" max="8985" width="0" style="2" hidden="1" customWidth="1"/>
    <col min="8986" max="8986" width="16.42578125" style="2" customWidth="1"/>
    <col min="8987" max="8987" width="15.85546875" style="2" customWidth="1"/>
    <col min="8988" max="8988" width="13.140625" style="2" customWidth="1"/>
    <col min="8989" max="8989" width="14" style="2" customWidth="1"/>
    <col min="8990" max="8990" width="8.140625" style="2" customWidth="1"/>
    <col min="8991" max="8991" width="11.42578125" style="2" customWidth="1"/>
    <col min="8992" max="8992" width="33.7109375" style="2" customWidth="1"/>
    <col min="8993" max="8993" width="12" style="2" customWidth="1"/>
    <col min="8994" max="8995" width="0.28515625" style="2" customWidth="1"/>
    <col min="8996" max="8996" width="1.42578125" style="2" customWidth="1"/>
    <col min="8997" max="8997" width="0" style="2" hidden="1" customWidth="1"/>
    <col min="8998" max="9216" width="11.42578125" style="2"/>
    <col min="9217" max="9217" width="8" style="2" customWidth="1"/>
    <col min="9218" max="9218" width="13.42578125" style="2" customWidth="1"/>
    <col min="9219" max="9219" width="4.28515625" style="2" customWidth="1"/>
    <col min="9220" max="9220" width="4" style="2" customWidth="1"/>
    <col min="9221" max="9221" width="54" style="2" customWidth="1"/>
    <col min="9222" max="9222" width="7" style="2" customWidth="1"/>
    <col min="9223" max="9223" width="11.28515625" style="2" customWidth="1"/>
    <col min="9224" max="9224" width="11" style="2" customWidth="1"/>
    <col min="9225" max="9226" width="2.140625" style="2" customWidth="1"/>
    <col min="9227" max="9227" width="3.28515625" style="2" customWidth="1"/>
    <col min="9228" max="9229" width="0" style="2" hidden="1" customWidth="1"/>
    <col min="9230" max="9230" width="2.85546875" style="2" customWidth="1"/>
    <col min="9231" max="9231" width="3.28515625" style="2" customWidth="1"/>
    <col min="9232" max="9232" width="1.42578125" style="2" customWidth="1"/>
    <col min="9233" max="9233" width="0" style="2" hidden="1" customWidth="1"/>
    <col min="9234" max="9234" width="6.85546875" style="2" customWidth="1"/>
    <col min="9235" max="9235" width="0" style="2" hidden="1" customWidth="1"/>
    <col min="9236" max="9237" width="6.28515625" style="2" customWidth="1"/>
    <col min="9238" max="9238" width="26.42578125" style="2" customWidth="1"/>
    <col min="9239" max="9239" width="11.7109375" style="2" customWidth="1"/>
    <col min="9240" max="9240" width="25.42578125" style="2" customWidth="1"/>
    <col min="9241" max="9241" width="0" style="2" hidden="1" customWidth="1"/>
    <col min="9242" max="9242" width="16.42578125" style="2" customWidth="1"/>
    <col min="9243" max="9243" width="15.85546875" style="2" customWidth="1"/>
    <col min="9244" max="9244" width="13.140625" style="2" customWidth="1"/>
    <col min="9245" max="9245" width="14" style="2" customWidth="1"/>
    <col min="9246" max="9246" width="8.140625" style="2" customWidth="1"/>
    <col min="9247" max="9247" width="11.42578125" style="2" customWidth="1"/>
    <col min="9248" max="9248" width="33.7109375" style="2" customWidth="1"/>
    <col min="9249" max="9249" width="12" style="2" customWidth="1"/>
    <col min="9250" max="9251" width="0.28515625" style="2" customWidth="1"/>
    <col min="9252" max="9252" width="1.42578125" style="2" customWidth="1"/>
    <col min="9253" max="9253" width="0" style="2" hidden="1" customWidth="1"/>
    <col min="9254" max="9472" width="11.42578125" style="2"/>
    <col min="9473" max="9473" width="8" style="2" customWidth="1"/>
    <col min="9474" max="9474" width="13.42578125" style="2" customWidth="1"/>
    <col min="9475" max="9475" width="4.28515625" style="2" customWidth="1"/>
    <col min="9476" max="9476" width="4" style="2" customWidth="1"/>
    <col min="9477" max="9477" width="54" style="2" customWidth="1"/>
    <col min="9478" max="9478" width="7" style="2" customWidth="1"/>
    <col min="9479" max="9479" width="11.28515625" style="2" customWidth="1"/>
    <col min="9480" max="9480" width="11" style="2" customWidth="1"/>
    <col min="9481" max="9482" width="2.140625" style="2" customWidth="1"/>
    <col min="9483" max="9483" width="3.28515625" style="2" customWidth="1"/>
    <col min="9484" max="9485" width="0" style="2" hidden="1" customWidth="1"/>
    <col min="9486" max="9486" width="2.85546875" style="2" customWidth="1"/>
    <col min="9487" max="9487" width="3.28515625" style="2" customWidth="1"/>
    <col min="9488" max="9488" width="1.42578125" style="2" customWidth="1"/>
    <col min="9489" max="9489" width="0" style="2" hidden="1" customWidth="1"/>
    <col min="9490" max="9490" width="6.85546875" style="2" customWidth="1"/>
    <col min="9491" max="9491" width="0" style="2" hidden="1" customWidth="1"/>
    <col min="9492" max="9493" width="6.28515625" style="2" customWidth="1"/>
    <col min="9494" max="9494" width="26.42578125" style="2" customWidth="1"/>
    <col min="9495" max="9495" width="11.7109375" style="2" customWidth="1"/>
    <col min="9496" max="9496" width="25.42578125" style="2" customWidth="1"/>
    <col min="9497" max="9497" width="0" style="2" hidden="1" customWidth="1"/>
    <col min="9498" max="9498" width="16.42578125" style="2" customWidth="1"/>
    <col min="9499" max="9499" width="15.85546875" style="2" customWidth="1"/>
    <col min="9500" max="9500" width="13.140625" style="2" customWidth="1"/>
    <col min="9501" max="9501" width="14" style="2" customWidth="1"/>
    <col min="9502" max="9502" width="8.140625" style="2" customWidth="1"/>
    <col min="9503" max="9503" width="11.42578125" style="2" customWidth="1"/>
    <col min="9504" max="9504" width="33.7109375" style="2" customWidth="1"/>
    <col min="9505" max="9505" width="12" style="2" customWidth="1"/>
    <col min="9506" max="9507" width="0.28515625" style="2" customWidth="1"/>
    <col min="9508" max="9508" width="1.42578125" style="2" customWidth="1"/>
    <col min="9509" max="9509" width="0" style="2" hidden="1" customWidth="1"/>
    <col min="9510" max="9728" width="11.42578125" style="2"/>
    <col min="9729" max="9729" width="8" style="2" customWidth="1"/>
    <col min="9730" max="9730" width="13.42578125" style="2" customWidth="1"/>
    <col min="9731" max="9731" width="4.28515625" style="2" customWidth="1"/>
    <col min="9732" max="9732" width="4" style="2" customWidth="1"/>
    <col min="9733" max="9733" width="54" style="2" customWidth="1"/>
    <col min="9734" max="9734" width="7" style="2" customWidth="1"/>
    <col min="9735" max="9735" width="11.28515625" style="2" customWidth="1"/>
    <col min="9736" max="9736" width="11" style="2" customWidth="1"/>
    <col min="9737" max="9738" width="2.140625" style="2" customWidth="1"/>
    <col min="9739" max="9739" width="3.28515625" style="2" customWidth="1"/>
    <col min="9740" max="9741" width="0" style="2" hidden="1" customWidth="1"/>
    <col min="9742" max="9742" width="2.85546875" style="2" customWidth="1"/>
    <col min="9743" max="9743" width="3.28515625" style="2" customWidth="1"/>
    <col min="9744" max="9744" width="1.42578125" style="2" customWidth="1"/>
    <col min="9745" max="9745" width="0" style="2" hidden="1" customWidth="1"/>
    <col min="9746" max="9746" width="6.85546875" style="2" customWidth="1"/>
    <col min="9747" max="9747" width="0" style="2" hidden="1" customWidth="1"/>
    <col min="9748" max="9749" width="6.28515625" style="2" customWidth="1"/>
    <col min="9750" max="9750" width="26.42578125" style="2" customWidth="1"/>
    <col min="9751" max="9751" width="11.7109375" style="2" customWidth="1"/>
    <col min="9752" max="9752" width="25.42578125" style="2" customWidth="1"/>
    <col min="9753" max="9753" width="0" style="2" hidden="1" customWidth="1"/>
    <col min="9754" max="9754" width="16.42578125" style="2" customWidth="1"/>
    <col min="9755" max="9755" width="15.85546875" style="2" customWidth="1"/>
    <col min="9756" max="9756" width="13.140625" style="2" customWidth="1"/>
    <col min="9757" max="9757" width="14" style="2" customWidth="1"/>
    <col min="9758" max="9758" width="8.140625" style="2" customWidth="1"/>
    <col min="9759" max="9759" width="11.42578125" style="2" customWidth="1"/>
    <col min="9760" max="9760" width="33.7109375" style="2" customWidth="1"/>
    <col min="9761" max="9761" width="12" style="2" customWidth="1"/>
    <col min="9762" max="9763" width="0.28515625" style="2" customWidth="1"/>
    <col min="9764" max="9764" width="1.42578125" style="2" customWidth="1"/>
    <col min="9765" max="9765" width="0" style="2" hidden="1" customWidth="1"/>
    <col min="9766" max="9984" width="11.42578125" style="2"/>
    <col min="9985" max="9985" width="8" style="2" customWidth="1"/>
    <col min="9986" max="9986" width="13.42578125" style="2" customWidth="1"/>
    <col min="9987" max="9987" width="4.28515625" style="2" customWidth="1"/>
    <col min="9988" max="9988" width="4" style="2" customWidth="1"/>
    <col min="9989" max="9989" width="54" style="2" customWidth="1"/>
    <col min="9990" max="9990" width="7" style="2" customWidth="1"/>
    <col min="9991" max="9991" width="11.28515625" style="2" customWidth="1"/>
    <col min="9992" max="9992" width="11" style="2" customWidth="1"/>
    <col min="9993" max="9994" width="2.140625" style="2" customWidth="1"/>
    <col min="9995" max="9995" width="3.28515625" style="2" customWidth="1"/>
    <col min="9996" max="9997" width="0" style="2" hidden="1" customWidth="1"/>
    <col min="9998" max="9998" width="2.85546875" style="2" customWidth="1"/>
    <col min="9999" max="9999" width="3.28515625" style="2" customWidth="1"/>
    <col min="10000" max="10000" width="1.42578125" style="2" customWidth="1"/>
    <col min="10001" max="10001" width="0" style="2" hidden="1" customWidth="1"/>
    <col min="10002" max="10002" width="6.85546875" style="2" customWidth="1"/>
    <col min="10003" max="10003" width="0" style="2" hidden="1" customWidth="1"/>
    <col min="10004" max="10005" width="6.28515625" style="2" customWidth="1"/>
    <col min="10006" max="10006" width="26.42578125" style="2" customWidth="1"/>
    <col min="10007" max="10007" width="11.7109375" style="2" customWidth="1"/>
    <col min="10008" max="10008" width="25.42578125" style="2" customWidth="1"/>
    <col min="10009" max="10009" width="0" style="2" hidden="1" customWidth="1"/>
    <col min="10010" max="10010" width="16.42578125" style="2" customWidth="1"/>
    <col min="10011" max="10011" width="15.85546875" style="2" customWidth="1"/>
    <col min="10012" max="10012" width="13.140625" style="2" customWidth="1"/>
    <col min="10013" max="10013" width="14" style="2" customWidth="1"/>
    <col min="10014" max="10014" width="8.140625" style="2" customWidth="1"/>
    <col min="10015" max="10015" width="11.42578125" style="2" customWidth="1"/>
    <col min="10016" max="10016" width="33.7109375" style="2" customWidth="1"/>
    <col min="10017" max="10017" width="12" style="2" customWidth="1"/>
    <col min="10018" max="10019" width="0.28515625" style="2" customWidth="1"/>
    <col min="10020" max="10020" width="1.42578125" style="2" customWidth="1"/>
    <col min="10021" max="10021" width="0" style="2" hidden="1" customWidth="1"/>
    <col min="10022" max="10240" width="11.42578125" style="2"/>
    <col min="10241" max="10241" width="8" style="2" customWidth="1"/>
    <col min="10242" max="10242" width="13.42578125" style="2" customWidth="1"/>
    <col min="10243" max="10243" width="4.28515625" style="2" customWidth="1"/>
    <col min="10244" max="10244" width="4" style="2" customWidth="1"/>
    <col min="10245" max="10245" width="54" style="2" customWidth="1"/>
    <col min="10246" max="10246" width="7" style="2" customWidth="1"/>
    <col min="10247" max="10247" width="11.28515625" style="2" customWidth="1"/>
    <col min="10248" max="10248" width="11" style="2" customWidth="1"/>
    <col min="10249" max="10250" width="2.140625" style="2" customWidth="1"/>
    <col min="10251" max="10251" width="3.28515625" style="2" customWidth="1"/>
    <col min="10252" max="10253" width="0" style="2" hidden="1" customWidth="1"/>
    <col min="10254" max="10254" width="2.85546875" style="2" customWidth="1"/>
    <col min="10255" max="10255" width="3.28515625" style="2" customWidth="1"/>
    <col min="10256" max="10256" width="1.42578125" style="2" customWidth="1"/>
    <col min="10257" max="10257" width="0" style="2" hidden="1" customWidth="1"/>
    <col min="10258" max="10258" width="6.85546875" style="2" customWidth="1"/>
    <col min="10259" max="10259" width="0" style="2" hidden="1" customWidth="1"/>
    <col min="10260" max="10261" width="6.28515625" style="2" customWidth="1"/>
    <col min="10262" max="10262" width="26.42578125" style="2" customWidth="1"/>
    <col min="10263" max="10263" width="11.7109375" style="2" customWidth="1"/>
    <col min="10264" max="10264" width="25.42578125" style="2" customWidth="1"/>
    <col min="10265" max="10265" width="0" style="2" hidden="1" customWidth="1"/>
    <col min="10266" max="10266" width="16.42578125" style="2" customWidth="1"/>
    <col min="10267" max="10267" width="15.85546875" style="2" customWidth="1"/>
    <col min="10268" max="10268" width="13.140625" style="2" customWidth="1"/>
    <col min="10269" max="10269" width="14" style="2" customWidth="1"/>
    <col min="10270" max="10270" width="8.140625" style="2" customWidth="1"/>
    <col min="10271" max="10271" width="11.42578125" style="2" customWidth="1"/>
    <col min="10272" max="10272" width="33.7109375" style="2" customWidth="1"/>
    <col min="10273" max="10273" width="12" style="2" customWidth="1"/>
    <col min="10274" max="10275" width="0.28515625" style="2" customWidth="1"/>
    <col min="10276" max="10276" width="1.42578125" style="2" customWidth="1"/>
    <col min="10277" max="10277" width="0" style="2" hidden="1" customWidth="1"/>
    <col min="10278" max="10496" width="11.42578125" style="2"/>
    <col min="10497" max="10497" width="8" style="2" customWidth="1"/>
    <col min="10498" max="10498" width="13.42578125" style="2" customWidth="1"/>
    <col min="10499" max="10499" width="4.28515625" style="2" customWidth="1"/>
    <col min="10500" max="10500" width="4" style="2" customWidth="1"/>
    <col min="10501" max="10501" width="54" style="2" customWidth="1"/>
    <col min="10502" max="10502" width="7" style="2" customWidth="1"/>
    <col min="10503" max="10503" width="11.28515625" style="2" customWidth="1"/>
    <col min="10504" max="10504" width="11" style="2" customWidth="1"/>
    <col min="10505" max="10506" width="2.140625" style="2" customWidth="1"/>
    <col min="10507" max="10507" width="3.28515625" style="2" customWidth="1"/>
    <col min="10508" max="10509" width="0" style="2" hidden="1" customWidth="1"/>
    <col min="10510" max="10510" width="2.85546875" style="2" customWidth="1"/>
    <col min="10511" max="10511" width="3.28515625" style="2" customWidth="1"/>
    <col min="10512" max="10512" width="1.42578125" style="2" customWidth="1"/>
    <col min="10513" max="10513" width="0" style="2" hidden="1" customWidth="1"/>
    <col min="10514" max="10514" width="6.85546875" style="2" customWidth="1"/>
    <col min="10515" max="10515" width="0" style="2" hidden="1" customWidth="1"/>
    <col min="10516" max="10517" width="6.28515625" style="2" customWidth="1"/>
    <col min="10518" max="10518" width="26.42578125" style="2" customWidth="1"/>
    <col min="10519" max="10519" width="11.7109375" style="2" customWidth="1"/>
    <col min="10520" max="10520" width="25.42578125" style="2" customWidth="1"/>
    <col min="10521" max="10521" width="0" style="2" hidden="1" customWidth="1"/>
    <col min="10522" max="10522" width="16.42578125" style="2" customWidth="1"/>
    <col min="10523" max="10523" width="15.85546875" style="2" customWidth="1"/>
    <col min="10524" max="10524" width="13.140625" style="2" customWidth="1"/>
    <col min="10525" max="10525" width="14" style="2" customWidth="1"/>
    <col min="10526" max="10526" width="8.140625" style="2" customWidth="1"/>
    <col min="10527" max="10527" width="11.42578125" style="2" customWidth="1"/>
    <col min="10528" max="10528" width="33.7109375" style="2" customWidth="1"/>
    <col min="10529" max="10529" width="12" style="2" customWidth="1"/>
    <col min="10530" max="10531" width="0.28515625" style="2" customWidth="1"/>
    <col min="10532" max="10532" width="1.42578125" style="2" customWidth="1"/>
    <col min="10533" max="10533" width="0" style="2" hidden="1" customWidth="1"/>
    <col min="10534" max="10752" width="11.42578125" style="2"/>
    <col min="10753" max="10753" width="8" style="2" customWidth="1"/>
    <col min="10754" max="10754" width="13.42578125" style="2" customWidth="1"/>
    <col min="10755" max="10755" width="4.28515625" style="2" customWidth="1"/>
    <col min="10756" max="10756" width="4" style="2" customWidth="1"/>
    <col min="10757" max="10757" width="54" style="2" customWidth="1"/>
    <col min="10758" max="10758" width="7" style="2" customWidth="1"/>
    <col min="10759" max="10759" width="11.28515625" style="2" customWidth="1"/>
    <col min="10760" max="10760" width="11" style="2" customWidth="1"/>
    <col min="10761" max="10762" width="2.140625" style="2" customWidth="1"/>
    <col min="10763" max="10763" width="3.28515625" style="2" customWidth="1"/>
    <col min="10764" max="10765" width="0" style="2" hidden="1" customWidth="1"/>
    <col min="10766" max="10766" width="2.85546875" style="2" customWidth="1"/>
    <col min="10767" max="10767" width="3.28515625" style="2" customWidth="1"/>
    <col min="10768" max="10768" width="1.42578125" style="2" customWidth="1"/>
    <col min="10769" max="10769" width="0" style="2" hidden="1" customWidth="1"/>
    <col min="10770" max="10770" width="6.85546875" style="2" customWidth="1"/>
    <col min="10771" max="10771" width="0" style="2" hidden="1" customWidth="1"/>
    <col min="10772" max="10773" width="6.28515625" style="2" customWidth="1"/>
    <col min="10774" max="10774" width="26.42578125" style="2" customWidth="1"/>
    <col min="10775" max="10775" width="11.7109375" style="2" customWidth="1"/>
    <col min="10776" max="10776" width="25.42578125" style="2" customWidth="1"/>
    <col min="10777" max="10777" width="0" style="2" hidden="1" customWidth="1"/>
    <col min="10778" max="10778" width="16.42578125" style="2" customWidth="1"/>
    <col min="10779" max="10779" width="15.85546875" style="2" customWidth="1"/>
    <col min="10780" max="10780" width="13.140625" style="2" customWidth="1"/>
    <col min="10781" max="10781" width="14" style="2" customWidth="1"/>
    <col min="10782" max="10782" width="8.140625" style="2" customWidth="1"/>
    <col min="10783" max="10783" width="11.42578125" style="2" customWidth="1"/>
    <col min="10784" max="10784" width="33.7109375" style="2" customWidth="1"/>
    <col min="10785" max="10785" width="12" style="2" customWidth="1"/>
    <col min="10786" max="10787" width="0.28515625" style="2" customWidth="1"/>
    <col min="10788" max="10788" width="1.42578125" style="2" customWidth="1"/>
    <col min="10789" max="10789" width="0" style="2" hidden="1" customWidth="1"/>
    <col min="10790" max="11008" width="11.42578125" style="2"/>
    <col min="11009" max="11009" width="8" style="2" customWidth="1"/>
    <col min="11010" max="11010" width="13.42578125" style="2" customWidth="1"/>
    <col min="11011" max="11011" width="4.28515625" style="2" customWidth="1"/>
    <col min="11012" max="11012" width="4" style="2" customWidth="1"/>
    <col min="11013" max="11013" width="54" style="2" customWidth="1"/>
    <col min="11014" max="11014" width="7" style="2" customWidth="1"/>
    <col min="11015" max="11015" width="11.28515625" style="2" customWidth="1"/>
    <col min="11016" max="11016" width="11" style="2" customWidth="1"/>
    <col min="11017" max="11018" width="2.140625" style="2" customWidth="1"/>
    <col min="11019" max="11019" width="3.28515625" style="2" customWidth="1"/>
    <col min="11020" max="11021" width="0" style="2" hidden="1" customWidth="1"/>
    <col min="11022" max="11022" width="2.85546875" style="2" customWidth="1"/>
    <col min="11023" max="11023" width="3.28515625" style="2" customWidth="1"/>
    <col min="11024" max="11024" width="1.42578125" style="2" customWidth="1"/>
    <col min="11025" max="11025" width="0" style="2" hidden="1" customWidth="1"/>
    <col min="11026" max="11026" width="6.85546875" style="2" customWidth="1"/>
    <col min="11027" max="11027" width="0" style="2" hidden="1" customWidth="1"/>
    <col min="11028" max="11029" width="6.28515625" style="2" customWidth="1"/>
    <col min="11030" max="11030" width="26.42578125" style="2" customWidth="1"/>
    <col min="11031" max="11031" width="11.7109375" style="2" customWidth="1"/>
    <col min="11032" max="11032" width="25.42578125" style="2" customWidth="1"/>
    <col min="11033" max="11033" width="0" style="2" hidden="1" customWidth="1"/>
    <col min="11034" max="11034" width="16.42578125" style="2" customWidth="1"/>
    <col min="11035" max="11035" width="15.85546875" style="2" customWidth="1"/>
    <col min="11036" max="11036" width="13.140625" style="2" customWidth="1"/>
    <col min="11037" max="11037" width="14" style="2" customWidth="1"/>
    <col min="11038" max="11038" width="8.140625" style="2" customWidth="1"/>
    <col min="11039" max="11039" width="11.42578125" style="2" customWidth="1"/>
    <col min="11040" max="11040" width="33.7109375" style="2" customWidth="1"/>
    <col min="11041" max="11041" width="12" style="2" customWidth="1"/>
    <col min="11042" max="11043" width="0.28515625" style="2" customWidth="1"/>
    <col min="11044" max="11044" width="1.42578125" style="2" customWidth="1"/>
    <col min="11045" max="11045" width="0" style="2" hidden="1" customWidth="1"/>
    <col min="11046" max="11264" width="11.42578125" style="2"/>
    <col min="11265" max="11265" width="8" style="2" customWidth="1"/>
    <col min="11266" max="11266" width="13.42578125" style="2" customWidth="1"/>
    <col min="11267" max="11267" width="4.28515625" style="2" customWidth="1"/>
    <col min="11268" max="11268" width="4" style="2" customWidth="1"/>
    <col min="11269" max="11269" width="54" style="2" customWidth="1"/>
    <col min="11270" max="11270" width="7" style="2" customWidth="1"/>
    <col min="11271" max="11271" width="11.28515625" style="2" customWidth="1"/>
    <col min="11272" max="11272" width="11" style="2" customWidth="1"/>
    <col min="11273" max="11274" width="2.140625" style="2" customWidth="1"/>
    <col min="11275" max="11275" width="3.28515625" style="2" customWidth="1"/>
    <col min="11276" max="11277" width="0" style="2" hidden="1" customWidth="1"/>
    <col min="11278" max="11278" width="2.85546875" style="2" customWidth="1"/>
    <col min="11279" max="11279" width="3.28515625" style="2" customWidth="1"/>
    <col min="11280" max="11280" width="1.42578125" style="2" customWidth="1"/>
    <col min="11281" max="11281" width="0" style="2" hidden="1" customWidth="1"/>
    <col min="11282" max="11282" width="6.85546875" style="2" customWidth="1"/>
    <col min="11283" max="11283" width="0" style="2" hidden="1" customWidth="1"/>
    <col min="11284" max="11285" width="6.28515625" style="2" customWidth="1"/>
    <col min="11286" max="11286" width="26.42578125" style="2" customWidth="1"/>
    <col min="11287" max="11287" width="11.7109375" style="2" customWidth="1"/>
    <col min="11288" max="11288" width="25.42578125" style="2" customWidth="1"/>
    <col min="11289" max="11289" width="0" style="2" hidden="1" customWidth="1"/>
    <col min="11290" max="11290" width="16.42578125" style="2" customWidth="1"/>
    <col min="11291" max="11291" width="15.85546875" style="2" customWidth="1"/>
    <col min="11292" max="11292" width="13.140625" style="2" customWidth="1"/>
    <col min="11293" max="11293" width="14" style="2" customWidth="1"/>
    <col min="11294" max="11294" width="8.140625" style="2" customWidth="1"/>
    <col min="11295" max="11295" width="11.42578125" style="2" customWidth="1"/>
    <col min="11296" max="11296" width="33.7109375" style="2" customWidth="1"/>
    <col min="11297" max="11297" width="12" style="2" customWidth="1"/>
    <col min="11298" max="11299" width="0.28515625" style="2" customWidth="1"/>
    <col min="11300" max="11300" width="1.42578125" style="2" customWidth="1"/>
    <col min="11301" max="11301" width="0" style="2" hidden="1" customWidth="1"/>
    <col min="11302" max="11520" width="11.42578125" style="2"/>
    <col min="11521" max="11521" width="8" style="2" customWidth="1"/>
    <col min="11522" max="11522" width="13.42578125" style="2" customWidth="1"/>
    <col min="11523" max="11523" width="4.28515625" style="2" customWidth="1"/>
    <col min="11524" max="11524" width="4" style="2" customWidth="1"/>
    <col min="11525" max="11525" width="54" style="2" customWidth="1"/>
    <col min="11526" max="11526" width="7" style="2" customWidth="1"/>
    <col min="11527" max="11527" width="11.28515625" style="2" customWidth="1"/>
    <col min="11528" max="11528" width="11" style="2" customWidth="1"/>
    <col min="11529" max="11530" width="2.140625" style="2" customWidth="1"/>
    <col min="11531" max="11531" width="3.28515625" style="2" customWidth="1"/>
    <col min="11532" max="11533" width="0" style="2" hidden="1" customWidth="1"/>
    <col min="11534" max="11534" width="2.85546875" style="2" customWidth="1"/>
    <col min="11535" max="11535" width="3.28515625" style="2" customWidth="1"/>
    <col min="11536" max="11536" width="1.42578125" style="2" customWidth="1"/>
    <col min="11537" max="11537" width="0" style="2" hidden="1" customWidth="1"/>
    <col min="11538" max="11538" width="6.85546875" style="2" customWidth="1"/>
    <col min="11539" max="11539" width="0" style="2" hidden="1" customWidth="1"/>
    <col min="11540" max="11541" width="6.28515625" style="2" customWidth="1"/>
    <col min="11542" max="11542" width="26.42578125" style="2" customWidth="1"/>
    <col min="11543" max="11543" width="11.7109375" style="2" customWidth="1"/>
    <col min="11544" max="11544" width="25.42578125" style="2" customWidth="1"/>
    <col min="11545" max="11545" width="0" style="2" hidden="1" customWidth="1"/>
    <col min="11546" max="11546" width="16.42578125" style="2" customWidth="1"/>
    <col min="11547" max="11547" width="15.85546875" style="2" customWidth="1"/>
    <col min="11548" max="11548" width="13.140625" style="2" customWidth="1"/>
    <col min="11549" max="11549" width="14" style="2" customWidth="1"/>
    <col min="11550" max="11550" width="8.140625" style="2" customWidth="1"/>
    <col min="11551" max="11551" width="11.42578125" style="2" customWidth="1"/>
    <col min="11552" max="11552" width="33.7109375" style="2" customWidth="1"/>
    <col min="11553" max="11553" width="12" style="2" customWidth="1"/>
    <col min="11554" max="11555" width="0.28515625" style="2" customWidth="1"/>
    <col min="11556" max="11556" width="1.42578125" style="2" customWidth="1"/>
    <col min="11557" max="11557" width="0" style="2" hidden="1" customWidth="1"/>
    <col min="11558" max="11776" width="11.42578125" style="2"/>
    <col min="11777" max="11777" width="8" style="2" customWidth="1"/>
    <col min="11778" max="11778" width="13.42578125" style="2" customWidth="1"/>
    <col min="11779" max="11779" width="4.28515625" style="2" customWidth="1"/>
    <col min="11780" max="11780" width="4" style="2" customWidth="1"/>
    <col min="11781" max="11781" width="54" style="2" customWidth="1"/>
    <col min="11782" max="11782" width="7" style="2" customWidth="1"/>
    <col min="11783" max="11783" width="11.28515625" style="2" customWidth="1"/>
    <col min="11784" max="11784" width="11" style="2" customWidth="1"/>
    <col min="11785" max="11786" width="2.140625" style="2" customWidth="1"/>
    <col min="11787" max="11787" width="3.28515625" style="2" customWidth="1"/>
    <col min="11788" max="11789" width="0" style="2" hidden="1" customWidth="1"/>
    <col min="11790" max="11790" width="2.85546875" style="2" customWidth="1"/>
    <col min="11791" max="11791" width="3.28515625" style="2" customWidth="1"/>
    <col min="11792" max="11792" width="1.42578125" style="2" customWidth="1"/>
    <col min="11793" max="11793" width="0" style="2" hidden="1" customWidth="1"/>
    <col min="11794" max="11794" width="6.85546875" style="2" customWidth="1"/>
    <col min="11795" max="11795" width="0" style="2" hidden="1" customWidth="1"/>
    <col min="11796" max="11797" width="6.28515625" style="2" customWidth="1"/>
    <col min="11798" max="11798" width="26.42578125" style="2" customWidth="1"/>
    <col min="11799" max="11799" width="11.7109375" style="2" customWidth="1"/>
    <col min="11800" max="11800" width="25.42578125" style="2" customWidth="1"/>
    <col min="11801" max="11801" width="0" style="2" hidden="1" customWidth="1"/>
    <col min="11802" max="11802" width="16.42578125" style="2" customWidth="1"/>
    <col min="11803" max="11803" width="15.85546875" style="2" customWidth="1"/>
    <col min="11804" max="11804" width="13.140625" style="2" customWidth="1"/>
    <col min="11805" max="11805" width="14" style="2" customWidth="1"/>
    <col min="11806" max="11806" width="8.140625" style="2" customWidth="1"/>
    <col min="11807" max="11807" width="11.42578125" style="2" customWidth="1"/>
    <col min="11808" max="11808" width="33.7109375" style="2" customWidth="1"/>
    <col min="11809" max="11809" width="12" style="2" customWidth="1"/>
    <col min="11810" max="11811" width="0.28515625" style="2" customWidth="1"/>
    <col min="11812" max="11812" width="1.42578125" style="2" customWidth="1"/>
    <col min="11813" max="11813" width="0" style="2" hidden="1" customWidth="1"/>
    <col min="11814" max="12032" width="11.42578125" style="2"/>
    <col min="12033" max="12033" width="8" style="2" customWidth="1"/>
    <col min="12034" max="12034" width="13.42578125" style="2" customWidth="1"/>
    <col min="12035" max="12035" width="4.28515625" style="2" customWidth="1"/>
    <col min="12036" max="12036" width="4" style="2" customWidth="1"/>
    <col min="12037" max="12037" width="54" style="2" customWidth="1"/>
    <col min="12038" max="12038" width="7" style="2" customWidth="1"/>
    <col min="12039" max="12039" width="11.28515625" style="2" customWidth="1"/>
    <col min="12040" max="12040" width="11" style="2" customWidth="1"/>
    <col min="12041" max="12042" width="2.140625" style="2" customWidth="1"/>
    <col min="12043" max="12043" width="3.28515625" style="2" customWidth="1"/>
    <col min="12044" max="12045" width="0" style="2" hidden="1" customWidth="1"/>
    <col min="12046" max="12046" width="2.85546875" style="2" customWidth="1"/>
    <col min="12047" max="12047" width="3.28515625" style="2" customWidth="1"/>
    <col min="12048" max="12048" width="1.42578125" style="2" customWidth="1"/>
    <col min="12049" max="12049" width="0" style="2" hidden="1" customWidth="1"/>
    <col min="12050" max="12050" width="6.85546875" style="2" customWidth="1"/>
    <col min="12051" max="12051" width="0" style="2" hidden="1" customWidth="1"/>
    <col min="12052" max="12053" width="6.28515625" style="2" customWidth="1"/>
    <col min="12054" max="12054" width="26.42578125" style="2" customWidth="1"/>
    <col min="12055" max="12055" width="11.7109375" style="2" customWidth="1"/>
    <col min="12056" max="12056" width="25.42578125" style="2" customWidth="1"/>
    <col min="12057" max="12057" width="0" style="2" hidden="1" customWidth="1"/>
    <col min="12058" max="12058" width="16.42578125" style="2" customWidth="1"/>
    <col min="12059" max="12059" width="15.85546875" style="2" customWidth="1"/>
    <col min="12060" max="12060" width="13.140625" style="2" customWidth="1"/>
    <col min="12061" max="12061" width="14" style="2" customWidth="1"/>
    <col min="12062" max="12062" width="8.140625" style="2" customWidth="1"/>
    <col min="12063" max="12063" width="11.42578125" style="2" customWidth="1"/>
    <col min="12064" max="12064" width="33.7109375" style="2" customWidth="1"/>
    <col min="12065" max="12065" width="12" style="2" customWidth="1"/>
    <col min="12066" max="12067" width="0.28515625" style="2" customWidth="1"/>
    <col min="12068" max="12068" width="1.42578125" style="2" customWidth="1"/>
    <col min="12069" max="12069" width="0" style="2" hidden="1" customWidth="1"/>
    <col min="12070" max="12288" width="11.42578125" style="2"/>
    <col min="12289" max="12289" width="8" style="2" customWidth="1"/>
    <col min="12290" max="12290" width="13.42578125" style="2" customWidth="1"/>
    <col min="12291" max="12291" width="4.28515625" style="2" customWidth="1"/>
    <col min="12292" max="12292" width="4" style="2" customWidth="1"/>
    <col min="12293" max="12293" width="54" style="2" customWidth="1"/>
    <col min="12294" max="12294" width="7" style="2" customWidth="1"/>
    <col min="12295" max="12295" width="11.28515625" style="2" customWidth="1"/>
    <col min="12296" max="12296" width="11" style="2" customWidth="1"/>
    <col min="12297" max="12298" width="2.140625" style="2" customWidth="1"/>
    <col min="12299" max="12299" width="3.28515625" style="2" customWidth="1"/>
    <col min="12300" max="12301" width="0" style="2" hidden="1" customWidth="1"/>
    <col min="12302" max="12302" width="2.85546875" style="2" customWidth="1"/>
    <col min="12303" max="12303" width="3.28515625" style="2" customWidth="1"/>
    <col min="12304" max="12304" width="1.42578125" style="2" customWidth="1"/>
    <col min="12305" max="12305" width="0" style="2" hidden="1" customWidth="1"/>
    <col min="12306" max="12306" width="6.85546875" style="2" customWidth="1"/>
    <col min="12307" max="12307" width="0" style="2" hidden="1" customWidth="1"/>
    <col min="12308" max="12309" width="6.28515625" style="2" customWidth="1"/>
    <col min="12310" max="12310" width="26.42578125" style="2" customWidth="1"/>
    <col min="12311" max="12311" width="11.7109375" style="2" customWidth="1"/>
    <col min="12312" max="12312" width="25.42578125" style="2" customWidth="1"/>
    <col min="12313" max="12313" width="0" style="2" hidden="1" customWidth="1"/>
    <col min="12314" max="12314" width="16.42578125" style="2" customWidth="1"/>
    <col min="12315" max="12315" width="15.85546875" style="2" customWidth="1"/>
    <col min="12316" max="12316" width="13.140625" style="2" customWidth="1"/>
    <col min="12317" max="12317" width="14" style="2" customWidth="1"/>
    <col min="12318" max="12318" width="8.140625" style="2" customWidth="1"/>
    <col min="12319" max="12319" width="11.42578125" style="2" customWidth="1"/>
    <col min="12320" max="12320" width="33.7109375" style="2" customWidth="1"/>
    <col min="12321" max="12321" width="12" style="2" customWidth="1"/>
    <col min="12322" max="12323" width="0.28515625" style="2" customWidth="1"/>
    <col min="12324" max="12324" width="1.42578125" style="2" customWidth="1"/>
    <col min="12325" max="12325" width="0" style="2" hidden="1" customWidth="1"/>
    <col min="12326" max="12544" width="11.42578125" style="2"/>
    <col min="12545" max="12545" width="8" style="2" customWidth="1"/>
    <col min="12546" max="12546" width="13.42578125" style="2" customWidth="1"/>
    <col min="12547" max="12547" width="4.28515625" style="2" customWidth="1"/>
    <col min="12548" max="12548" width="4" style="2" customWidth="1"/>
    <col min="12549" max="12549" width="54" style="2" customWidth="1"/>
    <col min="12550" max="12550" width="7" style="2" customWidth="1"/>
    <col min="12551" max="12551" width="11.28515625" style="2" customWidth="1"/>
    <col min="12552" max="12552" width="11" style="2" customWidth="1"/>
    <col min="12553" max="12554" width="2.140625" style="2" customWidth="1"/>
    <col min="12555" max="12555" width="3.28515625" style="2" customWidth="1"/>
    <col min="12556" max="12557" width="0" style="2" hidden="1" customWidth="1"/>
    <col min="12558" max="12558" width="2.85546875" style="2" customWidth="1"/>
    <col min="12559" max="12559" width="3.28515625" style="2" customWidth="1"/>
    <col min="12560" max="12560" width="1.42578125" style="2" customWidth="1"/>
    <col min="12561" max="12561" width="0" style="2" hidden="1" customWidth="1"/>
    <col min="12562" max="12562" width="6.85546875" style="2" customWidth="1"/>
    <col min="12563" max="12563" width="0" style="2" hidden="1" customWidth="1"/>
    <col min="12564" max="12565" width="6.28515625" style="2" customWidth="1"/>
    <col min="12566" max="12566" width="26.42578125" style="2" customWidth="1"/>
    <col min="12567" max="12567" width="11.7109375" style="2" customWidth="1"/>
    <col min="12568" max="12568" width="25.42578125" style="2" customWidth="1"/>
    <col min="12569" max="12569" width="0" style="2" hidden="1" customWidth="1"/>
    <col min="12570" max="12570" width="16.42578125" style="2" customWidth="1"/>
    <col min="12571" max="12571" width="15.85546875" style="2" customWidth="1"/>
    <col min="12572" max="12572" width="13.140625" style="2" customWidth="1"/>
    <col min="12573" max="12573" width="14" style="2" customWidth="1"/>
    <col min="12574" max="12574" width="8.140625" style="2" customWidth="1"/>
    <col min="12575" max="12575" width="11.42578125" style="2" customWidth="1"/>
    <col min="12576" max="12576" width="33.7109375" style="2" customWidth="1"/>
    <col min="12577" max="12577" width="12" style="2" customWidth="1"/>
    <col min="12578" max="12579" width="0.28515625" style="2" customWidth="1"/>
    <col min="12580" max="12580" width="1.42578125" style="2" customWidth="1"/>
    <col min="12581" max="12581" width="0" style="2" hidden="1" customWidth="1"/>
    <col min="12582" max="12800" width="11.42578125" style="2"/>
    <col min="12801" max="12801" width="8" style="2" customWidth="1"/>
    <col min="12802" max="12802" width="13.42578125" style="2" customWidth="1"/>
    <col min="12803" max="12803" width="4.28515625" style="2" customWidth="1"/>
    <col min="12804" max="12804" width="4" style="2" customWidth="1"/>
    <col min="12805" max="12805" width="54" style="2" customWidth="1"/>
    <col min="12806" max="12806" width="7" style="2" customWidth="1"/>
    <col min="12807" max="12807" width="11.28515625" style="2" customWidth="1"/>
    <col min="12808" max="12808" width="11" style="2" customWidth="1"/>
    <col min="12809" max="12810" width="2.140625" style="2" customWidth="1"/>
    <col min="12811" max="12811" width="3.28515625" style="2" customWidth="1"/>
    <col min="12812" max="12813" width="0" style="2" hidden="1" customWidth="1"/>
    <col min="12814" max="12814" width="2.85546875" style="2" customWidth="1"/>
    <col min="12815" max="12815" width="3.28515625" style="2" customWidth="1"/>
    <col min="12816" max="12816" width="1.42578125" style="2" customWidth="1"/>
    <col min="12817" max="12817" width="0" style="2" hidden="1" customWidth="1"/>
    <col min="12818" max="12818" width="6.85546875" style="2" customWidth="1"/>
    <col min="12819" max="12819" width="0" style="2" hidden="1" customWidth="1"/>
    <col min="12820" max="12821" width="6.28515625" style="2" customWidth="1"/>
    <col min="12822" max="12822" width="26.42578125" style="2" customWidth="1"/>
    <col min="12823" max="12823" width="11.7109375" style="2" customWidth="1"/>
    <col min="12824" max="12824" width="25.42578125" style="2" customWidth="1"/>
    <col min="12825" max="12825" width="0" style="2" hidden="1" customWidth="1"/>
    <col min="12826" max="12826" width="16.42578125" style="2" customWidth="1"/>
    <col min="12827" max="12827" width="15.85546875" style="2" customWidth="1"/>
    <col min="12828" max="12828" width="13.140625" style="2" customWidth="1"/>
    <col min="12829" max="12829" width="14" style="2" customWidth="1"/>
    <col min="12830" max="12830" width="8.140625" style="2" customWidth="1"/>
    <col min="12831" max="12831" width="11.42578125" style="2" customWidth="1"/>
    <col min="12832" max="12832" width="33.7109375" style="2" customWidth="1"/>
    <col min="12833" max="12833" width="12" style="2" customWidth="1"/>
    <col min="12834" max="12835" width="0.28515625" style="2" customWidth="1"/>
    <col min="12836" max="12836" width="1.42578125" style="2" customWidth="1"/>
    <col min="12837" max="12837" width="0" style="2" hidden="1" customWidth="1"/>
    <col min="12838" max="13056" width="11.42578125" style="2"/>
    <col min="13057" max="13057" width="8" style="2" customWidth="1"/>
    <col min="13058" max="13058" width="13.42578125" style="2" customWidth="1"/>
    <col min="13059" max="13059" width="4.28515625" style="2" customWidth="1"/>
    <col min="13060" max="13060" width="4" style="2" customWidth="1"/>
    <col min="13061" max="13061" width="54" style="2" customWidth="1"/>
    <col min="13062" max="13062" width="7" style="2" customWidth="1"/>
    <col min="13063" max="13063" width="11.28515625" style="2" customWidth="1"/>
    <col min="13064" max="13064" width="11" style="2" customWidth="1"/>
    <col min="13065" max="13066" width="2.140625" style="2" customWidth="1"/>
    <col min="13067" max="13067" width="3.28515625" style="2" customWidth="1"/>
    <col min="13068" max="13069" width="0" style="2" hidden="1" customWidth="1"/>
    <col min="13070" max="13070" width="2.85546875" style="2" customWidth="1"/>
    <col min="13071" max="13071" width="3.28515625" style="2" customWidth="1"/>
    <col min="13072" max="13072" width="1.42578125" style="2" customWidth="1"/>
    <col min="13073" max="13073" width="0" style="2" hidden="1" customWidth="1"/>
    <col min="13074" max="13074" width="6.85546875" style="2" customWidth="1"/>
    <col min="13075" max="13075" width="0" style="2" hidden="1" customWidth="1"/>
    <col min="13076" max="13077" width="6.28515625" style="2" customWidth="1"/>
    <col min="13078" max="13078" width="26.42578125" style="2" customWidth="1"/>
    <col min="13079" max="13079" width="11.7109375" style="2" customWidth="1"/>
    <col min="13080" max="13080" width="25.42578125" style="2" customWidth="1"/>
    <col min="13081" max="13081" width="0" style="2" hidden="1" customWidth="1"/>
    <col min="13082" max="13082" width="16.42578125" style="2" customWidth="1"/>
    <col min="13083" max="13083" width="15.85546875" style="2" customWidth="1"/>
    <col min="13084" max="13084" width="13.140625" style="2" customWidth="1"/>
    <col min="13085" max="13085" width="14" style="2" customWidth="1"/>
    <col min="13086" max="13086" width="8.140625" style="2" customWidth="1"/>
    <col min="13087" max="13087" width="11.42578125" style="2" customWidth="1"/>
    <col min="13088" max="13088" width="33.7109375" style="2" customWidth="1"/>
    <col min="13089" max="13089" width="12" style="2" customWidth="1"/>
    <col min="13090" max="13091" width="0.28515625" style="2" customWidth="1"/>
    <col min="13092" max="13092" width="1.42578125" style="2" customWidth="1"/>
    <col min="13093" max="13093" width="0" style="2" hidden="1" customWidth="1"/>
    <col min="13094" max="13312" width="11.42578125" style="2"/>
    <col min="13313" max="13313" width="8" style="2" customWidth="1"/>
    <col min="13314" max="13314" width="13.42578125" style="2" customWidth="1"/>
    <col min="13315" max="13315" width="4.28515625" style="2" customWidth="1"/>
    <col min="13316" max="13316" width="4" style="2" customWidth="1"/>
    <col min="13317" max="13317" width="54" style="2" customWidth="1"/>
    <col min="13318" max="13318" width="7" style="2" customWidth="1"/>
    <col min="13319" max="13319" width="11.28515625" style="2" customWidth="1"/>
    <col min="13320" max="13320" width="11" style="2" customWidth="1"/>
    <col min="13321" max="13322" width="2.140625" style="2" customWidth="1"/>
    <col min="13323" max="13323" width="3.28515625" style="2" customWidth="1"/>
    <col min="13324" max="13325" width="0" style="2" hidden="1" customWidth="1"/>
    <col min="13326" max="13326" width="2.85546875" style="2" customWidth="1"/>
    <col min="13327" max="13327" width="3.28515625" style="2" customWidth="1"/>
    <col min="13328" max="13328" width="1.42578125" style="2" customWidth="1"/>
    <col min="13329" max="13329" width="0" style="2" hidden="1" customWidth="1"/>
    <col min="13330" max="13330" width="6.85546875" style="2" customWidth="1"/>
    <col min="13331" max="13331" width="0" style="2" hidden="1" customWidth="1"/>
    <col min="13332" max="13333" width="6.28515625" style="2" customWidth="1"/>
    <col min="13334" max="13334" width="26.42578125" style="2" customWidth="1"/>
    <col min="13335" max="13335" width="11.7109375" style="2" customWidth="1"/>
    <col min="13336" max="13336" width="25.42578125" style="2" customWidth="1"/>
    <col min="13337" max="13337" width="0" style="2" hidden="1" customWidth="1"/>
    <col min="13338" max="13338" width="16.42578125" style="2" customWidth="1"/>
    <col min="13339" max="13339" width="15.85546875" style="2" customWidth="1"/>
    <col min="13340" max="13340" width="13.140625" style="2" customWidth="1"/>
    <col min="13341" max="13341" width="14" style="2" customWidth="1"/>
    <col min="13342" max="13342" width="8.140625" style="2" customWidth="1"/>
    <col min="13343" max="13343" width="11.42578125" style="2" customWidth="1"/>
    <col min="13344" max="13344" width="33.7109375" style="2" customWidth="1"/>
    <col min="13345" max="13345" width="12" style="2" customWidth="1"/>
    <col min="13346" max="13347" width="0.28515625" style="2" customWidth="1"/>
    <col min="13348" max="13348" width="1.42578125" style="2" customWidth="1"/>
    <col min="13349" max="13349" width="0" style="2" hidden="1" customWidth="1"/>
    <col min="13350" max="13568" width="11.42578125" style="2"/>
    <col min="13569" max="13569" width="8" style="2" customWidth="1"/>
    <col min="13570" max="13570" width="13.42578125" style="2" customWidth="1"/>
    <col min="13571" max="13571" width="4.28515625" style="2" customWidth="1"/>
    <col min="13572" max="13572" width="4" style="2" customWidth="1"/>
    <col min="13573" max="13573" width="54" style="2" customWidth="1"/>
    <col min="13574" max="13574" width="7" style="2" customWidth="1"/>
    <col min="13575" max="13575" width="11.28515625" style="2" customWidth="1"/>
    <col min="13576" max="13576" width="11" style="2" customWidth="1"/>
    <col min="13577" max="13578" width="2.140625" style="2" customWidth="1"/>
    <col min="13579" max="13579" width="3.28515625" style="2" customWidth="1"/>
    <col min="13580" max="13581" width="0" style="2" hidden="1" customWidth="1"/>
    <col min="13582" max="13582" width="2.85546875" style="2" customWidth="1"/>
    <col min="13583" max="13583" width="3.28515625" style="2" customWidth="1"/>
    <col min="13584" max="13584" width="1.42578125" style="2" customWidth="1"/>
    <col min="13585" max="13585" width="0" style="2" hidden="1" customWidth="1"/>
    <col min="13586" max="13586" width="6.85546875" style="2" customWidth="1"/>
    <col min="13587" max="13587" width="0" style="2" hidden="1" customWidth="1"/>
    <col min="13588" max="13589" width="6.28515625" style="2" customWidth="1"/>
    <col min="13590" max="13590" width="26.42578125" style="2" customWidth="1"/>
    <col min="13591" max="13591" width="11.7109375" style="2" customWidth="1"/>
    <col min="13592" max="13592" width="25.42578125" style="2" customWidth="1"/>
    <col min="13593" max="13593" width="0" style="2" hidden="1" customWidth="1"/>
    <col min="13594" max="13594" width="16.42578125" style="2" customWidth="1"/>
    <col min="13595" max="13595" width="15.85546875" style="2" customWidth="1"/>
    <col min="13596" max="13596" width="13.140625" style="2" customWidth="1"/>
    <col min="13597" max="13597" width="14" style="2" customWidth="1"/>
    <col min="13598" max="13598" width="8.140625" style="2" customWidth="1"/>
    <col min="13599" max="13599" width="11.42578125" style="2" customWidth="1"/>
    <col min="13600" max="13600" width="33.7109375" style="2" customWidth="1"/>
    <col min="13601" max="13601" width="12" style="2" customWidth="1"/>
    <col min="13602" max="13603" width="0.28515625" style="2" customWidth="1"/>
    <col min="13604" max="13604" width="1.42578125" style="2" customWidth="1"/>
    <col min="13605" max="13605" width="0" style="2" hidden="1" customWidth="1"/>
    <col min="13606" max="13824" width="11.42578125" style="2"/>
    <col min="13825" max="13825" width="8" style="2" customWidth="1"/>
    <col min="13826" max="13826" width="13.42578125" style="2" customWidth="1"/>
    <col min="13827" max="13827" width="4.28515625" style="2" customWidth="1"/>
    <col min="13828" max="13828" width="4" style="2" customWidth="1"/>
    <col min="13829" max="13829" width="54" style="2" customWidth="1"/>
    <col min="13830" max="13830" width="7" style="2" customWidth="1"/>
    <col min="13831" max="13831" width="11.28515625" style="2" customWidth="1"/>
    <col min="13832" max="13832" width="11" style="2" customWidth="1"/>
    <col min="13833" max="13834" width="2.140625" style="2" customWidth="1"/>
    <col min="13835" max="13835" width="3.28515625" style="2" customWidth="1"/>
    <col min="13836" max="13837" width="0" style="2" hidden="1" customWidth="1"/>
    <col min="13838" max="13838" width="2.85546875" style="2" customWidth="1"/>
    <col min="13839" max="13839" width="3.28515625" style="2" customWidth="1"/>
    <col min="13840" max="13840" width="1.42578125" style="2" customWidth="1"/>
    <col min="13841" max="13841" width="0" style="2" hidden="1" customWidth="1"/>
    <col min="13842" max="13842" width="6.85546875" style="2" customWidth="1"/>
    <col min="13843" max="13843" width="0" style="2" hidden="1" customWidth="1"/>
    <col min="13844" max="13845" width="6.28515625" style="2" customWidth="1"/>
    <col min="13846" max="13846" width="26.42578125" style="2" customWidth="1"/>
    <col min="13847" max="13847" width="11.7109375" style="2" customWidth="1"/>
    <col min="13848" max="13848" width="25.42578125" style="2" customWidth="1"/>
    <col min="13849" max="13849" width="0" style="2" hidden="1" customWidth="1"/>
    <col min="13850" max="13850" width="16.42578125" style="2" customWidth="1"/>
    <col min="13851" max="13851" width="15.85546875" style="2" customWidth="1"/>
    <col min="13852" max="13852" width="13.140625" style="2" customWidth="1"/>
    <col min="13853" max="13853" width="14" style="2" customWidth="1"/>
    <col min="13854" max="13854" width="8.140625" style="2" customWidth="1"/>
    <col min="13855" max="13855" width="11.42578125" style="2" customWidth="1"/>
    <col min="13856" max="13856" width="33.7109375" style="2" customWidth="1"/>
    <col min="13857" max="13857" width="12" style="2" customWidth="1"/>
    <col min="13858" max="13859" width="0.28515625" style="2" customWidth="1"/>
    <col min="13860" max="13860" width="1.42578125" style="2" customWidth="1"/>
    <col min="13861" max="13861" width="0" style="2" hidden="1" customWidth="1"/>
    <col min="13862" max="14080" width="11.42578125" style="2"/>
    <col min="14081" max="14081" width="8" style="2" customWidth="1"/>
    <col min="14082" max="14082" width="13.42578125" style="2" customWidth="1"/>
    <col min="14083" max="14083" width="4.28515625" style="2" customWidth="1"/>
    <col min="14084" max="14084" width="4" style="2" customWidth="1"/>
    <col min="14085" max="14085" width="54" style="2" customWidth="1"/>
    <col min="14086" max="14086" width="7" style="2" customWidth="1"/>
    <col min="14087" max="14087" width="11.28515625" style="2" customWidth="1"/>
    <col min="14088" max="14088" width="11" style="2" customWidth="1"/>
    <col min="14089" max="14090" width="2.140625" style="2" customWidth="1"/>
    <col min="14091" max="14091" width="3.28515625" style="2" customWidth="1"/>
    <col min="14092" max="14093" width="0" style="2" hidden="1" customWidth="1"/>
    <col min="14094" max="14094" width="2.85546875" style="2" customWidth="1"/>
    <col min="14095" max="14095" width="3.28515625" style="2" customWidth="1"/>
    <col min="14096" max="14096" width="1.42578125" style="2" customWidth="1"/>
    <col min="14097" max="14097" width="0" style="2" hidden="1" customWidth="1"/>
    <col min="14098" max="14098" width="6.85546875" style="2" customWidth="1"/>
    <col min="14099" max="14099" width="0" style="2" hidden="1" customWidth="1"/>
    <col min="14100" max="14101" width="6.28515625" style="2" customWidth="1"/>
    <col min="14102" max="14102" width="26.42578125" style="2" customWidth="1"/>
    <col min="14103" max="14103" width="11.7109375" style="2" customWidth="1"/>
    <col min="14104" max="14104" width="25.42578125" style="2" customWidth="1"/>
    <col min="14105" max="14105" width="0" style="2" hidden="1" customWidth="1"/>
    <col min="14106" max="14106" width="16.42578125" style="2" customWidth="1"/>
    <col min="14107" max="14107" width="15.85546875" style="2" customWidth="1"/>
    <col min="14108" max="14108" width="13.140625" style="2" customWidth="1"/>
    <col min="14109" max="14109" width="14" style="2" customWidth="1"/>
    <col min="14110" max="14110" width="8.140625" style="2" customWidth="1"/>
    <col min="14111" max="14111" width="11.42578125" style="2" customWidth="1"/>
    <col min="14112" max="14112" width="33.7109375" style="2" customWidth="1"/>
    <col min="14113" max="14113" width="12" style="2" customWidth="1"/>
    <col min="14114" max="14115" width="0.28515625" style="2" customWidth="1"/>
    <col min="14116" max="14116" width="1.42578125" style="2" customWidth="1"/>
    <col min="14117" max="14117" width="0" style="2" hidden="1" customWidth="1"/>
    <col min="14118" max="14336" width="11.42578125" style="2"/>
    <col min="14337" max="14337" width="8" style="2" customWidth="1"/>
    <col min="14338" max="14338" width="13.42578125" style="2" customWidth="1"/>
    <col min="14339" max="14339" width="4.28515625" style="2" customWidth="1"/>
    <col min="14340" max="14340" width="4" style="2" customWidth="1"/>
    <col min="14341" max="14341" width="54" style="2" customWidth="1"/>
    <col min="14342" max="14342" width="7" style="2" customWidth="1"/>
    <col min="14343" max="14343" width="11.28515625" style="2" customWidth="1"/>
    <col min="14344" max="14344" width="11" style="2" customWidth="1"/>
    <col min="14345" max="14346" width="2.140625" style="2" customWidth="1"/>
    <col min="14347" max="14347" width="3.28515625" style="2" customWidth="1"/>
    <col min="14348" max="14349" width="0" style="2" hidden="1" customWidth="1"/>
    <col min="14350" max="14350" width="2.85546875" style="2" customWidth="1"/>
    <col min="14351" max="14351" width="3.28515625" style="2" customWidth="1"/>
    <col min="14352" max="14352" width="1.42578125" style="2" customWidth="1"/>
    <col min="14353" max="14353" width="0" style="2" hidden="1" customWidth="1"/>
    <col min="14354" max="14354" width="6.85546875" style="2" customWidth="1"/>
    <col min="14355" max="14355" width="0" style="2" hidden="1" customWidth="1"/>
    <col min="14356" max="14357" width="6.28515625" style="2" customWidth="1"/>
    <col min="14358" max="14358" width="26.42578125" style="2" customWidth="1"/>
    <col min="14359" max="14359" width="11.7109375" style="2" customWidth="1"/>
    <col min="14360" max="14360" width="25.42578125" style="2" customWidth="1"/>
    <col min="14361" max="14361" width="0" style="2" hidden="1" customWidth="1"/>
    <col min="14362" max="14362" width="16.42578125" style="2" customWidth="1"/>
    <col min="14363" max="14363" width="15.85546875" style="2" customWidth="1"/>
    <col min="14364" max="14364" width="13.140625" style="2" customWidth="1"/>
    <col min="14365" max="14365" width="14" style="2" customWidth="1"/>
    <col min="14366" max="14366" width="8.140625" style="2" customWidth="1"/>
    <col min="14367" max="14367" width="11.42578125" style="2" customWidth="1"/>
    <col min="14368" max="14368" width="33.7109375" style="2" customWidth="1"/>
    <col min="14369" max="14369" width="12" style="2" customWidth="1"/>
    <col min="14370" max="14371" width="0.28515625" style="2" customWidth="1"/>
    <col min="14372" max="14372" width="1.42578125" style="2" customWidth="1"/>
    <col min="14373" max="14373" width="0" style="2" hidden="1" customWidth="1"/>
    <col min="14374" max="14592" width="11.42578125" style="2"/>
    <col min="14593" max="14593" width="8" style="2" customWidth="1"/>
    <col min="14594" max="14594" width="13.42578125" style="2" customWidth="1"/>
    <col min="14595" max="14595" width="4.28515625" style="2" customWidth="1"/>
    <col min="14596" max="14596" width="4" style="2" customWidth="1"/>
    <col min="14597" max="14597" width="54" style="2" customWidth="1"/>
    <col min="14598" max="14598" width="7" style="2" customWidth="1"/>
    <col min="14599" max="14599" width="11.28515625" style="2" customWidth="1"/>
    <col min="14600" max="14600" width="11" style="2" customWidth="1"/>
    <col min="14601" max="14602" width="2.140625" style="2" customWidth="1"/>
    <col min="14603" max="14603" width="3.28515625" style="2" customWidth="1"/>
    <col min="14604" max="14605" width="0" style="2" hidden="1" customWidth="1"/>
    <col min="14606" max="14606" width="2.85546875" style="2" customWidth="1"/>
    <col min="14607" max="14607" width="3.28515625" style="2" customWidth="1"/>
    <col min="14608" max="14608" width="1.42578125" style="2" customWidth="1"/>
    <col min="14609" max="14609" width="0" style="2" hidden="1" customWidth="1"/>
    <col min="14610" max="14610" width="6.85546875" style="2" customWidth="1"/>
    <col min="14611" max="14611" width="0" style="2" hidden="1" customWidth="1"/>
    <col min="14612" max="14613" width="6.28515625" style="2" customWidth="1"/>
    <col min="14614" max="14614" width="26.42578125" style="2" customWidth="1"/>
    <col min="14615" max="14615" width="11.7109375" style="2" customWidth="1"/>
    <col min="14616" max="14616" width="25.42578125" style="2" customWidth="1"/>
    <col min="14617" max="14617" width="0" style="2" hidden="1" customWidth="1"/>
    <col min="14618" max="14618" width="16.42578125" style="2" customWidth="1"/>
    <col min="14619" max="14619" width="15.85546875" style="2" customWidth="1"/>
    <col min="14620" max="14620" width="13.140625" style="2" customWidth="1"/>
    <col min="14621" max="14621" width="14" style="2" customWidth="1"/>
    <col min="14622" max="14622" width="8.140625" style="2" customWidth="1"/>
    <col min="14623" max="14623" width="11.42578125" style="2" customWidth="1"/>
    <col min="14624" max="14624" width="33.7109375" style="2" customWidth="1"/>
    <col min="14625" max="14625" width="12" style="2" customWidth="1"/>
    <col min="14626" max="14627" width="0.28515625" style="2" customWidth="1"/>
    <col min="14628" max="14628" width="1.42578125" style="2" customWidth="1"/>
    <col min="14629" max="14629" width="0" style="2" hidden="1" customWidth="1"/>
    <col min="14630" max="14848" width="11.42578125" style="2"/>
    <col min="14849" max="14849" width="8" style="2" customWidth="1"/>
    <col min="14850" max="14850" width="13.42578125" style="2" customWidth="1"/>
    <col min="14851" max="14851" width="4.28515625" style="2" customWidth="1"/>
    <col min="14852" max="14852" width="4" style="2" customWidth="1"/>
    <col min="14853" max="14853" width="54" style="2" customWidth="1"/>
    <col min="14854" max="14854" width="7" style="2" customWidth="1"/>
    <col min="14855" max="14855" width="11.28515625" style="2" customWidth="1"/>
    <col min="14856" max="14856" width="11" style="2" customWidth="1"/>
    <col min="14857" max="14858" width="2.140625" style="2" customWidth="1"/>
    <col min="14859" max="14859" width="3.28515625" style="2" customWidth="1"/>
    <col min="14860" max="14861" width="0" style="2" hidden="1" customWidth="1"/>
    <col min="14862" max="14862" width="2.85546875" style="2" customWidth="1"/>
    <col min="14863" max="14863" width="3.28515625" style="2" customWidth="1"/>
    <col min="14864" max="14864" width="1.42578125" style="2" customWidth="1"/>
    <col min="14865" max="14865" width="0" style="2" hidden="1" customWidth="1"/>
    <col min="14866" max="14866" width="6.85546875" style="2" customWidth="1"/>
    <col min="14867" max="14867" width="0" style="2" hidden="1" customWidth="1"/>
    <col min="14868" max="14869" width="6.28515625" style="2" customWidth="1"/>
    <col min="14870" max="14870" width="26.42578125" style="2" customWidth="1"/>
    <col min="14871" max="14871" width="11.7109375" style="2" customWidth="1"/>
    <col min="14872" max="14872" width="25.42578125" style="2" customWidth="1"/>
    <col min="14873" max="14873" width="0" style="2" hidden="1" customWidth="1"/>
    <col min="14874" max="14874" width="16.42578125" style="2" customWidth="1"/>
    <col min="14875" max="14875" width="15.85546875" style="2" customWidth="1"/>
    <col min="14876" max="14876" width="13.140625" style="2" customWidth="1"/>
    <col min="14877" max="14877" width="14" style="2" customWidth="1"/>
    <col min="14878" max="14878" width="8.140625" style="2" customWidth="1"/>
    <col min="14879" max="14879" width="11.42578125" style="2" customWidth="1"/>
    <col min="14880" max="14880" width="33.7109375" style="2" customWidth="1"/>
    <col min="14881" max="14881" width="12" style="2" customWidth="1"/>
    <col min="14882" max="14883" width="0.28515625" style="2" customWidth="1"/>
    <col min="14884" max="14884" width="1.42578125" style="2" customWidth="1"/>
    <col min="14885" max="14885" width="0" style="2" hidden="1" customWidth="1"/>
    <col min="14886" max="15104" width="11.42578125" style="2"/>
    <col min="15105" max="15105" width="8" style="2" customWidth="1"/>
    <col min="15106" max="15106" width="13.42578125" style="2" customWidth="1"/>
    <col min="15107" max="15107" width="4.28515625" style="2" customWidth="1"/>
    <col min="15108" max="15108" width="4" style="2" customWidth="1"/>
    <col min="15109" max="15109" width="54" style="2" customWidth="1"/>
    <col min="15110" max="15110" width="7" style="2" customWidth="1"/>
    <col min="15111" max="15111" width="11.28515625" style="2" customWidth="1"/>
    <col min="15112" max="15112" width="11" style="2" customWidth="1"/>
    <col min="15113" max="15114" width="2.140625" style="2" customWidth="1"/>
    <col min="15115" max="15115" width="3.28515625" style="2" customWidth="1"/>
    <col min="15116" max="15117" width="0" style="2" hidden="1" customWidth="1"/>
    <col min="15118" max="15118" width="2.85546875" style="2" customWidth="1"/>
    <col min="15119" max="15119" width="3.28515625" style="2" customWidth="1"/>
    <col min="15120" max="15120" width="1.42578125" style="2" customWidth="1"/>
    <col min="15121" max="15121" width="0" style="2" hidden="1" customWidth="1"/>
    <col min="15122" max="15122" width="6.85546875" style="2" customWidth="1"/>
    <col min="15123" max="15123" width="0" style="2" hidden="1" customWidth="1"/>
    <col min="15124" max="15125" width="6.28515625" style="2" customWidth="1"/>
    <col min="15126" max="15126" width="26.42578125" style="2" customWidth="1"/>
    <col min="15127" max="15127" width="11.7109375" style="2" customWidth="1"/>
    <col min="15128" max="15128" width="25.42578125" style="2" customWidth="1"/>
    <col min="15129" max="15129" width="0" style="2" hidden="1" customWidth="1"/>
    <col min="15130" max="15130" width="16.42578125" style="2" customWidth="1"/>
    <col min="15131" max="15131" width="15.85546875" style="2" customWidth="1"/>
    <col min="15132" max="15132" width="13.140625" style="2" customWidth="1"/>
    <col min="15133" max="15133" width="14" style="2" customWidth="1"/>
    <col min="15134" max="15134" width="8.140625" style="2" customWidth="1"/>
    <col min="15135" max="15135" width="11.42578125" style="2" customWidth="1"/>
    <col min="15136" max="15136" width="33.7109375" style="2" customWidth="1"/>
    <col min="15137" max="15137" width="12" style="2" customWidth="1"/>
    <col min="15138" max="15139" width="0.28515625" style="2" customWidth="1"/>
    <col min="15140" max="15140" width="1.42578125" style="2" customWidth="1"/>
    <col min="15141" max="15141" width="0" style="2" hidden="1" customWidth="1"/>
    <col min="15142" max="15360" width="11.42578125" style="2"/>
    <col min="15361" max="15361" width="8" style="2" customWidth="1"/>
    <col min="15362" max="15362" width="13.42578125" style="2" customWidth="1"/>
    <col min="15363" max="15363" width="4.28515625" style="2" customWidth="1"/>
    <col min="15364" max="15364" width="4" style="2" customWidth="1"/>
    <col min="15365" max="15365" width="54" style="2" customWidth="1"/>
    <col min="15366" max="15366" width="7" style="2" customWidth="1"/>
    <col min="15367" max="15367" width="11.28515625" style="2" customWidth="1"/>
    <col min="15368" max="15368" width="11" style="2" customWidth="1"/>
    <col min="15369" max="15370" width="2.140625" style="2" customWidth="1"/>
    <col min="15371" max="15371" width="3.28515625" style="2" customWidth="1"/>
    <col min="15372" max="15373" width="0" style="2" hidden="1" customWidth="1"/>
    <col min="15374" max="15374" width="2.85546875" style="2" customWidth="1"/>
    <col min="15375" max="15375" width="3.28515625" style="2" customWidth="1"/>
    <col min="15376" max="15376" width="1.42578125" style="2" customWidth="1"/>
    <col min="15377" max="15377" width="0" style="2" hidden="1" customWidth="1"/>
    <col min="15378" max="15378" width="6.85546875" style="2" customWidth="1"/>
    <col min="15379" max="15379" width="0" style="2" hidden="1" customWidth="1"/>
    <col min="15380" max="15381" width="6.28515625" style="2" customWidth="1"/>
    <col min="15382" max="15382" width="26.42578125" style="2" customWidth="1"/>
    <col min="15383" max="15383" width="11.7109375" style="2" customWidth="1"/>
    <col min="15384" max="15384" width="25.42578125" style="2" customWidth="1"/>
    <col min="15385" max="15385" width="0" style="2" hidden="1" customWidth="1"/>
    <col min="15386" max="15386" width="16.42578125" style="2" customWidth="1"/>
    <col min="15387" max="15387" width="15.85546875" style="2" customWidth="1"/>
    <col min="15388" max="15388" width="13.140625" style="2" customWidth="1"/>
    <col min="15389" max="15389" width="14" style="2" customWidth="1"/>
    <col min="15390" max="15390" width="8.140625" style="2" customWidth="1"/>
    <col min="15391" max="15391" width="11.42578125" style="2" customWidth="1"/>
    <col min="15392" max="15392" width="33.7109375" style="2" customWidth="1"/>
    <col min="15393" max="15393" width="12" style="2" customWidth="1"/>
    <col min="15394" max="15395" width="0.28515625" style="2" customWidth="1"/>
    <col min="15396" max="15396" width="1.42578125" style="2" customWidth="1"/>
    <col min="15397" max="15397" width="0" style="2" hidden="1" customWidth="1"/>
    <col min="15398" max="15616" width="11.42578125" style="2"/>
    <col min="15617" max="15617" width="8" style="2" customWidth="1"/>
    <col min="15618" max="15618" width="13.42578125" style="2" customWidth="1"/>
    <col min="15619" max="15619" width="4.28515625" style="2" customWidth="1"/>
    <col min="15620" max="15620" width="4" style="2" customWidth="1"/>
    <col min="15621" max="15621" width="54" style="2" customWidth="1"/>
    <col min="15622" max="15622" width="7" style="2" customWidth="1"/>
    <col min="15623" max="15623" width="11.28515625" style="2" customWidth="1"/>
    <col min="15624" max="15624" width="11" style="2" customWidth="1"/>
    <col min="15625" max="15626" width="2.140625" style="2" customWidth="1"/>
    <col min="15627" max="15627" width="3.28515625" style="2" customWidth="1"/>
    <col min="15628" max="15629" width="0" style="2" hidden="1" customWidth="1"/>
    <col min="15630" max="15630" width="2.85546875" style="2" customWidth="1"/>
    <col min="15631" max="15631" width="3.28515625" style="2" customWidth="1"/>
    <col min="15632" max="15632" width="1.42578125" style="2" customWidth="1"/>
    <col min="15633" max="15633" width="0" style="2" hidden="1" customWidth="1"/>
    <col min="15634" max="15634" width="6.85546875" style="2" customWidth="1"/>
    <col min="15635" max="15635" width="0" style="2" hidden="1" customWidth="1"/>
    <col min="15636" max="15637" width="6.28515625" style="2" customWidth="1"/>
    <col min="15638" max="15638" width="26.42578125" style="2" customWidth="1"/>
    <col min="15639" max="15639" width="11.7109375" style="2" customWidth="1"/>
    <col min="15640" max="15640" width="25.42578125" style="2" customWidth="1"/>
    <col min="15641" max="15641" width="0" style="2" hidden="1" customWidth="1"/>
    <col min="15642" max="15642" width="16.42578125" style="2" customWidth="1"/>
    <col min="15643" max="15643" width="15.85546875" style="2" customWidth="1"/>
    <col min="15644" max="15644" width="13.140625" style="2" customWidth="1"/>
    <col min="15645" max="15645" width="14" style="2" customWidth="1"/>
    <col min="15646" max="15646" width="8.140625" style="2" customWidth="1"/>
    <col min="15647" max="15647" width="11.42578125" style="2" customWidth="1"/>
    <col min="15648" max="15648" width="33.7109375" style="2" customWidth="1"/>
    <col min="15649" max="15649" width="12" style="2" customWidth="1"/>
    <col min="15650" max="15651" width="0.28515625" style="2" customWidth="1"/>
    <col min="15652" max="15652" width="1.42578125" style="2" customWidth="1"/>
    <col min="15653" max="15653" width="0" style="2" hidden="1" customWidth="1"/>
    <col min="15654" max="15872" width="11.42578125" style="2"/>
    <col min="15873" max="15873" width="8" style="2" customWidth="1"/>
    <col min="15874" max="15874" width="13.42578125" style="2" customWidth="1"/>
    <col min="15875" max="15875" width="4.28515625" style="2" customWidth="1"/>
    <col min="15876" max="15876" width="4" style="2" customWidth="1"/>
    <col min="15877" max="15877" width="54" style="2" customWidth="1"/>
    <col min="15878" max="15878" width="7" style="2" customWidth="1"/>
    <col min="15879" max="15879" width="11.28515625" style="2" customWidth="1"/>
    <col min="15880" max="15880" width="11" style="2" customWidth="1"/>
    <col min="15881" max="15882" width="2.140625" style="2" customWidth="1"/>
    <col min="15883" max="15883" width="3.28515625" style="2" customWidth="1"/>
    <col min="15884" max="15885" width="0" style="2" hidden="1" customWidth="1"/>
    <col min="15886" max="15886" width="2.85546875" style="2" customWidth="1"/>
    <col min="15887" max="15887" width="3.28515625" style="2" customWidth="1"/>
    <col min="15888" max="15888" width="1.42578125" style="2" customWidth="1"/>
    <col min="15889" max="15889" width="0" style="2" hidden="1" customWidth="1"/>
    <col min="15890" max="15890" width="6.85546875" style="2" customWidth="1"/>
    <col min="15891" max="15891" width="0" style="2" hidden="1" customWidth="1"/>
    <col min="15892" max="15893" width="6.28515625" style="2" customWidth="1"/>
    <col min="15894" max="15894" width="26.42578125" style="2" customWidth="1"/>
    <col min="15895" max="15895" width="11.7109375" style="2" customWidth="1"/>
    <col min="15896" max="15896" width="25.42578125" style="2" customWidth="1"/>
    <col min="15897" max="15897" width="0" style="2" hidden="1" customWidth="1"/>
    <col min="15898" max="15898" width="16.42578125" style="2" customWidth="1"/>
    <col min="15899" max="15899" width="15.85546875" style="2" customWidth="1"/>
    <col min="15900" max="15900" width="13.140625" style="2" customWidth="1"/>
    <col min="15901" max="15901" width="14" style="2" customWidth="1"/>
    <col min="15902" max="15902" width="8.140625" style="2" customWidth="1"/>
    <col min="15903" max="15903" width="11.42578125" style="2" customWidth="1"/>
    <col min="15904" max="15904" width="33.7109375" style="2" customWidth="1"/>
    <col min="15905" max="15905" width="12" style="2" customWidth="1"/>
    <col min="15906" max="15907" width="0.28515625" style="2" customWidth="1"/>
    <col min="15908" max="15908" width="1.42578125" style="2" customWidth="1"/>
    <col min="15909" max="15909" width="0" style="2" hidden="1" customWidth="1"/>
    <col min="15910" max="16128" width="11.42578125" style="2"/>
    <col min="16129" max="16129" width="8" style="2" customWidth="1"/>
    <col min="16130" max="16130" width="13.42578125" style="2" customWidth="1"/>
    <col min="16131" max="16131" width="4.28515625" style="2" customWidth="1"/>
    <col min="16132" max="16132" width="4" style="2" customWidth="1"/>
    <col min="16133" max="16133" width="54" style="2" customWidth="1"/>
    <col min="16134" max="16134" width="7" style="2" customWidth="1"/>
    <col min="16135" max="16135" width="11.28515625" style="2" customWidth="1"/>
    <col min="16136" max="16136" width="11" style="2" customWidth="1"/>
    <col min="16137" max="16138" width="2.140625" style="2" customWidth="1"/>
    <col min="16139" max="16139" width="3.28515625" style="2" customWidth="1"/>
    <col min="16140" max="16141" width="0" style="2" hidden="1" customWidth="1"/>
    <col min="16142" max="16142" width="2.85546875" style="2" customWidth="1"/>
    <col min="16143" max="16143" width="3.28515625" style="2" customWidth="1"/>
    <col min="16144" max="16144" width="1.42578125" style="2" customWidth="1"/>
    <col min="16145" max="16145" width="0" style="2" hidden="1" customWidth="1"/>
    <col min="16146" max="16146" width="6.85546875" style="2" customWidth="1"/>
    <col min="16147" max="16147" width="0" style="2" hidden="1" customWidth="1"/>
    <col min="16148" max="16149" width="6.28515625" style="2" customWidth="1"/>
    <col min="16150" max="16150" width="26.42578125" style="2" customWidth="1"/>
    <col min="16151" max="16151" width="11.7109375" style="2" customWidth="1"/>
    <col min="16152" max="16152" width="25.42578125" style="2" customWidth="1"/>
    <col min="16153" max="16153" width="0" style="2" hidden="1" customWidth="1"/>
    <col min="16154" max="16154" width="16.42578125" style="2" customWidth="1"/>
    <col min="16155" max="16155" width="15.85546875" style="2" customWidth="1"/>
    <col min="16156" max="16156" width="13.140625" style="2" customWidth="1"/>
    <col min="16157" max="16157" width="14" style="2" customWidth="1"/>
    <col min="16158" max="16158" width="8.140625" style="2" customWidth="1"/>
    <col min="16159" max="16159" width="11.42578125" style="2" customWidth="1"/>
    <col min="16160" max="16160" width="33.7109375" style="2" customWidth="1"/>
    <col min="16161" max="16161" width="12" style="2" customWidth="1"/>
    <col min="16162" max="16163" width="0.28515625" style="2" customWidth="1"/>
    <col min="16164" max="16164" width="1.42578125" style="2" customWidth="1"/>
    <col min="16165" max="16165" width="0" style="2" hidden="1" customWidth="1"/>
    <col min="16166" max="16384" width="11.42578125" style="2"/>
  </cols>
  <sheetData>
    <row r="1" spans="1:35" ht="45" customHeight="1">
      <c r="A1" s="1088"/>
      <c r="B1" s="1088"/>
      <c r="C1" s="1089" t="s">
        <v>0</v>
      </c>
      <c r="D1" s="1089"/>
      <c r="E1" s="1089"/>
      <c r="F1" s="1089"/>
      <c r="G1" s="1089"/>
      <c r="H1" s="1089"/>
      <c r="I1" s="1089"/>
      <c r="J1" s="1089"/>
      <c r="K1" s="1089"/>
      <c r="L1" s="1089"/>
      <c r="M1" s="1089"/>
      <c r="N1" s="1089"/>
      <c r="O1" s="1089"/>
      <c r="P1" s="1089"/>
      <c r="Q1" s="1089"/>
      <c r="R1" s="1089"/>
      <c r="S1" s="1089"/>
      <c r="T1" s="1089"/>
      <c r="U1" s="1089"/>
      <c r="V1" s="1089"/>
      <c r="W1" s="1089"/>
      <c r="X1" s="1089"/>
      <c r="Y1" s="1089"/>
      <c r="Z1" s="1089"/>
      <c r="AA1" s="1089"/>
      <c r="AB1" s="1089"/>
      <c r="AC1" s="1089"/>
      <c r="AD1" s="1089"/>
      <c r="AE1" s="1089"/>
      <c r="AF1" s="1090" t="s">
        <v>883</v>
      </c>
      <c r="AG1" s="434"/>
      <c r="AH1" s="3" t="s">
        <v>17</v>
      </c>
      <c r="AI1" s="6" t="s">
        <v>23</v>
      </c>
    </row>
    <row r="2" spans="1:35" ht="51" customHeight="1">
      <c r="A2" s="1088"/>
      <c r="B2" s="1088"/>
      <c r="C2" s="1090" t="s">
        <v>37</v>
      </c>
      <c r="D2" s="1090"/>
      <c r="E2" s="1090"/>
      <c r="F2" s="109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434"/>
      <c r="AH2" s="2" t="s">
        <v>18</v>
      </c>
      <c r="AI2" s="7" t="s">
        <v>24</v>
      </c>
    </row>
    <row r="3" spans="1:35" ht="6.75" customHeight="1">
      <c r="A3" s="1091"/>
      <c r="B3" s="1091"/>
      <c r="C3" s="109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434"/>
      <c r="AH3" s="3" t="s">
        <v>16</v>
      </c>
      <c r="AI3" s="6" t="s">
        <v>25</v>
      </c>
    </row>
    <row r="4" spans="1:35" ht="30.75" customHeight="1">
      <c r="A4" s="1082" t="s">
        <v>5</v>
      </c>
      <c r="B4" s="1082"/>
      <c r="C4" s="1082"/>
      <c r="D4" s="1082"/>
      <c r="E4" s="1083" t="s">
        <v>666</v>
      </c>
      <c r="F4" s="1083"/>
      <c r="G4" s="1083"/>
      <c r="H4" s="1083"/>
      <c r="I4" s="1083"/>
      <c r="J4" s="1083"/>
      <c r="K4" s="1083"/>
      <c r="L4" s="1083"/>
      <c r="M4" s="1083"/>
      <c r="N4" s="1083"/>
      <c r="O4" s="1083"/>
      <c r="P4" s="1083"/>
      <c r="Q4" s="1083"/>
      <c r="R4" s="1083"/>
      <c r="S4" s="1083"/>
      <c r="T4" s="1083"/>
      <c r="U4" s="1083"/>
      <c r="V4" s="1084" t="s">
        <v>20</v>
      </c>
      <c r="W4" s="1084"/>
      <c r="X4" s="1085" t="s">
        <v>667</v>
      </c>
      <c r="Y4" s="1086"/>
      <c r="Z4" s="1086"/>
      <c r="AA4" s="1086"/>
      <c r="AB4" s="1086"/>
      <c r="AC4" s="1087"/>
      <c r="AD4" s="1084" t="s">
        <v>98</v>
      </c>
      <c r="AE4" s="1084"/>
      <c r="AF4" s="367" t="s">
        <v>99</v>
      </c>
      <c r="AG4" s="434"/>
      <c r="AH4" s="6" t="s">
        <v>19</v>
      </c>
    </row>
    <row r="5" spans="1:35" ht="4.5" customHeight="1" thickBot="1">
      <c r="A5" s="1091"/>
      <c r="B5" s="1091"/>
      <c r="C5" s="1091"/>
      <c r="D5" s="1091"/>
      <c r="E5" s="1091"/>
      <c r="F5" s="1091"/>
      <c r="G5" s="1091"/>
      <c r="H5" s="1091"/>
      <c r="I5" s="1091"/>
      <c r="J5" s="1091"/>
      <c r="K5" s="1091"/>
      <c r="L5" s="1091"/>
      <c r="M5" s="1091"/>
      <c r="N5" s="1091"/>
      <c r="O5" s="1091"/>
      <c r="P5" s="1091"/>
      <c r="Q5" s="1091"/>
      <c r="R5" s="1091"/>
      <c r="S5" s="1091"/>
      <c r="T5" s="1091"/>
      <c r="U5" s="1091"/>
      <c r="V5" s="1091"/>
      <c r="W5" s="1091"/>
      <c r="X5" s="1091"/>
      <c r="Y5" s="1091"/>
      <c r="Z5" s="1091"/>
      <c r="AA5" s="1091"/>
      <c r="AB5" s="1091"/>
      <c r="AC5" s="1091"/>
      <c r="AD5" s="1091"/>
      <c r="AE5" s="1091"/>
      <c r="AF5" s="1091"/>
      <c r="AG5" s="434"/>
    </row>
    <row r="6" spans="1:35" ht="57" customHeight="1">
      <c r="A6" s="1092" t="s">
        <v>39</v>
      </c>
      <c r="B6" s="1093"/>
      <c r="C6" s="1084" t="s">
        <v>1</v>
      </c>
      <c r="D6" s="1084" t="s">
        <v>100</v>
      </c>
      <c r="E6" s="1084"/>
      <c r="F6" s="1094" t="s">
        <v>6</v>
      </c>
      <c r="G6" s="1084" t="s">
        <v>9</v>
      </c>
      <c r="H6" s="1084" t="s">
        <v>2</v>
      </c>
      <c r="I6" s="1084" t="s">
        <v>21</v>
      </c>
      <c r="J6" s="1084"/>
      <c r="K6" s="1084"/>
      <c r="L6" s="1084"/>
      <c r="M6" s="1084"/>
      <c r="N6" s="1084"/>
      <c r="O6" s="1084"/>
      <c r="P6" s="1084"/>
      <c r="Q6" s="1084"/>
      <c r="R6" s="1084"/>
      <c r="S6" s="1084"/>
      <c r="T6" s="1084"/>
      <c r="U6" s="1084"/>
      <c r="V6" s="1084" t="s">
        <v>101</v>
      </c>
      <c r="W6" s="1084" t="s">
        <v>3</v>
      </c>
      <c r="X6" s="1084"/>
      <c r="Y6" s="1084"/>
      <c r="Z6" s="1095" t="s">
        <v>102</v>
      </c>
      <c r="AA6" s="1095" t="s">
        <v>103</v>
      </c>
      <c r="AB6" s="1095" t="s">
        <v>4</v>
      </c>
      <c r="AC6" s="1095"/>
      <c r="AD6" s="1084" t="s">
        <v>104</v>
      </c>
      <c r="AE6" s="1084" t="s">
        <v>105</v>
      </c>
      <c r="AF6" s="1084" t="s">
        <v>106</v>
      </c>
      <c r="AG6" s="434"/>
    </row>
    <row r="7" spans="1:35" ht="37.5" customHeight="1" thickBot="1">
      <c r="A7" s="441" t="s">
        <v>40</v>
      </c>
      <c r="B7" s="442" t="s">
        <v>41</v>
      </c>
      <c r="C7" s="1084"/>
      <c r="D7" s="1084"/>
      <c r="E7" s="1084"/>
      <c r="F7" s="1094"/>
      <c r="G7" s="1084"/>
      <c r="H7" s="1084"/>
      <c r="I7" s="1084" t="s">
        <v>11</v>
      </c>
      <c r="J7" s="1084"/>
      <c r="K7" s="1084"/>
      <c r="L7" s="1084"/>
      <c r="M7" s="1084"/>
      <c r="N7" s="1084"/>
      <c r="O7" s="1096" t="s">
        <v>12</v>
      </c>
      <c r="P7" s="1096"/>
      <c r="Q7" s="1096"/>
      <c r="R7" s="1096"/>
      <c r="S7" s="1096"/>
      <c r="T7" s="1096" t="s">
        <v>13</v>
      </c>
      <c r="U7" s="1096"/>
      <c r="V7" s="1084"/>
      <c r="W7" s="1084"/>
      <c r="X7" s="1084"/>
      <c r="Y7" s="1084"/>
      <c r="Z7" s="1095"/>
      <c r="AA7" s="1095"/>
      <c r="AB7" s="443" t="s">
        <v>14</v>
      </c>
      <c r="AC7" s="444" t="s">
        <v>15</v>
      </c>
      <c r="AD7" s="1084"/>
      <c r="AE7" s="1084"/>
      <c r="AF7" s="1084"/>
      <c r="AG7" s="434"/>
    </row>
    <row r="8" spans="1:35" ht="252.95" customHeight="1">
      <c r="A8" s="445"/>
      <c r="B8" s="439"/>
      <c r="C8" s="440">
        <v>1</v>
      </c>
      <c r="D8" s="1097" t="s">
        <v>884</v>
      </c>
      <c r="E8" s="1098"/>
      <c r="F8" s="446" t="s">
        <v>862</v>
      </c>
      <c r="G8" s="447" t="s">
        <v>42</v>
      </c>
      <c r="H8" s="448" t="s">
        <v>25</v>
      </c>
      <c r="I8" s="1097" t="s">
        <v>162</v>
      </c>
      <c r="J8" s="1099"/>
      <c r="K8" s="1099"/>
      <c r="L8" s="1099"/>
      <c r="M8" s="1099"/>
      <c r="N8" s="1098"/>
      <c r="O8" s="1097" t="s">
        <v>162</v>
      </c>
      <c r="P8" s="1099"/>
      <c r="Q8" s="1099"/>
      <c r="R8" s="1098"/>
      <c r="S8" s="428"/>
      <c r="T8" s="1097" t="s">
        <v>162</v>
      </c>
      <c r="U8" s="1098"/>
      <c r="V8" s="428"/>
      <c r="W8" s="1100" t="s">
        <v>885</v>
      </c>
      <c r="X8" s="1100"/>
      <c r="Y8" s="1100"/>
      <c r="Z8" s="436" t="s">
        <v>886</v>
      </c>
      <c r="AA8" s="436">
        <v>1</v>
      </c>
      <c r="AB8" s="449">
        <v>43689</v>
      </c>
      <c r="AC8" s="449">
        <v>43707</v>
      </c>
      <c r="AD8" s="431">
        <v>1</v>
      </c>
      <c r="AE8" s="367" t="s">
        <v>17</v>
      </c>
      <c r="AF8" s="435" t="s">
        <v>887</v>
      </c>
      <c r="AG8" s="434"/>
    </row>
    <row r="9" spans="1:35" ht="225.75" customHeight="1">
      <c r="A9" s="1101"/>
      <c r="B9" s="1101"/>
      <c r="C9" s="1104">
        <v>2</v>
      </c>
      <c r="D9" s="1107" t="s">
        <v>861</v>
      </c>
      <c r="E9" s="1108"/>
      <c r="F9" s="1111" t="s">
        <v>862</v>
      </c>
      <c r="G9" s="1114" t="s">
        <v>42</v>
      </c>
      <c r="H9" s="1104" t="s">
        <v>25</v>
      </c>
      <c r="I9" s="1117"/>
      <c r="J9" s="1118"/>
      <c r="K9" s="1118"/>
      <c r="L9" s="1118"/>
      <c r="M9" s="1118"/>
      <c r="N9" s="1119"/>
      <c r="O9" s="1117"/>
      <c r="P9" s="1118"/>
      <c r="Q9" s="1118"/>
      <c r="R9" s="1119"/>
      <c r="S9" s="428"/>
      <c r="T9" s="1117"/>
      <c r="U9" s="1119"/>
      <c r="V9" s="1140" t="s">
        <v>863</v>
      </c>
      <c r="W9" s="1142" t="s">
        <v>864</v>
      </c>
      <c r="X9" s="1142"/>
      <c r="Y9" s="1142"/>
      <c r="Z9" s="429" t="s">
        <v>569</v>
      </c>
      <c r="AA9" s="429">
        <v>1</v>
      </c>
      <c r="AB9" s="430">
        <v>43689</v>
      </c>
      <c r="AC9" s="430">
        <v>43693</v>
      </c>
      <c r="AD9" s="431">
        <v>1</v>
      </c>
      <c r="AE9" s="432" t="s">
        <v>17</v>
      </c>
      <c r="AF9" s="433" t="s">
        <v>865</v>
      </c>
      <c r="AG9" s="434"/>
    </row>
    <row r="10" spans="1:35" ht="84.95" customHeight="1">
      <c r="A10" s="1102"/>
      <c r="B10" s="1102"/>
      <c r="C10" s="1105"/>
      <c r="D10" s="1109"/>
      <c r="E10" s="1110"/>
      <c r="F10" s="1112"/>
      <c r="G10" s="1115"/>
      <c r="H10" s="1105"/>
      <c r="I10" s="1120"/>
      <c r="J10" s="1121"/>
      <c r="K10" s="1121"/>
      <c r="L10" s="1121"/>
      <c r="M10" s="1121"/>
      <c r="N10" s="1122"/>
      <c r="O10" s="1120"/>
      <c r="P10" s="1121"/>
      <c r="Q10" s="1121"/>
      <c r="R10" s="1122"/>
      <c r="S10" s="428"/>
      <c r="T10" s="1120"/>
      <c r="U10" s="1122"/>
      <c r="V10" s="1141"/>
      <c r="W10" s="1142" t="s">
        <v>866</v>
      </c>
      <c r="X10" s="1142"/>
      <c r="Y10" s="1142"/>
      <c r="Z10" s="429" t="s">
        <v>867</v>
      </c>
      <c r="AA10" s="429">
        <v>1</v>
      </c>
      <c r="AB10" s="430">
        <v>43689</v>
      </c>
      <c r="AC10" s="430">
        <v>43819</v>
      </c>
      <c r="AD10" s="431">
        <v>1</v>
      </c>
      <c r="AE10" s="367" t="s">
        <v>17</v>
      </c>
      <c r="AF10" s="435" t="s">
        <v>868</v>
      </c>
      <c r="AG10" s="434"/>
    </row>
    <row r="11" spans="1:35" ht="116.1" customHeight="1">
      <c r="A11" s="1102"/>
      <c r="B11" s="1102"/>
      <c r="C11" s="1105"/>
      <c r="D11" s="1097" t="s">
        <v>869</v>
      </c>
      <c r="E11" s="1098"/>
      <c r="F11" s="1112"/>
      <c r="G11" s="1115"/>
      <c r="H11" s="1105"/>
      <c r="I11" s="1120"/>
      <c r="J11" s="1121"/>
      <c r="K11" s="1121"/>
      <c r="L11" s="1121"/>
      <c r="M11" s="1121"/>
      <c r="N11" s="1122"/>
      <c r="O11" s="1120"/>
      <c r="P11" s="1121"/>
      <c r="Q11" s="1121"/>
      <c r="R11" s="1122"/>
      <c r="S11" s="428"/>
      <c r="T11" s="1120"/>
      <c r="U11" s="1122"/>
      <c r="V11" s="436" t="s">
        <v>870</v>
      </c>
      <c r="W11" s="1100" t="s">
        <v>871</v>
      </c>
      <c r="X11" s="1100"/>
      <c r="Y11" s="1100"/>
      <c r="Z11" s="436" t="s">
        <v>867</v>
      </c>
      <c r="AA11" s="436">
        <v>1</v>
      </c>
      <c r="AB11" s="437">
        <v>43689</v>
      </c>
      <c r="AC11" s="437">
        <v>43819</v>
      </c>
      <c r="AD11" s="431">
        <v>1</v>
      </c>
      <c r="AE11" s="367" t="s">
        <v>17</v>
      </c>
      <c r="AF11" s="435" t="s">
        <v>872</v>
      </c>
      <c r="AG11" s="434"/>
    </row>
    <row r="12" spans="1:35" ht="158.25" customHeight="1">
      <c r="A12" s="1102"/>
      <c r="B12" s="1102"/>
      <c r="C12" s="1105"/>
      <c r="D12" s="1107" t="s">
        <v>873</v>
      </c>
      <c r="E12" s="1108"/>
      <c r="F12" s="1112"/>
      <c r="G12" s="1115"/>
      <c r="H12" s="1105"/>
      <c r="I12" s="1120"/>
      <c r="J12" s="1121"/>
      <c r="K12" s="1121"/>
      <c r="L12" s="1121"/>
      <c r="M12" s="1121"/>
      <c r="N12" s="1122"/>
      <c r="O12" s="1120"/>
      <c r="P12" s="1121"/>
      <c r="Q12" s="1121"/>
      <c r="R12" s="1122"/>
      <c r="S12" s="428"/>
      <c r="T12" s="1120"/>
      <c r="U12" s="1122"/>
      <c r="V12" s="1128" t="s">
        <v>874</v>
      </c>
      <c r="W12" s="1100" t="s">
        <v>875</v>
      </c>
      <c r="X12" s="1100"/>
      <c r="Y12" s="1100"/>
      <c r="Z12" s="436" t="s">
        <v>876</v>
      </c>
      <c r="AA12" s="436">
        <v>1</v>
      </c>
      <c r="AB12" s="438">
        <v>43689</v>
      </c>
      <c r="AC12" s="438">
        <v>43707</v>
      </c>
      <c r="AD12" s="431">
        <v>1</v>
      </c>
      <c r="AE12" s="432" t="s">
        <v>17</v>
      </c>
      <c r="AF12" s="435" t="s">
        <v>941</v>
      </c>
      <c r="AG12" s="434"/>
    </row>
    <row r="13" spans="1:35" ht="111" customHeight="1">
      <c r="A13" s="1102"/>
      <c r="B13" s="1102"/>
      <c r="C13" s="1105"/>
      <c r="D13" s="1126"/>
      <c r="E13" s="1127"/>
      <c r="F13" s="1112"/>
      <c r="G13" s="1115"/>
      <c r="H13" s="1105"/>
      <c r="I13" s="1120"/>
      <c r="J13" s="1121"/>
      <c r="K13" s="1121"/>
      <c r="L13" s="1121"/>
      <c r="M13" s="1121"/>
      <c r="N13" s="1122"/>
      <c r="O13" s="1120"/>
      <c r="P13" s="1121"/>
      <c r="Q13" s="1121"/>
      <c r="R13" s="1122"/>
      <c r="S13" s="428"/>
      <c r="T13" s="1120"/>
      <c r="U13" s="1122"/>
      <c r="V13" s="1129"/>
      <c r="W13" s="1130" t="s">
        <v>877</v>
      </c>
      <c r="X13" s="1131"/>
      <c r="Y13" s="1132"/>
      <c r="Z13" s="436" t="s">
        <v>794</v>
      </c>
      <c r="AA13" s="436" t="s">
        <v>878</v>
      </c>
      <c r="AB13" s="438">
        <v>43710</v>
      </c>
      <c r="AC13" s="438">
        <v>43714</v>
      </c>
      <c r="AD13" s="431">
        <v>1</v>
      </c>
      <c r="AE13" s="432" t="s">
        <v>17</v>
      </c>
      <c r="AF13" s="435" t="s">
        <v>879</v>
      </c>
      <c r="AG13" s="434"/>
    </row>
    <row r="14" spans="1:35" ht="70.5" customHeight="1">
      <c r="A14" s="1103"/>
      <c r="B14" s="1103"/>
      <c r="C14" s="1106"/>
      <c r="D14" s="1109"/>
      <c r="E14" s="1110"/>
      <c r="F14" s="1113"/>
      <c r="G14" s="1116"/>
      <c r="H14" s="1106"/>
      <c r="I14" s="1123"/>
      <c r="J14" s="1124"/>
      <c r="K14" s="1124"/>
      <c r="L14" s="1124"/>
      <c r="M14" s="1124"/>
      <c r="N14" s="1125"/>
      <c r="O14" s="1123"/>
      <c r="P14" s="1124"/>
      <c r="Q14" s="1124"/>
      <c r="R14" s="1125"/>
      <c r="S14" s="428"/>
      <c r="T14" s="1123"/>
      <c r="U14" s="1125"/>
      <c r="V14" s="436" t="s">
        <v>880</v>
      </c>
      <c r="W14" s="1100" t="s">
        <v>881</v>
      </c>
      <c r="X14" s="1100"/>
      <c r="Y14" s="1100"/>
      <c r="Z14" s="436" t="s">
        <v>206</v>
      </c>
      <c r="AA14" s="436" t="s">
        <v>206</v>
      </c>
      <c r="AB14" s="438">
        <v>43689</v>
      </c>
      <c r="AC14" s="438">
        <v>43697</v>
      </c>
      <c r="AD14" s="431">
        <v>1</v>
      </c>
      <c r="AE14" s="432" t="s">
        <v>17</v>
      </c>
      <c r="AF14" s="435" t="s">
        <v>882</v>
      </c>
      <c r="AG14" s="434"/>
    </row>
    <row r="15" spans="1:35" ht="6" customHeight="1">
      <c r="A15" s="1091"/>
      <c r="B15" s="1091"/>
      <c r="C15" s="1091"/>
      <c r="D15" s="1091"/>
      <c r="E15" s="1091"/>
      <c r="F15" s="1091"/>
      <c r="G15" s="1091"/>
      <c r="H15" s="1091"/>
      <c r="I15" s="1091"/>
      <c r="J15" s="1091"/>
      <c r="K15" s="1091"/>
      <c r="L15" s="1091"/>
      <c r="M15" s="1091"/>
      <c r="N15" s="1091"/>
      <c r="O15" s="1091"/>
      <c r="P15" s="1091"/>
      <c r="Q15" s="1091"/>
      <c r="R15" s="1091"/>
      <c r="S15" s="1091"/>
      <c r="T15" s="1091"/>
      <c r="U15" s="1091"/>
      <c r="V15" s="1091"/>
      <c r="W15" s="1091"/>
      <c r="X15" s="1091"/>
      <c r="Y15" s="1091"/>
      <c r="Z15" s="1091"/>
      <c r="AA15" s="1091"/>
      <c r="AB15" s="1091"/>
      <c r="AC15" s="1091"/>
      <c r="AD15" s="1091"/>
      <c r="AE15" s="1091"/>
      <c r="AF15" s="1091"/>
      <c r="AG15" s="434"/>
    </row>
    <row r="16" spans="1:35" ht="12.75" customHeight="1">
      <c r="A16" s="1096" t="s">
        <v>22</v>
      </c>
      <c r="B16" s="1096"/>
      <c r="C16" s="1096"/>
      <c r="D16" s="1096"/>
      <c r="E16" s="1096"/>
      <c r="F16" s="1096"/>
      <c r="G16" s="1096"/>
      <c r="H16" s="1096"/>
      <c r="I16" s="1096"/>
      <c r="J16" s="1096"/>
      <c r="K16" s="1096"/>
      <c r="L16" s="450"/>
      <c r="M16" s="450"/>
      <c r="N16" s="1135" t="s">
        <v>34</v>
      </c>
      <c r="O16" s="1135"/>
      <c r="P16" s="1135"/>
      <c r="Q16" s="1135"/>
      <c r="R16" s="1135"/>
      <c r="S16" s="1135"/>
      <c r="T16" s="1135"/>
      <c r="U16" s="1135"/>
      <c r="V16" s="1135"/>
      <c r="W16" s="1135"/>
      <c r="X16" s="1135"/>
      <c r="Y16" s="1135"/>
      <c r="Z16" s="1135"/>
      <c r="AA16" s="1135"/>
      <c r="AB16" s="1135"/>
      <c r="AC16" s="1136" t="s">
        <v>35</v>
      </c>
      <c r="AD16" s="1136"/>
      <c r="AE16" s="1136"/>
      <c r="AF16" s="1136"/>
      <c r="AG16" s="434"/>
    </row>
    <row r="17" spans="1:35" ht="14.25">
      <c r="A17" s="1096"/>
      <c r="B17" s="1096"/>
      <c r="C17" s="1096"/>
      <c r="D17" s="1096"/>
      <c r="E17" s="1096"/>
      <c r="F17" s="1096"/>
      <c r="G17" s="1096"/>
      <c r="H17" s="1096"/>
      <c r="I17" s="1096"/>
      <c r="J17" s="1096"/>
      <c r="K17" s="1096"/>
      <c r="L17" s="450"/>
      <c r="M17" s="450"/>
      <c r="N17" s="1135"/>
      <c r="O17" s="1135"/>
      <c r="P17" s="1135"/>
      <c r="Q17" s="1135"/>
      <c r="R17" s="1135"/>
      <c r="S17" s="1135"/>
      <c r="T17" s="1135"/>
      <c r="U17" s="1135"/>
      <c r="V17" s="1135"/>
      <c r="W17" s="1135"/>
      <c r="X17" s="1135"/>
      <c r="Y17" s="1135"/>
      <c r="Z17" s="1135"/>
      <c r="AA17" s="1135"/>
      <c r="AB17" s="1135"/>
      <c r="AC17" s="1136"/>
      <c r="AD17" s="1136"/>
      <c r="AE17" s="1136"/>
      <c r="AF17" s="1136"/>
      <c r="AG17" s="434"/>
    </row>
    <row r="18" spans="1:35" ht="38.25" customHeight="1">
      <c r="A18" s="1137" t="s">
        <v>683</v>
      </c>
      <c r="B18" s="1138"/>
      <c r="C18" s="1138"/>
      <c r="D18" s="1138"/>
      <c r="E18" s="1138"/>
      <c r="F18" s="1138"/>
      <c r="G18" s="1138"/>
      <c r="H18" s="1138"/>
      <c r="I18" s="1138"/>
      <c r="J18" s="1138"/>
      <c r="K18" s="1138"/>
      <c r="L18" s="450"/>
      <c r="M18" s="450"/>
      <c r="N18" s="1137" t="s">
        <v>684</v>
      </c>
      <c r="O18" s="1137"/>
      <c r="P18" s="1137"/>
      <c r="Q18" s="1137"/>
      <c r="R18" s="1137"/>
      <c r="S18" s="1137"/>
      <c r="T18" s="1137"/>
      <c r="U18" s="1137"/>
      <c r="V18" s="1137"/>
      <c r="W18" s="1137"/>
      <c r="X18" s="1137"/>
      <c r="Y18" s="1137"/>
      <c r="Z18" s="1137"/>
      <c r="AA18" s="1137"/>
      <c r="AB18" s="1137"/>
      <c r="AC18" s="1139" t="s">
        <v>685</v>
      </c>
      <c r="AD18" s="1139"/>
      <c r="AE18" s="1139"/>
      <c r="AF18" s="1139"/>
      <c r="AG18" s="434"/>
    </row>
    <row r="19" spans="1:35" ht="15" customHeight="1">
      <c r="A19" s="1133" t="s">
        <v>888</v>
      </c>
      <c r="B19" s="1133"/>
      <c r="C19" s="1133"/>
      <c r="D19" s="1133"/>
      <c r="E19" s="1133"/>
      <c r="F19" s="1133"/>
      <c r="G19" s="1133"/>
      <c r="H19" s="1133"/>
      <c r="I19" s="1133"/>
      <c r="J19" s="1133"/>
      <c r="K19" s="1133"/>
      <c r="L19" s="1133"/>
      <c r="M19" s="1133"/>
      <c r="N19" s="1133"/>
      <c r="O19" s="1133"/>
      <c r="P19" s="1133"/>
      <c r="Q19" s="1133"/>
      <c r="R19" s="1133"/>
      <c r="S19" s="1133"/>
      <c r="T19" s="1133"/>
      <c r="U19" s="1133"/>
      <c r="V19" s="1133"/>
      <c r="W19" s="1133"/>
      <c r="X19" s="1133"/>
      <c r="Y19" s="1133"/>
      <c r="Z19" s="1133"/>
      <c r="AA19" s="1133"/>
      <c r="AB19" s="1133"/>
      <c r="AC19" s="1133"/>
      <c r="AD19" s="1133"/>
      <c r="AE19" s="1133"/>
      <c r="AF19" s="1133"/>
      <c r="AG19" s="434"/>
    </row>
    <row r="20" spans="1:35" ht="15.75" customHeight="1">
      <c r="A20" s="1134"/>
      <c r="B20" s="1134"/>
      <c r="C20" s="1134"/>
      <c r="D20" s="1134"/>
      <c r="E20" s="1134"/>
      <c r="F20" s="1134"/>
      <c r="G20" s="1134"/>
      <c r="H20" s="1134"/>
      <c r="I20" s="1134"/>
      <c r="J20" s="1134"/>
      <c r="K20" s="1134"/>
      <c r="L20" s="1134"/>
      <c r="M20" s="1134"/>
      <c r="N20" s="1134"/>
      <c r="O20" s="1134"/>
      <c r="P20" s="1134"/>
      <c r="Q20" s="1134"/>
      <c r="R20" s="1134"/>
      <c r="S20" s="1134"/>
      <c r="T20" s="1134"/>
      <c r="U20" s="1134"/>
      <c r="V20" s="1134"/>
      <c r="W20" s="1134"/>
      <c r="X20" s="1134"/>
      <c r="Y20" s="1134"/>
      <c r="Z20" s="1134"/>
      <c r="AA20" s="1134"/>
      <c r="AB20" s="1134"/>
      <c r="AC20" s="1134"/>
      <c r="AD20" s="1134"/>
      <c r="AE20" s="1134"/>
      <c r="AF20" s="1134"/>
      <c r="AG20" s="1134"/>
    </row>
    <row r="21" spans="1:35" ht="22.5" customHeight="1">
      <c r="A21" s="642"/>
      <c r="B21" s="642"/>
      <c r="C21" s="642"/>
      <c r="D21" s="642"/>
      <c r="E21" s="642"/>
      <c r="F21" s="642"/>
      <c r="G21" s="642"/>
      <c r="H21" s="642"/>
      <c r="I21" s="642"/>
      <c r="J21" s="642"/>
      <c r="K21" s="642"/>
      <c r="L21" s="642"/>
      <c r="M21" s="642"/>
      <c r="N21" s="642"/>
      <c r="O21" s="642"/>
      <c r="P21" s="642"/>
      <c r="Q21" s="642"/>
      <c r="R21" s="642"/>
      <c r="S21" s="642"/>
      <c r="T21" s="642"/>
      <c r="U21" s="642"/>
      <c r="V21" s="642"/>
      <c r="W21" s="642"/>
      <c r="X21" s="642"/>
      <c r="Y21" s="642"/>
      <c r="Z21" s="642"/>
      <c r="AA21" s="642"/>
      <c r="AB21" s="642"/>
      <c r="AC21" s="642"/>
      <c r="AD21" s="642"/>
      <c r="AE21" s="642"/>
      <c r="AF21" s="642"/>
      <c r="AG21" s="8"/>
      <c r="AH21" s="8"/>
    </row>
    <row r="24" spans="1:35" ht="24.75" customHeight="1">
      <c r="AI24" s="6" t="s">
        <v>38</v>
      </c>
    </row>
    <row r="25" spans="1:35" ht="24.75" customHeight="1">
      <c r="AI25" s="6" t="s">
        <v>10</v>
      </c>
    </row>
    <row r="26" spans="1:35" ht="24.75" customHeight="1">
      <c r="AI26" s="6" t="s">
        <v>42</v>
      </c>
    </row>
    <row r="27" spans="1:35" ht="24.75" customHeight="1">
      <c r="AI27" s="6" t="s">
        <v>43</v>
      </c>
    </row>
    <row r="28" spans="1:35" ht="24.75" customHeight="1">
      <c r="AI28" s="6" t="s">
        <v>44</v>
      </c>
    </row>
    <row r="29" spans="1:35" ht="24.75" customHeight="1">
      <c r="AI29" s="6" t="s">
        <v>26</v>
      </c>
    </row>
    <row r="30" spans="1:35" ht="24.75" customHeight="1">
      <c r="AI30" s="6" t="s">
        <v>27</v>
      </c>
    </row>
    <row r="31" spans="1:35" ht="24.75" customHeight="1">
      <c r="AI31" s="6" t="s">
        <v>28</v>
      </c>
    </row>
    <row r="32" spans="1:35" ht="24.75" customHeight="1">
      <c r="AI32" s="6" t="s">
        <v>30</v>
      </c>
    </row>
    <row r="33" spans="35:35" ht="24.75" customHeight="1">
      <c r="AI33" s="6" t="s">
        <v>29</v>
      </c>
    </row>
    <row r="34" spans="35:35" ht="24.75" customHeight="1">
      <c r="AI34" s="6" t="s">
        <v>31</v>
      </c>
    </row>
    <row r="35" spans="35:35" ht="24.75" customHeight="1">
      <c r="AI35" s="6" t="s">
        <v>32</v>
      </c>
    </row>
    <row r="36" spans="35:35" ht="51">
      <c r="AI36" s="6" t="s">
        <v>33</v>
      </c>
    </row>
  </sheetData>
  <mergeCells count="64">
    <mergeCell ref="A19:AF19"/>
    <mergeCell ref="A20:AG20"/>
    <mergeCell ref="A21:AF21"/>
    <mergeCell ref="W14:Y14"/>
    <mergeCell ref="A15:AF15"/>
    <mergeCell ref="A16:K17"/>
    <mergeCell ref="N16:AB17"/>
    <mergeCell ref="AC16:AF17"/>
    <mergeCell ref="A18:K18"/>
    <mergeCell ref="N18:AB18"/>
    <mergeCell ref="AC18:AF18"/>
    <mergeCell ref="T9:U14"/>
    <mergeCell ref="V9:V10"/>
    <mergeCell ref="W9:Y9"/>
    <mergeCell ref="W10:Y10"/>
    <mergeCell ref="D11:E11"/>
    <mergeCell ref="W8:Y8"/>
    <mergeCell ref="A9:A14"/>
    <mergeCell ref="B9:B14"/>
    <mergeCell ref="C9:C14"/>
    <mergeCell ref="D9:E10"/>
    <mergeCell ref="F9:F14"/>
    <mergeCell ref="G9:G14"/>
    <mergeCell ref="H9:H14"/>
    <mergeCell ref="I9:N14"/>
    <mergeCell ref="O9:R14"/>
    <mergeCell ref="W11:Y11"/>
    <mergeCell ref="D12:E14"/>
    <mergeCell ref="V12:V13"/>
    <mergeCell ref="W12:Y12"/>
    <mergeCell ref="W13:Y13"/>
    <mergeCell ref="I7:N7"/>
    <mergeCell ref="O7:S7"/>
    <mergeCell ref="T7:U7"/>
    <mergeCell ref="D8:E8"/>
    <mergeCell ref="I8:N8"/>
    <mergeCell ref="O8:R8"/>
    <mergeCell ref="T8:U8"/>
    <mergeCell ref="AF6:AF7"/>
    <mergeCell ref="A5:AF5"/>
    <mergeCell ref="A6:B6"/>
    <mergeCell ref="C6:C7"/>
    <mergeCell ref="D6:E7"/>
    <mergeCell ref="F6:F7"/>
    <mergeCell ref="G6:G7"/>
    <mergeCell ref="H6:H7"/>
    <mergeCell ref="I6:U6"/>
    <mergeCell ref="V6:V7"/>
    <mergeCell ref="W6:Y7"/>
    <mergeCell ref="Z6:Z7"/>
    <mergeCell ref="AA6:AA7"/>
    <mergeCell ref="AB6:AC6"/>
    <mergeCell ref="AD6:AD7"/>
    <mergeCell ref="AE6:AE7"/>
    <mergeCell ref="A1:B2"/>
    <mergeCell ref="C1:AE1"/>
    <mergeCell ref="AF1:AF2"/>
    <mergeCell ref="C2:AE2"/>
    <mergeCell ref="A3:AF3"/>
    <mergeCell ref="A4:D4"/>
    <mergeCell ref="E4:U4"/>
    <mergeCell ref="V4:W4"/>
    <mergeCell ref="X4:AC4"/>
    <mergeCell ref="AD4:AE4"/>
  </mergeCells>
  <conditionalFormatting sqref="AD8:AD14">
    <cfRule type="cellIs" dxfId="117" priority="3" operator="between">
      <formula>0.001</formula>
      <formula>0.99</formula>
    </cfRule>
    <cfRule type="cellIs" dxfId="116" priority="4" operator="equal">
      <formula>1</formula>
    </cfRule>
    <cfRule type="cellIs" dxfId="115" priority="5" operator="equal">
      <formula>0</formula>
    </cfRule>
  </conditionalFormatting>
  <conditionalFormatting sqref="AD8:AD14">
    <cfRule type="cellIs" dxfId="114" priority="6" operator="between">
      <formula>0.01</formula>
      <formula>0.99</formula>
    </cfRule>
    <cfRule type="cellIs" dxfId="113" priority="7" operator="equal">
      <formula>1</formula>
    </cfRule>
    <cfRule type="cellIs" dxfId="112" priority="8" operator="equal">
      <formula>0</formula>
    </cfRule>
  </conditionalFormatting>
  <conditionalFormatting sqref="AA8:AA14">
    <cfRule type="cellIs" dxfId="111" priority="1" stopIfTrue="1" operator="greaterThan">
      <formula>#REF!</formula>
    </cfRule>
    <cfRule type="cellIs" dxfId="110" priority="2" stopIfTrue="1" operator="lessThan">
      <formula>#REF!</formula>
    </cfRule>
  </conditionalFormatting>
  <dataValidations count="3">
    <dataValidation type="list" allowBlank="1" showInputMessage="1" showErrorMessage="1" sqref="AE8:AE14 KA8:KA14 TW8:TW14 ADS8:ADS14 ANO8:ANO14 AXK8:AXK14 BHG8:BHG14 BRC8:BRC14 CAY8:CAY14 CKU8:CKU14 CUQ8:CUQ14 DEM8:DEM14 DOI8:DOI14 DYE8:DYE14 EIA8:EIA14 ERW8:ERW14 FBS8:FBS14 FLO8:FLO14 FVK8:FVK14 GFG8:GFG14 GPC8:GPC14 GYY8:GYY14 HIU8:HIU14 HSQ8:HSQ14 ICM8:ICM14 IMI8:IMI14 IWE8:IWE14 JGA8:JGA14 JPW8:JPW14 JZS8:JZS14 KJO8:KJO14 KTK8:KTK14 LDG8:LDG14 LNC8:LNC14 LWY8:LWY14 MGU8:MGU14 MQQ8:MQQ14 NAM8:NAM14 NKI8:NKI14 NUE8:NUE14 OEA8:OEA14 ONW8:ONW14 OXS8:OXS14 PHO8:PHO14 PRK8:PRK14 QBG8:QBG14 QLC8:QLC14 QUY8:QUY14 REU8:REU14 ROQ8:ROQ14 RYM8:RYM14 SII8:SII14 SSE8:SSE14 TCA8:TCA14 TLW8:TLW14 TVS8:TVS14 UFO8:UFO14 UPK8:UPK14 UZG8:UZG14 VJC8:VJC14 VSY8:VSY14 WCU8:WCU14 WMQ8:WMQ14 WWM8:WWM14 AE65544:AE65550 KA65544:KA65550 TW65544:TW65550 ADS65544:ADS65550 ANO65544:ANO65550 AXK65544:AXK65550 BHG65544:BHG65550 BRC65544:BRC65550 CAY65544:CAY65550 CKU65544:CKU65550 CUQ65544:CUQ65550 DEM65544:DEM65550 DOI65544:DOI65550 DYE65544:DYE65550 EIA65544:EIA65550 ERW65544:ERW65550 FBS65544:FBS65550 FLO65544:FLO65550 FVK65544:FVK65550 GFG65544:GFG65550 GPC65544:GPC65550 GYY65544:GYY65550 HIU65544:HIU65550 HSQ65544:HSQ65550 ICM65544:ICM65550 IMI65544:IMI65550 IWE65544:IWE65550 JGA65544:JGA65550 JPW65544:JPW65550 JZS65544:JZS65550 KJO65544:KJO65550 KTK65544:KTK65550 LDG65544:LDG65550 LNC65544:LNC65550 LWY65544:LWY65550 MGU65544:MGU65550 MQQ65544:MQQ65550 NAM65544:NAM65550 NKI65544:NKI65550 NUE65544:NUE65550 OEA65544:OEA65550 ONW65544:ONW65550 OXS65544:OXS65550 PHO65544:PHO65550 PRK65544:PRK65550 QBG65544:QBG65550 QLC65544:QLC65550 QUY65544:QUY65550 REU65544:REU65550 ROQ65544:ROQ65550 RYM65544:RYM65550 SII65544:SII65550 SSE65544:SSE65550 TCA65544:TCA65550 TLW65544:TLW65550 TVS65544:TVS65550 UFO65544:UFO65550 UPK65544:UPK65550 UZG65544:UZG65550 VJC65544:VJC65550 VSY65544:VSY65550 WCU65544:WCU65550 WMQ65544:WMQ65550 WWM65544:WWM65550 AE131080:AE131086 KA131080:KA131086 TW131080:TW131086 ADS131080:ADS131086 ANO131080:ANO131086 AXK131080:AXK131086 BHG131080:BHG131086 BRC131080:BRC131086 CAY131080:CAY131086 CKU131080:CKU131086 CUQ131080:CUQ131086 DEM131080:DEM131086 DOI131080:DOI131086 DYE131080:DYE131086 EIA131080:EIA131086 ERW131080:ERW131086 FBS131080:FBS131086 FLO131080:FLO131086 FVK131080:FVK131086 GFG131080:GFG131086 GPC131080:GPC131086 GYY131080:GYY131086 HIU131080:HIU131086 HSQ131080:HSQ131086 ICM131080:ICM131086 IMI131080:IMI131086 IWE131080:IWE131086 JGA131080:JGA131086 JPW131080:JPW131086 JZS131080:JZS131086 KJO131080:KJO131086 KTK131080:KTK131086 LDG131080:LDG131086 LNC131080:LNC131086 LWY131080:LWY131086 MGU131080:MGU131086 MQQ131080:MQQ131086 NAM131080:NAM131086 NKI131080:NKI131086 NUE131080:NUE131086 OEA131080:OEA131086 ONW131080:ONW131086 OXS131080:OXS131086 PHO131080:PHO131086 PRK131080:PRK131086 QBG131080:QBG131086 QLC131080:QLC131086 QUY131080:QUY131086 REU131080:REU131086 ROQ131080:ROQ131086 RYM131080:RYM131086 SII131080:SII131086 SSE131080:SSE131086 TCA131080:TCA131086 TLW131080:TLW131086 TVS131080:TVS131086 UFO131080:UFO131086 UPK131080:UPK131086 UZG131080:UZG131086 VJC131080:VJC131086 VSY131080:VSY131086 WCU131080:WCU131086 WMQ131080:WMQ131086 WWM131080:WWM131086 AE196616:AE196622 KA196616:KA196622 TW196616:TW196622 ADS196616:ADS196622 ANO196616:ANO196622 AXK196616:AXK196622 BHG196616:BHG196622 BRC196616:BRC196622 CAY196616:CAY196622 CKU196616:CKU196622 CUQ196616:CUQ196622 DEM196616:DEM196622 DOI196616:DOI196622 DYE196616:DYE196622 EIA196616:EIA196622 ERW196616:ERW196622 FBS196616:FBS196622 FLO196616:FLO196622 FVK196616:FVK196622 GFG196616:GFG196622 GPC196616:GPC196622 GYY196616:GYY196622 HIU196616:HIU196622 HSQ196616:HSQ196622 ICM196616:ICM196622 IMI196616:IMI196622 IWE196616:IWE196622 JGA196616:JGA196622 JPW196616:JPW196622 JZS196616:JZS196622 KJO196616:KJO196622 KTK196616:KTK196622 LDG196616:LDG196622 LNC196616:LNC196622 LWY196616:LWY196622 MGU196616:MGU196622 MQQ196616:MQQ196622 NAM196616:NAM196622 NKI196616:NKI196622 NUE196616:NUE196622 OEA196616:OEA196622 ONW196616:ONW196622 OXS196616:OXS196622 PHO196616:PHO196622 PRK196616:PRK196622 QBG196616:QBG196622 QLC196616:QLC196622 QUY196616:QUY196622 REU196616:REU196622 ROQ196616:ROQ196622 RYM196616:RYM196622 SII196616:SII196622 SSE196616:SSE196622 TCA196616:TCA196622 TLW196616:TLW196622 TVS196616:TVS196622 UFO196616:UFO196622 UPK196616:UPK196622 UZG196616:UZG196622 VJC196616:VJC196622 VSY196616:VSY196622 WCU196616:WCU196622 WMQ196616:WMQ196622 WWM196616:WWM196622 AE262152:AE262158 KA262152:KA262158 TW262152:TW262158 ADS262152:ADS262158 ANO262152:ANO262158 AXK262152:AXK262158 BHG262152:BHG262158 BRC262152:BRC262158 CAY262152:CAY262158 CKU262152:CKU262158 CUQ262152:CUQ262158 DEM262152:DEM262158 DOI262152:DOI262158 DYE262152:DYE262158 EIA262152:EIA262158 ERW262152:ERW262158 FBS262152:FBS262158 FLO262152:FLO262158 FVK262152:FVK262158 GFG262152:GFG262158 GPC262152:GPC262158 GYY262152:GYY262158 HIU262152:HIU262158 HSQ262152:HSQ262158 ICM262152:ICM262158 IMI262152:IMI262158 IWE262152:IWE262158 JGA262152:JGA262158 JPW262152:JPW262158 JZS262152:JZS262158 KJO262152:KJO262158 KTK262152:KTK262158 LDG262152:LDG262158 LNC262152:LNC262158 LWY262152:LWY262158 MGU262152:MGU262158 MQQ262152:MQQ262158 NAM262152:NAM262158 NKI262152:NKI262158 NUE262152:NUE262158 OEA262152:OEA262158 ONW262152:ONW262158 OXS262152:OXS262158 PHO262152:PHO262158 PRK262152:PRK262158 QBG262152:QBG262158 QLC262152:QLC262158 QUY262152:QUY262158 REU262152:REU262158 ROQ262152:ROQ262158 RYM262152:RYM262158 SII262152:SII262158 SSE262152:SSE262158 TCA262152:TCA262158 TLW262152:TLW262158 TVS262152:TVS262158 UFO262152:UFO262158 UPK262152:UPK262158 UZG262152:UZG262158 VJC262152:VJC262158 VSY262152:VSY262158 WCU262152:WCU262158 WMQ262152:WMQ262158 WWM262152:WWM262158 AE327688:AE327694 KA327688:KA327694 TW327688:TW327694 ADS327688:ADS327694 ANO327688:ANO327694 AXK327688:AXK327694 BHG327688:BHG327694 BRC327688:BRC327694 CAY327688:CAY327694 CKU327688:CKU327694 CUQ327688:CUQ327694 DEM327688:DEM327694 DOI327688:DOI327694 DYE327688:DYE327694 EIA327688:EIA327694 ERW327688:ERW327694 FBS327688:FBS327694 FLO327688:FLO327694 FVK327688:FVK327694 GFG327688:GFG327694 GPC327688:GPC327694 GYY327688:GYY327694 HIU327688:HIU327694 HSQ327688:HSQ327694 ICM327688:ICM327694 IMI327688:IMI327694 IWE327688:IWE327694 JGA327688:JGA327694 JPW327688:JPW327694 JZS327688:JZS327694 KJO327688:KJO327694 KTK327688:KTK327694 LDG327688:LDG327694 LNC327688:LNC327694 LWY327688:LWY327694 MGU327688:MGU327694 MQQ327688:MQQ327694 NAM327688:NAM327694 NKI327688:NKI327694 NUE327688:NUE327694 OEA327688:OEA327694 ONW327688:ONW327694 OXS327688:OXS327694 PHO327688:PHO327694 PRK327688:PRK327694 QBG327688:QBG327694 QLC327688:QLC327694 QUY327688:QUY327694 REU327688:REU327694 ROQ327688:ROQ327694 RYM327688:RYM327694 SII327688:SII327694 SSE327688:SSE327694 TCA327688:TCA327694 TLW327688:TLW327694 TVS327688:TVS327694 UFO327688:UFO327694 UPK327688:UPK327694 UZG327688:UZG327694 VJC327688:VJC327694 VSY327688:VSY327694 WCU327688:WCU327694 WMQ327688:WMQ327694 WWM327688:WWM327694 AE393224:AE393230 KA393224:KA393230 TW393224:TW393230 ADS393224:ADS393230 ANO393224:ANO393230 AXK393224:AXK393230 BHG393224:BHG393230 BRC393224:BRC393230 CAY393224:CAY393230 CKU393224:CKU393230 CUQ393224:CUQ393230 DEM393224:DEM393230 DOI393224:DOI393230 DYE393224:DYE393230 EIA393224:EIA393230 ERW393224:ERW393230 FBS393224:FBS393230 FLO393224:FLO393230 FVK393224:FVK393230 GFG393224:GFG393230 GPC393224:GPC393230 GYY393224:GYY393230 HIU393224:HIU393230 HSQ393224:HSQ393230 ICM393224:ICM393230 IMI393224:IMI393230 IWE393224:IWE393230 JGA393224:JGA393230 JPW393224:JPW393230 JZS393224:JZS393230 KJO393224:KJO393230 KTK393224:KTK393230 LDG393224:LDG393230 LNC393224:LNC393230 LWY393224:LWY393230 MGU393224:MGU393230 MQQ393224:MQQ393230 NAM393224:NAM393230 NKI393224:NKI393230 NUE393224:NUE393230 OEA393224:OEA393230 ONW393224:ONW393230 OXS393224:OXS393230 PHO393224:PHO393230 PRK393224:PRK393230 QBG393224:QBG393230 QLC393224:QLC393230 QUY393224:QUY393230 REU393224:REU393230 ROQ393224:ROQ393230 RYM393224:RYM393230 SII393224:SII393230 SSE393224:SSE393230 TCA393224:TCA393230 TLW393224:TLW393230 TVS393224:TVS393230 UFO393224:UFO393230 UPK393224:UPK393230 UZG393224:UZG393230 VJC393224:VJC393230 VSY393224:VSY393230 WCU393224:WCU393230 WMQ393224:WMQ393230 WWM393224:WWM393230 AE458760:AE458766 KA458760:KA458766 TW458760:TW458766 ADS458760:ADS458766 ANO458760:ANO458766 AXK458760:AXK458766 BHG458760:BHG458766 BRC458760:BRC458766 CAY458760:CAY458766 CKU458760:CKU458766 CUQ458760:CUQ458766 DEM458760:DEM458766 DOI458760:DOI458766 DYE458760:DYE458766 EIA458760:EIA458766 ERW458760:ERW458766 FBS458760:FBS458766 FLO458760:FLO458766 FVK458760:FVK458766 GFG458760:GFG458766 GPC458760:GPC458766 GYY458760:GYY458766 HIU458760:HIU458766 HSQ458760:HSQ458766 ICM458760:ICM458766 IMI458760:IMI458766 IWE458760:IWE458766 JGA458760:JGA458766 JPW458760:JPW458766 JZS458760:JZS458766 KJO458760:KJO458766 KTK458760:KTK458766 LDG458760:LDG458766 LNC458760:LNC458766 LWY458760:LWY458766 MGU458760:MGU458766 MQQ458760:MQQ458766 NAM458760:NAM458766 NKI458760:NKI458766 NUE458760:NUE458766 OEA458760:OEA458766 ONW458760:ONW458766 OXS458760:OXS458766 PHO458760:PHO458766 PRK458760:PRK458766 QBG458760:QBG458766 QLC458760:QLC458766 QUY458760:QUY458766 REU458760:REU458766 ROQ458760:ROQ458766 RYM458760:RYM458766 SII458760:SII458766 SSE458760:SSE458766 TCA458760:TCA458766 TLW458760:TLW458766 TVS458760:TVS458766 UFO458760:UFO458766 UPK458760:UPK458766 UZG458760:UZG458766 VJC458760:VJC458766 VSY458760:VSY458766 WCU458760:WCU458766 WMQ458760:WMQ458766 WWM458760:WWM458766 AE524296:AE524302 KA524296:KA524302 TW524296:TW524302 ADS524296:ADS524302 ANO524296:ANO524302 AXK524296:AXK524302 BHG524296:BHG524302 BRC524296:BRC524302 CAY524296:CAY524302 CKU524296:CKU524302 CUQ524296:CUQ524302 DEM524296:DEM524302 DOI524296:DOI524302 DYE524296:DYE524302 EIA524296:EIA524302 ERW524296:ERW524302 FBS524296:FBS524302 FLO524296:FLO524302 FVK524296:FVK524302 GFG524296:GFG524302 GPC524296:GPC524302 GYY524296:GYY524302 HIU524296:HIU524302 HSQ524296:HSQ524302 ICM524296:ICM524302 IMI524296:IMI524302 IWE524296:IWE524302 JGA524296:JGA524302 JPW524296:JPW524302 JZS524296:JZS524302 KJO524296:KJO524302 KTK524296:KTK524302 LDG524296:LDG524302 LNC524296:LNC524302 LWY524296:LWY524302 MGU524296:MGU524302 MQQ524296:MQQ524302 NAM524296:NAM524302 NKI524296:NKI524302 NUE524296:NUE524302 OEA524296:OEA524302 ONW524296:ONW524302 OXS524296:OXS524302 PHO524296:PHO524302 PRK524296:PRK524302 QBG524296:QBG524302 QLC524296:QLC524302 QUY524296:QUY524302 REU524296:REU524302 ROQ524296:ROQ524302 RYM524296:RYM524302 SII524296:SII524302 SSE524296:SSE524302 TCA524296:TCA524302 TLW524296:TLW524302 TVS524296:TVS524302 UFO524296:UFO524302 UPK524296:UPK524302 UZG524296:UZG524302 VJC524296:VJC524302 VSY524296:VSY524302 WCU524296:WCU524302 WMQ524296:WMQ524302 WWM524296:WWM524302 AE589832:AE589838 KA589832:KA589838 TW589832:TW589838 ADS589832:ADS589838 ANO589832:ANO589838 AXK589832:AXK589838 BHG589832:BHG589838 BRC589832:BRC589838 CAY589832:CAY589838 CKU589832:CKU589838 CUQ589832:CUQ589838 DEM589832:DEM589838 DOI589832:DOI589838 DYE589832:DYE589838 EIA589832:EIA589838 ERW589832:ERW589838 FBS589832:FBS589838 FLO589832:FLO589838 FVK589832:FVK589838 GFG589832:GFG589838 GPC589832:GPC589838 GYY589832:GYY589838 HIU589832:HIU589838 HSQ589832:HSQ589838 ICM589832:ICM589838 IMI589832:IMI589838 IWE589832:IWE589838 JGA589832:JGA589838 JPW589832:JPW589838 JZS589832:JZS589838 KJO589832:KJO589838 KTK589832:KTK589838 LDG589832:LDG589838 LNC589832:LNC589838 LWY589832:LWY589838 MGU589832:MGU589838 MQQ589832:MQQ589838 NAM589832:NAM589838 NKI589832:NKI589838 NUE589832:NUE589838 OEA589832:OEA589838 ONW589832:ONW589838 OXS589832:OXS589838 PHO589832:PHO589838 PRK589832:PRK589838 QBG589832:QBG589838 QLC589832:QLC589838 QUY589832:QUY589838 REU589832:REU589838 ROQ589832:ROQ589838 RYM589832:RYM589838 SII589832:SII589838 SSE589832:SSE589838 TCA589832:TCA589838 TLW589832:TLW589838 TVS589832:TVS589838 UFO589832:UFO589838 UPK589832:UPK589838 UZG589832:UZG589838 VJC589832:VJC589838 VSY589832:VSY589838 WCU589832:WCU589838 WMQ589832:WMQ589838 WWM589832:WWM589838 AE655368:AE655374 KA655368:KA655374 TW655368:TW655374 ADS655368:ADS655374 ANO655368:ANO655374 AXK655368:AXK655374 BHG655368:BHG655374 BRC655368:BRC655374 CAY655368:CAY655374 CKU655368:CKU655374 CUQ655368:CUQ655374 DEM655368:DEM655374 DOI655368:DOI655374 DYE655368:DYE655374 EIA655368:EIA655374 ERW655368:ERW655374 FBS655368:FBS655374 FLO655368:FLO655374 FVK655368:FVK655374 GFG655368:GFG655374 GPC655368:GPC655374 GYY655368:GYY655374 HIU655368:HIU655374 HSQ655368:HSQ655374 ICM655368:ICM655374 IMI655368:IMI655374 IWE655368:IWE655374 JGA655368:JGA655374 JPW655368:JPW655374 JZS655368:JZS655374 KJO655368:KJO655374 KTK655368:KTK655374 LDG655368:LDG655374 LNC655368:LNC655374 LWY655368:LWY655374 MGU655368:MGU655374 MQQ655368:MQQ655374 NAM655368:NAM655374 NKI655368:NKI655374 NUE655368:NUE655374 OEA655368:OEA655374 ONW655368:ONW655374 OXS655368:OXS655374 PHO655368:PHO655374 PRK655368:PRK655374 QBG655368:QBG655374 QLC655368:QLC655374 QUY655368:QUY655374 REU655368:REU655374 ROQ655368:ROQ655374 RYM655368:RYM655374 SII655368:SII655374 SSE655368:SSE655374 TCA655368:TCA655374 TLW655368:TLW655374 TVS655368:TVS655374 UFO655368:UFO655374 UPK655368:UPK655374 UZG655368:UZG655374 VJC655368:VJC655374 VSY655368:VSY655374 WCU655368:WCU655374 WMQ655368:WMQ655374 WWM655368:WWM655374 AE720904:AE720910 KA720904:KA720910 TW720904:TW720910 ADS720904:ADS720910 ANO720904:ANO720910 AXK720904:AXK720910 BHG720904:BHG720910 BRC720904:BRC720910 CAY720904:CAY720910 CKU720904:CKU720910 CUQ720904:CUQ720910 DEM720904:DEM720910 DOI720904:DOI720910 DYE720904:DYE720910 EIA720904:EIA720910 ERW720904:ERW720910 FBS720904:FBS720910 FLO720904:FLO720910 FVK720904:FVK720910 GFG720904:GFG720910 GPC720904:GPC720910 GYY720904:GYY720910 HIU720904:HIU720910 HSQ720904:HSQ720910 ICM720904:ICM720910 IMI720904:IMI720910 IWE720904:IWE720910 JGA720904:JGA720910 JPW720904:JPW720910 JZS720904:JZS720910 KJO720904:KJO720910 KTK720904:KTK720910 LDG720904:LDG720910 LNC720904:LNC720910 LWY720904:LWY720910 MGU720904:MGU720910 MQQ720904:MQQ720910 NAM720904:NAM720910 NKI720904:NKI720910 NUE720904:NUE720910 OEA720904:OEA720910 ONW720904:ONW720910 OXS720904:OXS720910 PHO720904:PHO720910 PRK720904:PRK720910 QBG720904:QBG720910 QLC720904:QLC720910 QUY720904:QUY720910 REU720904:REU720910 ROQ720904:ROQ720910 RYM720904:RYM720910 SII720904:SII720910 SSE720904:SSE720910 TCA720904:TCA720910 TLW720904:TLW720910 TVS720904:TVS720910 UFO720904:UFO720910 UPK720904:UPK720910 UZG720904:UZG720910 VJC720904:VJC720910 VSY720904:VSY720910 WCU720904:WCU720910 WMQ720904:WMQ720910 WWM720904:WWM720910 AE786440:AE786446 KA786440:KA786446 TW786440:TW786446 ADS786440:ADS786446 ANO786440:ANO786446 AXK786440:AXK786446 BHG786440:BHG786446 BRC786440:BRC786446 CAY786440:CAY786446 CKU786440:CKU786446 CUQ786440:CUQ786446 DEM786440:DEM786446 DOI786440:DOI786446 DYE786440:DYE786446 EIA786440:EIA786446 ERW786440:ERW786446 FBS786440:FBS786446 FLO786440:FLO786446 FVK786440:FVK786446 GFG786440:GFG786446 GPC786440:GPC786446 GYY786440:GYY786446 HIU786440:HIU786446 HSQ786440:HSQ786446 ICM786440:ICM786446 IMI786440:IMI786446 IWE786440:IWE786446 JGA786440:JGA786446 JPW786440:JPW786446 JZS786440:JZS786446 KJO786440:KJO786446 KTK786440:KTK786446 LDG786440:LDG786446 LNC786440:LNC786446 LWY786440:LWY786446 MGU786440:MGU786446 MQQ786440:MQQ786446 NAM786440:NAM786446 NKI786440:NKI786446 NUE786440:NUE786446 OEA786440:OEA786446 ONW786440:ONW786446 OXS786440:OXS786446 PHO786440:PHO786446 PRK786440:PRK786446 QBG786440:QBG786446 QLC786440:QLC786446 QUY786440:QUY786446 REU786440:REU786446 ROQ786440:ROQ786446 RYM786440:RYM786446 SII786440:SII786446 SSE786440:SSE786446 TCA786440:TCA786446 TLW786440:TLW786446 TVS786440:TVS786446 UFO786440:UFO786446 UPK786440:UPK786446 UZG786440:UZG786446 VJC786440:VJC786446 VSY786440:VSY786446 WCU786440:WCU786446 WMQ786440:WMQ786446 WWM786440:WWM786446 AE851976:AE851982 KA851976:KA851982 TW851976:TW851982 ADS851976:ADS851982 ANO851976:ANO851982 AXK851976:AXK851982 BHG851976:BHG851982 BRC851976:BRC851982 CAY851976:CAY851982 CKU851976:CKU851982 CUQ851976:CUQ851982 DEM851976:DEM851982 DOI851976:DOI851982 DYE851976:DYE851982 EIA851976:EIA851982 ERW851976:ERW851982 FBS851976:FBS851982 FLO851976:FLO851982 FVK851976:FVK851982 GFG851976:GFG851982 GPC851976:GPC851982 GYY851976:GYY851982 HIU851976:HIU851982 HSQ851976:HSQ851982 ICM851976:ICM851982 IMI851976:IMI851982 IWE851976:IWE851982 JGA851976:JGA851982 JPW851976:JPW851982 JZS851976:JZS851982 KJO851976:KJO851982 KTK851976:KTK851982 LDG851976:LDG851982 LNC851976:LNC851982 LWY851976:LWY851982 MGU851976:MGU851982 MQQ851976:MQQ851982 NAM851976:NAM851982 NKI851976:NKI851982 NUE851976:NUE851982 OEA851976:OEA851982 ONW851976:ONW851982 OXS851976:OXS851982 PHO851976:PHO851982 PRK851976:PRK851982 QBG851976:QBG851982 QLC851976:QLC851982 QUY851976:QUY851982 REU851976:REU851982 ROQ851976:ROQ851982 RYM851976:RYM851982 SII851976:SII851982 SSE851976:SSE851982 TCA851976:TCA851982 TLW851976:TLW851982 TVS851976:TVS851982 UFO851976:UFO851982 UPK851976:UPK851982 UZG851976:UZG851982 VJC851976:VJC851982 VSY851976:VSY851982 WCU851976:WCU851982 WMQ851976:WMQ851982 WWM851976:WWM851982 AE917512:AE917518 KA917512:KA917518 TW917512:TW917518 ADS917512:ADS917518 ANO917512:ANO917518 AXK917512:AXK917518 BHG917512:BHG917518 BRC917512:BRC917518 CAY917512:CAY917518 CKU917512:CKU917518 CUQ917512:CUQ917518 DEM917512:DEM917518 DOI917512:DOI917518 DYE917512:DYE917518 EIA917512:EIA917518 ERW917512:ERW917518 FBS917512:FBS917518 FLO917512:FLO917518 FVK917512:FVK917518 GFG917512:GFG917518 GPC917512:GPC917518 GYY917512:GYY917518 HIU917512:HIU917518 HSQ917512:HSQ917518 ICM917512:ICM917518 IMI917512:IMI917518 IWE917512:IWE917518 JGA917512:JGA917518 JPW917512:JPW917518 JZS917512:JZS917518 KJO917512:KJO917518 KTK917512:KTK917518 LDG917512:LDG917518 LNC917512:LNC917518 LWY917512:LWY917518 MGU917512:MGU917518 MQQ917512:MQQ917518 NAM917512:NAM917518 NKI917512:NKI917518 NUE917512:NUE917518 OEA917512:OEA917518 ONW917512:ONW917518 OXS917512:OXS917518 PHO917512:PHO917518 PRK917512:PRK917518 QBG917512:QBG917518 QLC917512:QLC917518 QUY917512:QUY917518 REU917512:REU917518 ROQ917512:ROQ917518 RYM917512:RYM917518 SII917512:SII917518 SSE917512:SSE917518 TCA917512:TCA917518 TLW917512:TLW917518 TVS917512:TVS917518 UFO917512:UFO917518 UPK917512:UPK917518 UZG917512:UZG917518 VJC917512:VJC917518 VSY917512:VSY917518 WCU917512:WCU917518 WMQ917512:WMQ917518 WWM917512:WWM917518 AE983048:AE983054 KA983048:KA983054 TW983048:TW983054 ADS983048:ADS983054 ANO983048:ANO983054 AXK983048:AXK983054 BHG983048:BHG983054 BRC983048:BRC983054 CAY983048:CAY983054 CKU983048:CKU983054 CUQ983048:CUQ983054 DEM983048:DEM983054 DOI983048:DOI983054 DYE983048:DYE983054 EIA983048:EIA983054 ERW983048:ERW983054 FBS983048:FBS983054 FLO983048:FLO983054 FVK983048:FVK983054 GFG983048:GFG983054 GPC983048:GPC983054 GYY983048:GYY983054 HIU983048:HIU983054 HSQ983048:HSQ983054 ICM983048:ICM983054 IMI983048:IMI983054 IWE983048:IWE983054 JGA983048:JGA983054 JPW983048:JPW983054 JZS983048:JZS983054 KJO983048:KJO983054 KTK983048:KTK983054 LDG983048:LDG983054 LNC983048:LNC983054 LWY983048:LWY983054 MGU983048:MGU983054 MQQ983048:MQQ983054 NAM983048:NAM983054 NKI983048:NKI983054 NUE983048:NUE983054 OEA983048:OEA983054 ONW983048:ONW983054 OXS983048:OXS983054 PHO983048:PHO983054 PRK983048:PRK983054 QBG983048:QBG983054 QLC983048:QLC983054 QUY983048:QUY983054 REU983048:REU983054 ROQ983048:ROQ983054 RYM983048:RYM983054 SII983048:SII983054 SSE983048:SSE983054 TCA983048:TCA983054 TLW983048:TLW983054 TVS983048:TVS983054 UFO983048:UFO983054 UPK983048:UPK983054 UZG983048:UZG983054 VJC983048:VJC983054 VSY983048:VSY983054 WCU983048:WCU983054 WMQ983048:WMQ983054 WWM983048:WWM983054">
      <formula1>$AH$1:$AH$4</formula1>
    </dataValidation>
    <dataValidation type="list" allowBlank="1" showInputMessage="1" showErrorMessage="1" sqref="H8:H9 JD8:JD9 SZ8:SZ9 ACV8:ACV9 AMR8:AMR9 AWN8:AWN9 BGJ8:BGJ9 BQF8:BQF9 CAB8:CAB9 CJX8:CJX9 CTT8:CTT9 DDP8:DDP9 DNL8:DNL9 DXH8:DXH9 EHD8:EHD9 EQZ8:EQZ9 FAV8:FAV9 FKR8:FKR9 FUN8:FUN9 GEJ8:GEJ9 GOF8:GOF9 GYB8:GYB9 HHX8:HHX9 HRT8:HRT9 IBP8:IBP9 ILL8:ILL9 IVH8:IVH9 JFD8:JFD9 JOZ8:JOZ9 JYV8:JYV9 KIR8:KIR9 KSN8:KSN9 LCJ8:LCJ9 LMF8:LMF9 LWB8:LWB9 MFX8:MFX9 MPT8:MPT9 MZP8:MZP9 NJL8:NJL9 NTH8:NTH9 ODD8:ODD9 OMZ8:OMZ9 OWV8:OWV9 PGR8:PGR9 PQN8:PQN9 QAJ8:QAJ9 QKF8:QKF9 QUB8:QUB9 RDX8:RDX9 RNT8:RNT9 RXP8:RXP9 SHL8:SHL9 SRH8:SRH9 TBD8:TBD9 TKZ8:TKZ9 TUV8:TUV9 UER8:UER9 UON8:UON9 UYJ8:UYJ9 VIF8:VIF9 VSB8:VSB9 WBX8:WBX9 WLT8:WLT9 WVP8:WVP9 H65544:H65545 JD65544:JD65545 SZ65544:SZ65545 ACV65544:ACV65545 AMR65544:AMR65545 AWN65544:AWN65545 BGJ65544:BGJ65545 BQF65544:BQF65545 CAB65544:CAB65545 CJX65544:CJX65545 CTT65544:CTT65545 DDP65544:DDP65545 DNL65544:DNL65545 DXH65544:DXH65545 EHD65544:EHD65545 EQZ65544:EQZ65545 FAV65544:FAV65545 FKR65544:FKR65545 FUN65544:FUN65545 GEJ65544:GEJ65545 GOF65544:GOF65545 GYB65544:GYB65545 HHX65544:HHX65545 HRT65544:HRT65545 IBP65544:IBP65545 ILL65544:ILL65545 IVH65544:IVH65545 JFD65544:JFD65545 JOZ65544:JOZ65545 JYV65544:JYV65545 KIR65544:KIR65545 KSN65544:KSN65545 LCJ65544:LCJ65545 LMF65544:LMF65545 LWB65544:LWB65545 MFX65544:MFX65545 MPT65544:MPT65545 MZP65544:MZP65545 NJL65544:NJL65545 NTH65544:NTH65545 ODD65544:ODD65545 OMZ65544:OMZ65545 OWV65544:OWV65545 PGR65544:PGR65545 PQN65544:PQN65545 QAJ65544:QAJ65545 QKF65544:QKF65545 QUB65544:QUB65545 RDX65544:RDX65545 RNT65544:RNT65545 RXP65544:RXP65545 SHL65544:SHL65545 SRH65544:SRH65545 TBD65544:TBD65545 TKZ65544:TKZ65545 TUV65544:TUV65545 UER65544:UER65545 UON65544:UON65545 UYJ65544:UYJ65545 VIF65544:VIF65545 VSB65544:VSB65545 WBX65544:WBX65545 WLT65544:WLT65545 WVP65544:WVP65545 H131080:H131081 JD131080:JD131081 SZ131080:SZ131081 ACV131080:ACV131081 AMR131080:AMR131081 AWN131080:AWN131081 BGJ131080:BGJ131081 BQF131080:BQF131081 CAB131080:CAB131081 CJX131080:CJX131081 CTT131080:CTT131081 DDP131080:DDP131081 DNL131080:DNL131081 DXH131080:DXH131081 EHD131080:EHD131081 EQZ131080:EQZ131081 FAV131080:FAV131081 FKR131080:FKR131081 FUN131080:FUN131081 GEJ131080:GEJ131081 GOF131080:GOF131081 GYB131080:GYB131081 HHX131080:HHX131081 HRT131080:HRT131081 IBP131080:IBP131081 ILL131080:ILL131081 IVH131080:IVH131081 JFD131080:JFD131081 JOZ131080:JOZ131081 JYV131080:JYV131081 KIR131080:KIR131081 KSN131080:KSN131081 LCJ131080:LCJ131081 LMF131080:LMF131081 LWB131080:LWB131081 MFX131080:MFX131081 MPT131080:MPT131081 MZP131080:MZP131081 NJL131080:NJL131081 NTH131080:NTH131081 ODD131080:ODD131081 OMZ131080:OMZ131081 OWV131080:OWV131081 PGR131080:PGR131081 PQN131080:PQN131081 QAJ131080:QAJ131081 QKF131080:QKF131081 QUB131080:QUB131081 RDX131080:RDX131081 RNT131080:RNT131081 RXP131080:RXP131081 SHL131080:SHL131081 SRH131080:SRH131081 TBD131080:TBD131081 TKZ131080:TKZ131081 TUV131080:TUV131081 UER131080:UER131081 UON131080:UON131081 UYJ131080:UYJ131081 VIF131080:VIF131081 VSB131080:VSB131081 WBX131080:WBX131081 WLT131080:WLT131081 WVP131080:WVP131081 H196616:H196617 JD196616:JD196617 SZ196616:SZ196617 ACV196616:ACV196617 AMR196616:AMR196617 AWN196616:AWN196617 BGJ196616:BGJ196617 BQF196616:BQF196617 CAB196616:CAB196617 CJX196616:CJX196617 CTT196616:CTT196617 DDP196616:DDP196617 DNL196616:DNL196617 DXH196616:DXH196617 EHD196616:EHD196617 EQZ196616:EQZ196617 FAV196616:FAV196617 FKR196616:FKR196617 FUN196616:FUN196617 GEJ196616:GEJ196617 GOF196616:GOF196617 GYB196616:GYB196617 HHX196616:HHX196617 HRT196616:HRT196617 IBP196616:IBP196617 ILL196616:ILL196617 IVH196616:IVH196617 JFD196616:JFD196617 JOZ196616:JOZ196617 JYV196616:JYV196617 KIR196616:KIR196617 KSN196616:KSN196617 LCJ196616:LCJ196617 LMF196616:LMF196617 LWB196616:LWB196617 MFX196616:MFX196617 MPT196616:MPT196617 MZP196616:MZP196617 NJL196616:NJL196617 NTH196616:NTH196617 ODD196616:ODD196617 OMZ196616:OMZ196617 OWV196616:OWV196617 PGR196616:PGR196617 PQN196616:PQN196617 QAJ196616:QAJ196617 QKF196616:QKF196617 QUB196616:QUB196617 RDX196616:RDX196617 RNT196616:RNT196617 RXP196616:RXP196617 SHL196616:SHL196617 SRH196616:SRH196617 TBD196616:TBD196617 TKZ196616:TKZ196617 TUV196616:TUV196617 UER196616:UER196617 UON196616:UON196617 UYJ196616:UYJ196617 VIF196616:VIF196617 VSB196616:VSB196617 WBX196616:WBX196617 WLT196616:WLT196617 WVP196616:WVP196617 H262152:H262153 JD262152:JD262153 SZ262152:SZ262153 ACV262152:ACV262153 AMR262152:AMR262153 AWN262152:AWN262153 BGJ262152:BGJ262153 BQF262152:BQF262153 CAB262152:CAB262153 CJX262152:CJX262153 CTT262152:CTT262153 DDP262152:DDP262153 DNL262152:DNL262153 DXH262152:DXH262153 EHD262152:EHD262153 EQZ262152:EQZ262153 FAV262152:FAV262153 FKR262152:FKR262153 FUN262152:FUN262153 GEJ262152:GEJ262153 GOF262152:GOF262153 GYB262152:GYB262153 HHX262152:HHX262153 HRT262152:HRT262153 IBP262152:IBP262153 ILL262152:ILL262153 IVH262152:IVH262153 JFD262152:JFD262153 JOZ262152:JOZ262153 JYV262152:JYV262153 KIR262152:KIR262153 KSN262152:KSN262153 LCJ262152:LCJ262153 LMF262152:LMF262153 LWB262152:LWB262153 MFX262152:MFX262153 MPT262152:MPT262153 MZP262152:MZP262153 NJL262152:NJL262153 NTH262152:NTH262153 ODD262152:ODD262153 OMZ262152:OMZ262153 OWV262152:OWV262153 PGR262152:PGR262153 PQN262152:PQN262153 QAJ262152:QAJ262153 QKF262152:QKF262153 QUB262152:QUB262153 RDX262152:RDX262153 RNT262152:RNT262153 RXP262152:RXP262153 SHL262152:SHL262153 SRH262152:SRH262153 TBD262152:TBD262153 TKZ262152:TKZ262153 TUV262152:TUV262153 UER262152:UER262153 UON262152:UON262153 UYJ262152:UYJ262153 VIF262152:VIF262153 VSB262152:VSB262153 WBX262152:WBX262153 WLT262152:WLT262153 WVP262152:WVP262153 H327688:H327689 JD327688:JD327689 SZ327688:SZ327689 ACV327688:ACV327689 AMR327688:AMR327689 AWN327688:AWN327689 BGJ327688:BGJ327689 BQF327688:BQF327689 CAB327688:CAB327689 CJX327688:CJX327689 CTT327688:CTT327689 DDP327688:DDP327689 DNL327688:DNL327689 DXH327688:DXH327689 EHD327688:EHD327689 EQZ327688:EQZ327689 FAV327688:FAV327689 FKR327688:FKR327689 FUN327688:FUN327689 GEJ327688:GEJ327689 GOF327688:GOF327689 GYB327688:GYB327689 HHX327688:HHX327689 HRT327688:HRT327689 IBP327688:IBP327689 ILL327688:ILL327689 IVH327688:IVH327689 JFD327688:JFD327689 JOZ327688:JOZ327689 JYV327688:JYV327689 KIR327688:KIR327689 KSN327688:KSN327689 LCJ327688:LCJ327689 LMF327688:LMF327689 LWB327688:LWB327689 MFX327688:MFX327689 MPT327688:MPT327689 MZP327688:MZP327689 NJL327688:NJL327689 NTH327688:NTH327689 ODD327688:ODD327689 OMZ327688:OMZ327689 OWV327688:OWV327689 PGR327688:PGR327689 PQN327688:PQN327689 QAJ327688:QAJ327689 QKF327688:QKF327689 QUB327688:QUB327689 RDX327688:RDX327689 RNT327688:RNT327689 RXP327688:RXP327689 SHL327688:SHL327689 SRH327688:SRH327689 TBD327688:TBD327689 TKZ327688:TKZ327689 TUV327688:TUV327689 UER327688:UER327689 UON327688:UON327689 UYJ327688:UYJ327689 VIF327688:VIF327689 VSB327688:VSB327689 WBX327688:WBX327689 WLT327688:WLT327689 WVP327688:WVP327689 H393224:H393225 JD393224:JD393225 SZ393224:SZ393225 ACV393224:ACV393225 AMR393224:AMR393225 AWN393224:AWN393225 BGJ393224:BGJ393225 BQF393224:BQF393225 CAB393224:CAB393225 CJX393224:CJX393225 CTT393224:CTT393225 DDP393224:DDP393225 DNL393224:DNL393225 DXH393224:DXH393225 EHD393224:EHD393225 EQZ393224:EQZ393225 FAV393224:FAV393225 FKR393224:FKR393225 FUN393224:FUN393225 GEJ393224:GEJ393225 GOF393224:GOF393225 GYB393224:GYB393225 HHX393224:HHX393225 HRT393224:HRT393225 IBP393224:IBP393225 ILL393224:ILL393225 IVH393224:IVH393225 JFD393224:JFD393225 JOZ393224:JOZ393225 JYV393224:JYV393225 KIR393224:KIR393225 KSN393224:KSN393225 LCJ393224:LCJ393225 LMF393224:LMF393225 LWB393224:LWB393225 MFX393224:MFX393225 MPT393224:MPT393225 MZP393224:MZP393225 NJL393224:NJL393225 NTH393224:NTH393225 ODD393224:ODD393225 OMZ393224:OMZ393225 OWV393224:OWV393225 PGR393224:PGR393225 PQN393224:PQN393225 QAJ393224:QAJ393225 QKF393224:QKF393225 QUB393224:QUB393225 RDX393224:RDX393225 RNT393224:RNT393225 RXP393224:RXP393225 SHL393224:SHL393225 SRH393224:SRH393225 TBD393224:TBD393225 TKZ393224:TKZ393225 TUV393224:TUV393225 UER393224:UER393225 UON393224:UON393225 UYJ393224:UYJ393225 VIF393224:VIF393225 VSB393224:VSB393225 WBX393224:WBX393225 WLT393224:WLT393225 WVP393224:WVP393225 H458760:H458761 JD458760:JD458761 SZ458760:SZ458761 ACV458760:ACV458761 AMR458760:AMR458761 AWN458760:AWN458761 BGJ458760:BGJ458761 BQF458760:BQF458761 CAB458760:CAB458761 CJX458760:CJX458761 CTT458760:CTT458761 DDP458760:DDP458761 DNL458760:DNL458761 DXH458760:DXH458761 EHD458760:EHD458761 EQZ458760:EQZ458761 FAV458760:FAV458761 FKR458760:FKR458761 FUN458760:FUN458761 GEJ458760:GEJ458761 GOF458760:GOF458761 GYB458760:GYB458761 HHX458760:HHX458761 HRT458760:HRT458761 IBP458760:IBP458761 ILL458760:ILL458761 IVH458760:IVH458761 JFD458760:JFD458761 JOZ458760:JOZ458761 JYV458760:JYV458761 KIR458760:KIR458761 KSN458760:KSN458761 LCJ458760:LCJ458761 LMF458760:LMF458761 LWB458760:LWB458761 MFX458760:MFX458761 MPT458760:MPT458761 MZP458760:MZP458761 NJL458760:NJL458761 NTH458760:NTH458761 ODD458760:ODD458761 OMZ458760:OMZ458761 OWV458760:OWV458761 PGR458760:PGR458761 PQN458760:PQN458761 QAJ458760:QAJ458761 QKF458760:QKF458761 QUB458760:QUB458761 RDX458760:RDX458761 RNT458760:RNT458761 RXP458760:RXP458761 SHL458760:SHL458761 SRH458760:SRH458761 TBD458760:TBD458761 TKZ458760:TKZ458761 TUV458760:TUV458761 UER458760:UER458761 UON458760:UON458761 UYJ458760:UYJ458761 VIF458760:VIF458761 VSB458760:VSB458761 WBX458760:WBX458761 WLT458760:WLT458761 WVP458760:WVP458761 H524296:H524297 JD524296:JD524297 SZ524296:SZ524297 ACV524296:ACV524297 AMR524296:AMR524297 AWN524296:AWN524297 BGJ524296:BGJ524297 BQF524296:BQF524297 CAB524296:CAB524297 CJX524296:CJX524297 CTT524296:CTT524297 DDP524296:DDP524297 DNL524296:DNL524297 DXH524296:DXH524297 EHD524296:EHD524297 EQZ524296:EQZ524297 FAV524296:FAV524297 FKR524296:FKR524297 FUN524296:FUN524297 GEJ524296:GEJ524297 GOF524296:GOF524297 GYB524296:GYB524297 HHX524296:HHX524297 HRT524296:HRT524297 IBP524296:IBP524297 ILL524296:ILL524297 IVH524296:IVH524297 JFD524296:JFD524297 JOZ524296:JOZ524297 JYV524296:JYV524297 KIR524296:KIR524297 KSN524296:KSN524297 LCJ524296:LCJ524297 LMF524296:LMF524297 LWB524296:LWB524297 MFX524296:MFX524297 MPT524296:MPT524297 MZP524296:MZP524297 NJL524296:NJL524297 NTH524296:NTH524297 ODD524296:ODD524297 OMZ524296:OMZ524297 OWV524296:OWV524297 PGR524296:PGR524297 PQN524296:PQN524297 QAJ524296:QAJ524297 QKF524296:QKF524297 QUB524296:QUB524297 RDX524296:RDX524297 RNT524296:RNT524297 RXP524296:RXP524297 SHL524296:SHL524297 SRH524296:SRH524297 TBD524296:TBD524297 TKZ524296:TKZ524297 TUV524296:TUV524297 UER524296:UER524297 UON524296:UON524297 UYJ524296:UYJ524297 VIF524296:VIF524297 VSB524296:VSB524297 WBX524296:WBX524297 WLT524296:WLT524297 WVP524296:WVP524297 H589832:H589833 JD589832:JD589833 SZ589832:SZ589833 ACV589832:ACV589833 AMR589832:AMR589833 AWN589832:AWN589833 BGJ589832:BGJ589833 BQF589832:BQF589833 CAB589832:CAB589833 CJX589832:CJX589833 CTT589832:CTT589833 DDP589832:DDP589833 DNL589832:DNL589833 DXH589832:DXH589833 EHD589832:EHD589833 EQZ589832:EQZ589833 FAV589832:FAV589833 FKR589832:FKR589833 FUN589832:FUN589833 GEJ589832:GEJ589833 GOF589832:GOF589833 GYB589832:GYB589833 HHX589832:HHX589833 HRT589832:HRT589833 IBP589832:IBP589833 ILL589832:ILL589833 IVH589832:IVH589833 JFD589832:JFD589833 JOZ589832:JOZ589833 JYV589832:JYV589833 KIR589832:KIR589833 KSN589832:KSN589833 LCJ589832:LCJ589833 LMF589832:LMF589833 LWB589832:LWB589833 MFX589832:MFX589833 MPT589832:MPT589833 MZP589832:MZP589833 NJL589832:NJL589833 NTH589832:NTH589833 ODD589832:ODD589833 OMZ589832:OMZ589833 OWV589832:OWV589833 PGR589832:PGR589833 PQN589832:PQN589833 QAJ589832:QAJ589833 QKF589832:QKF589833 QUB589832:QUB589833 RDX589832:RDX589833 RNT589832:RNT589833 RXP589832:RXP589833 SHL589832:SHL589833 SRH589832:SRH589833 TBD589832:TBD589833 TKZ589832:TKZ589833 TUV589832:TUV589833 UER589832:UER589833 UON589832:UON589833 UYJ589832:UYJ589833 VIF589832:VIF589833 VSB589832:VSB589833 WBX589832:WBX589833 WLT589832:WLT589833 WVP589832:WVP589833 H655368:H655369 JD655368:JD655369 SZ655368:SZ655369 ACV655368:ACV655369 AMR655368:AMR655369 AWN655368:AWN655369 BGJ655368:BGJ655369 BQF655368:BQF655369 CAB655368:CAB655369 CJX655368:CJX655369 CTT655368:CTT655369 DDP655368:DDP655369 DNL655368:DNL655369 DXH655368:DXH655369 EHD655368:EHD655369 EQZ655368:EQZ655369 FAV655368:FAV655369 FKR655368:FKR655369 FUN655368:FUN655369 GEJ655368:GEJ655369 GOF655368:GOF655369 GYB655368:GYB655369 HHX655368:HHX655369 HRT655368:HRT655369 IBP655368:IBP655369 ILL655368:ILL655369 IVH655368:IVH655369 JFD655368:JFD655369 JOZ655368:JOZ655369 JYV655368:JYV655369 KIR655368:KIR655369 KSN655368:KSN655369 LCJ655368:LCJ655369 LMF655368:LMF655369 LWB655368:LWB655369 MFX655368:MFX655369 MPT655368:MPT655369 MZP655368:MZP655369 NJL655368:NJL655369 NTH655368:NTH655369 ODD655368:ODD655369 OMZ655368:OMZ655369 OWV655368:OWV655369 PGR655368:PGR655369 PQN655368:PQN655369 QAJ655368:QAJ655369 QKF655368:QKF655369 QUB655368:QUB655369 RDX655368:RDX655369 RNT655368:RNT655369 RXP655368:RXP655369 SHL655368:SHL655369 SRH655368:SRH655369 TBD655368:TBD655369 TKZ655368:TKZ655369 TUV655368:TUV655369 UER655368:UER655369 UON655368:UON655369 UYJ655368:UYJ655369 VIF655368:VIF655369 VSB655368:VSB655369 WBX655368:WBX655369 WLT655368:WLT655369 WVP655368:WVP655369 H720904:H720905 JD720904:JD720905 SZ720904:SZ720905 ACV720904:ACV720905 AMR720904:AMR720905 AWN720904:AWN720905 BGJ720904:BGJ720905 BQF720904:BQF720905 CAB720904:CAB720905 CJX720904:CJX720905 CTT720904:CTT720905 DDP720904:DDP720905 DNL720904:DNL720905 DXH720904:DXH720905 EHD720904:EHD720905 EQZ720904:EQZ720905 FAV720904:FAV720905 FKR720904:FKR720905 FUN720904:FUN720905 GEJ720904:GEJ720905 GOF720904:GOF720905 GYB720904:GYB720905 HHX720904:HHX720905 HRT720904:HRT720905 IBP720904:IBP720905 ILL720904:ILL720905 IVH720904:IVH720905 JFD720904:JFD720905 JOZ720904:JOZ720905 JYV720904:JYV720905 KIR720904:KIR720905 KSN720904:KSN720905 LCJ720904:LCJ720905 LMF720904:LMF720905 LWB720904:LWB720905 MFX720904:MFX720905 MPT720904:MPT720905 MZP720904:MZP720905 NJL720904:NJL720905 NTH720904:NTH720905 ODD720904:ODD720905 OMZ720904:OMZ720905 OWV720904:OWV720905 PGR720904:PGR720905 PQN720904:PQN720905 QAJ720904:QAJ720905 QKF720904:QKF720905 QUB720904:QUB720905 RDX720904:RDX720905 RNT720904:RNT720905 RXP720904:RXP720905 SHL720904:SHL720905 SRH720904:SRH720905 TBD720904:TBD720905 TKZ720904:TKZ720905 TUV720904:TUV720905 UER720904:UER720905 UON720904:UON720905 UYJ720904:UYJ720905 VIF720904:VIF720905 VSB720904:VSB720905 WBX720904:WBX720905 WLT720904:WLT720905 WVP720904:WVP720905 H786440:H786441 JD786440:JD786441 SZ786440:SZ786441 ACV786440:ACV786441 AMR786440:AMR786441 AWN786440:AWN786441 BGJ786440:BGJ786441 BQF786440:BQF786441 CAB786440:CAB786441 CJX786440:CJX786441 CTT786440:CTT786441 DDP786440:DDP786441 DNL786440:DNL786441 DXH786440:DXH786441 EHD786440:EHD786441 EQZ786440:EQZ786441 FAV786440:FAV786441 FKR786440:FKR786441 FUN786440:FUN786441 GEJ786440:GEJ786441 GOF786440:GOF786441 GYB786440:GYB786441 HHX786440:HHX786441 HRT786440:HRT786441 IBP786440:IBP786441 ILL786440:ILL786441 IVH786440:IVH786441 JFD786440:JFD786441 JOZ786440:JOZ786441 JYV786440:JYV786441 KIR786440:KIR786441 KSN786440:KSN786441 LCJ786440:LCJ786441 LMF786440:LMF786441 LWB786440:LWB786441 MFX786440:MFX786441 MPT786440:MPT786441 MZP786440:MZP786441 NJL786440:NJL786441 NTH786440:NTH786441 ODD786440:ODD786441 OMZ786440:OMZ786441 OWV786440:OWV786441 PGR786440:PGR786441 PQN786440:PQN786441 QAJ786440:QAJ786441 QKF786440:QKF786441 QUB786440:QUB786441 RDX786440:RDX786441 RNT786440:RNT786441 RXP786440:RXP786441 SHL786440:SHL786441 SRH786440:SRH786441 TBD786440:TBD786441 TKZ786440:TKZ786441 TUV786440:TUV786441 UER786440:UER786441 UON786440:UON786441 UYJ786440:UYJ786441 VIF786440:VIF786441 VSB786440:VSB786441 WBX786440:WBX786441 WLT786440:WLT786441 WVP786440:WVP786441 H851976:H851977 JD851976:JD851977 SZ851976:SZ851977 ACV851976:ACV851977 AMR851976:AMR851977 AWN851976:AWN851977 BGJ851976:BGJ851977 BQF851976:BQF851977 CAB851976:CAB851977 CJX851976:CJX851977 CTT851976:CTT851977 DDP851976:DDP851977 DNL851976:DNL851977 DXH851976:DXH851977 EHD851976:EHD851977 EQZ851976:EQZ851977 FAV851976:FAV851977 FKR851976:FKR851977 FUN851976:FUN851977 GEJ851976:GEJ851977 GOF851976:GOF851977 GYB851976:GYB851977 HHX851976:HHX851977 HRT851976:HRT851977 IBP851976:IBP851977 ILL851976:ILL851977 IVH851976:IVH851977 JFD851976:JFD851977 JOZ851976:JOZ851977 JYV851976:JYV851977 KIR851976:KIR851977 KSN851976:KSN851977 LCJ851976:LCJ851977 LMF851976:LMF851977 LWB851976:LWB851977 MFX851976:MFX851977 MPT851976:MPT851977 MZP851976:MZP851977 NJL851976:NJL851977 NTH851976:NTH851977 ODD851976:ODD851977 OMZ851976:OMZ851977 OWV851976:OWV851977 PGR851976:PGR851977 PQN851976:PQN851977 QAJ851976:QAJ851977 QKF851976:QKF851977 QUB851976:QUB851977 RDX851976:RDX851977 RNT851976:RNT851977 RXP851976:RXP851977 SHL851976:SHL851977 SRH851976:SRH851977 TBD851976:TBD851977 TKZ851976:TKZ851977 TUV851976:TUV851977 UER851976:UER851977 UON851976:UON851977 UYJ851976:UYJ851977 VIF851976:VIF851977 VSB851976:VSB851977 WBX851976:WBX851977 WLT851976:WLT851977 WVP851976:WVP851977 H917512:H917513 JD917512:JD917513 SZ917512:SZ917513 ACV917512:ACV917513 AMR917512:AMR917513 AWN917512:AWN917513 BGJ917512:BGJ917513 BQF917512:BQF917513 CAB917512:CAB917513 CJX917512:CJX917513 CTT917512:CTT917513 DDP917512:DDP917513 DNL917512:DNL917513 DXH917512:DXH917513 EHD917512:EHD917513 EQZ917512:EQZ917513 FAV917512:FAV917513 FKR917512:FKR917513 FUN917512:FUN917513 GEJ917512:GEJ917513 GOF917512:GOF917513 GYB917512:GYB917513 HHX917512:HHX917513 HRT917512:HRT917513 IBP917512:IBP917513 ILL917512:ILL917513 IVH917512:IVH917513 JFD917512:JFD917513 JOZ917512:JOZ917513 JYV917512:JYV917513 KIR917512:KIR917513 KSN917512:KSN917513 LCJ917512:LCJ917513 LMF917512:LMF917513 LWB917512:LWB917513 MFX917512:MFX917513 MPT917512:MPT917513 MZP917512:MZP917513 NJL917512:NJL917513 NTH917512:NTH917513 ODD917512:ODD917513 OMZ917512:OMZ917513 OWV917512:OWV917513 PGR917512:PGR917513 PQN917512:PQN917513 QAJ917512:QAJ917513 QKF917512:QKF917513 QUB917512:QUB917513 RDX917512:RDX917513 RNT917512:RNT917513 RXP917512:RXP917513 SHL917512:SHL917513 SRH917512:SRH917513 TBD917512:TBD917513 TKZ917512:TKZ917513 TUV917512:TUV917513 UER917512:UER917513 UON917512:UON917513 UYJ917512:UYJ917513 VIF917512:VIF917513 VSB917512:VSB917513 WBX917512:WBX917513 WLT917512:WLT917513 WVP917512:WVP917513 H983048:H983049 JD983048:JD983049 SZ983048:SZ983049 ACV983048:ACV983049 AMR983048:AMR983049 AWN983048:AWN983049 BGJ983048:BGJ983049 BQF983048:BQF983049 CAB983048:CAB983049 CJX983048:CJX983049 CTT983048:CTT983049 DDP983048:DDP983049 DNL983048:DNL983049 DXH983048:DXH983049 EHD983048:EHD983049 EQZ983048:EQZ983049 FAV983048:FAV983049 FKR983048:FKR983049 FUN983048:FUN983049 GEJ983048:GEJ983049 GOF983048:GOF983049 GYB983048:GYB983049 HHX983048:HHX983049 HRT983048:HRT983049 IBP983048:IBP983049 ILL983048:ILL983049 IVH983048:IVH983049 JFD983048:JFD983049 JOZ983048:JOZ983049 JYV983048:JYV983049 KIR983048:KIR983049 KSN983048:KSN983049 LCJ983048:LCJ983049 LMF983048:LMF983049 LWB983048:LWB983049 MFX983048:MFX983049 MPT983048:MPT983049 MZP983048:MZP983049 NJL983048:NJL983049 NTH983048:NTH983049 ODD983048:ODD983049 OMZ983048:OMZ983049 OWV983048:OWV983049 PGR983048:PGR983049 PQN983048:PQN983049 QAJ983048:QAJ983049 QKF983048:QKF983049 QUB983048:QUB983049 RDX983048:RDX983049 RNT983048:RNT983049 RXP983048:RXP983049 SHL983048:SHL983049 SRH983048:SRH983049 TBD983048:TBD983049 TKZ983048:TKZ983049 TUV983048:TUV983049 UER983048:UER983049 UON983048:UON983049 UYJ983048:UYJ983049 VIF983048:VIF983049 VSB983048:VSB983049 WBX983048:WBX983049 WLT983048:WLT983049 WVP983048:WVP983049">
      <formula1>$AI$1:$AI$3</formula1>
    </dataValidation>
    <dataValidation type="list" allowBlank="1" showInputMessage="1" showErrorMessage="1" sqref="G8:G9 JC8:JC9 SY8:SY9 ACU8:ACU9 AMQ8:AMQ9 AWM8:AWM9 BGI8:BGI9 BQE8:BQE9 CAA8:CAA9 CJW8:CJW9 CTS8:CTS9 DDO8:DDO9 DNK8:DNK9 DXG8:DXG9 EHC8:EHC9 EQY8:EQY9 FAU8:FAU9 FKQ8:FKQ9 FUM8:FUM9 GEI8:GEI9 GOE8:GOE9 GYA8:GYA9 HHW8:HHW9 HRS8:HRS9 IBO8:IBO9 ILK8:ILK9 IVG8:IVG9 JFC8:JFC9 JOY8:JOY9 JYU8:JYU9 KIQ8:KIQ9 KSM8:KSM9 LCI8:LCI9 LME8:LME9 LWA8:LWA9 MFW8:MFW9 MPS8:MPS9 MZO8:MZO9 NJK8:NJK9 NTG8:NTG9 ODC8:ODC9 OMY8:OMY9 OWU8:OWU9 PGQ8:PGQ9 PQM8:PQM9 QAI8:QAI9 QKE8:QKE9 QUA8:QUA9 RDW8:RDW9 RNS8:RNS9 RXO8:RXO9 SHK8:SHK9 SRG8:SRG9 TBC8:TBC9 TKY8:TKY9 TUU8:TUU9 UEQ8:UEQ9 UOM8:UOM9 UYI8:UYI9 VIE8:VIE9 VSA8:VSA9 WBW8:WBW9 WLS8:WLS9 WVO8:WVO9 G65544:G65545 JC65544:JC65545 SY65544:SY65545 ACU65544:ACU65545 AMQ65544:AMQ65545 AWM65544:AWM65545 BGI65544:BGI65545 BQE65544:BQE65545 CAA65544:CAA65545 CJW65544:CJW65545 CTS65544:CTS65545 DDO65544:DDO65545 DNK65544:DNK65545 DXG65544:DXG65545 EHC65544:EHC65545 EQY65544:EQY65545 FAU65544:FAU65545 FKQ65544:FKQ65545 FUM65544:FUM65545 GEI65544:GEI65545 GOE65544:GOE65545 GYA65544:GYA65545 HHW65544:HHW65545 HRS65544:HRS65545 IBO65544:IBO65545 ILK65544:ILK65545 IVG65544:IVG65545 JFC65544:JFC65545 JOY65544:JOY65545 JYU65544:JYU65545 KIQ65544:KIQ65545 KSM65544:KSM65545 LCI65544:LCI65545 LME65544:LME65545 LWA65544:LWA65545 MFW65544:MFW65545 MPS65544:MPS65545 MZO65544:MZO65545 NJK65544:NJK65545 NTG65544:NTG65545 ODC65544:ODC65545 OMY65544:OMY65545 OWU65544:OWU65545 PGQ65544:PGQ65545 PQM65544:PQM65545 QAI65544:QAI65545 QKE65544:QKE65545 QUA65544:QUA65545 RDW65544:RDW65545 RNS65544:RNS65545 RXO65544:RXO65545 SHK65544:SHK65545 SRG65544:SRG65545 TBC65544:TBC65545 TKY65544:TKY65545 TUU65544:TUU65545 UEQ65544:UEQ65545 UOM65544:UOM65545 UYI65544:UYI65545 VIE65544:VIE65545 VSA65544:VSA65545 WBW65544:WBW65545 WLS65544:WLS65545 WVO65544:WVO65545 G131080:G131081 JC131080:JC131081 SY131080:SY131081 ACU131080:ACU131081 AMQ131080:AMQ131081 AWM131080:AWM131081 BGI131080:BGI131081 BQE131080:BQE131081 CAA131080:CAA131081 CJW131080:CJW131081 CTS131080:CTS131081 DDO131080:DDO131081 DNK131080:DNK131081 DXG131080:DXG131081 EHC131080:EHC131081 EQY131080:EQY131081 FAU131080:FAU131081 FKQ131080:FKQ131081 FUM131080:FUM131081 GEI131080:GEI131081 GOE131080:GOE131081 GYA131080:GYA131081 HHW131080:HHW131081 HRS131080:HRS131081 IBO131080:IBO131081 ILK131080:ILK131081 IVG131080:IVG131081 JFC131080:JFC131081 JOY131080:JOY131081 JYU131080:JYU131081 KIQ131080:KIQ131081 KSM131080:KSM131081 LCI131080:LCI131081 LME131080:LME131081 LWA131080:LWA131081 MFW131080:MFW131081 MPS131080:MPS131081 MZO131080:MZO131081 NJK131080:NJK131081 NTG131080:NTG131081 ODC131080:ODC131081 OMY131080:OMY131081 OWU131080:OWU131081 PGQ131080:PGQ131081 PQM131080:PQM131081 QAI131080:QAI131081 QKE131080:QKE131081 QUA131080:QUA131081 RDW131080:RDW131081 RNS131080:RNS131081 RXO131080:RXO131081 SHK131080:SHK131081 SRG131080:SRG131081 TBC131080:TBC131081 TKY131080:TKY131081 TUU131080:TUU131081 UEQ131080:UEQ131081 UOM131080:UOM131081 UYI131080:UYI131081 VIE131080:VIE131081 VSA131080:VSA131081 WBW131080:WBW131081 WLS131080:WLS131081 WVO131080:WVO131081 G196616:G196617 JC196616:JC196617 SY196616:SY196617 ACU196616:ACU196617 AMQ196616:AMQ196617 AWM196616:AWM196617 BGI196616:BGI196617 BQE196616:BQE196617 CAA196616:CAA196617 CJW196616:CJW196617 CTS196616:CTS196617 DDO196616:DDO196617 DNK196616:DNK196617 DXG196616:DXG196617 EHC196616:EHC196617 EQY196616:EQY196617 FAU196616:FAU196617 FKQ196616:FKQ196617 FUM196616:FUM196617 GEI196616:GEI196617 GOE196616:GOE196617 GYA196616:GYA196617 HHW196616:HHW196617 HRS196616:HRS196617 IBO196616:IBO196617 ILK196616:ILK196617 IVG196616:IVG196617 JFC196616:JFC196617 JOY196616:JOY196617 JYU196616:JYU196617 KIQ196616:KIQ196617 KSM196616:KSM196617 LCI196616:LCI196617 LME196616:LME196617 LWA196616:LWA196617 MFW196616:MFW196617 MPS196616:MPS196617 MZO196616:MZO196617 NJK196616:NJK196617 NTG196616:NTG196617 ODC196616:ODC196617 OMY196616:OMY196617 OWU196616:OWU196617 PGQ196616:PGQ196617 PQM196616:PQM196617 QAI196616:QAI196617 QKE196616:QKE196617 QUA196616:QUA196617 RDW196616:RDW196617 RNS196616:RNS196617 RXO196616:RXO196617 SHK196616:SHK196617 SRG196616:SRG196617 TBC196616:TBC196617 TKY196616:TKY196617 TUU196616:TUU196617 UEQ196616:UEQ196617 UOM196616:UOM196617 UYI196616:UYI196617 VIE196616:VIE196617 VSA196616:VSA196617 WBW196616:WBW196617 WLS196616:WLS196617 WVO196616:WVO196617 G262152:G262153 JC262152:JC262153 SY262152:SY262153 ACU262152:ACU262153 AMQ262152:AMQ262153 AWM262152:AWM262153 BGI262152:BGI262153 BQE262152:BQE262153 CAA262152:CAA262153 CJW262152:CJW262153 CTS262152:CTS262153 DDO262152:DDO262153 DNK262152:DNK262153 DXG262152:DXG262153 EHC262152:EHC262153 EQY262152:EQY262153 FAU262152:FAU262153 FKQ262152:FKQ262153 FUM262152:FUM262153 GEI262152:GEI262153 GOE262152:GOE262153 GYA262152:GYA262153 HHW262152:HHW262153 HRS262152:HRS262153 IBO262152:IBO262153 ILK262152:ILK262153 IVG262152:IVG262153 JFC262152:JFC262153 JOY262152:JOY262153 JYU262152:JYU262153 KIQ262152:KIQ262153 KSM262152:KSM262153 LCI262152:LCI262153 LME262152:LME262153 LWA262152:LWA262153 MFW262152:MFW262153 MPS262152:MPS262153 MZO262152:MZO262153 NJK262152:NJK262153 NTG262152:NTG262153 ODC262152:ODC262153 OMY262152:OMY262153 OWU262152:OWU262153 PGQ262152:PGQ262153 PQM262152:PQM262153 QAI262152:QAI262153 QKE262152:QKE262153 QUA262152:QUA262153 RDW262152:RDW262153 RNS262152:RNS262153 RXO262152:RXO262153 SHK262152:SHK262153 SRG262152:SRG262153 TBC262152:TBC262153 TKY262152:TKY262153 TUU262152:TUU262153 UEQ262152:UEQ262153 UOM262152:UOM262153 UYI262152:UYI262153 VIE262152:VIE262153 VSA262152:VSA262153 WBW262152:WBW262153 WLS262152:WLS262153 WVO262152:WVO262153 G327688:G327689 JC327688:JC327689 SY327688:SY327689 ACU327688:ACU327689 AMQ327688:AMQ327689 AWM327688:AWM327689 BGI327688:BGI327689 BQE327688:BQE327689 CAA327688:CAA327689 CJW327688:CJW327689 CTS327688:CTS327689 DDO327688:DDO327689 DNK327688:DNK327689 DXG327688:DXG327689 EHC327688:EHC327689 EQY327688:EQY327689 FAU327688:FAU327689 FKQ327688:FKQ327689 FUM327688:FUM327689 GEI327688:GEI327689 GOE327688:GOE327689 GYA327688:GYA327689 HHW327688:HHW327689 HRS327688:HRS327689 IBO327688:IBO327689 ILK327688:ILK327689 IVG327688:IVG327689 JFC327688:JFC327689 JOY327688:JOY327689 JYU327688:JYU327689 KIQ327688:KIQ327689 KSM327688:KSM327689 LCI327688:LCI327689 LME327688:LME327689 LWA327688:LWA327689 MFW327688:MFW327689 MPS327688:MPS327689 MZO327688:MZO327689 NJK327688:NJK327689 NTG327688:NTG327689 ODC327688:ODC327689 OMY327688:OMY327689 OWU327688:OWU327689 PGQ327688:PGQ327689 PQM327688:PQM327689 QAI327688:QAI327689 QKE327688:QKE327689 QUA327688:QUA327689 RDW327688:RDW327689 RNS327688:RNS327689 RXO327688:RXO327689 SHK327688:SHK327689 SRG327688:SRG327689 TBC327688:TBC327689 TKY327688:TKY327689 TUU327688:TUU327689 UEQ327688:UEQ327689 UOM327688:UOM327689 UYI327688:UYI327689 VIE327688:VIE327689 VSA327688:VSA327689 WBW327688:WBW327689 WLS327688:WLS327689 WVO327688:WVO327689 G393224:G393225 JC393224:JC393225 SY393224:SY393225 ACU393224:ACU393225 AMQ393224:AMQ393225 AWM393224:AWM393225 BGI393224:BGI393225 BQE393224:BQE393225 CAA393224:CAA393225 CJW393224:CJW393225 CTS393224:CTS393225 DDO393224:DDO393225 DNK393224:DNK393225 DXG393224:DXG393225 EHC393224:EHC393225 EQY393224:EQY393225 FAU393224:FAU393225 FKQ393224:FKQ393225 FUM393224:FUM393225 GEI393224:GEI393225 GOE393224:GOE393225 GYA393224:GYA393225 HHW393224:HHW393225 HRS393224:HRS393225 IBO393224:IBO393225 ILK393224:ILK393225 IVG393224:IVG393225 JFC393224:JFC393225 JOY393224:JOY393225 JYU393224:JYU393225 KIQ393224:KIQ393225 KSM393224:KSM393225 LCI393224:LCI393225 LME393224:LME393225 LWA393224:LWA393225 MFW393224:MFW393225 MPS393224:MPS393225 MZO393224:MZO393225 NJK393224:NJK393225 NTG393224:NTG393225 ODC393224:ODC393225 OMY393224:OMY393225 OWU393224:OWU393225 PGQ393224:PGQ393225 PQM393224:PQM393225 QAI393224:QAI393225 QKE393224:QKE393225 QUA393224:QUA393225 RDW393224:RDW393225 RNS393224:RNS393225 RXO393224:RXO393225 SHK393224:SHK393225 SRG393224:SRG393225 TBC393224:TBC393225 TKY393224:TKY393225 TUU393224:TUU393225 UEQ393224:UEQ393225 UOM393224:UOM393225 UYI393224:UYI393225 VIE393224:VIE393225 VSA393224:VSA393225 WBW393224:WBW393225 WLS393224:WLS393225 WVO393224:WVO393225 G458760:G458761 JC458760:JC458761 SY458760:SY458761 ACU458760:ACU458761 AMQ458760:AMQ458761 AWM458760:AWM458761 BGI458760:BGI458761 BQE458760:BQE458761 CAA458760:CAA458761 CJW458760:CJW458761 CTS458760:CTS458761 DDO458760:DDO458761 DNK458760:DNK458761 DXG458760:DXG458761 EHC458760:EHC458761 EQY458760:EQY458761 FAU458760:FAU458761 FKQ458760:FKQ458761 FUM458760:FUM458761 GEI458760:GEI458761 GOE458760:GOE458761 GYA458760:GYA458761 HHW458760:HHW458761 HRS458760:HRS458761 IBO458760:IBO458761 ILK458760:ILK458761 IVG458760:IVG458761 JFC458760:JFC458761 JOY458760:JOY458761 JYU458760:JYU458761 KIQ458760:KIQ458761 KSM458760:KSM458761 LCI458760:LCI458761 LME458760:LME458761 LWA458760:LWA458761 MFW458760:MFW458761 MPS458760:MPS458761 MZO458760:MZO458761 NJK458760:NJK458761 NTG458760:NTG458761 ODC458760:ODC458761 OMY458760:OMY458761 OWU458760:OWU458761 PGQ458760:PGQ458761 PQM458760:PQM458761 QAI458760:QAI458761 QKE458760:QKE458761 QUA458760:QUA458761 RDW458760:RDW458761 RNS458760:RNS458761 RXO458760:RXO458761 SHK458760:SHK458761 SRG458760:SRG458761 TBC458760:TBC458761 TKY458760:TKY458761 TUU458760:TUU458761 UEQ458760:UEQ458761 UOM458760:UOM458761 UYI458760:UYI458761 VIE458760:VIE458761 VSA458760:VSA458761 WBW458760:WBW458761 WLS458760:WLS458761 WVO458760:WVO458761 G524296:G524297 JC524296:JC524297 SY524296:SY524297 ACU524296:ACU524297 AMQ524296:AMQ524297 AWM524296:AWM524297 BGI524296:BGI524297 BQE524296:BQE524297 CAA524296:CAA524297 CJW524296:CJW524297 CTS524296:CTS524297 DDO524296:DDO524297 DNK524296:DNK524297 DXG524296:DXG524297 EHC524296:EHC524297 EQY524296:EQY524297 FAU524296:FAU524297 FKQ524296:FKQ524297 FUM524296:FUM524297 GEI524296:GEI524297 GOE524296:GOE524297 GYA524296:GYA524297 HHW524296:HHW524297 HRS524296:HRS524297 IBO524296:IBO524297 ILK524296:ILK524297 IVG524296:IVG524297 JFC524296:JFC524297 JOY524296:JOY524297 JYU524296:JYU524297 KIQ524296:KIQ524297 KSM524296:KSM524297 LCI524296:LCI524297 LME524296:LME524297 LWA524296:LWA524297 MFW524296:MFW524297 MPS524296:MPS524297 MZO524296:MZO524297 NJK524296:NJK524297 NTG524296:NTG524297 ODC524296:ODC524297 OMY524296:OMY524297 OWU524296:OWU524297 PGQ524296:PGQ524297 PQM524296:PQM524297 QAI524296:QAI524297 QKE524296:QKE524297 QUA524296:QUA524297 RDW524296:RDW524297 RNS524296:RNS524297 RXO524296:RXO524297 SHK524296:SHK524297 SRG524296:SRG524297 TBC524296:TBC524297 TKY524296:TKY524297 TUU524296:TUU524297 UEQ524296:UEQ524297 UOM524296:UOM524297 UYI524296:UYI524297 VIE524296:VIE524297 VSA524296:VSA524297 WBW524296:WBW524297 WLS524296:WLS524297 WVO524296:WVO524297 G589832:G589833 JC589832:JC589833 SY589832:SY589833 ACU589832:ACU589833 AMQ589832:AMQ589833 AWM589832:AWM589833 BGI589832:BGI589833 BQE589832:BQE589833 CAA589832:CAA589833 CJW589832:CJW589833 CTS589832:CTS589833 DDO589832:DDO589833 DNK589832:DNK589833 DXG589832:DXG589833 EHC589832:EHC589833 EQY589832:EQY589833 FAU589832:FAU589833 FKQ589832:FKQ589833 FUM589832:FUM589833 GEI589832:GEI589833 GOE589832:GOE589833 GYA589832:GYA589833 HHW589832:HHW589833 HRS589832:HRS589833 IBO589832:IBO589833 ILK589832:ILK589833 IVG589832:IVG589833 JFC589832:JFC589833 JOY589832:JOY589833 JYU589832:JYU589833 KIQ589832:KIQ589833 KSM589832:KSM589833 LCI589832:LCI589833 LME589832:LME589833 LWA589832:LWA589833 MFW589832:MFW589833 MPS589832:MPS589833 MZO589832:MZO589833 NJK589832:NJK589833 NTG589832:NTG589833 ODC589832:ODC589833 OMY589832:OMY589833 OWU589832:OWU589833 PGQ589832:PGQ589833 PQM589832:PQM589833 QAI589832:QAI589833 QKE589832:QKE589833 QUA589832:QUA589833 RDW589832:RDW589833 RNS589832:RNS589833 RXO589832:RXO589833 SHK589832:SHK589833 SRG589832:SRG589833 TBC589832:TBC589833 TKY589832:TKY589833 TUU589832:TUU589833 UEQ589832:UEQ589833 UOM589832:UOM589833 UYI589832:UYI589833 VIE589832:VIE589833 VSA589832:VSA589833 WBW589832:WBW589833 WLS589832:WLS589833 WVO589832:WVO589833 G655368:G655369 JC655368:JC655369 SY655368:SY655369 ACU655368:ACU655369 AMQ655368:AMQ655369 AWM655368:AWM655369 BGI655368:BGI655369 BQE655368:BQE655369 CAA655368:CAA655369 CJW655368:CJW655369 CTS655368:CTS655369 DDO655368:DDO655369 DNK655368:DNK655369 DXG655368:DXG655369 EHC655368:EHC655369 EQY655368:EQY655369 FAU655368:FAU655369 FKQ655368:FKQ655369 FUM655368:FUM655369 GEI655368:GEI655369 GOE655368:GOE655369 GYA655368:GYA655369 HHW655368:HHW655369 HRS655368:HRS655369 IBO655368:IBO655369 ILK655368:ILK655369 IVG655368:IVG655369 JFC655368:JFC655369 JOY655368:JOY655369 JYU655368:JYU655369 KIQ655368:KIQ655369 KSM655368:KSM655369 LCI655368:LCI655369 LME655368:LME655369 LWA655368:LWA655369 MFW655368:MFW655369 MPS655368:MPS655369 MZO655368:MZO655369 NJK655368:NJK655369 NTG655368:NTG655369 ODC655368:ODC655369 OMY655368:OMY655369 OWU655368:OWU655369 PGQ655368:PGQ655369 PQM655368:PQM655369 QAI655368:QAI655369 QKE655368:QKE655369 QUA655368:QUA655369 RDW655368:RDW655369 RNS655368:RNS655369 RXO655368:RXO655369 SHK655368:SHK655369 SRG655368:SRG655369 TBC655368:TBC655369 TKY655368:TKY655369 TUU655368:TUU655369 UEQ655368:UEQ655369 UOM655368:UOM655369 UYI655368:UYI655369 VIE655368:VIE655369 VSA655368:VSA655369 WBW655368:WBW655369 WLS655368:WLS655369 WVO655368:WVO655369 G720904:G720905 JC720904:JC720905 SY720904:SY720905 ACU720904:ACU720905 AMQ720904:AMQ720905 AWM720904:AWM720905 BGI720904:BGI720905 BQE720904:BQE720905 CAA720904:CAA720905 CJW720904:CJW720905 CTS720904:CTS720905 DDO720904:DDO720905 DNK720904:DNK720905 DXG720904:DXG720905 EHC720904:EHC720905 EQY720904:EQY720905 FAU720904:FAU720905 FKQ720904:FKQ720905 FUM720904:FUM720905 GEI720904:GEI720905 GOE720904:GOE720905 GYA720904:GYA720905 HHW720904:HHW720905 HRS720904:HRS720905 IBO720904:IBO720905 ILK720904:ILK720905 IVG720904:IVG720905 JFC720904:JFC720905 JOY720904:JOY720905 JYU720904:JYU720905 KIQ720904:KIQ720905 KSM720904:KSM720905 LCI720904:LCI720905 LME720904:LME720905 LWA720904:LWA720905 MFW720904:MFW720905 MPS720904:MPS720905 MZO720904:MZO720905 NJK720904:NJK720905 NTG720904:NTG720905 ODC720904:ODC720905 OMY720904:OMY720905 OWU720904:OWU720905 PGQ720904:PGQ720905 PQM720904:PQM720905 QAI720904:QAI720905 QKE720904:QKE720905 QUA720904:QUA720905 RDW720904:RDW720905 RNS720904:RNS720905 RXO720904:RXO720905 SHK720904:SHK720905 SRG720904:SRG720905 TBC720904:TBC720905 TKY720904:TKY720905 TUU720904:TUU720905 UEQ720904:UEQ720905 UOM720904:UOM720905 UYI720904:UYI720905 VIE720904:VIE720905 VSA720904:VSA720905 WBW720904:WBW720905 WLS720904:WLS720905 WVO720904:WVO720905 G786440:G786441 JC786440:JC786441 SY786440:SY786441 ACU786440:ACU786441 AMQ786440:AMQ786441 AWM786440:AWM786441 BGI786440:BGI786441 BQE786440:BQE786441 CAA786440:CAA786441 CJW786440:CJW786441 CTS786440:CTS786441 DDO786440:DDO786441 DNK786440:DNK786441 DXG786440:DXG786441 EHC786440:EHC786441 EQY786440:EQY786441 FAU786440:FAU786441 FKQ786440:FKQ786441 FUM786440:FUM786441 GEI786440:GEI786441 GOE786440:GOE786441 GYA786440:GYA786441 HHW786440:HHW786441 HRS786440:HRS786441 IBO786440:IBO786441 ILK786440:ILK786441 IVG786440:IVG786441 JFC786440:JFC786441 JOY786440:JOY786441 JYU786440:JYU786441 KIQ786440:KIQ786441 KSM786440:KSM786441 LCI786440:LCI786441 LME786440:LME786441 LWA786440:LWA786441 MFW786440:MFW786441 MPS786440:MPS786441 MZO786440:MZO786441 NJK786440:NJK786441 NTG786440:NTG786441 ODC786440:ODC786441 OMY786440:OMY786441 OWU786440:OWU786441 PGQ786440:PGQ786441 PQM786440:PQM786441 QAI786440:QAI786441 QKE786440:QKE786441 QUA786440:QUA786441 RDW786440:RDW786441 RNS786440:RNS786441 RXO786440:RXO786441 SHK786440:SHK786441 SRG786440:SRG786441 TBC786440:TBC786441 TKY786440:TKY786441 TUU786440:TUU786441 UEQ786440:UEQ786441 UOM786440:UOM786441 UYI786440:UYI786441 VIE786440:VIE786441 VSA786440:VSA786441 WBW786440:WBW786441 WLS786440:WLS786441 WVO786440:WVO786441 G851976:G851977 JC851976:JC851977 SY851976:SY851977 ACU851976:ACU851977 AMQ851976:AMQ851977 AWM851976:AWM851977 BGI851976:BGI851977 BQE851976:BQE851977 CAA851976:CAA851977 CJW851976:CJW851977 CTS851976:CTS851977 DDO851976:DDO851977 DNK851976:DNK851977 DXG851976:DXG851977 EHC851976:EHC851977 EQY851976:EQY851977 FAU851976:FAU851977 FKQ851976:FKQ851977 FUM851976:FUM851977 GEI851976:GEI851977 GOE851976:GOE851977 GYA851976:GYA851977 HHW851976:HHW851977 HRS851976:HRS851977 IBO851976:IBO851977 ILK851976:ILK851977 IVG851976:IVG851977 JFC851976:JFC851977 JOY851976:JOY851977 JYU851976:JYU851977 KIQ851976:KIQ851977 KSM851976:KSM851977 LCI851976:LCI851977 LME851976:LME851977 LWA851976:LWA851977 MFW851976:MFW851977 MPS851976:MPS851977 MZO851976:MZO851977 NJK851976:NJK851977 NTG851976:NTG851977 ODC851976:ODC851977 OMY851976:OMY851977 OWU851976:OWU851977 PGQ851976:PGQ851977 PQM851976:PQM851977 QAI851976:QAI851977 QKE851976:QKE851977 QUA851976:QUA851977 RDW851976:RDW851977 RNS851976:RNS851977 RXO851976:RXO851977 SHK851976:SHK851977 SRG851976:SRG851977 TBC851976:TBC851977 TKY851976:TKY851977 TUU851976:TUU851977 UEQ851976:UEQ851977 UOM851976:UOM851977 UYI851976:UYI851977 VIE851976:VIE851977 VSA851976:VSA851977 WBW851976:WBW851977 WLS851976:WLS851977 WVO851976:WVO851977 G917512:G917513 JC917512:JC917513 SY917512:SY917513 ACU917512:ACU917513 AMQ917512:AMQ917513 AWM917512:AWM917513 BGI917512:BGI917513 BQE917512:BQE917513 CAA917512:CAA917513 CJW917512:CJW917513 CTS917512:CTS917513 DDO917512:DDO917513 DNK917512:DNK917513 DXG917512:DXG917513 EHC917512:EHC917513 EQY917512:EQY917513 FAU917512:FAU917513 FKQ917512:FKQ917513 FUM917512:FUM917513 GEI917512:GEI917513 GOE917512:GOE917513 GYA917512:GYA917513 HHW917512:HHW917513 HRS917512:HRS917513 IBO917512:IBO917513 ILK917512:ILK917513 IVG917512:IVG917513 JFC917512:JFC917513 JOY917512:JOY917513 JYU917512:JYU917513 KIQ917512:KIQ917513 KSM917512:KSM917513 LCI917512:LCI917513 LME917512:LME917513 LWA917512:LWA917513 MFW917512:MFW917513 MPS917512:MPS917513 MZO917512:MZO917513 NJK917512:NJK917513 NTG917512:NTG917513 ODC917512:ODC917513 OMY917512:OMY917513 OWU917512:OWU917513 PGQ917512:PGQ917513 PQM917512:PQM917513 QAI917512:QAI917513 QKE917512:QKE917513 QUA917512:QUA917513 RDW917512:RDW917513 RNS917512:RNS917513 RXO917512:RXO917513 SHK917512:SHK917513 SRG917512:SRG917513 TBC917512:TBC917513 TKY917512:TKY917513 TUU917512:TUU917513 UEQ917512:UEQ917513 UOM917512:UOM917513 UYI917512:UYI917513 VIE917512:VIE917513 VSA917512:VSA917513 WBW917512:WBW917513 WLS917512:WLS917513 WVO917512:WVO917513 G983048:G983049 JC983048:JC983049 SY983048:SY983049 ACU983048:ACU983049 AMQ983048:AMQ983049 AWM983048:AWM983049 BGI983048:BGI983049 BQE983048:BQE983049 CAA983048:CAA983049 CJW983048:CJW983049 CTS983048:CTS983049 DDO983048:DDO983049 DNK983048:DNK983049 DXG983048:DXG983049 EHC983048:EHC983049 EQY983048:EQY983049 FAU983048:FAU983049 FKQ983048:FKQ983049 FUM983048:FUM983049 GEI983048:GEI983049 GOE983048:GOE983049 GYA983048:GYA983049 HHW983048:HHW983049 HRS983048:HRS983049 IBO983048:IBO983049 ILK983048:ILK983049 IVG983048:IVG983049 JFC983048:JFC983049 JOY983048:JOY983049 JYU983048:JYU983049 KIQ983048:KIQ983049 KSM983048:KSM983049 LCI983048:LCI983049 LME983048:LME983049 LWA983048:LWA983049 MFW983048:MFW983049 MPS983048:MPS983049 MZO983048:MZO983049 NJK983048:NJK983049 NTG983048:NTG983049 ODC983048:ODC983049 OMY983048:OMY983049 OWU983048:OWU983049 PGQ983048:PGQ983049 PQM983048:PQM983049 QAI983048:QAI983049 QKE983048:QKE983049 QUA983048:QUA983049 RDW983048:RDW983049 RNS983048:RNS983049 RXO983048:RXO983049 SHK983048:SHK983049 SRG983048:SRG983049 TBC983048:TBC983049 TKY983048:TKY983049 TUU983048:TUU983049 UEQ983048:UEQ983049 UOM983048:UOM983049 UYI983048:UYI983049 VIE983048:VIE983049 VSA983048:VSA983049 WBW983048:WBW983049 WLS983048:WLS983049 WVO983048:WVO983049">
      <formula1>$AI$24:$AI$36</formula1>
    </dataValidation>
  </dataValidations>
  <printOptions horizontalCentered="1"/>
  <pageMargins left="0.39370078740157483" right="0.39370078740157483" top="0.59055118110236227" bottom="0.59055118110236227" header="0.31496062992125984" footer="0.31496062992125984"/>
  <pageSetup paperSize="9" scale="40" orientation="landscape" horizontalDpi="360" verticalDpi="360"/>
  <headerFooter>
    <oddFooter>&amp;C&amp;"Tahoma,Cursiva"&amp;K365F91Si usted ha accedido a este formato a través de un medio diferente al sitio http://www.unicordoba.edu.co/index.php/documentossigec/documentos-calidad asegúrese que ésta es la versión vigente</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AM59"/>
  <sheetViews>
    <sheetView topLeftCell="A29" zoomScale="80" zoomScaleNormal="80" zoomScaleSheetLayoutView="100" zoomScalePageLayoutView="60" workbookViewId="0">
      <selection activeCell="D33" sqref="D33:E33"/>
    </sheetView>
  </sheetViews>
  <sheetFormatPr baseColWidth="10" defaultRowHeight="12.75"/>
  <cols>
    <col min="1" max="1" width="10.28515625" customWidth="1"/>
    <col min="2" max="2" width="13.42578125" customWidth="1"/>
    <col min="3" max="3" width="4.28515625" customWidth="1"/>
    <col min="4" max="4" width="4" customWidth="1"/>
    <col min="5" max="5" width="15" customWidth="1"/>
    <col min="6" max="6" width="4.140625" customWidth="1"/>
    <col min="7" max="7" width="11.28515625" customWidth="1"/>
    <col min="8" max="8" width="16.140625" customWidth="1"/>
    <col min="9" max="9" width="11" customWidth="1"/>
    <col min="10" max="11" width="2.140625" customWidth="1"/>
    <col min="12" max="12" width="3.28515625" customWidth="1"/>
    <col min="13" max="13" width="0.28515625" hidden="1" customWidth="1"/>
    <col min="14" max="14" width="0.42578125" hidden="1" customWidth="1"/>
    <col min="15" max="15" width="2.85546875" customWidth="1"/>
    <col min="16" max="16" width="3.28515625" customWidth="1"/>
    <col min="17" max="17" width="1.42578125" customWidth="1"/>
    <col min="18" max="18" width="1.85546875" hidden="1" customWidth="1"/>
    <col min="19" max="19" width="6.85546875" customWidth="1"/>
    <col min="20" max="20" width="3" hidden="1" customWidth="1"/>
    <col min="21" max="22" width="6.28515625" customWidth="1"/>
    <col min="23" max="23" width="17.7109375" customWidth="1"/>
    <col min="24" max="24" width="13.85546875" customWidth="1"/>
    <col min="25" max="25" width="10.85546875" customWidth="1"/>
    <col min="26" max="26" width="16.85546875" customWidth="1"/>
    <col min="27" max="27" width="5" customWidth="1"/>
    <col min="28" max="28" width="17" customWidth="1"/>
    <col min="29" max="29" width="13.140625" customWidth="1"/>
    <col min="30" max="31" width="14" customWidth="1"/>
    <col min="32" max="32" width="11.42578125" customWidth="1"/>
    <col min="33" max="33" width="15.85546875" customWidth="1"/>
    <col min="34" max="34" width="23.7109375" customWidth="1"/>
    <col min="35" max="35" width="12" customWidth="1"/>
    <col min="36" max="37" width="0.28515625" customWidth="1"/>
    <col min="38" max="38" width="1.42578125" customWidth="1"/>
    <col min="39" max="39" width="1.28515625" hidden="1" customWidth="1"/>
    <col min="257" max="257" width="10.28515625" customWidth="1"/>
    <col min="258" max="258" width="13.42578125" customWidth="1"/>
    <col min="259" max="259" width="4.28515625" customWidth="1"/>
    <col min="260" max="260" width="4" customWidth="1"/>
    <col min="261" max="261" width="15" customWidth="1"/>
    <col min="262" max="262" width="4.140625" customWidth="1"/>
    <col min="263" max="263" width="11.28515625" customWidth="1"/>
    <col min="264" max="264" width="16.140625" customWidth="1"/>
    <col min="265" max="265" width="11" customWidth="1"/>
    <col min="266" max="267" width="2.140625" customWidth="1"/>
    <col min="268" max="268" width="3.28515625" customWidth="1"/>
    <col min="269" max="270" width="0" hidden="1" customWidth="1"/>
    <col min="271" max="271" width="2.85546875" customWidth="1"/>
    <col min="272" max="272" width="3.28515625" customWidth="1"/>
    <col min="273" max="273" width="1.42578125" customWidth="1"/>
    <col min="274" max="274" width="0" hidden="1" customWidth="1"/>
    <col min="275" max="275" width="6.85546875" customWidth="1"/>
    <col min="276" max="276" width="0" hidden="1" customWidth="1"/>
    <col min="277" max="278" width="6.28515625" customWidth="1"/>
    <col min="279" max="279" width="17.7109375" customWidth="1"/>
    <col min="280" max="280" width="13.85546875" customWidth="1"/>
    <col min="281" max="281" width="10.85546875" customWidth="1"/>
    <col min="282" max="282" width="16.85546875" customWidth="1"/>
    <col min="283" max="283" width="5" customWidth="1"/>
    <col min="284" max="284" width="13" customWidth="1"/>
    <col min="285" max="285" width="13.140625" customWidth="1"/>
    <col min="286" max="287" width="14" customWidth="1"/>
    <col min="288" max="288" width="11.42578125" customWidth="1"/>
    <col min="289" max="289" width="15.85546875" customWidth="1"/>
    <col min="290" max="290" width="23.7109375" customWidth="1"/>
    <col min="291" max="291" width="12" customWidth="1"/>
    <col min="292" max="293" width="0.28515625" customWidth="1"/>
    <col min="294" max="294" width="1.42578125" customWidth="1"/>
    <col min="295" max="295" width="0" hidden="1" customWidth="1"/>
    <col min="513" max="513" width="10.28515625" customWidth="1"/>
    <col min="514" max="514" width="13.42578125" customWidth="1"/>
    <col min="515" max="515" width="4.28515625" customWidth="1"/>
    <col min="516" max="516" width="4" customWidth="1"/>
    <col min="517" max="517" width="15" customWidth="1"/>
    <col min="518" max="518" width="4.140625" customWidth="1"/>
    <col min="519" max="519" width="11.28515625" customWidth="1"/>
    <col min="520" max="520" width="16.140625" customWidth="1"/>
    <col min="521" max="521" width="11" customWidth="1"/>
    <col min="522" max="523" width="2.140625" customWidth="1"/>
    <col min="524" max="524" width="3.28515625" customWidth="1"/>
    <col min="525" max="526" width="0" hidden="1" customWidth="1"/>
    <col min="527" max="527" width="2.85546875" customWidth="1"/>
    <col min="528" max="528" width="3.28515625" customWidth="1"/>
    <col min="529" max="529" width="1.42578125" customWidth="1"/>
    <col min="530" max="530" width="0" hidden="1" customWidth="1"/>
    <col min="531" max="531" width="6.85546875" customWidth="1"/>
    <col min="532" max="532" width="0" hidden="1" customWidth="1"/>
    <col min="533" max="534" width="6.28515625" customWidth="1"/>
    <col min="535" max="535" width="17.7109375" customWidth="1"/>
    <col min="536" max="536" width="13.85546875" customWidth="1"/>
    <col min="537" max="537" width="10.85546875" customWidth="1"/>
    <col min="538" max="538" width="16.85546875" customWidth="1"/>
    <col min="539" max="539" width="5" customWidth="1"/>
    <col min="540" max="540" width="13" customWidth="1"/>
    <col min="541" max="541" width="13.140625" customWidth="1"/>
    <col min="542" max="543" width="14" customWidth="1"/>
    <col min="544" max="544" width="11.42578125" customWidth="1"/>
    <col min="545" max="545" width="15.85546875" customWidth="1"/>
    <col min="546" max="546" width="23.7109375" customWidth="1"/>
    <col min="547" max="547" width="12" customWidth="1"/>
    <col min="548" max="549" width="0.28515625" customWidth="1"/>
    <col min="550" max="550" width="1.42578125" customWidth="1"/>
    <col min="551" max="551" width="0" hidden="1" customWidth="1"/>
    <col min="769" max="769" width="10.28515625" customWidth="1"/>
    <col min="770" max="770" width="13.42578125" customWidth="1"/>
    <col min="771" max="771" width="4.28515625" customWidth="1"/>
    <col min="772" max="772" width="4" customWidth="1"/>
    <col min="773" max="773" width="15" customWidth="1"/>
    <col min="774" max="774" width="4.140625" customWidth="1"/>
    <col min="775" max="775" width="11.28515625" customWidth="1"/>
    <col min="776" max="776" width="16.140625" customWidth="1"/>
    <col min="777" max="777" width="11" customWidth="1"/>
    <col min="778" max="779" width="2.140625" customWidth="1"/>
    <col min="780" max="780" width="3.28515625" customWidth="1"/>
    <col min="781" max="782" width="0" hidden="1" customWidth="1"/>
    <col min="783" max="783" width="2.85546875" customWidth="1"/>
    <col min="784" max="784" width="3.28515625" customWidth="1"/>
    <col min="785" max="785" width="1.42578125" customWidth="1"/>
    <col min="786" max="786" width="0" hidden="1" customWidth="1"/>
    <col min="787" max="787" width="6.85546875" customWidth="1"/>
    <col min="788" max="788" width="0" hidden="1" customWidth="1"/>
    <col min="789" max="790" width="6.28515625" customWidth="1"/>
    <col min="791" max="791" width="17.7109375" customWidth="1"/>
    <col min="792" max="792" width="13.85546875" customWidth="1"/>
    <col min="793" max="793" width="10.85546875" customWidth="1"/>
    <col min="794" max="794" width="16.85546875" customWidth="1"/>
    <col min="795" max="795" width="5" customWidth="1"/>
    <col min="796" max="796" width="13" customWidth="1"/>
    <col min="797" max="797" width="13.140625" customWidth="1"/>
    <col min="798" max="799" width="14" customWidth="1"/>
    <col min="800" max="800" width="11.42578125" customWidth="1"/>
    <col min="801" max="801" width="15.85546875" customWidth="1"/>
    <col min="802" max="802" width="23.7109375" customWidth="1"/>
    <col min="803" max="803" width="12" customWidth="1"/>
    <col min="804" max="805" width="0.28515625" customWidth="1"/>
    <col min="806" max="806" width="1.42578125" customWidth="1"/>
    <col min="807" max="807" width="0" hidden="1" customWidth="1"/>
    <col min="1025" max="1025" width="10.28515625" customWidth="1"/>
    <col min="1026" max="1026" width="13.42578125" customWidth="1"/>
    <col min="1027" max="1027" width="4.28515625" customWidth="1"/>
    <col min="1028" max="1028" width="4" customWidth="1"/>
    <col min="1029" max="1029" width="15" customWidth="1"/>
    <col min="1030" max="1030" width="4.140625" customWidth="1"/>
    <col min="1031" max="1031" width="11.28515625" customWidth="1"/>
    <col min="1032" max="1032" width="16.140625" customWidth="1"/>
    <col min="1033" max="1033" width="11" customWidth="1"/>
    <col min="1034" max="1035" width="2.140625" customWidth="1"/>
    <col min="1036" max="1036" width="3.28515625" customWidth="1"/>
    <col min="1037" max="1038" width="0" hidden="1" customWidth="1"/>
    <col min="1039" max="1039" width="2.85546875" customWidth="1"/>
    <col min="1040" max="1040" width="3.28515625" customWidth="1"/>
    <col min="1041" max="1041" width="1.42578125" customWidth="1"/>
    <col min="1042" max="1042" width="0" hidden="1" customWidth="1"/>
    <col min="1043" max="1043" width="6.85546875" customWidth="1"/>
    <col min="1044" max="1044" width="0" hidden="1" customWidth="1"/>
    <col min="1045" max="1046" width="6.28515625" customWidth="1"/>
    <col min="1047" max="1047" width="17.7109375" customWidth="1"/>
    <col min="1048" max="1048" width="13.85546875" customWidth="1"/>
    <col min="1049" max="1049" width="10.85546875" customWidth="1"/>
    <col min="1050" max="1050" width="16.85546875" customWidth="1"/>
    <col min="1051" max="1051" width="5" customWidth="1"/>
    <col min="1052" max="1052" width="13" customWidth="1"/>
    <col min="1053" max="1053" width="13.140625" customWidth="1"/>
    <col min="1054" max="1055" width="14" customWidth="1"/>
    <col min="1056" max="1056" width="11.42578125" customWidth="1"/>
    <col min="1057" max="1057" width="15.85546875" customWidth="1"/>
    <col min="1058" max="1058" width="23.7109375" customWidth="1"/>
    <col min="1059" max="1059" width="12" customWidth="1"/>
    <col min="1060" max="1061" width="0.28515625" customWidth="1"/>
    <col min="1062" max="1062" width="1.42578125" customWidth="1"/>
    <col min="1063" max="1063" width="0" hidden="1" customWidth="1"/>
    <col min="1281" max="1281" width="10.28515625" customWidth="1"/>
    <col min="1282" max="1282" width="13.42578125" customWidth="1"/>
    <col min="1283" max="1283" width="4.28515625" customWidth="1"/>
    <col min="1284" max="1284" width="4" customWidth="1"/>
    <col min="1285" max="1285" width="15" customWidth="1"/>
    <col min="1286" max="1286" width="4.140625" customWidth="1"/>
    <col min="1287" max="1287" width="11.28515625" customWidth="1"/>
    <col min="1288" max="1288" width="16.140625" customWidth="1"/>
    <col min="1289" max="1289" width="11" customWidth="1"/>
    <col min="1290" max="1291" width="2.140625" customWidth="1"/>
    <col min="1292" max="1292" width="3.28515625" customWidth="1"/>
    <col min="1293" max="1294" width="0" hidden="1" customWidth="1"/>
    <col min="1295" max="1295" width="2.85546875" customWidth="1"/>
    <col min="1296" max="1296" width="3.28515625" customWidth="1"/>
    <col min="1297" max="1297" width="1.42578125" customWidth="1"/>
    <col min="1298" max="1298" width="0" hidden="1" customWidth="1"/>
    <col min="1299" max="1299" width="6.85546875" customWidth="1"/>
    <col min="1300" max="1300" width="0" hidden="1" customWidth="1"/>
    <col min="1301" max="1302" width="6.28515625" customWidth="1"/>
    <col min="1303" max="1303" width="17.7109375" customWidth="1"/>
    <col min="1304" max="1304" width="13.85546875" customWidth="1"/>
    <col min="1305" max="1305" width="10.85546875" customWidth="1"/>
    <col min="1306" max="1306" width="16.85546875" customWidth="1"/>
    <col min="1307" max="1307" width="5" customWidth="1"/>
    <col min="1308" max="1308" width="13" customWidth="1"/>
    <col min="1309" max="1309" width="13.140625" customWidth="1"/>
    <col min="1310" max="1311" width="14" customWidth="1"/>
    <col min="1312" max="1312" width="11.42578125" customWidth="1"/>
    <col min="1313" max="1313" width="15.85546875" customWidth="1"/>
    <col min="1314" max="1314" width="23.7109375" customWidth="1"/>
    <col min="1315" max="1315" width="12" customWidth="1"/>
    <col min="1316" max="1317" width="0.28515625" customWidth="1"/>
    <col min="1318" max="1318" width="1.42578125" customWidth="1"/>
    <col min="1319" max="1319" width="0" hidden="1" customWidth="1"/>
    <col min="1537" max="1537" width="10.28515625" customWidth="1"/>
    <col min="1538" max="1538" width="13.42578125" customWidth="1"/>
    <col min="1539" max="1539" width="4.28515625" customWidth="1"/>
    <col min="1540" max="1540" width="4" customWidth="1"/>
    <col min="1541" max="1541" width="15" customWidth="1"/>
    <col min="1542" max="1542" width="4.140625" customWidth="1"/>
    <col min="1543" max="1543" width="11.28515625" customWidth="1"/>
    <col min="1544" max="1544" width="16.140625" customWidth="1"/>
    <col min="1545" max="1545" width="11" customWidth="1"/>
    <col min="1546" max="1547" width="2.140625" customWidth="1"/>
    <col min="1548" max="1548" width="3.28515625" customWidth="1"/>
    <col min="1549" max="1550" width="0" hidden="1" customWidth="1"/>
    <col min="1551" max="1551" width="2.85546875" customWidth="1"/>
    <col min="1552" max="1552" width="3.28515625" customWidth="1"/>
    <col min="1553" max="1553" width="1.42578125" customWidth="1"/>
    <col min="1554" max="1554" width="0" hidden="1" customWidth="1"/>
    <col min="1555" max="1555" width="6.85546875" customWidth="1"/>
    <col min="1556" max="1556" width="0" hidden="1" customWidth="1"/>
    <col min="1557" max="1558" width="6.28515625" customWidth="1"/>
    <col min="1559" max="1559" width="17.7109375" customWidth="1"/>
    <col min="1560" max="1560" width="13.85546875" customWidth="1"/>
    <col min="1561" max="1561" width="10.85546875" customWidth="1"/>
    <col min="1562" max="1562" width="16.85546875" customWidth="1"/>
    <col min="1563" max="1563" width="5" customWidth="1"/>
    <col min="1564" max="1564" width="13" customWidth="1"/>
    <col min="1565" max="1565" width="13.140625" customWidth="1"/>
    <col min="1566" max="1567" width="14" customWidth="1"/>
    <col min="1568" max="1568" width="11.42578125" customWidth="1"/>
    <col min="1569" max="1569" width="15.85546875" customWidth="1"/>
    <col min="1570" max="1570" width="23.7109375" customWidth="1"/>
    <col min="1571" max="1571" width="12" customWidth="1"/>
    <col min="1572" max="1573" width="0.28515625" customWidth="1"/>
    <col min="1574" max="1574" width="1.42578125" customWidth="1"/>
    <col min="1575" max="1575" width="0" hidden="1" customWidth="1"/>
    <col min="1793" max="1793" width="10.28515625" customWidth="1"/>
    <col min="1794" max="1794" width="13.42578125" customWidth="1"/>
    <col min="1795" max="1795" width="4.28515625" customWidth="1"/>
    <col min="1796" max="1796" width="4" customWidth="1"/>
    <col min="1797" max="1797" width="15" customWidth="1"/>
    <col min="1798" max="1798" width="4.140625" customWidth="1"/>
    <col min="1799" max="1799" width="11.28515625" customWidth="1"/>
    <col min="1800" max="1800" width="16.140625" customWidth="1"/>
    <col min="1801" max="1801" width="11" customWidth="1"/>
    <col min="1802" max="1803" width="2.140625" customWidth="1"/>
    <col min="1804" max="1804" width="3.28515625" customWidth="1"/>
    <col min="1805" max="1806" width="0" hidden="1" customWidth="1"/>
    <col min="1807" max="1807" width="2.85546875" customWidth="1"/>
    <col min="1808" max="1808" width="3.28515625" customWidth="1"/>
    <col min="1809" max="1809" width="1.42578125" customWidth="1"/>
    <col min="1810" max="1810" width="0" hidden="1" customWidth="1"/>
    <col min="1811" max="1811" width="6.85546875" customWidth="1"/>
    <col min="1812" max="1812" width="0" hidden="1" customWidth="1"/>
    <col min="1813" max="1814" width="6.28515625" customWidth="1"/>
    <col min="1815" max="1815" width="17.7109375" customWidth="1"/>
    <col min="1816" max="1816" width="13.85546875" customWidth="1"/>
    <col min="1817" max="1817" width="10.85546875" customWidth="1"/>
    <col min="1818" max="1818" width="16.85546875" customWidth="1"/>
    <col min="1819" max="1819" width="5" customWidth="1"/>
    <col min="1820" max="1820" width="13" customWidth="1"/>
    <col min="1821" max="1821" width="13.140625" customWidth="1"/>
    <col min="1822" max="1823" width="14" customWidth="1"/>
    <col min="1824" max="1824" width="11.42578125" customWidth="1"/>
    <col min="1825" max="1825" width="15.85546875" customWidth="1"/>
    <col min="1826" max="1826" width="23.7109375" customWidth="1"/>
    <col min="1827" max="1827" width="12" customWidth="1"/>
    <col min="1828" max="1829" width="0.28515625" customWidth="1"/>
    <col min="1830" max="1830" width="1.42578125" customWidth="1"/>
    <col min="1831" max="1831" width="0" hidden="1" customWidth="1"/>
    <col min="2049" max="2049" width="10.28515625" customWidth="1"/>
    <col min="2050" max="2050" width="13.42578125" customWidth="1"/>
    <col min="2051" max="2051" width="4.28515625" customWidth="1"/>
    <col min="2052" max="2052" width="4" customWidth="1"/>
    <col min="2053" max="2053" width="15" customWidth="1"/>
    <col min="2054" max="2054" width="4.140625" customWidth="1"/>
    <col min="2055" max="2055" width="11.28515625" customWidth="1"/>
    <col min="2056" max="2056" width="16.140625" customWidth="1"/>
    <col min="2057" max="2057" width="11" customWidth="1"/>
    <col min="2058" max="2059" width="2.140625" customWidth="1"/>
    <col min="2060" max="2060" width="3.28515625" customWidth="1"/>
    <col min="2061" max="2062" width="0" hidden="1" customWidth="1"/>
    <col min="2063" max="2063" width="2.85546875" customWidth="1"/>
    <col min="2064" max="2064" width="3.28515625" customWidth="1"/>
    <col min="2065" max="2065" width="1.42578125" customWidth="1"/>
    <col min="2066" max="2066" width="0" hidden="1" customWidth="1"/>
    <col min="2067" max="2067" width="6.85546875" customWidth="1"/>
    <col min="2068" max="2068" width="0" hidden="1" customWidth="1"/>
    <col min="2069" max="2070" width="6.28515625" customWidth="1"/>
    <col min="2071" max="2071" width="17.7109375" customWidth="1"/>
    <col min="2072" max="2072" width="13.85546875" customWidth="1"/>
    <col min="2073" max="2073" width="10.85546875" customWidth="1"/>
    <col min="2074" max="2074" width="16.85546875" customWidth="1"/>
    <col min="2075" max="2075" width="5" customWidth="1"/>
    <col min="2076" max="2076" width="13" customWidth="1"/>
    <col min="2077" max="2077" width="13.140625" customWidth="1"/>
    <col min="2078" max="2079" width="14" customWidth="1"/>
    <col min="2080" max="2080" width="11.42578125" customWidth="1"/>
    <col min="2081" max="2081" width="15.85546875" customWidth="1"/>
    <col min="2082" max="2082" width="23.7109375" customWidth="1"/>
    <col min="2083" max="2083" width="12" customWidth="1"/>
    <col min="2084" max="2085" width="0.28515625" customWidth="1"/>
    <col min="2086" max="2086" width="1.42578125" customWidth="1"/>
    <col min="2087" max="2087" width="0" hidden="1" customWidth="1"/>
    <col min="2305" max="2305" width="10.28515625" customWidth="1"/>
    <col min="2306" max="2306" width="13.42578125" customWidth="1"/>
    <col min="2307" max="2307" width="4.28515625" customWidth="1"/>
    <col min="2308" max="2308" width="4" customWidth="1"/>
    <col min="2309" max="2309" width="15" customWidth="1"/>
    <col min="2310" max="2310" width="4.140625" customWidth="1"/>
    <col min="2311" max="2311" width="11.28515625" customWidth="1"/>
    <col min="2312" max="2312" width="16.140625" customWidth="1"/>
    <col min="2313" max="2313" width="11" customWidth="1"/>
    <col min="2314" max="2315" width="2.140625" customWidth="1"/>
    <col min="2316" max="2316" width="3.28515625" customWidth="1"/>
    <col min="2317" max="2318" width="0" hidden="1" customWidth="1"/>
    <col min="2319" max="2319" width="2.85546875" customWidth="1"/>
    <col min="2320" max="2320" width="3.28515625" customWidth="1"/>
    <col min="2321" max="2321" width="1.42578125" customWidth="1"/>
    <col min="2322" max="2322" width="0" hidden="1" customWidth="1"/>
    <col min="2323" max="2323" width="6.85546875" customWidth="1"/>
    <col min="2324" max="2324" width="0" hidden="1" customWidth="1"/>
    <col min="2325" max="2326" width="6.28515625" customWidth="1"/>
    <col min="2327" max="2327" width="17.7109375" customWidth="1"/>
    <col min="2328" max="2328" width="13.85546875" customWidth="1"/>
    <col min="2329" max="2329" width="10.85546875" customWidth="1"/>
    <col min="2330" max="2330" width="16.85546875" customWidth="1"/>
    <col min="2331" max="2331" width="5" customWidth="1"/>
    <col min="2332" max="2332" width="13" customWidth="1"/>
    <col min="2333" max="2333" width="13.140625" customWidth="1"/>
    <col min="2334" max="2335" width="14" customWidth="1"/>
    <col min="2336" max="2336" width="11.42578125" customWidth="1"/>
    <col min="2337" max="2337" width="15.85546875" customWidth="1"/>
    <col min="2338" max="2338" width="23.7109375" customWidth="1"/>
    <col min="2339" max="2339" width="12" customWidth="1"/>
    <col min="2340" max="2341" width="0.28515625" customWidth="1"/>
    <col min="2342" max="2342" width="1.42578125" customWidth="1"/>
    <col min="2343" max="2343" width="0" hidden="1" customWidth="1"/>
    <col min="2561" max="2561" width="10.28515625" customWidth="1"/>
    <col min="2562" max="2562" width="13.42578125" customWidth="1"/>
    <col min="2563" max="2563" width="4.28515625" customWidth="1"/>
    <col min="2564" max="2564" width="4" customWidth="1"/>
    <col min="2565" max="2565" width="15" customWidth="1"/>
    <col min="2566" max="2566" width="4.140625" customWidth="1"/>
    <col min="2567" max="2567" width="11.28515625" customWidth="1"/>
    <col min="2568" max="2568" width="16.140625" customWidth="1"/>
    <col min="2569" max="2569" width="11" customWidth="1"/>
    <col min="2570" max="2571" width="2.140625" customWidth="1"/>
    <col min="2572" max="2572" width="3.28515625" customWidth="1"/>
    <col min="2573" max="2574" width="0" hidden="1" customWidth="1"/>
    <col min="2575" max="2575" width="2.85546875" customWidth="1"/>
    <col min="2576" max="2576" width="3.28515625" customWidth="1"/>
    <col min="2577" max="2577" width="1.42578125" customWidth="1"/>
    <col min="2578" max="2578" width="0" hidden="1" customWidth="1"/>
    <col min="2579" max="2579" width="6.85546875" customWidth="1"/>
    <col min="2580" max="2580" width="0" hidden="1" customWidth="1"/>
    <col min="2581" max="2582" width="6.28515625" customWidth="1"/>
    <col min="2583" max="2583" width="17.7109375" customWidth="1"/>
    <col min="2584" max="2584" width="13.85546875" customWidth="1"/>
    <col min="2585" max="2585" width="10.85546875" customWidth="1"/>
    <col min="2586" max="2586" width="16.85546875" customWidth="1"/>
    <col min="2587" max="2587" width="5" customWidth="1"/>
    <col min="2588" max="2588" width="13" customWidth="1"/>
    <col min="2589" max="2589" width="13.140625" customWidth="1"/>
    <col min="2590" max="2591" width="14" customWidth="1"/>
    <col min="2592" max="2592" width="11.42578125" customWidth="1"/>
    <col min="2593" max="2593" width="15.85546875" customWidth="1"/>
    <col min="2594" max="2594" width="23.7109375" customWidth="1"/>
    <col min="2595" max="2595" width="12" customWidth="1"/>
    <col min="2596" max="2597" width="0.28515625" customWidth="1"/>
    <col min="2598" max="2598" width="1.42578125" customWidth="1"/>
    <col min="2599" max="2599" width="0" hidden="1" customWidth="1"/>
    <col min="2817" max="2817" width="10.28515625" customWidth="1"/>
    <col min="2818" max="2818" width="13.42578125" customWidth="1"/>
    <col min="2819" max="2819" width="4.28515625" customWidth="1"/>
    <col min="2820" max="2820" width="4" customWidth="1"/>
    <col min="2821" max="2821" width="15" customWidth="1"/>
    <col min="2822" max="2822" width="4.140625" customWidth="1"/>
    <col min="2823" max="2823" width="11.28515625" customWidth="1"/>
    <col min="2824" max="2824" width="16.140625" customWidth="1"/>
    <col min="2825" max="2825" width="11" customWidth="1"/>
    <col min="2826" max="2827" width="2.140625" customWidth="1"/>
    <col min="2828" max="2828" width="3.28515625" customWidth="1"/>
    <col min="2829" max="2830" width="0" hidden="1" customWidth="1"/>
    <col min="2831" max="2831" width="2.85546875" customWidth="1"/>
    <col min="2832" max="2832" width="3.28515625" customWidth="1"/>
    <col min="2833" max="2833" width="1.42578125" customWidth="1"/>
    <col min="2834" max="2834" width="0" hidden="1" customWidth="1"/>
    <col min="2835" max="2835" width="6.85546875" customWidth="1"/>
    <col min="2836" max="2836" width="0" hidden="1" customWidth="1"/>
    <col min="2837" max="2838" width="6.28515625" customWidth="1"/>
    <col min="2839" max="2839" width="17.7109375" customWidth="1"/>
    <col min="2840" max="2840" width="13.85546875" customWidth="1"/>
    <col min="2841" max="2841" width="10.85546875" customWidth="1"/>
    <col min="2842" max="2842" width="16.85546875" customWidth="1"/>
    <col min="2843" max="2843" width="5" customWidth="1"/>
    <col min="2844" max="2844" width="13" customWidth="1"/>
    <col min="2845" max="2845" width="13.140625" customWidth="1"/>
    <col min="2846" max="2847" width="14" customWidth="1"/>
    <col min="2848" max="2848" width="11.42578125" customWidth="1"/>
    <col min="2849" max="2849" width="15.85546875" customWidth="1"/>
    <col min="2850" max="2850" width="23.7109375" customWidth="1"/>
    <col min="2851" max="2851" width="12" customWidth="1"/>
    <col min="2852" max="2853" width="0.28515625" customWidth="1"/>
    <col min="2854" max="2854" width="1.42578125" customWidth="1"/>
    <col min="2855" max="2855" width="0" hidden="1" customWidth="1"/>
    <col min="3073" max="3073" width="10.28515625" customWidth="1"/>
    <col min="3074" max="3074" width="13.42578125" customWidth="1"/>
    <col min="3075" max="3075" width="4.28515625" customWidth="1"/>
    <col min="3076" max="3076" width="4" customWidth="1"/>
    <col min="3077" max="3077" width="15" customWidth="1"/>
    <col min="3078" max="3078" width="4.140625" customWidth="1"/>
    <col min="3079" max="3079" width="11.28515625" customWidth="1"/>
    <col min="3080" max="3080" width="16.140625" customWidth="1"/>
    <col min="3081" max="3081" width="11" customWidth="1"/>
    <col min="3082" max="3083" width="2.140625" customWidth="1"/>
    <col min="3084" max="3084" width="3.28515625" customWidth="1"/>
    <col min="3085" max="3086" width="0" hidden="1" customWidth="1"/>
    <col min="3087" max="3087" width="2.85546875" customWidth="1"/>
    <col min="3088" max="3088" width="3.28515625" customWidth="1"/>
    <col min="3089" max="3089" width="1.42578125" customWidth="1"/>
    <col min="3090" max="3090" width="0" hidden="1" customWidth="1"/>
    <col min="3091" max="3091" width="6.85546875" customWidth="1"/>
    <col min="3092" max="3092" width="0" hidden="1" customWidth="1"/>
    <col min="3093" max="3094" width="6.28515625" customWidth="1"/>
    <col min="3095" max="3095" width="17.7109375" customWidth="1"/>
    <col min="3096" max="3096" width="13.85546875" customWidth="1"/>
    <col min="3097" max="3097" width="10.85546875" customWidth="1"/>
    <col min="3098" max="3098" width="16.85546875" customWidth="1"/>
    <col min="3099" max="3099" width="5" customWidth="1"/>
    <col min="3100" max="3100" width="13" customWidth="1"/>
    <col min="3101" max="3101" width="13.140625" customWidth="1"/>
    <col min="3102" max="3103" width="14" customWidth="1"/>
    <col min="3104" max="3104" width="11.42578125" customWidth="1"/>
    <col min="3105" max="3105" width="15.85546875" customWidth="1"/>
    <col min="3106" max="3106" width="23.7109375" customWidth="1"/>
    <col min="3107" max="3107" width="12" customWidth="1"/>
    <col min="3108" max="3109" width="0.28515625" customWidth="1"/>
    <col min="3110" max="3110" width="1.42578125" customWidth="1"/>
    <col min="3111" max="3111" width="0" hidden="1" customWidth="1"/>
    <col min="3329" max="3329" width="10.28515625" customWidth="1"/>
    <col min="3330" max="3330" width="13.42578125" customWidth="1"/>
    <col min="3331" max="3331" width="4.28515625" customWidth="1"/>
    <col min="3332" max="3332" width="4" customWidth="1"/>
    <col min="3333" max="3333" width="15" customWidth="1"/>
    <col min="3334" max="3334" width="4.140625" customWidth="1"/>
    <col min="3335" max="3335" width="11.28515625" customWidth="1"/>
    <col min="3336" max="3336" width="16.140625" customWidth="1"/>
    <col min="3337" max="3337" width="11" customWidth="1"/>
    <col min="3338" max="3339" width="2.140625" customWidth="1"/>
    <col min="3340" max="3340" width="3.28515625" customWidth="1"/>
    <col min="3341" max="3342" width="0" hidden="1" customWidth="1"/>
    <col min="3343" max="3343" width="2.85546875" customWidth="1"/>
    <col min="3344" max="3344" width="3.28515625" customWidth="1"/>
    <col min="3345" max="3345" width="1.42578125" customWidth="1"/>
    <col min="3346" max="3346" width="0" hidden="1" customWidth="1"/>
    <col min="3347" max="3347" width="6.85546875" customWidth="1"/>
    <col min="3348" max="3348" width="0" hidden="1" customWidth="1"/>
    <col min="3349" max="3350" width="6.28515625" customWidth="1"/>
    <col min="3351" max="3351" width="17.7109375" customWidth="1"/>
    <col min="3352" max="3352" width="13.85546875" customWidth="1"/>
    <col min="3353" max="3353" width="10.85546875" customWidth="1"/>
    <col min="3354" max="3354" width="16.85546875" customWidth="1"/>
    <col min="3355" max="3355" width="5" customWidth="1"/>
    <col min="3356" max="3356" width="13" customWidth="1"/>
    <col min="3357" max="3357" width="13.140625" customWidth="1"/>
    <col min="3358" max="3359" width="14" customWidth="1"/>
    <col min="3360" max="3360" width="11.42578125" customWidth="1"/>
    <col min="3361" max="3361" width="15.85546875" customWidth="1"/>
    <col min="3362" max="3362" width="23.7109375" customWidth="1"/>
    <col min="3363" max="3363" width="12" customWidth="1"/>
    <col min="3364" max="3365" width="0.28515625" customWidth="1"/>
    <col min="3366" max="3366" width="1.42578125" customWidth="1"/>
    <col min="3367" max="3367" width="0" hidden="1" customWidth="1"/>
    <col min="3585" max="3585" width="10.28515625" customWidth="1"/>
    <col min="3586" max="3586" width="13.42578125" customWidth="1"/>
    <col min="3587" max="3587" width="4.28515625" customWidth="1"/>
    <col min="3588" max="3588" width="4" customWidth="1"/>
    <col min="3589" max="3589" width="15" customWidth="1"/>
    <col min="3590" max="3590" width="4.140625" customWidth="1"/>
    <col min="3591" max="3591" width="11.28515625" customWidth="1"/>
    <col min="3592" max="3592" width="16.140625" customWidth="1"/>
    <col min="3593" max="3593" width="11" customWidth="1"/>
    <col min="3594" max="3595" width="2.140625" customWidth="1"/>
    <col min="3596" max="3596" width="3.28515625" customWidth="1"/>
    <col min="3597" max="3598" width="0" hidden="1" customWidth="1"/>
    <col min="3599" max="3599" width="2.85546875" customWidth="1"/>
    <col min="3600" max="3600" width="3.28515625" customWidth="1"/>
    <col min="3601" max="3601" width="1.42578125" customWidth="1"/>
    <col min="3602" max="3602" width="0" hidden="1" customWidth="1"/>
    <col min="3603" max="3603" width="6.85546875" customWidth="1"/>
    <col min="3604" max="3604" width="0" hidden="1" customWidth="1"/>
    <col min="3605" max="3606" width="6.28515625" customWidth="1"/>
    <col min="3607" max="3607" width="17.7109375" customWidth="1"/>
    <col min="3608" max="3608" width="13.85546875" customWidth="1"/>
    <col min="3609" max="3609" width="10.85546875" customWidth="1"/>
    <col min="3610" max="3610" width="16.85546875" customWidth="1"/>
    <col min="3611" max="3611" width="5" customWidth="1"/>
    <col min="3612" max="3612" width="13" customWidth="1"/>
    <col min="3613" max="3613" width="13.140625" customWidth="1"/>
    <col min="3614" max="3615" width="14" customWidth="1"/>
    <col min="3616" max="3616" width="11.42578125" customWidth="1"/>
    <col min="3617" max="3617" width="15.85546875" customWidth="1"/>
    <col min="3618" max="3618" width="23.7109375" customWidth="1"/>
    <col min="3619" max="3619" width="12" customWidth="1"/>
    <col min="3620" max="3621" width="0.28515625" customWidth="1"/>
    <col min="3622" max="3622" width="1.42578125" customWidth="1"/>
    <col min="3623" max="3623" width="0" hidden="1" customWidth="1"/>
    <col min="3841" max="3841" width="10.28515625" customWidth="1"/>
    <col min="3842" max="3842" width="13.42578125" customWidth="1"/>
    <col min="3843" max="3843" width="4.28515625" customWidth="1"/>
    <col min="3844" max="3844" width="4" customWidth="1"/>
    <col min="3845" max="3845" width="15" customWidth="1"/>
    <col min="3846" max="3846" width="4.140625" customWidth="1"/>
    <col min="3847" max="3847" width="11.28515625" customWidth="1"/>
    <col min="3848" max="3848" width="16.140625" customWidth="1"/>
    <col min="3849" max="3849" width="11" customWidth="1"/>
    <col min="3850" max="3851" width="2.140625" customWidth="1"/>
    <col min="3852" max="3852" width="3.28515625" customWidth="1"/>
    <col min="3853" max="3854" width="0" hidden="1" customWidth="1"/>
    <col min="3855" max="3855" width="2.85546875" customWidth="1"/>
    <col min="3856" max="3856" width="3.28515625" customWidth="1"/>
    <col min="3857" max="3857" width="1.42578125" customWidth="1"/>
    <col min="3858" max="3858" width="0" hidden="1" customWidth="1"/>
    <col min="3859" max="3859" width="6.85546875" customWidth="1"/>
    <col min="3860" max="3860" width="0" hidden="1" customWidth="1"/>
    <col min="3861" max="3862" width="6.28515625" customWidth="1"/>
    <col min="3863" max="3863" width="17.7109375" customWidth="1"/>
    <col min="3864" max="3864" width="13.85546875" customWidth="1"/>
    <col min="3865" max="3865" width="10.85546875" customWidth="1"/>
    <col min="3866" max="3866" width="16.85546875" customWidth="1"/>
    <col min="3867" max="3867" width="5" customWidth="1"/>
    <col min="3868" max="3868" width="13" customWidth="1"/>
    <col min="3869" max="3869" width="13.140625" customWidth="1"/>
    <col min="3870" max="3871" width="14" customWidth="1"/>
    <col min="3872" max="3872" width="11.42578125" customWidth="1"/>
    <col min="3873" max="3873" width="15.85546875" customWidth="1"/>
    <col min="3874" max="3874" width="23.7109375" customWidth="1"/>
    <col min="3875" max="3875" width="12" customWidth="1"/>
    <col min="3876" max="3877" width="0.28515625" customWidth="1"/>
    <col min="3878" max="3878" width="1.42578125" customWidth="1"/>
    <col min="3879" max="3879" width="0" hidden="1" customWidth="1"/>
    <col min="4097" max="4097" width="10.28515625" customWidth="1"/>
    <col min="4098" max="4098" width="13.42578125" customWidth="1"/>
    <col min="4099" max="4099" width="4.28515625" customWidth="1"/>
    <col min="4100" max="4100" width="4" customWidth="1"/>
    <col min="4101" max="4101" width="15" customWidth="1"/>
    <col min="4102" max="4102" width="4.140625" customWidth="1"/>
    <col min="4103" max="4103" width="11.28515625" customWidth="1"/>
    <col min="4104" max="4104" width="16.140625" customWidth="1"/>
    <col min="4105" max="4105" width="11" customWidth="1"/>
    <col min="4106" max="4107" width="2.140625" customWidth="1"/>
    <col min="4108" max="4108" width="3.28515625" customWidth="1"/>
    <col min="4109" max="4110" width="0" hidden="1" customWidth="1"/>
    <col min="4111" max="4111" width="2.85546875" customWidth="1"/>
    <col min="4112" max="4112" width="3.28515625" customWidth="1"/>
    <col min="4113" max="4113" width="1.42578125" customWidth="1"/>
    <col min="4114" max="4114" width="0" hidden="1" customWidth="1"/>
    <col min="4115" max="4115" width="6.85546875" customWidth="1"/>
    <col min="4116" max="4116" width="0" hidden="1" customWidth="1"/>
    <col min="4117" max="4118" width="6.28515625" customWidth="1"/>
    <col min="4119" max="4119" width="17.7109375" customWidth="1"/>
    <col min="4120" max="4120" width="13.85546875" customWidth="1"/>
    <col min="4121" max="4121" width="10.85546875" customWidth="1"/>
    <col min="4122" max="4122" width="16.85546875" customWidth="1"/>
    <col min="4123" max="4123" width="5" customWidth="1"/>
    <col min="4124" max="4124" width="13" customWidth="1"/>
    <col min="4125" max="4125" width="13.140625" customWidth="1"/>
    <col min="4126" max="4127" width="14" customWidth="1"/>
    <col min="4128" max="4128" width="11.42578125" customWidth="1"/>
    <col min="4129" max="4129" width="15.85546875" customWidth="1"/>
    <col min="4130" max="4130" width="23.7109375" customWidth="1"/>
    <col min="4131" max="4131" width="12" customWidth="1"/>
    <col min="4132" max="4133" width="0.28515625" customWidth="1"/>
    <col min="4134" max="4134" width="1.42578125" customWidth="1"/>
    <col min="4135" max="4135" width="0" hidden="1" customWidth="1"/>
    <col min="4353" max="4353" width="10.28515625" customWidth="1"/>
    <col min="4354" max="4354" width="13.42578125" customWidth="1"/>
    <col min="4355" max="4355" width="4.28515625" customWidth="1"/>
    <col min="4356" max="4356" width="4" customWidth="1"/>
    <col min="4357" max="4357" width="15" customWidth="1"/>
    <col min="4358" max="4358" width="4.140625" customWidth="1"/>
    <col min="4359" max="4359" width="11.28515625" customWidth="1"/>
    <col min="4360" max="4360" width="16.140625" customWidth="1"/>
    <col min="4361" max="4361" width="11" customWidth="1"/>
    <col min="4362" max="4363" width="2.140625" customWidth="1"/>
    <col min="4364" max="4364" width="3.28515625" customWidth="1"/>
    <col min="4365" max="4366" width="0" hidden="1" customWidth="1"/>
    <col min="4367" max="4367" width="2.85546875" customWidth="1"/>
    <col min="4368" max="4368" width="3.28515625" customWidth="1"/>
    <col min="4369" max="4369" width="1.42578125" customWidth="1"/>
    <col min="4370" max="4370" width="0" hidden="1" customWidth="1"/>
    <col min="4371" max="4371" width="6.85546875" customWidth="1"/>
    <col min="4372" max="4372" width="0" hidden="1" customWidth="1"/>
    <col min="4373" max="4374" width="6.28515625" customWidth="1"/>
    <col min="4375" max="4375" width="17.7109375" customWidth="1"/>
    <col min="4376" max="4376" width="13.85546875" customWidth="1"/>
    <col min="4377" max="4377" width="10.85546875" customWidth="1"/>
    <col min="4378" max="4378" width="16.85546875" customWidth="1"/>
    <col min="4379" max="4379" width="5" customWidth="1"/>
    <col min="4380" max="4380" width="13" customWidth="1"/>
    <col min="4381" max="4381" width="13.140625" customWidth="1"/>
    <col min="4382" max="4383" width="14" customWidth="1"/>
    <col min="4384" max="4384" width="11.42578125" customWidth="1"/>
    <col min="4385" max="4385" width="15.85546875" customWidth="1"/>
    <col min="4386" max="4386" width="23.7109375" customWidth="1"/>
    <col min="4387" max="4387" width="12" customWidth="1"/>
    <col min="4388" max="4389" width="0.28515625" customWidth="1"/>
    <col min="4390" max="4390" width="1.42578125" customWidth="1"/>
    <col min="4391" max="4391" width="0" hidden="1" customWidth="1"/>
    <col min="4609" max="4609" width="10.28515625" customWidth="1"/>
    <col min="4610" max="4610" width="13.42578125" customWidth="1"/>
    <col min="4611" max="4611" width="4.28515625" customWidth="1"/>
    <col min="4612" max="4612" width="4" customWidth="1"/>
    <col min="4613" max="4613" width="15" customWidth="1"/>
    <col min="4614" max="4614" width="4.140625" customWidth="1"/>
    <col min="4615" max="4615" width="11.28515625" customWidth="1"/>
    <col min="4616" max="4616" width="16.140625" customWidth="1"/>
    <col min="4617" max="4617" width="11" customWidth="1"/>
    <col min="4618" max="4619" width="2.140625" customWidth="1"/>
    <col min="4620" max="4620" width="3.28515625" customWidth="1"/>
    <col min="4621" max="4622" width="0" hidden="1" customWidth="1"/>
    <col min="4623" max="4623" width="2.85546875" customWidth="1"/>
    <col min="4624" max="4624" width="3.28515625" customWidth="1"/>
    <col min="4625" max="4625" width="1.42578125" customWidth="1"/>
    <col min="4626" max="4626" width="0" hidden="1" customWidth="1"/>
    <col min="4627" max="4627" width="6.85546875" customWidth="1"/>
    <col min="4628" max="4628" width="0" hidden="1" customWidth="1"/>
    <col min="4629" max="4630" width="6.28515625" customWidth="1"/>
    <col min="4631" max="4631" width="17.7109375" customWidth="1"/>
    <col min="4632" max="4632" width="13.85546875" customWidth="1"/>
    <col min="4633" max="4633" width="10.85546875" customWidth="1"/>
    <col min="4634" max="4634" width="16.85546875" customWidth="1"/>
    <col min="4635" max="4635" width="5" customWidth="1"/>
    <col min="4636" max="4636" width="13" customWidth="1"/>
    <col min="4637" max="4637" width="13.140625" customWidth="1"/>
    <col min="4638" max="4639" width="14" customWidth="1"/>
    <col min="4640" max="4640" width="11.42578125" customWidth="1"/>
    <col min="4641" max="4641" width="15.85546875" customWidth="1"/>
    <col min="4642" max="4642" width="23.7109375" customWidth="1"/>
    <col min="4643" max="4643" width="12" customWidth="1"/>
    <col min="4644" max="4645" width="0.28515625" customWidth="1"/>
    <col min="4646" max="4646" width="1.42578125" customWidth="1"/>
    <col min="4647" max="4647" width="0" hidden="1" customWidth="1"/>
    <col min="4865" max="4865" width="10.28515625" customWidth="1"/>
    <col min="4866" max="4866" width="13.42578125" customWidth="1"/>
    <col min="4867" max="4867" width="4.28515625" customWidth="1"/>
    <col min="4868" max="4868" width="4" customWidth="1"/>
    <col min="4869" max="4869" width="15" customWidth="1"/>
    <col min="4870" max="4870" width="4.140625" customWidth="1"/>
    <col min="4871" max="4871" width="11.28515625" customWidth="1"/>
    <col min="4872" max="4872" width="16.140625" customWidth="1"/>
    <col min="4873" max="4873" width="11" customWidth="1"/>
    <col min="4874" max="4875" width="2.140625" customWidth="1"/>
    <col min="4876" max="4876" width="3.28515625" customWidth="1"/>
    <col min="4877" max="4878" width="0" hidden="1" customWidth="1"/>
    <col min="4879" max="4879" width="2.85546875" customWidth="1"/>
    <col min="4880" max="4880" width="3.28515625" customWidth="1"/>
    <col min="4881" max="4881" width="1.42578125" customWidth="1"/>
    <col min="4882" max="4882" width="0" hidden="1" customWidth="1"/>
    <col min="4883" max="4883" width="6.85546875" customWidth="1"/>
    <col min="4884" max="4884" width="0" hidden="1" customWidth="1"/>
    <col min="4885" max="4886" width="6.28515625" customWidth="1"/>
    <col min="4887" max="4887" width="17.7109375" customWidth="1"/>
    <col min="4888" max="4888" width="13.85546875" customWidth="1"/>
    <col min="4889" max="4889" width="10.85546875" customWidth="1"/>
    <col min="4890" max="4890" width="16.85546875" customWidth="1"/>
    <col min="4891" max="4891" width="5" customWidth="1"/>
    <col min="4892" max="4892" width="13" customWidth="1"/>
    <col min="4893" max="4893" width="13.140625" customWidth="1"/>
    <col min="4894" max="4895" width="14" customWidth="1"/>
    <col min="4896" max="4896" width="11.42578125" customWidth="1"/>
    <col min="4897" max="4897" width="15.85546875" customWidth="1"/>
    <col min="4898" max="4898" width="23.7109375" customWidth="1"/>
    <col min="4899" max="4899" width="12" customWidth="1"/>
    <col min="4900" max="4901" width="0.28515625" customWidth="1"/>
    <col min="4902" max="4902" width="1.42578125" customWidth="1"/>
    <col min="4903" max="4903" width="0" hidden="1" customWidth="1"/>
    <col min="5121" max="5121" width="10.28515625" customWidth="1"/>
    <col min="5122" max="5122" width="13.42578125" customWidth="1"/>
    <col min="5123" max="5123" width="4.28515625" customWidth="1"/>
    <col min="5124" max="5124" width="4" customWidth="1"/>
    <col min="5125" max="5125" width="15" customWidth="1"/>
    <col min="5126" max="5126" width="4.140625" customWidth="1"/>
    <col min="5127" max="5127" width="11.28515625" customWidth="1"/>
    <col min="5128" max="5128" width="16.140625" customWidth="1"/>
    <col min="5129" max="5129" width="11" customWidth="1"/>
    <col min="5130" max="5131" width="2.140625" customWidth="1"/>
    <col min="5132" max="5132" width="3.28515625" customWidth="1"/>
    <col min="5133" max="5134" width="0" hidden="1" customWidth="1"/>
    <col min="5135" max="5135" width="2.85546875" customWidth="1"/>
    <col min="5136" max="5136" width="3.28515625" customWidth="1"/>
    <col min="5137" max="5137" width="1.42578125" customWidth="1"/>
    <col min="5138" max="5138" width="0" hidden="1" customWidth="1"/>
    <col min="5139" max="5139" width="6.85546875" customWidth="1"/>
    <col min="5140" max="5140" width="0" hidden="1" customWidth="1"/>
    <col min="5141" max="5142" width="6.28515625" customWidth="1"/>
    <col min="5143" max="5143" width="17.7109375" customWidth="1"/>
    <col min="5144" max="5144" width="13.85546875" customWidth="1"/>
    <col min="5145" max="5145" width="10.85546875" customWidth="1"/>
    <col min="5146" max="5146" width="16.85546875" customWidth="1"/>
    <col min="5147" max="5147" width="5" customWidth="1"/>
    <col min="5148" max="5148" width="13" customWidth="1"/>
    <col min="5149" max="5149" width="13.140625" customWidth="1"/>
    <col min="5150" max="5151" width="14" customWidth="1"/>
    <col min="5152" max="5152" width="11.42578125" customWidth="1"/>
    <col min="5153" max="5153" width="15.85546875" customWidth="1"/>
    <col min="5154" max="5154" width="23.7109375" customWidth="1"/>
    <col min="5155" max="5155" width="12" customWidth="1"/>
    <col min="5156" max="5157" width="0.28515625" customWidth="1"/>
    <col min="5158" max="5158" width="1.42578125" customWidth="1"/>
    <col min="5159" max="5159" width="0" hidden="1" customWidth="1"/>
    <col min="5377" max="5377" width="10.28515625" customWidth="1"/>
    <col min="5378" max="5378" width="13.42578125" customWidth="1"/>
    <col min="5379" max="5379" width="4.28515625" customWidth="1"/>
    <col min="5380" max="5380" width="4" customWidth="1"/>
    <col min="5381" max="5381" width="15" customWidth="1"/>
    <col min="5382" max="5382" width="4.140625" customWidth="1"/>
    <col min="5383" max="5383" width="11.28515625" customWidth="1"/>
    <col min="5384" max="5384" width="16.140625" customWidth="1"/>
    <col min="5385" max="5385" width="11" customWidth="1"/>
    <col min="5386" max="5387" width="2.140625" customWidth="1"/>
    <col min="5388" max="5388" width="3.28515625" customWidth="1"/>
    <col min="5389" max="5390" width="0" hidden="1" customWidth="1"/>
    <col min="5391" max="5391" width="2.85546875" customWidth="1"/>
    <col min="5392" max="5392" width="3.28515625" customWidth="1"/>
    <col min="5393" max="5393" width="1.42578125" customWidth="1"/>
    <col min="5394" max="5394" width="0" hidden="1" customWidth="1"/>
    <col min="5395" max="5395" width="6.85546875" customWidth="1"/>
    <col min="5396" max="5396" width="0" hidden="1" customWidth="1"/>
    <col min="5397" max="5398" width="6.28515625" customWidth="1"/>
    <col min="5399" max="5399" width="17.7109375" customWidth="1"/>
    <col min="5400" max="5400" width="13.85546875" customWidth="1"/>
    <col min="5401" max="5401" width="10.85546875" customWidth="1"/>
    <col min="5402" max="5402" width="16.85546875" customWidth="1"/>
    <col min="5403" max="5403" width="5" customWidth="1"/>
    <col min="5404" max="5404" width="13" customWidth="1"/>
    <col min="5405" max="5405" width="13.140625" customWidth="1"/>
    <col min="5406" max="5407" width="14" customWidth="1"/>
    <col min="5408" max="5408" width="11.42578125" customWidth="1"/>
    <col min="5409" max="5409" width="15.85546875" customWidth="1"/>
    <col min="5410" max="5410" width="23.7109375" customWidth="1"/>
    <col min="5411" max="5411" width="12" customWidth="1"/>
    <col min="5412" max="5413" width="0.28515625" customWidth="1"/>
    <col min="5414" max="5414" width="1.42578125" customWidth="1"/>
    <col min="5415" max="5415" width="0" hidden="1" customWidth="1"/>
    <col min="5633" max="5633" width="10.28515625" customWidth="1"/>
    <col min="5634" max="5634" width="13.42578125" customWidth="1"/>
    <col min="5635" max="5635" width="4.28515625" customWidth="1"/>
    <col min="5636" max="5636" width="4" customWidth="1"/>
    <col min="5637" max="5637" width="15" customWidth="1"/>
    <col min="5638" max="5638" width="4.140625" customWidth="1"/>
    <col min="5639" max="5639" width="11.28515625" customWidth="1"/>
    <col min="5640" max="5640" width="16.140625" customWidth="1"/>
    <col min="5641" max="5641" width="11" customWidth="1"/>
    <col min="5642" max="5643" width="2.140625" customWidth="1"/>
    <col min="5644" max="5644" width="3.28515625" customWidth="1"/>
    <col min="5645" max="5646" width="0" hidden="1" customWidth="1"/>
    <col min="5647" max="5647" width="2.85546875" customWidth="1"/>
    <col min="5648" max="5648" width="3.28515625" customWidth="1"/>
    <col min="5649" max="5649" width="1.42578125" customWidth="1"/>
    <col min="5650" max="5650" width="0" hidden="1" customWidth="1"/>
    <col min="5651" max="5651" width="6.85546875" customWidth="1"/>
    <col min="5652" max="5652" width="0" hidden="1" customWidth="1"/>
    <col min="5653" max="5654" width="6.28515625" customWidth="1"/>
    <col min="5655" max="5655" width="17.7109375" customWidth="1"/>
    <col min="5656" max="5656" width="13.85546875" customWidth="1"/>
    <col min="5657" max="5657" width="10.85546875" customWidth="1"/>
    <col min="5658" max="5658" width="16.85546875" customWidth="1"/>
    <col min="5659" max="5659" width="5" customWidth="1"/>
    <col min="5660" max="5660" width="13" customWidth="1"/>
    <col min="5661" max="5661" width="13.140625" customWidth="1"/>
    <col min="5662" max="5663" width="14" customWidth="1"/>
    <col min="5664" max="5664" width="11.42578125" customWidth="1"/>
    <col min="5665" max="5665" width="15.85546875" customWidth="1"/>
    <col min="5666" max="5666" width="23.7109375" customWidth="1"/>
    <col min="5667" max="5667" width="12" customWidth="1"/>
    <col min="5668" max="5669" width="0.28515625" customWidth="1"/>
    <col min="5670" max="5670" width="1.42578125" customWidth="1"/>
    <col min="5671" max="5671" width="0" hidden="1" customWidth="1"/>
    <col min="5889" max="5889" width="10.28515625" customWidth="1"/>
    <col min="5890" max="5890" width="13.42578125" customWidth="1"/>
    <col min="5891" max="5891" width="4.28515625" customWidth="1"/>
    <col min="5892" max="5892" width="4" customWidth="1"/>
    <col min="5893" max="5893" width="15" customWidth="1"/>
    <col min="5894" max="5894" width="4.140625" customWidth="1"/>
    <col min="5895" max="5895" width="11.28515625" customWidth="1"/>
    <col min="5896" max="5896" width="16.140625" customWidth="1"/>
    <col min="5897" max="5897" width="11" customWidth="1"/>
    <col min="5898" max="5899" width="2.140625" customWidth="1"/>
    <col min="5900" max="5900" width="3.28515625" customWidth="1"/>
    <col min="5901" max="5902" width="0" hidden="1" customWidth="1"/>
    <col min="5903" max="5903" width="2.85546875" customWidth="1"/>
    <col min="5904" max="5904" width="3.28515625" customWidth="1"/>
    <col min="5905" max="5905" width="1.42578125" customWidth="1"/>
    <col min="5906" max="5906" width="0" hidden="1" customWidth="1"/>
    <col min="5907" max="5907" width="6.85546875" customWidth="1"/>
    <col min="5908" max="5908" width="0" hidden="1" customWidth="1"/>
    <col min="5909" max="5910" width="6.28515625" customWidth="1"/>
    <col min="5911" max="5911" width="17.7109375" customWidth="1"/>
    <col min="5912" max="5912" width="13.85546875" customWidth="1"/>
    <col min="5913" max="5913" width="10.85546875" customWidth="1"/>
    <col min="5914" max="5914" width="16.85546875" customWidth="1"/>
    <col min="5915" max="5915" width="5" customWidth="1"/>
    <col min="5916" max="5916" width="13" customWidth="1"/>
    <col min="5917" max="5917" width="13.140625" customWidth="1"/>
    <col min="5918" max="5919" width="14" customWidth="1"/>
    <col min="5920" max="5920" width="11.42578125" customWidth="1"/>
    <col min="5921" max="5921" width="15.85546875" customWidth="1"/>
    <col min="5922" max="5922" width="23.7109375" customWidth="1"/>
    <col min="5923" max="5923" width="12" customWidth="1"/>
    <col min="5924" max="5925" width="0.28515625" customWidth="1"/>
    <col min="5926" max="5926" width="1.42578125" customWidth="1"/>
    <col min="5927" max="5927" width="0" hidden="1" customWidth="1"/>
    <col min="6145" max="6145" width="10.28515625" customWidth="1"/>
    <col min="6146" max="6146" width="13.42578125" customWidth="1"/>
    <col min="6147" max="6147" width="4.28515625" customWidth="1"/>
    <col min="6148" max="6148" width="4" customWidth="1"/>
    <col min="6149" max="6149" width="15" customWidth="1"/>
    <col min="6150" max="6150" width="4.140625" customWidth="1"/>
    <col min="6151" max="6151" width="11.28515625" customWidth="1"/>
    <col min="6152" max="6152" width="16.140625" customWidth="1"/>
    <col min="6153" max="6153" width="11" customWidth="1"/>
    <col min="6154" max="6155" width="2.140625" customWidth="1"/>
    <col min="6156" max="6156" width="3.28515625" customWidth="1"/>
    <col min="6157" max="6158" width="0" hidden="1" customWidth="1"/>
    <col min="6159" max="6159" width="2.85546875" customWidth="1"/>
    <col min="6160" max="6160" width="3.28515625" customWidth="1"/>
    <col min="6161" max="6161" width="1.42578125" customWidth="1"/>
    <col min="6162" max="6162" width="0" hidden="1" customWidth="1"/>
    <col min="6163" max="6163" width="6.85546875" customWidth="1"/>
    <col min="6164" max="6164" width="0" hidden="1" customWidth="1"/>
    <col min="6165" max="6166" width="6.28515625" customWidth="1"/>
    <col min="6167" max="6167" width="17.7109375" customWidth="1"/>
    <col min="6168" max="6168" width="13.85546875" customWidth="1"/>
    <col min="6169" max="6169" width="10.85546875" customWidth="1"/>
    <col min="6170" max="6170" width="16.85546875" customWidth="1"/>
    <col min="6171" max="6171" width="5" customWidth="1"/>
    <col min="6172" max="6172" width="13" customWidth="1"/>
    <col min="6173" max="6173" width="13.140625" customWidth="1"/>
    <col min="6174" max="6175" width="14" customWidth="1"/>
    <col min="6176" max="6176" width="11.42578125" customWidth="1"/>
    <col min="6177" max="6177" width="15.85546875" customWidth="1"/>
    <col min="6178" max="6178" width="23.7109375" customWidth="1"/>
    <col min="6179" max="6179" width="12" customWidth="1"/>
    <col min="6180" max="6181" width="0.28515625" customWidth="1"/>
    <col min="6182" max="6182" width="1.42578125" customWidth="1"/>
    <col min="6183" max="6183" width="0" hidden="1" customWidth="1"/>
    <col min="6401" max="6401" width="10.28515625" customWidth="1"/>
    <col min="6402" max="6402" width="13.42578125" customWidth="1"/>
    <col min="6403" max="6403" width="4.28515625" customWidth="1"/>
    <col min="6404" max="6404" width="4" customWidth="1"/>
    <col min="6405" max="6405" width="15" customWidth="1"/>
    <col min="6406" max="6406" width="4.140625" customWidth="1"/>
    <col min="6407" max="6407" width="11.28515625" customWidth="1"/>
    <col min="6408" max="6408" width="16.140625" customWidth="1"/>
    <col min="6409" max="6409" width="11" customWidth="1"/>
    <col min="6410" max="6411" width="2.140625" customWidth="1"/>
    <col min="6412" max="6412" width="3.28515625" customWidth="1"/>
    <col min="6413" max="6414" width="0" hidden="1" customWidth="1"/>
    <col min="6415" max="6415" width="2.85546875" customWidth="1"/>
    <col min="6416" max="6416" width="3.28515625" customWidth="1"/>
    <col min="6417" max="6417" width="1.42578125" customWidth="1"/>
    <col min="6418" max="6418" width="0" hidden="1" customWidth="1"/>
    <col min="6419" max="6419" width="6.85546875" customWidth="1"/>
    <col min="6420" max="6420" width="0" hidden="1" customWidth="1"/>
    <col min="6421" max="6422" width="6.28515625" customWidth="1"/>
    <col min="6423" max="6423" width="17.7109375" customWidth="1"/>
    <col min="6424" max="6424" width="13.85546875" customWidth="1"/>
    <col min="6425" max="6425" width="10.85546875" customWidth="1"/>
    <col min="6426" max="6426" width="16.85546875" customWidth="1"/>
    <col min="6427" max="6427" width="5" customWidth="1"/>
    <col min="6428" max="6428" width="13" customWidth="1"/>
    <col min="6429" max="6429" width="13.140625" customWidth="1"/>
    <col min="6430" max="6431" width="14" customWidth="1"/>
    <col min="6432" max="6432" width="11.42578125" customWidth="1"/>
    <col min="6433" max="6433" width="15.85546875" customWidth="1"/>
    <col min="6434" max="6434" width="23.7109375" customWidth="1"/>
    <col min="6435" max="6435" width="12" customWidth="1"/>
    <col min="6436" max="6437" width="0.28515625" customWidth="1"/>
    <col min="6438" max="6438" width="1.42578125" customWidth="1"/>
    <col min="6439" max="6439" width="0" hidden="1" customWidth="1"/>
    <col min="6657" max="6657" width="10.28515625" customWidth="1"/>
    <col min="6658" max="6658" width="13.42578125" customWidth="1"/>
    <col min="6659" max="6659" width="4.28515625" customWidth="1"/>
    <col min="6660" max="6660" width="4" customWidth="1"/>
    <col min="6661" max="6661" width="15" customWidth="1"/>
    <col min="6662" max="6662" width="4.140625" customWidth="1"/>
    <col min="6663" max="6663" width="11.28515625" customWidth="1"/>
    <col min="6664" max="6664" width="16.140625" customWidth="1"/>
    <col min="6665" max="6665" width="11" customWidth="1"/>
    <col min="6666" max="6667" width="2.140625" customWidth="1"/>
    <col min="6668" max="6668" width="3.28515625" customWidth="1"/>
    <col min="6669" max="6670" width="0" hidden="1" customWidth="1"/>
    <col min="6671" max="6671" width="2.85546875" customWidth="1"/>
    <col min="6672" max="6672" width="3.28515625" customWidth="1"/>
    <col min="6673" max="6673" width="1.42578125" customWidth="1"/>
    <col min="6674" max="6674" width="0" hidden="1" customWidth="1"/>
    <col min="6675" max="6675" width="6.85546875" customWidth="1"/>
    <col min="6676" max="6676" width="0" hidden="1" customWidth="1"/>
    <col min="6677" max="6678" width="6.28515625" customWidth="1"/>
    <col min="6679" max="6679" width="17.7109375" customWidth="1"/>
    <col min="6680" max="6680" width="13.85546875" customWidth="1"/>
    <col min="6681" max="6681" width="10.85546875" customWidth="1"/>
    <col min="6682" max="6682" width="16.85546875" customWidth="1"/>
    <col min="6683" max="6683" width="5" customWidth="1"/>
    <col min="6684" max="6684" width="13" customWidth="1"/>
    <col min="6685" max="6685" width="13.140625" customWidth="1"/>
    <col min="6686" max="6687" width="14" customWidth="1"/>
    <col min="6688" max="6688" width="11.42578125" customWidth="1"/>
    <col min="6689" max="6689" width="15.85546875" customWidth="1"/>
    <col min="6690" max="6690" width="23.7109375" customWidth="1"/>
    <col min="6691" max="6691" width="12" customWidth="1"/>
    <col min="6692" max="6693" width="0.28515625" customWidth="1"/>
    <col min="6694" max="6694" width="1.42578125" customWidth="1"/>
    <col min="6695" max="6695" width="0" hidden="1" customWidth="1"/>
    <col min="6913" max="6913" width="10.28515625" customWidth="1"/>
    <col min="6914" max="6914" width="13.42578125" customWidth="1"/>
    <col min="6915" max="6915" width="4.28515625" customWidth="1"/>
    <col min="6916" max="6916" width="4" customWidth="1"/>
    <col min="6917" max="6917" width="15" customWidth="1"/>
    <col min="6918" max="6918" width="4.140625" customWidth="1"/>
    <col min="6919" max="6919" width="11.28515625" customWidth="1"/>
    <col min="6920" max="6920" width="16.140625" customWidth="1"/>
    <col min="6921" max="6921" width="11" customWidth="1"/>
    <col min="6922" max="6923" width="2.140625" customWidth="1"/>
    <col min="6924" max="6924" width="3.28515625" customWidth="1"/>
    <col min="6925" max="6926" width="0" hidden="1" customWidth="1"/>
    <col min="6927" max="6927" width="2.85546875" customWidth="1"/>
    <col min="6928" max="6928" width="3.28515625" customWidth="1"/>
    <col min="6929" max="6929" width="1.42578125" customWidth="1"/>
    <col min="6930" max="6930" width="0" hidden="1" customWidth="1"/>
    <col min="6931" max="6931" width="6.85546875" customWidth="1"/>
    <col min="6932" max="6932" width="0" hidden="1" customWidth="1"/>
    <col min="6933" max="6934" width="6.28515625" customWidth="1"/>
    <col min="6935" max="6935" width="17.7109375" customWidth="1"/>
    <col min="6936" max="6936" width="13.85546875" customWidth="1"/>
    <col min="6937" max="6937" width="10.85546875" customWidth="1"/>
    <col min="6938" max="6938" width="16.85546875" customWidth="1"/>
    <col min="6939" max="6939" width="5" customWidth="1"/>
    <col min="6940" max="6940" width="13" customWidth="1"/>
    <col min="6941" max="6941" width="13.140625" customWidth="1"/>
    <col min="6942" max="6943" width="14" customWidth="1"/>
    <col min="6944" max="6944" width="11.42578125" customWidth="1"/>
    <col min="6945" max="6945" width="15.85546875" customWidth="1"/>
    <col min="6946" max="6946" width="23.7109375" customWidth="1"/>
    <col min="6947" max="6947" width="12" customWidth="1"/>
    <col min="6948" max="6949" width="0.28515625" customWidth="1"/>
    <col min="6950" max="6950" width="1.42578125" customWidth="1"/>
    <col min="6951" max="6951" width="0" hidden="1" customWidth="1"/>
    <col min="7169" max="7169" width="10.28515625" customWidth="1"/>
    <col min="7170" max="7170" width="13.42578125" customWidth="1"/>
    <col min="7171" max="7171" width="4.28515625" customWidth="1"/>
    <col min="7172" max="7172" width="4" customWidth="1"/>
    <col min="7173" max="7173" width="15" customWidth="1"/>
    <col min="7174" max="7174" width="4.140625" customWidth="1"/>
    <col min="7175" max="7175" width="11.28515625" customWidth="1"/>
    <col min="7176" max="7176" width="16.140625" customWidth="1"/>
    <col min="7177" max="7177" width="11" customWidth="1"/>
    <col min="7178" max="7179" width="2.140625" customWidth="1"/>
    <col min="7180" max="7180" width="3.28515625" customWidth="1"/>
    <col min="7181" max="7182" width="0" hidden="1" customWidth="1"/>
    <col min="7183" max="7183" width="2.85546875" customWidth="1"/>
    <col min="7184" max="7184" width="3.28515625" customWidth="1"/>
    <col min="7185" max="7185" width="1.42578125" customWidth="1"/>
    <col min="7186" max="7186" width="0" hidden="1" customWidth="1"/>
    <col min="7187" max="7187" width="6.85546875" customWidth="1"/>
    <col min="7188" max="7188" width="0" hidden="1" customWidth="1"/>
    <col min="7189" max="7190" width="6.28515625" customWidth="1"/>
    <col min="7191" max="7191" width="17.7109375" customWidth="1"/>
    <col min="7192" max="7192" width="13.85546875" customWidth="1"/>
    <col min="7193" max="7193" width="10.85546875" customWidth="1"/>
    <col min="7194" max="7194" width="16.85546875" customWidth="1"/>
    <col min="7195" max="7195" width="5" customWidth="1"/>
    <col min="7196" max="7196" width="13" customWidth="1"/>
    <col min="7197" max="7197" width="13.140625" customWidth="1"/>
    <col min="7198" max="7199" width="14" customWidth="1"/>
    <col min="7200" max="7200" width="11.42578125" customWidth="1"/>
    <col min="7201" max="7201" width="15.85546875" customWidth="1"/>
    <col min="7202" max="7202" width="23.7109375" customWidth="1"/>
    <col min="7203" max="7203" width="12" customWidth="1"/>
    <col min="7204" max="7205" width="0.28515625" customWidth="1"/>
    <col min="7206" max="7206" width="1.42578125" customWidth="1"/>
    <col min="7207" max="7207" width="0" hidden="1" customWidth="1"/>
    <col min="7425" max="7425" width="10.28515625" customWidth="1"/>
    <col min="7426" max="7426" width="13.42578125" customWidth="1"/>
    <col min="7427" max="7427" width="4.28515625" customWidth="1"/>
    <col min="7428" max="7428" width="4" customWidth="1"/>
    <col min="7429" max="7429" width="15" customWidth="1"/>
    <col min="7430" max="7430" width="4.140625" customWidth="1"/>
    <col min="7431" max="7431" width="11.28515625" customWidth="1"/>
    <col min="7432" max="7432" width="16.140625" customWidth="1"/>
    <col min="7433" max="7433" width="11" customWidth="1"/>
    <col min="7434" max="7435" width="2.140625" customWidth="1"/>
    <col min="7436" max="7436" width="3.28515625" customWidth="1"/>
    <col min="7437" max="7438" width="0" hidden="1" customWidth="1"/>
    <col min="7439" max="7439" width="2.85546875" customWidth="1"/>
    <col min="7440" max="7440" width="3.28515625" customWidth="1"/>
    <col min="7441" max="7441" width="1.42578125" customWidth="1"/>
    <col min="7442" max="7442" width="0" hidden="1" customWidth="1"/>
    <col min="7443" max="7443" width="6.85546875" customWidth="1"/>
    <col min="7444" max="7444" width="0" hidden="1" customWidth="1"/>
    <col min="7445" max="7446" width="6.28515625" customWidth="1"/>
    <col min="7447" max="7447" width="17.7109375" customWidth="1"/>
    <col min="7448" max="7448" width="13.85546875" customWidth="1"/>
    <col min="7449" max="7449" width="10.85546875" customWidth="1"/>
    <col min="7450" max="7450" width="16.85546875" customWidth="1"/>
    <col min="7451" max="7451" width="5" customWidth="1"/>
    <col min="7452" max="7452" width="13" customWidth="1"/>
    <col min="7453" max="7453" width="13.140625" customWidth="1"/>
    <col min="7454" max="7455" width="14" customWidth="1"/>
    <col min="7456" max="7456" width="11.42578125" customWidth="1"/>
    <col min="7457" max="7457" width="15.85546875" customWidth="1"/>
    <col min="7458" max="7458" width="23.7109375" customWidth="1"/>
    <col min="7459" max="7459" width="12" customWidth="1"/>
    <col min="7460" max="7461" width="0.28515625" customWidth="1"/>
    <col min="7462" max="7462" width="1.42578125" customWidth="1"/>
    <col min="7463" max="7463" width="0" hidden="1" customWidth="1"/>
    <col min="7681" max="7681" width="10.28515625" customWidth="1"/>
    <col min="7682" max="7682" width="13.42578125" customWidth="1"/>
    <col min="7683" max="7683" width="4.28515625" customWidth="1"/>
    <col min="7684" max="7684" width="4" customWidth="1"/>
    <col min="7685" max="7685" width="15" customWidth="1"/>
    <col min="7686" max="7686" width="4.140625" customWidth="1"/>
    <col min="7687" max="7687" width="11.28515625" customWidth="1"/>
    <col min="7688" max="7688" width="16.140625" customWidth="1"/>
    <col min="7689" max="7689" width="11" customWidth="1"/>
    <col min="7690" max="7691" width="2.140625" customWidth="1"/>
    <col min="7692" max="7692" width="3.28515625" customWidth="1"/>
    <col min="7693" max="7694" width="0" hidden="1" customWidth="1"/>
    <col min="7695" max="7695" width="2.85546875" customWidth="1"/>
    <col min="7696" max="7696" width="3.28515625" customWidth="1"/>
    <col min="7697" max="7697" width="1.42578125" customWidth="1"/>
    <col min="7698" max="7698" width="0" hidden="1" customWidth="1"/>
    <col min="7699" max="7699" width="6.85546875" customWidth="1"/>
    <col min="7700" max="7700" width="0" hidden="1" customWidth="1"/>
    <col min="7701" max="7702" width="6.28515625" customWidth="1"/>
    <col min="7703" max="7703" width="17.7109375" customWidth="1"/>
    <col min="7704" max="7704" width="13.85546875" customWidth="1"/>
    <col min="7705" max="7705" width="10.85546875" customWidth="1"/>
    <col min="7706" max="7706" width="16.85546875" customWidth="1"/>
    <col min="7707" max="7707" width="5" customWidth="1"/>
    <col min="7708" max="7708" width="13" customWidth="1"/>
    <col min="7709" max="7709" width="13.140625" customWidth="1"/>
    <col min="7710" max="7711" width="14" customWidth="1"/>
    <col min="7712" max="7712" width="11.42578125" customWidth="1"/>
    <col min="7713" max="7713" width="15.85546875" customWidth="1"/>
    <col min="7714" max="7714" width="23.7109375" customWidth="1"/>
    <col min="7715" max="7715" width="12" customWidth="1"/>
    <col min="7716" max="7717" width="0.28515625" customWidth="1"/>
    <col min="7718" max="7718" width="1.42578125" customWidth="1"/>
    <col min="7719" max="7719" width="0" hidden="1" customWidth="1"/>
    <col min="7937" max="7937" width="10.28515625" customWidth="1"/>
    <col min="7938" max="7938" width="13.42578125" customWidth="1"/>
    <col min="7939" max="7939" width="4.28515625" customWidth="1"/>
    <col min="7940" max="7940" width="4" customWidth="1"/>
    <col min="7941" max="7941" width="15" customWidth="1"/>
    <col min="7942" max="7942" width="4.140625" customWidth="1"/>
    <col min="7943" max="7943" width="11.28515625" customWidth="1"/>
    <col min="7944" max="7944" width="16.140625" customWidth="1"/>
    <col min="7945" max="7945" width="11" customWidth="1"/>
    <col min="7946" max="7947" width="2.140625" customWidth="1"/>
    <col min="7948" max="7948" width="3.28515625" customWidth="1"/>
    <col min="7949" max="7950" width="0" hidden="1" customWidth="1"/>
    <col min="7951" max="7951" width="2.85546875" customWidth="1"/>
    <col min="7952" max="7952" width="3.28515625" customWidth="1"/>
    <col min="7953" max="7953" width="1.42578125" customWidth="1"/>
    <col min="7954" max="7954" width="0" hidden="1" customWidth="1"/>
    <col min="7955" max="7955" width="6.85546875" customWidth="1"/>
    <col min="7956" max="7956" width="0" hidden="1" customWidth="1"/>
    <col min="7957" max="7958" width="6.28515625" customWidth="1"/>
    <col min="7959" max="7959" width="17.7109375" customWidth="1"/>
    <col min="7960" max="7960" width="13.85546875" customWidth="1"/>
    <col min="7961" max="7961" width="10.85546875" customWidth="1"/>
    <col min="7962" max="7962" width="16.85546875" customWidth="1"/>
    <col min="7963" max="7963" width="5" customWidth="1"/>
    <col min="7964" max="7964" width="13" customWidth="1"/>
    <col min="7965" max="7965" width="13.140625" customWidth="1"/>
    <col min="7966" max="7967" width="14" customWidth="1"/>
    <col min="7968" max="7968" width="11.42578125" customWidth="1"/>
    <col min="7969" max="7969" width="15.85546875" customWidth="1"/>
    <col min="7970" max="7970" width="23.7109375" customWidth="1"/>
    <col min="7971" max="7971" width="12" customWidth="1"/>
    <col min="7972" max="7973" width="0.28515625" customWidth="1"/>
    <col min="7974" max="7974" width="1.42578125" customWidth="1"/>
    <col min="7975" max="7975" width="0" hidden="1" customWidth="1"/>
    <col min="8193" max="8193" width="10.28515625" customWidth="1"/>
    <col min="8194" max="8194" width="13.42578125" customWidth="1"/>
    <col min="8195" max="8195" width="4.28515625" customWidth="1"/>
    <col min="8196" max="8196" width="4" customWidth="1"/>
    <col min="8197" max="8197" width="15" customWidth="1"/>
    <col min="8198" max="8198" width="4.140625" customWidth="1"/>
    <col min="8199" max="8199" width="11.28515625" customWidth="1"/>
    <col min="8200" max="8200" width="16.140625" customWidth="1"/>
    <col min="8201" max="8201" width="11" customWidth="1"/>
    <col min="8202" max="8203" width="2.140625" customWidth="1"/>
    <col min="8204" max="8204" width="3.28515625" customWidth="1"/>
    <col min="8205" max="8206" width="0" hidden="1" customWidth="1"/>
    <col min="8207" max="8207" width="2.85546875" customWidth="1"/>
    <col min="8208" max="8208" width="3.28515625" customWidth="1"/>
    <col min="8209" max="8209" width="1.42578125" customWidth="1"/>
    <col min="8210" max="8210" width="0" hidden="1" customWidth="1"/>
    <col min="8211" max="8211" width="6.85546875" customWidth="1"/>
    <col min="8212" max="8212" width="0" hidden="1" customWidth="1"/>
    <col min="8213" max="8214" width="6.28515625" customWidth="1"/>
    <col min="8215" max="8215" width="17.7109375" customWidth="1"/>
    <col min="8216" max="8216" width="13.85546875" customWidth="1"/>
    <col min="8217" max="8217" width="10.85546875" customWidth="1"/>
    <col min="8218" max="8218" width="16.85546875" customWidth="1"/>
    <col min="8219" max="8219" width="5" customWidth="1"/>
    <col min="8220" max="8220" width="13" customWidth="1"/>
    <col min="8221" max="8221" width="13.140625" customWidth="1"/>
    <col min="8222" max="8223" width="14" customWidth="1"/>
    <col min="8224" max="8224" width="11.42578125" customWidth="1"/>
    <col min="8225" max="8225" width="15.85546875" customWidth="1"/>
    <col min="8226" max="8226" width="23.7109375" customWidth="1"/>
    <col min="8227" max="8227" width="12" customWidth="1"/>
    <col min="8228" max="8229" width="0.28515625" customWidth="1"/>
    <col min="8230" max="8230" width="1.42578125" customWidth="1"/>
    <col min="8231" max="8231" width="0" hidden="1" customWidth="1"/>
    <col min="8449" max="8449" width="10.28515625" customWidth="1"/>
    <col min="8450" max="8450" width="13.42578125" customWidth="1"/>
    <col min="8451" max="8451" width="4.28515625" customWidth="1"/>
    <col min="8452" max="8452" width="4" customWidth="1"/>
    <col min="8453" max="8453" width="15" customWidth="1"/>
    <col min="8454" max="8454" width="4.140625" customWidth="1"/>
    <col min="8455" max="8455" width="11.28515625" customWidth="1"/>
    <col min="8456" max="8456" width="16.140625" customWidth="1"/>
    <col min="8457" max="8457" width="11" customWidth="1"/>
    <col min="8458" max="8459" width="2.140625" customWidth="1"/>
    <col min="8460" max="8460" width="3.28515625" customWidth="1"/>
    <col min="8461" max="8462" width="0" hidden="1" customWidth="1"/>
    <col min="8463" max="8463" width="2.85546875" customWidth="1"/>
    <col min="8464" max="8464" width="3.28515625" customWidth="1"/>
    <col min="8465" max="8465" width="1.42578125" customWidth="1"/>
    <col min="8466" max="8466" width="0" hidden="1" customWidth="1"/>
    <col min="8467" max="8467" width="6.85546875" customWidth="1"/>
    <col min="8468" max="8468" width="0" hidden="1" customWidth="1"/>
    <col min="8469" max="8470" width="6.28515625" customWidth="1"/>
    <col min="8471" max="8471" width="17.7109375" customWidth="1"/>
    <col min="8472" max="8472" width="13.85546875" customWidth="1"/>
    <col min="8473" max="8473" width="10.85546875" customWidth="1"/>
    <col min="8474" max="8474" width="16.85546875" customWidth="1"/>
    <col min="8475" max="8475" width="5" customWidth="1"/>
    <col min="8476" max="8476" width="13" customWidth="1"/>
    <col min="8477" max="8477" width="13.140625" customWidth="1"/>
    <col min="8478" max="8479" width="14" customWidth="1"/>
    <col min="8480" max="8480" width="11.42578125" customWidth="1"/>
    <col min="8481" max="8481" width="15.85546875" customWidth="1"/>
    <col min="8482" max="8482" width="23.7109375" customWidth="1"/>
    <col min="8483" max="8483" width="12" customWidth="1"/>
    <col min="8484" max="8485" width="0.28515625" customWidth="1"/>
    <col min="8486" max="8486" width="1.42578125" customWidth="1"/>
    <col min="8487" max="8487" width="0" hidden="1" customWidth="1"/>
    <col min="8705" max="8705" width="10.28515625" customWidth="1"/>
    <col min="8706" max="8706" width="13.42578125" customWidth="1"/>
    <col min="8707" max="8707" width="4.28515625" customWidth="1"/>
    <col min="8708" max="8708" width="4" customWidth="1"/>
    <col min="8709" max="8709" width="15" customWidth="1"/>
    <col min="8710" max="8710" width="4.140625" customWidth="1"/>
    <col min="8711" max="8711" width="11.28515625" customWidth="1"/>
    <col min="8712" max="8712" width="16.140625" customWidth="1"/>
    <col min="8713" max="8713" width="11" customWidth="1"/>
    <col min="8714" max="8715" width="2.140625" customWidth="1"/>
    <col min="8716" max="8716" width="3.28515625" customWidth="1"/>
    <col min="8717" max="8718" width="0" hidden="1" customWidth="1"/>
    <col min="8719" max="8719" width="2.85546875" customWidth="1"/>
    <col min="8720" max="8720" width="3.28515625" customWidth="1"/>
    <col min="8721" max="8721" width="1.42578125" customWidth="1"/>
    <col min="8722" max="8722" width="0" hidden="1" customWidth="1"/>
    <col min="8723" max="8723" width="6.85546875" customWidth="1"/>
    <col min="8724" max="8724" width="0" hidden="1" customWidth="1"/>
    <col min="8725" max="8726" width="6.28515625" customWidth="1"/>
    <col min="8727" max="8727" width="17.7109375" customWidth="1"/>
    <col min="8728" max="8728" width="13.85546875" customWidth="1"/>
    <col min="8729" max="8729" width="10.85546875" customWidth="1"/>
    <col min="8730" max="8730" width="16.85546875" customWidth="1"/>
    <col min="8731" max="8731" width="5" customWidth="1"/>
    <col min="8732" max="8732" width="13" customWidth="1"/>
    <col min="8733" max="8733" width="13.140625" customWidth="1"/>
    <col min="8734" max="8735" width="14" customWidth="1"/>
    <col min="8736" max="8736" width="11.42578125" customWidth="1"/>
    <col min="8737" max="8737" width="15.85546875" customWidth="1"/>
    <col min="8738" max="8738" width="23.7109375" customWidth="1"/>
    <col min="8739" max="8739" width="12" customWidth="1"/>
    <col min="8740" max="8741" width="0.28515625" customWidth="1"/>
    <col min="8742" max="8742" width="1.42578125" customWidth="1"/>
    <col min="8743" max="8743" width="0" hidden="1" customWidth="1"/>
    <col min="8961" max="8961" width="10.28515625" customWidth="1"/>
    <col min="8962" max="8962" width="13.42578125" customWidth="1"/>
    <col min="8963" max="8963" width="4.28515625" customWidth="1"/>
    <col min="8964" max="8964" width="4" customWidth="1"/>
    <col min="8965" max="8965" width="15" customWidth="1"/>
    <col min="8966" max="8966" width="4.140625" customWidth="1"/>
    <col min="8967" max="8967" width="11.28515625" customWidth="1"/>
    <col min="8968" max="8968" width="16.140625" customWidth="1"/>
    <col min="8969" max="8969" width="11" customWidth="1"/>
    <col min="8970" max="8971" width="2.140625" customWidth="1"/>
    <col min="8972" max="8972" width="3.28515625" customWidth="1"/>
    <col min="8973" max="8974" width="0" hidden="1" customWidth="1"/>
    <col min="8975" max="8975" width="2.85546875" customWidth="1"/>
    <col min="8976" max="8976" width="3.28515625" customWidth="1"/>
    <col min="8977" max="8977" width="1.42578125" customWidth="1"/>
    <col min="8978" max="8978" width="0" hidden="1" customWidth="1"/>
    <col min="8979" max="8979" width="6.85546875" customWidth="1"/>
    <col min="8980" max="8980" width="0" hidden="1" customWidth="1"/>
    <col min="8981" max="8982" width="6.28515625" customWidth="1"/>
    <col min="8983" max="8983" width="17.7109375" customWidth="1"/>
    <col min="8984" max="8984" width="13.85546875" customWidth="1"/>
    <col min="8985" max="8985" width="10.85546875" customWidth="1"/>
    <col min="8986" max="8986" width="16.85546875" customWidth="1"/>
    <col min="8987" max="8987" width="5" customWidth="1"/>
    <col min="8988" max="8988" width="13" customWidth="1"/>
    <col min="8989" max="8989" width="13.140625" customWidth="1"/>
    <col min="8990" max="8991" width="14" customWidth="1"/>
    <col min="8992" max="8992" width="11.42578125" customWidth="1"/>
    <col min="8993" max="8993" width="15.85546875" customWidth="1"/>
    <col min="8994" max="8994" width="23.7109375" customWidth="1"/>
    <col min="8995" max="8995" width="12" customWidth="1"/>
    <col min="8996" max="8997" width="0.28515625" customWidth="1"/>
    <col min="8998" max="8998" width="1.42578125" customWidth="1"/>
    <col min="8999" max="8999" width="0" hidden="1" customWidth="1"/>
    <col min="9217" max="9217" width="10.28515625" customWidth="1"/>
    <col min="9218" max="9218" width="13.42578125" customWidth="1"/>
    <col min="9219" max="9219" width="4.28515625" customWidth="1"/>
    <col min="9220" max="9220" width="4" customWidth="1"/>
    <col min="9221" max="9221" width="15" customWidth="1"/>
    <col min="9222" max="9222" width="4.140625" customWidth="1"/>
    <col min="9223" max="9223" width="11.28515625" customWidth="1"/>
    <col min="9224" max="9224" width="16.140625" customWidth="1"/>
    <col min="9225" max="9225" width="11" customWidth="1"/>
    <col min="9226" max="9227" width="2.140625" customWidth="1"/>
    <col min="9228" max="9228" width="3.28515625" customWidth="1"/>
    <col min="9229" max="9230" width="0" hidden="1" customWidth="1"/>
    <col min="9231" max="9231" width="2.85546875" customWidth="1"/>
    <col min="9232" max="9232" width="3.28515625" customWidth="1"/>
    <col min="9233" max="9233" width="1.42578125" customWidth="1"/>
    <col min="9234" max="9234" width="0" hidden="1" customWidth="1"/>
    <col min="9235" max="9235" width="6.85546875" customWidth="1"/>
    <col min="9236" max="9236" width="0" hidden="1" customWidth="1"/>
    <col min="9237" max="9238" width="6.28515625" customWidth="1"/>
    <col min="9239" max="9239" width="17.7109375" customWidth="1"/>
    <col min="9240" max="9240" width="13.85546875" customWidth="1"/>
    <col min="9241" max="9241" width="10.85546875" customWidth="1"/>
    <col min="9242" max="9242" width="16.85546875" customWidth="1"/>
    <col min="9243" max="9243" width="5" customWidth="1"/>
    <col min="9244" max="9244" width="13" customWidth="1"/>
    <col min="9245" max="9245" width="13.140625" customWidth="1"/>
    <col min="9246" max="9247" width="14" customWidth="1"/>
    <col min="9248" max="9248" width="11.42578125" customWidth="1"/>
    <col min="9249" max="9249" width="15.85546875" customWidth="1"/>
    <col min="9250" max="9250" width="23.7109375" customWidth="1"/>
    <col min="9251" max="9251" width="12" customWidth="1"/>
    <col min="9252" max="9253" width="0.28515625" customWidth="1"/>
    <col min="9254" max="9254" width="1.42578125" customWidth="1"/>
    <col min="9255" max="9255" width="0" hidden="1" customWidth="1"/>
    <col min="9473" max="9473" width="10.28515625" customWidth="1"/>
    <col min="9474" max="9474" width="13.42578125" customWidth="1"/>
    <col min="9475" max="9475" width="4.28515625" customWidth="1"/>
    <col min="9476" max="9476" width="4" customWidth="1"/>
    <col min="9477" max="9477" width="15" customWidth="1"/>
    <col min="9478" max="9478" width="4.140625" customWidth="1"/>
    <col min="9479" max="9479" width="11.28515625" customWidth="1"/>
    <col min="9480" max="9480" width="16.140625" customWidth="1"/>
    <col min="9481" max="9481" width="11" customWidth="1"/>
    <col min="9482" max="9483" width="2.140625" customWidth="1"/>
    <col min="9484" max="9484" width="3.28515625" customWidth="1"/>
    <col min="9485" max="9486" width="0" hidden="1" customWidth="1"/>
    <col min="9487" max="9487" width="2.85546875" customWidth="1"/>
    <col min="9488" max="9488" width="3.28515625" customWidth="1"/>
    <col min="9489" max="9489" width="1.42578125" customWidth="1"/>
    <col min="9490" max="9490" width="0" hidden="1" customWidth="1"/>
    <col min="9491" max="9491" width="6.85546875" customWidth="1"/>
    <col min="9492" max="9492" width="0" hidden="1" customWidth="1"/>
    <col min="9493" max="9494" width="6.28515625" customWidth="1"/>
    <col min="9495" max="9495" width="17.7109375" customWidth="1"/>
    <col min="9496" max="9496" width="13.85546875" customWidth="1"/>
    <col min="9497" max="9497" width="10.85546875" customWidth="1"/>
    <col min="9498" max="9498" width="16.85546875" customWidth="1"/>
    <col min="9499" max="9499" width="5" customWidth="1"/>
    <col min="9500" max="9500" width="13" customWidth="1"/>
    <col min="9501" max="9501" width="13.140625" customWidth="1"/>
    <col min="9502" max="9503" width="14" customWidth="1"/>
    <col min="9504" max="9504" width="11.42578125" customWidth="1"/>
    <col min="9505" max="9505" width="15.85546875" customWidth="1"/>
    <col min="9506" max="9506" width="23.7109375" customWidth="1"/>
    <col min="9507" max="9507" width="12" customWidth="1"/>
    <col min="9508" max="9509" width="0.28515625" customWidth="1"/>
    <col min="9510" max="9510" width="1.42578125" customWidth="1"/>
    <col min="9511" max="9511" width="0" hidden="1" customWidth="1"/>
    <col min="9729" max="9729" width="10.28515625" customWidth="1"/>
    <col min="9730" max="9730" width="13.42578125" customWidth="1"/>
    <col min="9731" max="9731" width="4.28515625" customWidth="1"/>
    <col min="9732" max="9732" width="4" customWidth="1"/>
    <col min="9733" max="9733" width="15" customWidth="1"/>
    <col min="9734" max="9734" width="4.140625" customWidth="1"/>
    <col min="9735" max="9735" width="11.28515625" customWidth="1"/>
    <col min="9736" max="9736" width="16.140625" customWidth="1"/>
    <col min="9737" max="9737" width="11" customWidth="1"/>
    <col min="9738" max="9739" width="2.140625" customWidth="1"/>
    <col min="9740" max="9740" width="3.28515625" customWidth="1"/>
    <col min="9741" max="9742" width="0" hidden="1" customWidth="1"/>
    <col min="9743" max="9743" width="2.85546875" customWidth="1"/>
    <col min="9744" max="9744" width="3.28515625" customWidth="1"/>
    <col min="9745" max="9745" width="1.42578125" customWidth="1"/>
    <col min="9746" max="9746" width="0" hidden="1" customWidth="1"/>
    <col min="9747" max="9747" width="6.85546875" customWidth="1"/>
    <col min="9748" max="9748" width="0" hidden="1" customWidth="1"/>
    <col min="9749" max="9750" width="6.28515625" customWidth="1"/>
    <col min="9751" max="9751" width="17.7109375" customWidth="1"/>
    <col min="9752" max="9752" width="13.85546875" customWidth="1"/>
    <col min="9753" max="9753" width="10.85546875" customWidth="1"/>
    <col min="9754" max="9754" width="16.85546875" customWidth="1"/>
    <col min="9755" max="9755" width="5" customWidth="1"/>
    <col min="9756" max="9756" width="13" customWidth="1"/>
    <col min="9757" max="9757" width="13.140625" customWidth="1"/>
    <col min="9758" max="9759" width="14" customWidth="1"/>
    <col min="9760" max="9760" width="11.42578125" customWidth="1"/>
    <col min="9761" max="9761" width="15.85546875" customWidth="1"/>
    <col min="9762" max="9762" width="23.7109375" customWidth="1"/>
    <col min="9763" max="9763" width="12" customWidth="1"/>
    <col min="9764" max="9765" width="0.28515625" customWidth="1"/>
    <col min="9766" max="9766" width="1.42578125" customWidth="1"/>
    <col min="9767" max="9767" width="0" hidden="1" customWidth="1"/>
    <col min="9985" max="9985" width="10.28515625" customWidth="1"/>
    <col min="9986" max="9986" width="13.42578125" customWidth="1"/>
    <col min="9987" max="9987" width="4.28515625" customWidth="1"/>
    <col min="9988" max="9988" width="4" customWidth="1"/>
    <col min="9989" max="9989" width="15" customWidth="1"/>
    <col min="9990" max="9990" width="4.140625" customWidth="1"/>
    <col min="9991" max="9991" width="11.28515625" customWidth="1"/>
    <col min="9992" max="9992" width="16.140625" customWidth="1"/>
    <col min="9993" max="9993" width="11" customWidth="1"/>
    <col min="9994" max="9995" width="2.140625" customWidth="1"/>
    <col min="9996" max="9996" width="3.28515625" customWidth="1"/>
    <col min="9997" max="9998" width="0" hidden="1" customWidth="1"/>
    <col min="9999" max="9999" width="2.85546875" customWidth="1"/>
    <col min="10000" max="10000" width="3.28515625" customWidth="1"/>
    <col min="10001" max="10001" width="1.42578125" customWidth="1"/>
    <col min="10002" max="10002" width="0" hidden="1" customWidth="1"/>
    <col min="10003" max="10003" width="6.85546875" customWidth="1"/>
    <col min="10004" max="10004" width="0" hidden="1" customWidth="1"/>
    <col min="10005" max="10006" width="6.28515625" customWidth="1"/>
    <col min="10007" max="10007" width="17.7109375" customWidth="1"/>
    <col min="10008" max="10008" width="13.85546875" customWidth="1"/>
    <col min="10009" max="10009" width="10.85546875" customWidth="1"/>
    <col min="10010" max="10010" width="16.85546875" customWidth="1"/>
    <col min="10011" max="10011" width="5" customWidth="1"/>
    <col min="10012" max="10012" width="13" customWidth="1"/>
    <col min="10013" max="10013" width="13.140625" customWidth="1"/>
    <col min="10014" max="10015" width="14" customWidth="1"/>
    <col min="10016" max="10016" width="11.42578125" customWidth="1"/>
    <col min="10017" max="10017" width="15.85546875" customWidth="1"/>
    <col min="10018" max="10018" width="23.7109375" customWidth="1"/>
    <col min="10019" max="10019" width="12" customWidth="1"/>
    <col min="10020" max="10021" width="0.28515625" customWidth="1"/>
    <col min="10022" max="10022" width="1.42578125" customWidth="1"/>
    <col min="10023" max="10023" width="0" hidden="1" customWidth="1"/>
    <col min="10241" max="10241" width="10.28515625" customWidth="1"/>
    <col min="10242" max="10242" width="13.42578125" customWidth="1"/>
    <col min="10243" max="10243" width="4.28515625" customWidth="1"/>
    <col min="10244" max="10244" width="4" customWidth="1"/>
    <col min="10245" max="10245" width="15" customWidth="1"/>
    <col min="10246" max="10246" width="4.140625" customWidth="1"/>
    <col min="10247" max="10247" width="11.28515625" customWidth="1"/>
    <col min="10248" max="10248" width="16.140625" customWidth="1"/>
    <col min="10249" max="10249" width="11" customWidth="1"/>
    <col min="10250" max="10251" width="2.140625" customWidth="1"/>
    <col min="10252" max="10252" width="3.28515625" customWidth="1"/>
    <col min="10253" max="10254" width="0" hidden="1" customWidth="1"/>
    <col min="10255" max="10255" width="2.85546875" customWidth="1"/>
    <col min="10256" max="10256" width="3.28515625" customWidth="1"/>
    <col min="10257" max="10257" width="1.42578125" customWidth="1"/>
    <col min="10258" max="10258" width="0" hidden="1" customWidth="1"/>
    <col min="10259" max="10259" width="6.85546875" customWidth="1"/>
    <col min="10260" max="10260" width="0" hidden="1" customWidth="1"/>
    <col min="10261" max="10262" width="6.28515625" customWidth="1"/>
    <col min="10263" max="10263" width="17.7109375" customWidth="1"/>
    <col min="10264" max="10264" width="13.85546875" customWidth="1"/>
    <col min="10265" max="10265" width="10.85546875" customWidth="1"/>
    <col min="10266" max="10266" width="16.85546875" customWidth="1"/>
    <col min="10267" max="10267" width="5" customWidth="1"/>
    <col min="10268" max="10268" width="13" customWidth="1"/>
    <col min="10269" max="10269" width="13.140625" customWidth="1"/>
    <col min="10270" max="10271" width="14" customWidth="1"/>
    <col min="10272" max="10272" width="11.42578125" customWidth="1"/>
    <col min="10273" max="10273" width="15.85546875" customWidth="1"/>
    <col min="10274" max="10274" width="23.7109375" customWidth="1"/>
    <col min="10275" max="10275" width="12" customWidth="1"/>
    <col min="10276" max="10277" width="0.28515625" customWidth="1"/>
    <col min="10278" max="10278" width="1.42578125" customWidth="1"/>
    <col min="10279" max="10279" width="0" hidden="1" customWidth="1"/>
    <col min="10497" max="10497" width="10.28515625" customWidth="1"/>
    <col min="10498" max="10498" width="13.42578125" customWidth="1"/>
    <col min="10499" max="10499" width="4.28515625" customWidth="1"/>
    <col min="10500" max="10500" width="4" customWidth="1"/>
    <col min="10501" max="10501" width="15" customWidth="1"/>
    <col min="10502" max="10502" width="4.140625" customWidth="1"/>
    <col min="10503" max="10503" width="11.28515625" customWidth="1"/>
    <col min="10504" max="10504" width="16.140625" customWidth="1"/>
    <col min="10505" max="10505" width="11" customWidth="1"/>
    <col min="10506" max="10507" width="2.140625" customWidth="1"/>
    <col min="10508" max="10508" width="3.28515625" customWidth="1"/>
    <col min="10509" max="10510" width="0" hidden="1" customWidth="1"/>
    <col min="10511" max="10511" width="2.85546875" customWidth="1"/>
    <col min="10512" max="10512" width="3.28515625" customWidth="1"/>
    <col min="10513" max="10513" width="1.42578125" customWidth="1"/>
    <col min="10514" max="10514" width="0" hidden="1" customWidth="1"/>
    <col min="10515" max="10515" width="6.85546875" customWidth="1"/>
    <col min="10516" max="10516" width="0" hidden="1" customWidth="1"/>
    <col min="10517" max="10518" width="6.28515625" customWidth="1"/>
    <col min="10519" max="10519" width="17.7109375" customWidth="1"/>
    <col min="10520" max="10520" width="13.85546875" customWidth="1"/>
    <col min="10521" max="10521" width="10.85546875" customWidth="1"/>
    <col min="10522" max="10522" width="16.85546875" customWidth="1"/>
    <col min="10523" max="10523" width="5" customWidth="1"/>
    <col min="10524" max="10524" width="13" customWidth="1"/>
    <col min="10525" max="10525" width="13.140625" customWidth="1"/>
    <col min="10526" max="10527" width="14" customWidth="1"/>
    <col min="10528" max="10528" width="11.42578125" customWidth="1"/>
    <col min="10529" max="10529" width="15.85546875" customWidth="1"/>
    <col min="10530" max="10530" width="23.7109375" customWidth="1"/>
    <col min="10531" max="10531" width="12" customWidth="1"/>
    <col min="10532" max="10533" width="0.28515625" customWidth="1"/>
    <col min="10534" max="10534" width="1.42578125" customWidth="1"/>
    <col min="10535" max="10535" width="0" hidden="1" customWidth="1"/>
    <col min="10753" max="10753" width="10.28515625" customWidth="1"/>
    <col min="10754" max="10754" width="13.42578125" customWidth="1"/>
    <col min="10755" max="10755" width="4.28515625" customWidth="1"/>
    <col min="10756" max="10756" width="4" customWidth="1"/>
    <col min="10757" max="10757" width="15" customWidth="1"/>
    <col min="10758" max="10758" width="4.140625" customWidth="1"/>
    <col min="10759" max="10759" width="11.28515625" customWidth="1"/>
    <col min="10760" max="10760" width="16.140625" customWidth="1"/>
    <col min="10761" max="10761" width="11" customWidth="1"/>
    <col min="10762" max="10763" width="2.140625" customWidth="1"/>
    <col min="10764" max="10764" width="3.28515625" customWidth="1"/>
    <col min="10765" max="10766" width="0" hidden="1" customWidth="1"/>
    <col min="10767" max="10767" width="2.85546875" customWidth="1"/>
    <col min="10768" max="10768" width="3.28515625" customWidth="1"/>
    <col min="10769" max="10769" width="1.42578125" customWidth="1"/>
    <col min="10770" max="10770" width="0" hidden="1" customWidth="1"/>
    <col min="10771" max="10771" width="6.85546875" customWidth="1"/>
    <col min="10772" max="10772" width="0" hidden="1" customWidth="1"/>
    <col min="10773" max="10774" width="6.28515625" customWidth="1"/>
    <col min="10775" max="10775" width="17.7109375" customWidth="1"/>
    <col min="10776" max="10776" width="13.85546875" customWidth="1"/>
    <col min="10777" max="10777" width="10.85546875" customWidth="1"/>
    <col min="10778" max="10778" width="16.85546875" customWidth="1"/>
    <col min="10779" max="10779" width="5" customWidth="1"/>
    <col min="10780" max="10780" width="13" customWidth="1"/>
    <col min="10781" max="10781" width="13.140625" customWidth="1"/>
    <col min="10782" max="10783" width="14" customWidth="1"/>
    <col min="10784" max="10784" width="11.42578125" customWidth="1"/>
    <col min="10785" max="10785" width="15.85546875" customWidth="1"/>
    <col min="10786" max="10786" width="23.7109375" customWidth="1"/>
    <col min="10787" max="10787" width="12" customWidth="1"/>
    <col min="10788" max="10789" width="0.28515625" customWidth="1"/>
    <col min="10790" max="10790" width="1.42578125" customWidth="1"/>
    <col min="10791" max="10791" width="0" hidden="1" customWidth="1"/>
    <col min="11009" max="11009" width="10.28515625" customWidth="1"/>
    <col min="11010" max="11010" width="13.42578125" customWidth="1"/>
    <col min="11011" max="11011" width="4.28515625" customWidth="1"/>
    <col min="11012" max="11012" width="4" customWidth="1"/>
    <col min="11013" max="11013" width="15" customWidth="1"/>
    <col min="11014" max="11014" width="4.140625" customWidth="1"/>
    <col min="11015" max="11015" width="11.28515625" customWidth="1"/>
    <col min="11016" max="11016" width="16.140625" customWidth="1"/>
    <col min="11017" max="11017" width="11" customWidth="1"/>
    <col min="11018" max="11019" width="2.140625" customWidth="1"/>
    <col min="11020" max="11020" width="3.28515625" customWidth="1"/>
    <col min="11021" max="11022" width="0" hidden="1" customWidth="1"/>
    <col min="11023" max="11023" width="2.85546875" customWidth="1"/>
    <col min="11024" max="11024" width="3.28515625" customWidth="1"/>
    <col min="11025" max="11025" width="1.42578125" customWidth="1"/>
    <col min="11026" max="11026" width="0" hidden="1" customWidth="1"/>
    <col min="11027" max="11027" width="6.85546875" customWidth="1"/>
    <col min="11028" max="11028" width="0" hidden="1" customWidth="1"/>
    <col min="11029" max="11030" width="6.28515625" customWidth="1"/>
    <col min="11031" max="11031" width="17.7109375" customWidth="1"/>
    <col min="11032" max="11032" width="13.85546875" customWidth="1"/>
    <col min="11033" max="11033" width="10.85546875" customWidth="1"/>
    <col min="11034" max="11034" width="16.85546875" customWidth="1"/>
    <col min="11035" max="11035" width="5" customWidth="1"/>
    <col min="11036" max="11036" width="13" customWidth="1"/>
    <col min="11037" max="11037" width="13.140625" customWidth="1"/>
    <col min="11038" max="11039" width="14" customWidth="1"/>
    <col min="11040" max="11040" width="11.42578125" customWidth="1"/>
    <col min="11041" max="11041" width="15.85546875" customWidth="1"/>
    <col min="11042" max="11042" width="23.7109375" customWidth="1"/>
    <col min="11043" max="11043" width="12" customWidth="1"/>
    <col min="11044" max="11045" width="0.28515625" customWidth="1"/>
    <col min="11046" max="11046" width="1.42578125" customWidth="1"/>
    <col min="11047" max="11047" width="0" hidden="1" customWidth="1"/>
    <col min="11265" max="11265" width="10.28515625" customWidth="1"/>
    <col min="11266" max="11266" width="13.42578125" customWidth="1"/>
    <col min="11267" max="11267" width="4.28515625" customWidth="1"/>
    <col min="11268" max="11268" width="4" customWidth="1"/>
    <col min="11269" max="11269" width="15" customWidth="1"/>
    <col min="11270" max="11270" width="4.140625" customWidth="1"/>
    <col min="11271" max="11271" width="11.28515625" customWidth="1"/>
    <col min="11272" max="11272" width="16.140625" customWidth="1"/>
    <col min="11273" max="11273" width="11" customWidth="1"/>
    <col min="11274" max="11275" width="2.140625" customWidth="1"/>
    <col min="11276" max="11276" width="3.28515625" customWidth="1"/>
    <col min="11277" max="11278" width="0" hidden="1" customWidth="1"/>
    <col min="11279" max="11279" width="2.85546875" customWidth="1"/>
    <col min="11280" max="11280" width="3.28515625" customWidth="1"/>
    <col min="11281" max="11281" width="1.42578125" customWidth="1"/>
    <col min="11282" max="11282" width="0" hidden="1" customWidth="1"/>
    <col min="11283" max="11283" width="6.85546875" customWidth="1"/>
    <col min="11284" max="11284" width="0" hidden="1" customWidth="1"/>
    <col min="11285" max="11286" width="6.28515625" customWidth="1"/>
    <col min="11287" max="11287" width="17.7109375" customWidth="1"/>
    <col min="11288" max="11288" width="13.85546875" customWidth="1"/>
    <col min="11289" max="11289" width="10.85546875" customWidth="1"/>
    <col min="11290" max="11290" width="16.85546875" customWidth="1"/>
    <col min="11291" max="11291" width="5" customWidth="1"/>
    <col min="11292" max="11292" width="13" customWidth="1"/>
    <col min="11293" max="11293" width="13.140625" customWidth="1"/>
    <col min="11294" max="11295" width="14" customWidth="1"/>
    <col min="11296" max="11296" width="11.42578125" customWidth="1"/>
    <col min="11297" max="11297" width="15.85546875" customWidth="1"/>
    <col min="11298" max="11298" width="23.7109375" customWidth="1"/>
    <col min="11299" max="11299" width="12" customWidth="1"/>
    <col min="11300" max="11301" width="0.28515625" customWidth="1"/>
    <col min="11302" max="11302" width="1.42578125" customWidth="1"/>
    <col min="11303" max="11303" width="0" hidden="1" customWidth="1"/>
    <col min="11521" max="11521" width="10.28515625" customWidth="1"/>
    <col min="11522" max="11522" width="13.42578125" customWidth="1"/>
    <col min="11523" max="11523" width="4.28515625" customWidth="1"/>
    <col min="11524" max="11524" width="4" customWidth="1"/>
    <col min="11525" max="11525" width="15" customWidth="1"/>
    <col min="11526" max="11526" width="4.140625" customWidth="1"/>
    <col min="11527" max="11527" width="11.28515625" customWidth="1"/>
    <col min="11528" max="11528" width="16.140625" customWidth="1"/>
    <col min="11529" max="11529" width="11" customWidth="1"/>
    <col min="11530" max="11531" width="2.140625" customWidth="1"/>
    <col min="11532" max="11532" width="3.28515625" customWidth="1"/>
    <col min="11533" max="11534" width="0" hidden="1" customWidth="1"/>
    <col min="11535" max="11535" width="2.85546875" customWidth="1"/>
    <col min="11536" max="11536" width="3.28515625" customWidth="1"/>
    <col min="11537" max="11537" width="1.42578125" customWidth="1"/>
    <col min="11538" max="11538" width="0" hidden="1" customWidth="1"/>
    <col min="11539" max="11539" width="6.85546875" customWidth="1"/>
    <col min="11540" max="11540" width="0" hidden="1" customWidth="1"/>
    <col min="11541" max="11542" width="6.28515625" customWidth="1"/>
    <col min="11543" max="11543" width="17.7109375" customWidth="1"/>
    <col min="11544" max="11544" width="13.85546875" customWidth="1"/>
    <col min="11545" max="11545" width="10.85546875" customWidth="1"/>
    <col min="11546" max="11546" width="16.85546875" customWidth="1"/>
    <col min="11547" max="11547" width="5" customWidth="1"/>
    <col min="11548" max="11548" width="13" customWidth="1"/>
    <col min="11549" max="11549" width="13.140625" customWidth="1"/>
    <col min="11550" max="11551" width="14" customWidth="1"/>
    <col min="11552" max="11552" width="11.42578125" customWidth="1"/>
    <col min="11553" max="11553" width="15.85546875" customWidth="1"/>
    <col min="11554" max="11554" width="23.7109375" customWidth="1"/>
    <col min="11555" max="11555" width="12" customWidth="1"/>
    <col min="11556" max="11557" width="0.28515625" customWidth="1"/>
    <col min="11558" max="11558" width="1.42578125" customWidth="1"/>
    <col min="11559" max="11559" width="0" hidden="1" customWidth="1"/>
    <col min="11777" max="11777" width="10.28515625" customWidth="1"/>
    <col min="11778" max="11778" width="13.42578125" customWidth="1"/>
    <col min="11779" max="11779" width="4.28515625" customWidth="1"/>
    <col min="11780" max="11780" width="4" customWidth="1"/>
    <col min="11781" max="11781" width="15" customWidth="1"/>
    <col min="11782" max="11782" width="4.140625" customWidth="1"/>
    <col min="11783" max="11783" width="11.28515625" customWidth="1"/>
    <col min="11784" max="11784" width="16.140625" customWidth="1"/>
    <col min="11785" max="11785" width="11" customWidth="1"/>
    <col min="11786" max="11787" width="2.140625" customWidth="1"/>
    <col min="11788" max="11788" width="3.28515625" customWidth="1"/>
    <col min="11789" max="11790" width="0" hidden="1" customWidth="1"/>
    <col min="11791" max="11791" width="2.85546875" customWidth="1"/>
    <col min="11792" max="11792" width="3.28515625" customWidth="1"/>
    <col min="11793" max="11793" width="1.42578125" customWidth="1"/>
    <col min="11794" max="11794" width="0" hidden="1" customWidth="1"/>
    <col min="11795" max="11795" width="6.85546875" customWidth="1"/>
    <col min="11796" max="11796" width="0" hidden="1" customWidth="1"/>
    <col min="11797" max="11798" width="6.28515625" customWidth="1"/>
    <col min="11799" max="11799" width="17.7109375" customWidth="1"/>
    <col min="11800" max="11800" width="13.85546875" customWidth="1"/>
    <col min="11801" max="11801" width="10.85546875" customWidth="1"/>
    <col min="11802" max="11802" width="16.85546875" customWidth="1"/>
    <col min="11803" max="11803" width="5" customWidth="1"/>
    <col min="11804" max="11804" width="13" customWidth="1"/>
    <col min="11805" max="11805" width="13.140625" customWidth="1"/>
    <col min="11806" max="11807" width="14" customWidth="1"/>
    <col min="11808" max="11808" width="11.42578125" customWidth="1"/>
    <col min="11809" max="11809" width="15.85546875" customWidth="1"/>
    <col min="11810" max="11810" width="23.7109375" customWidth="1"/>
    <col min="11811" max="11811" width="12" customWidth="1"/>
    <col min="11812" max="11813" width="0.28515625" customWidth="1"/>
    <col min="11814" max="11814" width="1.42578125" customWidth="1"/>
    <col min="11815" max="11815" width="0" hidden="1" customWidth="1"/>
    <col min="12033" max="12033" width="10.28515625" customWidth="1"/>
    <col min="12034" max="12034" width="13.42578125" customWidth="1"/>
    <col min="12035" max="12035" width="4.28515625" customWidth="1"/>
    <col min="12036" max="12036" width="4" customWidth="1"/>
    <col min="12037" max="12037" width="15" customWidth="1"/>
    <col min="12038" max="12038" width="4.140625" customWidth="1"/>
    <col min="12039" max="12039" width="11.28515625" customWidth="1"/>
    <col min="12040" max="12040" width="16.140625" customWidth="1"/>
    <col min="12041" max="12041" width="11" customWidth="1"/>
    <col min="12042" max="12043" width="2.140625" customWidth="1"/>
    <col min="12044" max="12044" width="3.28515625" customWidth="1"/>
    <col min="12045" max="12046" width="0" hidden="1" customWidth="1"/>
    <col min="12047" max="12047" width="2.85546875" customWidth="1"/>
    <col min="12048" max="12048" width="3.28515625" customWidth="1"/>
    <col min="12049" max="12049" width="1.42578125" customWidth="1"/>
    <col min="12050" max="12050" width="0" hidden="1" customWidth="1"/>
    <col min="12051" max="12051" width="6.85546875" customWidth="1"/>
    <col min="12052" max="12052" width="0" hidden="1" customWidth="1"/>
    <col min="12053" max="12054" width="6.28515625" customWidth="1"/>
    <col min="12055" max="12055" width="17.7109375" customWidth="1"/>
    <col min="12056" max="12056" width="13.85546875" customWidth="1"/>
    <col min="12057" max="12057" width="10.85546875" customWidth="1"/>
    <col min="12058" max="12058" width="16.85546875" customWidth="1"/>
    <col min="12059" max="12059" width="5" customWidth="1"/>
    <col min="12060" max="12060" width="13" customWidth="1"/>
    <col min="12061" max="12061" width="13.140625" customWidth="1"/>
    <col min="12062" max="12063" width="14" customWidth="1"/>
    <col min="12064" max="12064" width="11.42578125" customWidth="1"/>
    <col min="12065" max="12065" width="15.85546875" customWidth="1"/>
    <col min="12066" max="12066" width="23.7109375" customWidth="1"/>
    <col min="12067" max="12067" width="12" customWidth="1"/>
    <col min="12068" max="12069" width="0.28515625" customWidth="1"/>
    <col min="12070" max="12070" width="1.42578125" customWidth="1"/>
    <col min="12071" max="12071" width="0" hidden="1" customWidth="1"/>
    <col min="12289" max="12289" width="10.28515625" customWidth="1"/>
    <col min="12290" max="12290" width="13.42578125" customWidth="1"/>
    <col min="12291" max="12291" width="4.28515625" customWidth="1"/>
    <col min="12292" max="12292" width="4" customWidth="1"/>
    <col min="12293" max="12293" width="15" customWidth="1"/>
    <col min="12294" max="12294" width="4.140625" customWidth="1"/>
    <col min="12295" max="12295" width="11.28515625" customWidth="1"/>
    <col min="12296" max="12296" width="16.140625" customWidth="1"/>
    <col min="12297" max="12297" width="11" customWidth="1"/>
    <col min="12298" max="12299" width="2.140625" customWidth="1"/>
    <col min="12300" max="12300" width="3.28515625" customWidth="1"/>
    <col min="12301" max="12302" width="0" hidden="1" customWidth="1"/>
    <col min="12303" max="12303" width="2.85546875" customWidth="1"/>
    <col min="12304" max="12304" width="3.28515625" customWidth="1"/>
    <col min="12305" max="12305" width="1.42578125" customWidth="1"/>
    <col min="12306" max="12306" width="0" hidden="1" customWidth="1"/>
    <col min="12307" max="12307" width="6.85546875" customWidth="1"/>
    <col min="12308" max="12308" width="0" hidden="1" customWidth="1"/>
    <col min="12309" max="12310" width="6.28515625" customWidth="1"/>
    <col min="12311" max="12311" width="17.7109375" customWidth="1"/>
    <col min="12312" max="12312" width="13.85546875" customWidth="1"/>
    <col min="12313" max="12313" width="10.85546875" customWidth="1"/>
    <col min="12314" max="12314" width="16.85546875" customWidth="1"/>
    <col min="12315" max="12315" width="5" customWidth="1"/>
    <col min="12316" max="12316" width="13" customWidth="1"/>
    <col min="12317" max="12317" width="13.140625" customWidth="1"/>
    <col min="12318" max="12319" width="14" customWidth="1"/>
    <col min="12320" max="12320" width="11.42578125" customWidth="1"/>
    <col min="12321" max="12321" width="15.85546875" customWidth="1"/>
    <col min="12322" max="12322" width="23.7109375" customWidth="1"/>
    <col min="12323" max="12323" width="12" customWidth="1"/>
    <col min="12324" max="12325" width="0.28515625" customWidth="1"/>
    <col min="12326" max="12326" width="1.42578125" customWidth="1"/>
    <col min="12327" max="12327" width="0" hidden="1" customWidth="1"/>
    <col min="12545" max="12545" width="10.28515625" customWidth="1"/>
    <col min="12546" max="12546" width="13.42578125" customWidth="1"/>
    <col min="12547" max="12547" width="4.28515625" customWidth="1"/>
    <col min="12548" max="12548" width="4" customWidth="1"/>
    <col min="12549" max="12549" width="15" customWidth="1"/>
    <col min="12550" max="12550" width="4.140625" customWidth="1"/>
    <col min="12551" max="12551" width="11.28515625" customWidth="1"/>
    <col min="12552" max="12552" width="16.140625" customWidth="1"/>
    <col min="12553" max="12553" width="11" customWidth="1"/>
    <col min="12554" max="12555" width="2.140625" customWidth="1"/>
    <col min="12556" max="12556" width="3.28515625" customWidth="1"/>
    <col min="12557" max="12558" width="0" hidden="1" customWidth="1"/>
    <col min="12559" max="12559" width="2.85546875" customWidth="1"/>
    <col min="12560" max="12560" width="3.28515625" customWidth="1"/>
    <col min="12561" max="12561" width="1.42578125" customWidth="1"/>
    <col min="12562" max="12562" width="0" hidden="1" customWidth="1"/>
    <col min="12563" max="12563" width="6.85546875" customWidth="1"/>
    <col min="12564" max="12564" width="0" hidden="1" customWidth="1"/>
    <col min="12565" max="12566" width="6.28515625" customWidth="1"/>
    <col min="12567" max="12567" width="17.7109375" customWidth="1"/>
    <col min="12568" max="12568" width="13.85546875" customWidth="1"/>
    <col min="12569" max="12569" width="10.85546875" customWidth="1"/>
    <col min="12570" max="12570" width="16.85546875" customWidth="1"/>
    <col min="12571" max="12571" width="5" customWidth="1"/>
    <col min="12572" max="12572" width="13" customWidth="1"/>
    <col min="12573" max="12573" width="13.140625" customWidth="1"/>
    <col min="12574" max="12575" width="14" customWidth="1"/>
    <col min="12576" max="12576" width="11.42578125" customWidth="1"/>
    <col min="12577" max="12577" width="15.85546875" customWidth="1"/>
    <col min="12578" max="12578" width="23.7109375" customWidth="1"/>
    <col min="12579" max="12579" width="12" customWidth="1"/>
    <col min="12580" max="12581" width="0.28515625" customWidth="1"/>
    <col min="12582" max="12582" width="1.42578125" customWidth="1"/>
    <col min="12583" max="12583" width="0" hidden="1" customWidth="1"/>
    <col min="12801" max="12801" width="10.28515625" customWidth="1"/>
    <col min="12802" max="12802" width="13.42578125" customWidth="1"/>
    <col min="12803" max="12803" width="4.28515625" customWidth="1"/>
    <col min="12804" max="12804" width="4" customWidth="1"/>
    <col min="12805" max="12805" width="15" customWidth="1"/>
    <col min="12806" max="12806" width="4.140625" customWidth="1"/>
    <col min="12807" max="12807" width="11.28515625" customWidth="1"/>
    <col min="12808" max="12808" width="16.140625" customWidth="1"/>
    <col min="12809" max="12809" width="11" customWidth="1"/>
    <col min="12810" max="12811" width="2.140625" customWidth="1"/>
    <col min="12812" max="12812" width="3.28515625" customWidth="1"/>
    <col min="12813" max="12814" width="0" hidden="1" customWidth="1"/>
    <col min="12815" max="12815" width="2.85546875" customWidth="1"/>
    <col min="12816" max="12816" width="3.28515625" customWidth="1"/>
    <col min="12817" max="12817" width="1.42578125" customWidth="1"/>
    <col min="12818" max="12818" width="0" hidden="1" customWidth="1"/>
    <col min="12819" max="12819" width="6.85546875" customWidth="1"/>
    <col min="12820" max="12820" width="0" hidden="1" customWidth="1"/>
    <col min="12821" max="12822" width="6.28515625" customWidth="1"/>
    <col min="12823" max="12823" width="17.7109375" customWidth="1"/>
    <col min="12824" max="12824" width="13.85546875" customWidth="1"/>
    <col min="12825" max="12825" width="10.85546875" customWidth="1"/>
    <col min="12826" max="12826" width="16.85546875" customWidth="1"/>
    <col min="12827" max="12827" width="5" customWidth="1"/>
    <col min="12828" max="12828" width="13" customWidth="1"/>
    <col min="12829" max="12829" width="13.140625" customWidth="1"/>
    <col min="12830" max="12831" width="14" customWidth="1"/>
    <col min="12832" max="12832" width="11.42578125" customWidth="1"/>
    <col min="12833" max="12833" width="15.85546875" customWidth="1"/>
    <col min="12834" max="12834" width="23.7109375" customWidth="1"/>
    <col min="12835" max="12835" width="12" customWidth="1"/>
    <col min="12836" max="12837" width="0.28515625" customWidth="1"/>
    <col min="12838" max="12838" width="1.42578125" customWidth="1"/>
    <col min="12839" max="12839" width="0" hidden="1" customWidth="1"/>
    <col min="13057" max="13057" width="10.28515625" customWidth="1"/>
    <col min="13058" max="13058" width="13.42578125" customWidth="1"/>
    <col min="13059" max="13059" width="4.28515625" customWidth="1"/>
    <col min="13060" max="13060" width="4" customWidth="1"/>
    <col min="13061" max="13061" width="15" customWidth="1"/>
    <col min="13062" max="13062" width="4.140625" customWidth="1"/>
    <col min="13063" max="13063" width="11.28515625" customWidth="1"/>
    <col min="13064" max="13064" width="16.140625" customWidth="1"/>
    <col min="13065" max="13065" width="11" customWidth="1"/>
    <col min="13066" max="13067" width="2.140625" customWidth="1"/>
    <col min="13068" max="13068" width="3.28515625" customWidth="1"/>
    <col min="13069" max="13070" width="0" hidden="1" customWidth="1"/>
    <col min="13071" max="13071" width="2.85546875" customWidth="1"/>
    <col min="13072" max="13072" width="3.28515625" customWidth="1"/>
    <col min="13073" max="13073" width="1.42578125" customWidth="1"/>
    <col min="13074" max="13074" width="0" hidden="1" customWidth="1"/>
    <col min="13075" max="13075" width="6.85546875" customWidth="1"/>
    <col min="13076" max="13076" width="0" hidden="1" customWidth="1"/>
    <col min="13077" max="13078" width="6.28515625" customWidth="1"/>
    <col min="13079" max="13079" width="17.7109375" customWidth="1"/>
    <col min="13080" max="13080" width="13.85546875" customWidth="1"/>
    <col min="13081" max="13081" width="10.85546875" customWidth="1"/>
    <col min="13082" max="13082" width="16.85546875" customWidth="1"/>
    <col min="13083" max="13083" width="5" customWidth="1"/>
    <col min="13084" max="13084" width="13" customWidth="1"/>
    <col min="13085" max="13085" width="13.140625" customWidth="1"/>
    <col min="13086" max="13087" width="14" customWidth="1"/>
    <col min="13088" max="13088" width="11.42578125" customWidth="1"/>
    <col min="13089" max="13089" width="15.85546875" customWidth="1"/>
    <col min="13090" max="13090" width="23.7109375" customWidth="1"/>
    <col min="13091" max="13091" width="12" customWidth="1"/>
    <col min="13092" max="13093" width="0.28515625" customWidth="1"/>
    <col min="13094" max="13094" width="1.42578125" customWidth="1"/>
    <col min="13095" max="13095" width="0" hidden="1" customWidth="1"/>
    <col min="13313" max="13313" width="10.28515625" customWidth="1"/>
    <col min="13314" max="13314" width="13.42578125" customWidth="1"/>
    <col min="13315" max="13315" width="4.28515625" customWidth="1"/>
    <col min="13316" max="13316" width="4" customWidth="1"/>
    <col min="13317" max="13317" width="15" customWidth="1"/>
    <col min="13318" max="13318" width="4.140625" customWidth="1"/>
    <col min="13319" max="13319" width="11.28515625" customWidth="1"/>
    <col min="13320" max="13320" width="16.140625" customWidth="1"/>
    <col min="13321" max="13321" width="11" customWidth="1"/>
    <col min="13322" max="13323" width="2.140625" customWidth="1"/>
    <col min="13324" max="13324" width="3.28515625" customWidth="1"/>
    <col min="13325" max="13326" width="0" hidden="1" customWidth="1"/>
    <col min="13327" max="13327" width="2.85546875" customWidth="1"/>
    <col min="13328" max="13328" width="3.28515625" customWidth="1"/>
    <col min="13329" max="13329" width="1.42578125" customWidth="1"/>
    <col min="13330" max="13330" width="0" hidden="1" customWidth="1"/>
    <col min="13331" max="13331" width="6.85546875" customWidth="1"/>
    <col min="13332" max="13332" width="0" hidden="1" customWidth="1"/>
    <col min="13333" max="13334" width="6.28515625" customWidth="1"/>
    <col min="13335" max="13335" width="17.7109375" customWidth="1"/>
    <col min="13336" max="13336" width="13.85546875" customWidth="1"/>
    <col min="13337" max="13337" width="10.85546875" customWidth="1"/>
    <col min="13338" max="13338" width="16.85546875" customWidth="1"/>
    <col min="13339" max="13339" width="5" customWidth="1"/>
    <col min="13340" max="13340" width="13" customWidth="1"/>
    <col min="13341" max="13341" width="13.140625" customWidth="1"/>
    <col min="13342" max="13343" width="14" customWidth="1"/>
    <col min="13344" max="13344" width="11.42578125" customWidth="1"/>
    <col min="13345" max="13345" width="15.85546875" customWidth="1"/>
    <col min="13346" max="13346" width="23.7109375" customWidth="1"/>
    <col min="13347" max="13347" width="12" customWidth="1"/>
    <col min="13348" max="13349" width="0.28515625" customWidth="1"/>
    <col min="13350" max="13350" width="1.42578125" customWidth="1"/>
    <col min="13351" max="13351" width="0" hidden="1" customWidth="1"/>
    <col min="13569" max="13569" width="10.28515625" customWidth="1"/>
    <col min="13570" max="13570" width="13.42578125" customWidth="1"/>
    <col min="13571" max="13571" width="4.28515625" customWidth="1"/>
    <col min="13572" max="13572" width="4" customWidth="1"/>
    <col min="13573" max="13573" width="15" customWidth="1"/>
    <col min="13574" max="13574" width="4.140625" customWidth="1"/>
    <col min="13575" max="13575" width="11.28515625" customWidth="1"/>
    <col min="13576" max="13576" width="16.140625" customWidth="1"/>
    <col min="13577" max="13577" width="11" customWidth="1"/>
    <col min="13578" max="13579" width="2.140625" customWidth="1"/>
    <col min="13580" max="13580" width="3.28515625" customWidth="1"/>
    <col min="13581" max="13582" width="0" hidden="1" customWidth="1"/>
    <col min="13583" max="13583" width="2.85546875" customWidth="1"/>
    <col min="13584" max="13584" width="3.28515625" customWidth="1"/>
    <col min="13585" max="13585" width="1.42578125" customWidth="1"/>
    <col min="13586" max="13586" width="0" hidden="1" customWidth="1"/>
    <col min="13587" max="13587" width="6.85546875" customWidth="1"/>
    <col min="13588" max="13588" width="0" hidden="1" customWidth="1"/>
    <col min="13589" max="13590" width="6.28515625" customWidth="1"/>
    <col min="13591" max="13591" width="17.7109375" customWidth="1"/>
    <col min="13592" max="13592" width="13.85546875" customWidth="1"/>
    <col min="13593" max="13593" width="10.85546875" customWidth="1"/>
    <col min="13594" max="13594" width="16.85546875" customWidth="1"/>
    <col min="13595" max="13595" width="5" customWidth="1"/>
    <col min="13596" max="13596" width="13" customWidth="1"/>
    <col min="13597" max="13597" width="13.140625" customWidth="1"/>
    <col min="13598" max="13599" width="14" customWidth="1"/>
    <col min="13600" max="13600" width="11.42578125" customWidth="1"/>
    <col min="13601" max="13601" width="15.85546875" customWidth="1"/>
    <col min="13602" max="13602" width="23.7109375" customWidth="1"/>
    <col min="13603" max="13603" width="12" customWidth="1"/>
    <col min="13604" max="13605" width="0.28515625" customWidth="1"/>
    <col min="13606" max="13606" width="1.42578125" customWidth="1"/>
    <col min="13607" max="13607" width="0" hidden="1" customWidth="1"/>
    <col min="13825" max="13825" width="10.28515625" customWidth="1"/>
    <col min="13826" max="13826" width="13.42578125" customWidth="1"/>
    <col min="13827" max="13827" width="4.28515625" customWidth="1"/>
    <col min="13828" max="13828" width="4" customWidth="1"/>
    <col min="13829" max="13829" width="15" customWidth="1"/>
    <col min="13830" max="13830" width="4.140625" customWidth="1"/>
    <col min="13831" max="13831" width="11.28515625" customWidth="1"/>
    <col min="13832" max="13832" width="16.140625" customWidth="1"/>
    <col min="13833" max="13833" width="11" customWidth="1"/>
    <col min="13834" max="13835" width="2.140625" customWidth="1"/>
    <col min="13836" max="13836" width="3.28515625" customWidth="1"/>
    <col min="13837" max="13838" width="0" hidden="1" customWidth="1"/>
    <col min="13839" max="13839" width="2.85546875" customWidth="1"/>
    <col min="13840" max="13840" width="3.28515625" customWidth="1"/>
    <col min="13841" max="13841" width="1.42578125" customWidth="1"/>
    <col min="13842" max="13842" width="0" hidden="1" customWidth="1"/>
    <col min="13843" max="13843" width="6.85546875" customWidth="1"/>
    <col min="13844" max="13844" width="0" hidden="1" customWidth="1"/>
    <col min="13845" max="13846" width="6.28515625" customWidth="1"/>
    <col min="13847" max="13847" width="17.7109375" customWidth="1"/>
    <col min="13848" max="13848" width="13.85546875" customWidth="1"/>
    <col min="13849" max="13849" width="10.85546875" customWidth="1"/>
    <col min="13850" max="13850" width="16.85546875" customWidth="1"/>
    <col min="13851" max="13851" width="5" customWidth="1"/>
    <col min="13852" max="13852" width="13" customWidth="1"/>
    <col min="13853" max="13853" width="13.140625" customWidth="1"/>
    <col min="13854" max="13855" width="14" customWidth="1"/>
    <col min="13856" max="13856" width="11.42578125" customWidth="1"/>
    <col min="13857" max="13857" width="15.85546875" customWidth="1"/>
    <col min="13858" max="13858" width="23.7109375" customWidth="1"/>
    <col min="13859" max="13859" width="12" customWidth="1"/>
    <col min="13860" max="13861" width="0.28515625" customWidth="1"/>
    <col min="13862" max="13862" width="1.42578125" customWidth="1"/>
    <col min="13863" max="13863" width="0" hidden="1" customWidth="1"/>
    <col min="14081" max="14081" width="10.28515625" customWidth="1"/>
    <col min="14082" max="14082" width="13.42578125" customWidth="1"/>
    <col min="14083" max="14083" width="4.28515625" customWidth="1"/>
    <col min="14084" max="14084" width="4" customWidth="1"/>
    <col min="14085" max="14085" width="15" customWidth="1"/>
    <col min="14086" max="14086" width="4.140625" customWidth="1"/>
    <col min="14087" max="14087" width="11.28515625" customWidth="1"/>
    <col min="14088" max="14088" width="16.140625" customWidth="1"/>
    <col min="14089" max="14089" width="11" customWidth="1"/>
    <col min="14090" max="14091" width="2.140625" customWidth="1"/>
    <col min="14092" max="14092" width="3.28515625" customWidth="1"/>
    <col min="14093" max="14094" width="0" hidden="1" customWidth="1"/>
    <col min="14095" max="14095" width="2.85546875" customWidth="1"/>
    <col min="14096" max="14096" width="3.28515625" customWidth="1"/>
    <col min="14097" max="14097" width="1.42578125" customWidth="1"/>
    <col min="14098" max="14098" width="0" hidden="1" customWidth="1"/>
    <col min="14099" max="14099" width="6.85546875" customWidth="1"/>
    <col min="14100" max="14100" width="0" hidden="1" customWidth="1"/>
    <col min="14101" max="14102" width="6.28515625" customWidth="1"/>
    <col min="14103" max="14103" width="17.7109375" customWidth="1"/>
    <col min="14104" max="14104" width="13.85546875" customWidth="1"/>
    <col min="14105" max="14105" width="10.85546875" customWidth="1"/>
    <col min="14106" max="14106" width="16.85546875" customWidth="1"/>
    <col min="14107" max="14107" width="5" customWidth="1"/>
    <col min="14108" max="14108" width="13" customWidth="1"/>
    <col min="14109" max="14109" width="13.140625" customWidth="1"/>
    <col min="14110" max="14111" width="14" customWidth="1"/>
    <col min="14112" max="14112" width="11.42578125" customWidth="1"/>
    <col min="14113" max="14113" width="15.85546875" customWidth="1"/>
    <col min="14114" max="14114" width="23.7109375" customWidth="1"/>
    <col min="14115" max="14115" width="12" customWidth="1"/>
    <col min="14116" max="14117" width="0.28515625" customWidth="1"/>
    <col min="14118" max="14118" width="1.42578125" customWidth="1"/>
    <col min="14119" max="14119" width="0" hidden="1" customWidth="1"/>
    <col min="14337" max="14337" width="10.28515625" customWidth="1"/>
    <col min="14338" max="14338" width="13.42578125" customWidth="1"/>
    <col min="14339" max="14339" width="4.28515625" customWidth="1"/>
    <col min="14340" max="14340" width="4" customWidth="1"/>
    <col min="14341" max="14341" width="15" customWidth="1"/>
    <col min="14342" max="14342" width="4.140625" customWidth="1"/>
    <col min="14343" max="14343" width="11.28515625" customWidth="1"/>
    <col min="14344" max="14344" width="16.140625" customWidth="1"/>
    <col min="14345" max="14345" width="11" customWidth="1"/>
    <col min="14346" max="14347" width="2.140625" customWidth="1"/>
    <col min="14348" max="14348" width="3.28515625" customWidth="1"/>
    <col min="14349" max="14350" width="0" hidden="1" customWidth="1"/>
    <col min="14351" max="14351" width="2.85546875" customWidth="1"/>
    <col min="14352" max="14352" width="3.28515625" customWidth="1"/>
    <col min="14353" max="14353" width="1.42578125" customWidth="1"/>
    <col min="14354" max="14354" width="0" hidden="1" customWidth="1"/>
    <col min="14355" max="14355" width="6.85546875" customWidth="1"/>
    <col min="14356" max="14356" width="0" hidden="1" customWidth="1"/>
    <col min="14357" max="14358" width="6.28515625" customWidth="1"/>
    <col min="14359" max="14359" width="17.7109375" customWidth="1"/>
    <col min="14360" max="14360" width="13.85546875" customWidth="1"/>
    <col min="14361" max="14361" width="10.85546875" customWidth="1"/>
    <col min="14362" max="14362" width="16.85546875" customWidth="1"/>
    <col min="14363" max="14363" width="5" customWidth="1"/>
    <col min="14364" max="14364" width="13" customWidth="1"/>
    <col min="14365" max="14365" width="13.140625" customWidth="1"/>
    <col min="14366" max="14367" width="14" customWidth="1"/>
    <col min="14368" max="14368" width="11.42578125" customWidth="1"/>
    <col min="14369" max="14369" width="15.85546875" customWidth="1"/>
    <col min="14370" max="14370" width="23.7109375" customWidth="1"/>
    <col min="14371" max="14371" width="12" customWidth="1"/>
    <col min="14372" max="14373" width="0.28515625" customWidth="1"/>
    <col min="14374" max="14374" width="1.42578125" customWidth="1"/>
    <col min="14375" max="14375" width="0" hidden="1" customWidth="1"/>
    <col min="14593" max="14593" width="10.28515625" customWidth="1"/>
    <col min="14594" max="14594" width="13.42578125" customWidth="1"/>
    <col min="14595" max="14595" width="4.28515625" customWidth="1"/>
    <col min="14596" max="14596" width="4" customWidth="1"/>
    <col min="14597" max="14597" width="15" customWidth="1"/>
    <col min="14598" max="14598" width="4.140625" customWidth="1"/>
    <col min="14599" max="14599" width="11.28515625" customWidth="1"/>
    <col min="14600" max="14600" width="16.140625" customWidth="1"/>
    <col min="14601" max="14601" width="11" customWidth="1"/>
    <col min="14602" max="14603" width="2.140625" customWidth="1"/>
    <col min="14604" max="14604" width="3.28515625" customWidth="1"/>
    <col min="14605" max="14606" width="0" hidden="1" customWidth="1"/>
    <col min="14607" max="14607" width="2.85546875" customWidth="1"/>
    <col min="14608" max="14608" width="3.28515625" customWidth="1"/>
    <col min="14609" max="14609" width="1.42578125" customWidth="1"/>
    <col min="14610" max="14610" width="0" hidden="1" customWidth="1"/>
    <col min="14611" max="14611" width="6.85546875" customWidth="1"/>
    <col min="14612" max="14612" width="0" hidden="1" customWidth="1"/>
    <col min="14613" max="14614" width="6.28515625" customWidth="1"/>
    <col min="14615" max="14615" width="17.7109375" customWidth="1"/>
    <col min="14616" max="14616" width="13.85546875" customWidth="1"/>
    <col min="14617" max="14617" width="10.85546875" customWidth="1"/>
    <col min="14618" max="14618" width="16.85546875" customWidth="1"/>
    <col min="14619" max="14619" width="5" customWidth="1"/>
    <col min="14620" max="14620" width="13" customWidth="1"/>
    <col min="14621" max="14621" width="13.140625" customWidth="1"/>
    <col min="14622" max="14623" width="14" customWidth="1"/>
    <col min="14624" max="14624" width="11.42578125" customWidth="1"/>
    <col min="14625" max="14625" width="15.85546875" customWidth="1"/>
    <col min="14626" max="14626" width="23.7109375" customWidth="1"/>
    <col min="14627" max="14627" width="12" customWidth="1"/>
    <col min="14628" max="14629" width="0.28515625" customWidth="1"/>
    <col min="14630" max="14630" width="1.42578125" customWidth="1"/>
    <col min="14631" max="14631" width="0" hidden="1" customWidth="1"/>
    <col min="14849" max="14849" width="10.28515625" customWidth="1"/>
    <col min="14850" max="14850" width="13.42578125" customWidth="1"/>
    <col min="14851" max="14851" width="4.28515625" customWidth="1"/>
    <col min="14852" max="14852" width="4" customWidth="1"/>
    <col min="14853" max="14853" width="15" customWidth="1"/>
    <col min="14854" max="14854" width="4.140625" customWidth="1"/>
    <col min="14855" max="14855" width="11.28515625" customWidth="1"/>
    <col min="14856" max="14856" width="16.140625" customWidth="1"/>
    <col min="14857" max="14857" width="11" customWidth="1"/>
    <col min="14858" max="14859" width="2.140625" customWidth="1"/>
    <col min="14860" max="14860" width="3.28515625" customWidth="1"/>
    <col min="14861" max="14862" width="0" hidden="1" customWidth="1"/>
    <col min="14863" max="14863" width="2.85546875" customWidth="1"/>
    <col min="14864" max="14864" width="3.28515625" customWidth="1"/>
    <col min="14865" max="14865" width="1.42578125" customWidth="1"/>
    <col min="14866" max="14866" width="0" hidden="1" customWidth="1"/>
    <col min="14867" max="14867" width="6.85546875" customWidth="1"/>
    <col min="14868" max="14868" width="0" hidden="1" customWidth="1"/>
    <col min="14869" max="14870" width="6.28515625" customWidth="1"/>
    <col min="14871" max="14871" width="17.7109375" customWidth="1"/>
    <col min="14872" max="14872" width="13.85546875" customWidth="1"/>
    <col min="14873" max="14873" width="10.85546875" customWidth="1"/>
    <col min="14874" max="14874" width="16.85546875" customWidth="1"/>
    <col min="14875" max="14875" width="5" customWidth="1"/>
    <col min="14876" max="14876" width="13" customWidth="1"/>
    <col min="14877" max="14877" width="13.140625" customWidth="1"/>
    <col min="14878" max="14879" width="14" customWidth="1"/>
    <col min="14880" max="14880" width="11.42578125" customWidth="1"/>
    <col min="14881" max="14881" width="15.85546875" customWidth="1"/>
    <col min="14882" max="14882" width="23.7109375" customWidth="1"/>
    <col min="14883" max="14883" width="12" customWidth="1"/>
    <col min="14884" max="14885" width="0.28515625" customWidth="1"/>
    <col min="14886" max="14886" width="1.42578125" customWidth="1"/>
    <col min="14887" max="14887" width="0" hidden="1" customWidth="1"/>
    <col min="15105" max="15105" width="10.28515625" customWidth="1"/>
    <col min="15106" max="15106" width="13.42578125" customWidth="1"/>
    <col min="15107" max="15107" width="4.28515625" customWidth="1"/>
    <col min="15108" max="15108" width="4" customWidth="1"/>
    <col min="15109" max="15109" width="15" customWidth="1"/>
    <col min="15110" max="15110" width="4.140625" customWidth="1"/>
    <col min="15111" max="15111" width="11.28515625" customWidth="1"/>
    <col min="15112" max="15112" width="16.140625" customWidth="1"/>
    <col min="15113" max="15113" width="11" customWidth="1"/>
    <col min="15114" max="15115" width="2.140625" customWidth="1"/>
    <col min="15116" max="15116" width="3.28515625" customWidth="1"/>
    <col min="15117" max="15118" width="0" hidden="1" customWidth="1"/>
    <col min="15119" max="15119" width="2.85546875" customWidth="1"/>
    <col min="15120" max="15120" width="3.28515625" customWidth="1"/>
    <col min="15121" max="15121" width="1.42578125" customWidth="1"/>
    <col min="15122" max="15122" width="0" hidden="1" customWidth="1"/>
    <col min="15123" max="15123" width="6.85546875" customWidth="1"/>
    <col min="15124" max="15124" width="0" hidden="1" customWidth="1"/>
    <col min="15125" max="15126" width="6.28515625" customWidth="1"/>
    <col min="15127" max="15127" width="17.7109375" customWidth="1"/>
    <col min="15128" max="15128" width="13.85546875" customWidth="1"/>
    <col min="15129" max="15129" width="10.85546875" customWidth="1"/>
    <col min="15130" max="15130" width="16.85546875" customWidth="1"/>
    <col min="15131" max="15131" width="5" customWidth="1"/>
    <col min="15132" max="15132" width="13" customWidth="1"/>
    <col min="15133" max="15133" width="13.140625" customWidth="1"/>
    <col min="15134" max="15135" width="14" customWidth="1"/>
    <col min="15136" max="15136" width="11.42578125" customWidth="1"/>
    <col min="15137" max="15137" width="15.85546875" customWidth="1"/>
    <col min="15138" max="15138" width="23.7109375" customWidth="1"/>
    <col min="15139" max="15139" width="12" customWidth="1"/>
    <col min="15140" max="15141" width="0.28515625" customWidth="1"/>
    <col min="15142" max="15142" width="1.42578125" customWidth="1"/>
    <col min="15143" max="15143" width="0" hidden="1" customWidth="1"/>
    <col min="15361" max="15361" width="10.28515625" customWidth="1"/>
    <col min="15362" max="15362" width="13.42578125" customWidth="1"/>
    <col min="15363" max="15363" width="4.28515625" customWidth="1"/>
    <col min="15364" max="15364" width="4" customWidth="1"/>
    <col min="15365" max="15365" width="15" customWidth="1"/>
    <col min="15366" max="15366" width="4.140625" customWidth="1"/>
    <col min="15367" max="15367" width="11.28515625" customWidth="1"/>
    <col min="15368" max="15368" width="16.140625" customWidth="1"/>
    <col min="15369" max="15369" width="11" customWidth="1"/>
    <col min="15370" max="15371" width="2.140625" customWidth="1"/>
    <col min="15372" max="15372" width="3.28515625" customWidth="1"/>
    <col min="15373" max="15374" width="0" hidden="1" customWidth="1"/>
    <col min="15375" max="15375" width="2.85546875" customWidth="1"/>
    <col min="15376" max="15376" width="3.28515625" customWidth="1"/>
    <col min="15377" max="15377" width="1.42578125" customWidth="1"/>
    <col min="15378" max="15378" width="0" hidden="1" customWidth="1"/>
    <col min="15379" max="15379" width="6.85546875" customWidth="1"/>
    <col min="15380" max="15380" width="0" hidden="1" customWidth="1"/>
    <col min="15381" max="15382" width="6.28515625" customWidth="1"/>
    <col min="15383" max="15383" width="17.7109375" customWidth="1"/>
    <col min="15384" max="15384" width="13.85546875" customWidth="1"/>
    <col min="15385" max="15385" width="10.85546875" customWidth="1"/>
    <col min="15386" max="15386" width="16.85546875" customWidth="1"/>
    <col min="15387" max="15387" width="5" customWidth="1"/>
    <col min="15388" max="15388" width="13" customWidth="1"/>
    <col min="15389" max="15389" width="13.140625" customWidth="1"/>
    <col min="15390" max="15391" width="14" customWidth="1"/>
    <col min="15392" max="15392" width="11.42578125" customWidth="1"/>
    <col min="15393" max="15393" width="15.85546875" customWidth="1"/>
    <col min="15394" max="15394" width="23.7109375" customWidth="1"/>
    <col min="15395" max="15395" width="12" customWidth="1"/>
    <col min="15396" max="15397" width="0.28515625" customWidth="1"/>
    <col min="15398" max="15398" width="1.42578125" customWidth="1"/>
    <col min="15399" max="15399" width="0" hidden="1" customWidth="1"/>
    <col min="15617" max="15617" width="10.28515625" customWidth="1"/>
    <col min="15618" max="15618" width="13.42578125" customWidth="1"/>
    <col min="15619" max="15619" width="4.28515625" customWidth="1"/>
    <col min="15620" max="15620" width="4" customWidth="1"/>
    <col min="15621" max="15621" width="15" customWidth="1"/>
    <col min="15622" max="15622" width="4.140625" customWidth="1"/>
    <col min="15623" max="15623" width="11.28515625" customWidth="1"/>
    <col min="15624" max="15624" width="16.140625" customWidth="1"/>
    <col min="15625" max="15625" width="11" customWidth="1"/>
    <col min="15626" max="15627" width="2.140625" customWidth="1"/>
    <col min="15628" max="15628" width="3.28515625" customWidth="1"/>
    <col min="15629" max="15630" width="0" hidden="1" customWidth="1"/>
    <col min="15631" max="15631" width="2.85546875" customWidth="1"/>
    <col min="15632" max="15632" width="3.28515625" customWidth="1"/>
    <col min="15633" max="15633" width="1.42578125" customWidth="1"/>
    <col min="15634" max="15634" width="0" hidden="1" customWidth="1"/>
    <col min="15635" max="15635" width="6.85546875" customWidth="1"/>
    <col min="15636" max="15636" width="0" hidden="1" customWidth="1"/>
    <col min="15637" max="15638" width="6.28515625" customWidth="1"/>
    <col min="15639" max="15639" width="17.7109375" customWidth="1"/>
    <col min="15640" max="15640" width="13.85546875" customWidth="1"/>
    <col min="15641" max="15641" width="10.85546875" customWidth="1"/>
    <col min="15642" max="15642" width="16.85546875" customWidth="1"/>
    <col min="15643" max="15643" width="5" customWidth="1"/>
    <col min="15644" max="15644" width="13" customWidth="1"/>
    <col min="15645" max="15645" width="13.140625" customWidth="1"/>
    <col min="15646" max="15647" width="14" customWidth="1"/>
    <col min="15648" max="15648" width="11.42578125" customWidth="1"/>
    <col min="15649" max="15649" width="15.85546875" customWidth="1"/>
    <col min="15650" max="15650" width="23.7109375" customWidth="1"/>
    <col min="15651" max="15651" width="12" customWidth="1"/>
    <col min="15652" max="15653" width="0.28515625" customWidth="1"/>
    <col min="15654" max="15654" width="1.42578125" customWidth="1"/>
    <col min="15655" max="15655" width="0" hidden="1" customWidth="1"/>
    <col min="15873" max="15873" width="10.28515625" customWidth="1"/>
    <col min="15874" max="15874" width="13.42578125" customWidth="1"/>
    <col min="15875" max="15875" width="4.28515625" customWidth="1"/>
    <col min="15876" max="15876" width="4" customWidth="1"/>
    <col min="15877" max="15877" width="15" customWidth="1"/>
    <col min="15878" max="15878" width="4.140625" customWidth="1"/>
    <col min="15879" max="15879" width="11.28515625" customWidth="1"/>
    <col min="15880" max="15880" width="16.140625" customWidth="1"/>
    <col min="15881" max="15881" width="11" customWidth="1"/>
    <col min="15882" max="15883" width="2.140625" customWidth="1"/>
    <col min="15884" max="15884" width="3.28515625" customWidth="1"/>
    <col min="15885" max="15886" width="0" hidden="1" customWidth="1"/>
    <col min="15887" max="15887" width="2.85546875" customWidth="1"/>
    <col min="15888" max="15888" width="3.28515625" customWidth="1"/>
    <col min="15889" max="15889" width="1.42578125" customWidth="1"/>
    <col min="15890" max="15890" width="0" hidden="1" customWidth="1"/>
    <col min="15891" max="15891" width="6.85546875" customWidth="1"/>
    <col min="15892" max="15892" width="0" hidden="1" customWidth="1"/>
    <col min="15893" max="15894" width="6.28515625" customWidth="1"/>
    <col min="15895" max="15895" width="17.7109375" customWidth="1"/>
    <col min="15896" max="15896" width="13.85546875" customWidth="1"/>
    <col min="15897" max="15897" width="10.85546875" customWidth="1"/>
    <col min="15898" max="15898" width="16.85546875" customWidth="1"/>
    <col min="15899" max="15899" width="5" customWidth="1"/>
    <col min="15900" max="15900" width="13" customWidth="1"/>
    <col min="15901" max="15901" width="13.140625" customWidth="1"/>
    <col min="15902" max="15903" width="14" customWidth="1"/>
    <col min="15904" max="15904" width="11.42578125" customWidth="1"/>
    <col min="15905" max="15905" width="15.85546875" customWidth="1"/>
    <col min="15906" max="15906" width="23.7109375" customWidth="1"/>
    <col min="15907" max="15907" width="12" customWidth="1"/>
    <col min="15908" max="15909" width="0.28515625" customWidth="1"/>
    <col min="15910" max="15910" width="1.42578125" customWidth="1"/>
    <col min="15911" max="15911" width="0" hidden="1" customWidth="1"/>
    <col min="16129" max="16129" width="10.28515625" customWidth="1"/>
    <col min="16130" max="16130" width="13.42578125" customWidth="1"/>
    <col min="16131" max="16131" width="4.28515625" customWidth="1"/>
    <col min="16132" max="16132" width="4" customWidth="1"/>
    <col min="16133" max="16133" width="15" customWidth="1"/>
    <col min="16134" max="16134" width="4.140625" customWidth="1"/>
    <col min="16135" max="16135" width="11.28515625" customWidth="1"/>
    <col min="16136" max="16136" width="16.140625" customWidth="1"/>
    <col min="16137" max="16137" width="11" customWidth="1"/>
    <col min="16138" max="16139" width="2.140625" customWidth="1"/>
    <col min="16140" max="16140" width="3.28515625" customWidth="1"/>
    <col min="16141" max="16142" width="0" hidden="1" customWidth="1"/>
    <col min="16143" max="16143" width="2.85546875" customWidth="1"/>
    <col min="16144" max="16144" width="3.28515625" customWidth="1"/>
    <col min="16145" max="16145" width="1.42578125" customWidth="1"/>
    <col min="16146" max="16146" width="0" hidden="1" customWidth="1"/>
    <col min="16147" max="16147" width="6.85546875" customWidth="1"/>
    <col min="16148" max="16148" width="0" hidden="1" customWidth="1"/>
    <col min="16149" max="16150" width="6.28515625" customWidth="1"/>
    <col min="16151" max="16151" width="17.7109375" customWidth="1"/>
    <col min="16152" max="16152" width="13.85546875" customWidth="1"/>
    <col min="16153" max="16153" width="10.85546875" customWidth="1"/>
    <col min="16154" max="16154" width="16.85546875" customWidth="1"/>
    <col min="16155" max="16155" width="5" customWidth="1"/>
    <col min="16156" max="16156" width="13" customWidth="1"/>
    <col min="16157" max="16157" width="13.140625" customWidth="1"/>
    <col min="16158" max="16159" width="14" customWidth="1"/>
    <col min="16160" max="16160" width="11.42578125" customWidth="1"/>
    <col min="16161" max="16161" width="15.85546875" customWidth="1"/>
    <col min="16162" max="16162" width="23.7109375" customWidth="1"/>
    <col min="16163" max="16163" width="12" customWidth="1"/>
    <col min="16164" max="16165" width="0.28515625" customWidth="1"/>
    <col min="16166" max="16166" width="1.42578125" customWidth="1"/>
    <col min="16167" max="16167" width="0" hidden="1" customWidth="1"/>
  </cols>
  <sheetData>
    <row r="1" spans="1:37" ht="45" customHeight="1">
      <c r="A1" s="886"/>
      <c r="B1" s="886"/>
      <c r="C1" s="887" t="s">
        <v>0</v>
      </c>
      <c r="D1" s="888"/>
      <c r="E1" s="888"/>
      <c r="F1" s="888"/>
      <c r="G1" s="888"/>
      <c r="H1" s="888"/>
      <c r="I1" s="888"/>
      <c r="J1" s="888"/>
      <c r="K1" s="888"/>
      <c r="L1" s="888"/>
      <c r="M1" s="888"/>
      <c r="N1" s="888"/>
      <c r="O1" s="888"/>
      <c r="P1" s="888"/>
      <c r="Q1" s="888"/>
      <c r="R1" s="888"/>
      <c r="S1" s="888"/>
      <c r="T1" s="888"/>
      <c r="U1" s="888"/>
      <c r="V1" s="888"/>
      <c r="W1" s="888"/>
      <c r="X1" s="888"/>
      <c r="Y1" s="888"/>
      <c r="Z1" s="888"/>
      <c r="AA1" s="888"/>
      <c r="AB1" s="888"/>
      <c r="AC1" s="888"/>
      <c r="AD1" s="888"/>
      <c r="AE1" s="888"/>
      <c r="AF1" s="888"/>
      <c r="AG1" s="889"/>
      <c r="AH1" s="890" t="s">
        <v>45</v>
      </c>
      <c r="AJ1" s="10" t="s">
        <v>17</v>
      </c>
      <c r="AK1" s="11" t="s">
        <v>23</v>
      </c>
    </row>
    <row r="2" spans="1:37" ht="45" customHeight="1">
      <c r="A2" s="886"/>
      <c r="B2" s="886"/>
      <c r="C2" s="891" t="s">
        <v>37</v>
      </c>
      <c r="D2" s="892"/>
      <c r="E2" s="892"/>
      <c r="F2" s="892"/>
      <c r="G2" s="892"/>
      <c r="H2" s="892"/>
      <c r="I2" s="892"/>
      <c r="J2" s="892"/>
      <c r="K2" s="892"/>
      <c r="L2" s="892"/>
      <c r="M2" s="892"/>
      <c r="N2" s="892"/>
      <c r="O2" s="892"/>
      <c r="P2" s="892"/>
      <c r="Q2" s="892"/>
      <c r="R2" s="892"/>
      <c r="S2" s="892"/>
      <c r="T2" s="892"/>
      <c r="U2" s="892"/>
      <c r="V2" s="892"/>
      <c r="W2" s="892"/>
      <c r="X2" s="892"/>
      <c r="Y2" s="892"/>
      <c r="Z2" s="892"/>
      <c r="AA2" s="892"/>
      <c r="AB2" s="892"/>
      <c r="AC2" s="892"/>
      <c r="AD2" s="892"/>
      <c r="AE2" s="892"/>
      <c r="AF2" s="892"/>
      <c r="AG2" s="893"/>
      <c r="AH2" s="890"/>
      <c r="AJ2" t="s">
        <v>18</v>
      </c>
      <c r="AK2" s="12" t="s">
        <v>24</v>
      </c>
    </row>
    <row r="3" spans="1:37" ht="6.75" customHeight="1">
      <c r="A3" s="866"/>
      <c r="B3" s="866"/>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c r="AE3" s="866"/>
      <c r="AF3" s="866"/>
      <c r="AG3" s="866"/>
      <c r="AH3" s="866"/>
      <c r="AJ3" s="10" t="s">
        <v>16</v>
      </c>
      <c r="AK3" s="11" t="s">
        <v>25</v>
      </c>
    </row>
    <row r="4" spans="1:37" ht="30.75" customHeight="1">
      <c r="A4" s="894" t="s">
        <v>5</v>
      </c>
      <c r="B4" s="894"/>
      <c r="C4" s="894"/>
      <c r="D4" s="894"/>
      <c r="E4" s="895" t="s">
        <v>666</v>
      </c>
      <c r="F4" s="895"/>
      <c r="G4" s="895"/>
      <c r="H4" s="895"/>
      <c r="I4" s="895"/>
      <c r="J4" s="895"/>
      <c r="K4" s="895"/>
      <c r="L4" s="895"/>
      <c r="M4" s="895"/>
      <c r="N4" s="895"/>
      <c r="O4" s="895"/>
      <c r="P4" s="895"/>
      <c r="Q4" s="895"/>
      <c r="R4" s="895"/>
      <c r="S4" s="895"/>
      <c r="T4" s="895"/>
      <c r="U4" s="895"/>
      <c r="V4" s="895"/>
      <c r="W4" s="874" t="s">
        <v>20</v>
      </c>
      <c r="X4" s="874"/>
      <c r="Y4" s="874"/>
      <c r="Z4" s="896" t="s">
        <v>667</v>
      </c>
      <c r="AA4" s="897"/>
      <c r="AB4" s="897"/>
      <c r="AC4" s="897"/>
      <c r="AD4" s="897"/>
      <c r="AE4" s="898"/>
      <c r="AF4" s="899" t="s">
        <v>48</v>
      </c>
      <c r="AG4" s="900"/>
      <c r="AH4" s="13" t="s">
        <v>71</v>
      </c>
      <c r="AJ4" s="11" t="s">
        <v>19</v>
      </c>
    </row>
    <row r="5" spans="1:37" ht="4.5" customHeight="1" thickBot="1">
      <c r="A5" s="866"/>
      <c r="B5" s="866"/>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c r="AE5" s="866"/>
      <c r="AF5" s="866"/>
      <c r="AG5" s="866"/>
      <c r="AH5" s="866"/>
    </row>
    <row r="6" spans="1:37" ht="57" customHeight="1">
      <c r="A6" s="881" t="s">
        <v>39</v>
      </c>
      <c r="B6" s="882"/>
      <c r="C6" s="874" t="s">
        <v>1</v>
      </c>
      <c r="D6" s="874" t="s">
        <v>49</v>
      </c>
      <c r="E6" s="874"/>
      <c r="F6" s="883" t="s">
        <v>6</v>
      </c>
      <c r="G6" s="874" t="s">
        <v>9</v>
      </c>
      <c r="H6" s="884" t="s">
        <v>50</v>
      </c>
      <c r="I6" s="874" t="s">
        <v>2</v>
      </c>
      <c r="J6" s="874" t="s">
        <v>21</v>
      </c>
      <c r="K6" s="874"/>
      <c r="L6" s="874"/>
      <c r="M6" s="874"/>
      <c r="N6" s="874"/>
      <c r="O6" s="874"/>
      <c r="P6" s="874"/>
      <c r="Q6" s="874"/>
      <c r="R6" s="874"/>
      <c r="S6" s="874"/>
      <c r="T6" s="874"/>
      <c r="U6" s="874"/>
      <c r="V6" s="874"/>
      <c r="W6" s="874" t="s">
        <v>51</v>
      </c>
      <c r="X6" s="884" t="s">
        <v>52</v>
      </c>
      <c r="Y6" s="874" t="s">
        <v>3</v>
      </c>
      <c r="Z6" s="874"/>
      <c r="AA6" s="874"/>
      <c r="AB6" s="875" t="s">
        <v>53</v>
      </c>
      <c r="AC6" s="875" t="s">
        <v>4</v>
      </c>
      <c r="AD6" s="875"/>
      <c r="AE6" s="876" t="s">
        <v>54</v>
      </c>
      <c r="AF6" s="874" t="s">
        <v>55</v>
      </c>
      <c r="AG6" s="874" t="s">
        <v>56</v>
      </c>
      <c r="AH6" s="874" t="s">
        <v>57</v>
      </c>
    </row>
    <row r="7" spans="1:37" ht="37.5" customHeight="1" thickBot="1">
      <c r="A7" s="355" t="s">
        <v>40</v>
      </c>
      <c r="B7" s="356" t="s">
        <v>41</v>
      </c>
      <c r="C7" s="874"/>
      <c r="D7" s="874"/>
      <c r="E7" s="874"/>
      <c r="F7" s="883"/>
      <c r="G7" s="874"/>
      <c r="H7" s="885"/>
      <c r="I7" s="874"/>
      <c r="J7" s="874" t="s">
        <v>11</v>
      </c>
      <c r="K7" s="874"/>
      <c r="L7" s="874"/>
      <c r="M7" s="874"/>
      <c r="N7" s="874"/>
      <c r="O7" s="874"/>
      <c r="P7" s="858" t="s">
        <v>12</v>
      </c>
      <c r="Q7" s="858"/>
      <c r="R7" s="858"/>
      <c r="S7" s="858"/>
      <c r="T7" s="858"/>
      <c r="U7" s="858" t="s">
        <v>13</v>
      </c>
      <c r="V7" s="858"/>
      <c r="W7" s="874"/>
      <c r="X7" s="885"/>
      <c r="Y7" s="874"/>
      <c r="Z7" s="874"/>
      <c r="AA7" s="874"/>
      <c r="AB7" s="875"/>
      <c r="AC7" s="334" t="s">
        <v>14</v>
      </c>
      <c r="AD7" s="335" t="s">
        <v>15</v>
      </c>
      <c r="AE7" s="877"/>
      <c r="AF7" s="874"/>
      <c r="AG7" s="874"/>
      <c r="AH7" s="874"/>
    </row>
    <row r="8" spans="1:37" ht="144.94999999999999" customHeight="1">
      <c r="A8" s="944"/>
      <c r="B8" s="944"/>
      <c r="C8" s="1041">
        <v>1</v>
      </c>
      <c r="D8" s="1042" t="s">
        <v>668</v>
      </c>
      <c r="E8" s="1043"/>
      <c r="F8" s="1046">
        <v>43858</v>
      </c>
      <c r="G8" s="1056" t="s">
        <v>10</v>
      </c>
      <c r="H8" s="1056" t="s">
        <v>59</v>
      </c>
      <c r="I8" s="1041" t="s">
        <v>25</v>
      </c>
      <c r="J8" s="1047"/>
      <c r="K8" s="1048"/>
      <c r="L8" s="1048"/>
      <c r="M8" s="1048"/>
      <c r="N8" s="1048"/>
      <c r="O8" s="1049"/>
      <c r="P8" s="1047"/>
      <c r="Q8" s="1048"/>
      <c r="R8" s="1048"/>
      <c r="S8" s="1049"/>
      <c r="T8" s="357"/>
      <c r="U8" s="1047"/>
      <c r="V8" s="1049"/>
      <c r="W8" s="1050" t="s">
        <v>669</v>
      </c>
      <c r="X8" s="1050"/>
      <c r="Y8" s="1148" t="s">
        <v>670</v>
      </c>
      <c r="Z8" s="1148"/>
      <c r="AA8" s="1148"/>
      <c r="AB8" s="358" t="s">
        <v>671</v>
      </c>
      <c r="AC8" s="359">
        <v>43868</v>
      </c>
      <c r="AD8" s="359">
        <v>43878</v>
      </c>
      <c r="AE8" s="360" t="s">
        <v>68</v>
      </c>
      <c r="AF8" s="336" t="s">
        <v>17</v>
      </c>
      <c r="AG8" s="31">
        <v>1</v>
      </c>
      <c r="AH8" s="32" t="s">
        <v>681</v>
      </c>
    </row>
    <row r="9" spans="1:37" ht="83.25" customHeight="1">
      <c r="A9" s="945"/>
      <c r="B9" s="945"/>
      <c r="C9" s="945"/>
      <c r="D9" s="1044"/>
      <c r="E9" s="1045"/>
      <c r="F9" s="972"/>
      <c r="G9" s="942"/>
      <c r="H9" s="942"/>
      <c r="I9" s="945"/>
      <c r="J9" s="950"/>
      <c r="K9" s="951"/>
      <c r="L9" s="951"/>
      <c r="M9" s="951"/>
      <c r="N9" s="951"/>
      <c r="O9" s="952"/>
      <c r="P9" s="950"/>
      <c r="Q9" s="951"/>
      <c r="R9" s="951"/>
      <c r="S9" s="952"/>
      <c r="T9" s="357"/>
      <c r="U9" s="950"/>
      <c r="V9" s="952"/>
      <c r="W9" s="1051"/>
      <c r="X9" s="1051"/>
      <c r="Y9" s="1149" t="s">
        <v>672</v>
      </c>
      <c r="Z9" s="1149"/>
      <c r="AA9" s="1149"/>
      <c r="AB9" s="361" t="s">
        <v>673</v>
      </c>
      <c r="AC9" s="362">
        <v>43878</v>
      </c>
      <c r="AD9" s="362">
        <v>43921</v>
      </c>
      <c r="AE9" s="360" t="s">
        <v>70</v>
      </c>
      <c r="AF9" s="336" t="s">
        <v>17</v>
      </c>
      <c r="AG9" s="31">
        <v>1</v>
      </c>
      <c r="AH9" s="32" t="s">
        <v>942</v>
      </c>
    </row>
    <row r="10" spans="1:37" ht="81.75" customHeight="1">
      <c r="A10" s="945"/>
      <c r="B10" s="945"/>
      <c r="C10" s="945"/>
      <c r="D10" s="1044"/>
      <c r="E10" s="1045"/>
      <c r="F10" s="972"/>
      <c r="G10" s="942"/>
      <c r="H10" s="942"/>
      <c r="I10" s="945"/>
      <c r="J10" s="950"/>
      <c r="K10" s="951"/>
      <c r="L10" s="951"/>
      <c r="M10" s="951"/>
      <c r="N10" s="951"/>
      <c r="O10" s="952"/>
      <c r="P10" s="950"/>
      <c r="Q10" s="951"/>
      <c r="R10" s="951"/>
      <c r="S10" s="952"/>
      <c r="T10" s="357"/>
      <c r="U10" s="950"/>
      <c r="V10" s="952"/>
      <c r="W10" s="1051"/>
      <c r="X10" s="1051"/>
      <c r="Y10" s="1149" t="s">
        <v>674</v>
      </c>
      <c r="Z10" s="1149"/>
      <c r="AA10" s="1149"/>
      <c r="AB10" s="361" t="s">
        <v>675</v>
      </c>
      <c r="AC10" s="362">
        <v>43878</v>
      </c>
      <c r="AD10" s="362">
        <v>44148</v>
      </c>
      <c r="AE10" s="360"/>
      <c r="AF10" s="336" t="s">
        <v>16</v>
      </c>
      <c r="AG10" s="31"/>
      <c r="AH10" s="32" t="s">
        <v>682</v>
      </c>
    </row>
    <row r="11" spans="1:37" ht="81.75" customHeight="1">
      <c r="A11" s="945"/>
      <c r="B11" s="945"/>
      <c r="C11" s="945"/>
      <c r="D11" s="1044"/>
      <c r="E11" s="1045"/>
      <c r="F11" s="972"/>
      <c r="G11" s="942"/>
      <c r="H11" s="942"/>
      <c r="I11" s="945"/>
      <c r="J11" s="950"/>
      <c r="K11" s="951"/>
      <c r="L11" s="951"/>
      <c r="M11" s="951"/>
      <c r="N11" s="951"/>
      <c r="O11" s="952"/>
      <c r="P11" s="950"/>
      <c r="Q11" s="951"/>
      <c r="R11" s="951"/>
      <c r="S11" s="952"/>
      <c r="T11" s="357"/>
      <c r="U11" s="950"/>
      <c r="V11" s="952"/>
      <c r="W11" s="1051"/>
      <c r="X11" s="1051"/>
      <c r="Y11" s="1150" t="s">
        <v>676</v>
      </c>
      <c r="Z11" s="1039"/>
      <c r="AA11" s="1040"/>
      <c r="AB11" s="363" t="s">
        <v>677</v>
      </c>
      <c r="AC11" s="362">
        <v>43878</v>
      </c>
      <c r="AD11" s="362">
        <v>44148</v>
      </c>
      <c r="AE11" s="360"/>
      <c r="AF11" s="336"/>
      <c r="AG11" s="31">
        <v>0</v>
      </c>
      <c r="AH11" s="32" t="s">
        <v>554</v>
      </c>
    </row>
    <row r="12" spans="1:37" ht="81.75" customHeight="1" thickBot="1">
      <c r="A12" s="945"/>
      <c r="B12" s="945"/>
      <c r="C12" s="945"/>
      <c r="D12" s="1044"/>
      <c r="E12" s="1045"/>
      <c r="F12" s="972"/>
      <c r="G12" s="942"/>
      <c r="H12" s="942"/>
      <c r="I12" s="945"/>
      <c r="J12" s="950"/>
      <c r="K12" s="951"/>
      <c r="L12" s="951"/>
      <c r="M12" s="951"/>
      <c r="N12" s="951"/>
      <c r="O12" s="952"/>
      <c r="P12" s="950"/>
      <c r="Q12" s="951"/>
      <c r="R12" s="951"/>
      <c r="S12" s="952"/>
      <c r="T12" s="484"/>
      <c r="U12" s="950"/>
      <c r="V12" s="952"/>
      <c r="W12" s="1051"/>
      <c r="X12" s="1051"/>
      <c r="Y12" s="1147" t="s">
        <v>678</v>
      </c>
      <c r="Z12" s="1147"/>
      <c r="AA12" s="1147"/>
      <c r="AB12" s="511" t="s">
        <v>679</v>
      </c>
      <c r="AC12" s="512">
        <v>43878</v>
      </c>
      <c r="AD12" s="512">
        <v>44148</v>
      </c>
      <c r="AE12" s="517"/>
      <c r="AF12" s="475" t="s">
        <v>16</v>
      </c>
      <c r="AG12" s="488"/>
      <c r="AH12" s="489" t="s">
        <v>682</v>
      </c>
    </row>
    <row r="13" spans="1:37" ht="106.5" customHeight="1">
      <c r="A13" s="1018"/>
      <c r="B13" s="944"/>
      <c r="C13" s="944">
        <v>2</v>
      </c>
      <c r="D13" s="1151" t="s">
        <v>957</v>
      </c>
      <c r="E13" s="1152"/>
      <c r="F13" s="971">
        <v>43914</v>
      </c>
      <c r="G13" s="941" t="s">
        <v>28</v>
      </c>
      <c r="H13" s="941" t="s">
        <v>59</v>
      </c>
      <c r="I13" s="944" t="s">
        <v>25</v>
      </c>
      <c r="J13" s="947" t="s">
        <v>162</v>
      </c>
      <c r="K13" s="948"/>
      <c r="L13" s="948"/>
      <c r="M13" s="948"/>
      <c r="N13" s="948"/>
      <c r="O13" s="949"/>
      <c r="P13" s="947" t="s">
        <v>162</v>
      </c>
      <c r="Q13" s="948"/>
      <c r="R13" s="948"/>
      <c r="S13" s="949"/>
      <c r="T13" s="374"/>
      <c r="U13" s="947" t="s">
        <v>162</v>
      </c>
      <c r="V13" s="949"/>
      <c r="W13" s="1155" t="s">
        <v>958</v>
      </c>
      <c r="X13" s="1155"/>
      <c r="Y13" s="1157" t="s">
        <v>959</v>
      </c>
      <c r="Z13" s="1157"/>
      <c r="AA13" s="1158"/>
      <c r="AB13" s="513" t="s">
        <v>960</v>
      </c>
      <c r="AC13" s="514">
        <v>43945</v>
      </c>
      <c r="AD13" s="514">
        <v>43951</v>
      </c>
      <c r="AE13" s="495"/>
      <c r="AF13" s="376"/>
      <c r="AG13" s="375"/>
      <c r="AH13" s="518"/>
    </row>
    <row r="14" spans="1:37" ht="97.5" customHeight="1">
      <c r="A14" s="1019"/>
      <c r="B14" s="945"/>
      <c r="C14" s="945"/>
      <c r="D14" s="1044"/>
      <c r="E14" s="1045"/>
      <c r="F14" s="972"/>
      <c r="G14" s="942"/>
      <c r="H14" s="942"/>
      <c r="I14" s="945"/>
      <c r="J14" s="950"/>
      <c r="K14" s="951"/>
      <c r="L14" s="951"/>
      <c r="M14" s="951"/>
      <c r="N14" s="951"/>
      <c r="O14" s="952"/>
      <c r="P14" s="950"/>
      <c r="Q14" s="951"/>
      <c r="R14" s="951"/>
      <c r="S14" s="952"/>
      <c r="T14" s="357"/>
      <c r="U14" s="950"/>
      <c r="V14" s="952"/>
      <c r="W14" s="1051"/>
      <c r="X14" s="1051"/>
      <c r="Y14" s="1159" t="s">
        <v>966</v>
      </c>
      <c r="Z14" s="1160"/>
      <c r="AA14" s="1161"/>
      <c r="AB14" s="515" t="s">
        <v>961</v>
      </c>
      <c r="AC14" s="481">
        <v>43962</v>
      </c>
      <c r="AD14" s="482">
        <v>43969</v>
      </c>
      <c r="AE14" s="473"/>
      <c r="AF14" s="469"/>
      <c r="AG14" s="31"/>
      <c r="AH14" s="519"/>
    </row>
    <row r="15" spans="1:37" ht="66" customHeight="1">
      <c r="A15" s="1019"/>
      <c r="B15" s="945"/>
      <c r="C15" s="945"/>
      <c r="D15" s="1044"/>
      <c r="E15" s="1045"/>
      <c r="F15" s="972"/>
      <c r="G15" s="942"/>
      <c r="H15" s="942"/>
      <c r="I15" s="945"/>
      <c r="J15" s="950"/>
      <c r="K15" s="951"/>
      <c r="L15" s="951"/>
      <c r="M15" s="951"/>
      <c r="N15" s="951"/>
      <c r="O15" s="952"/>
      <c r="P15" s="950"/>
      <c r="Q15" s="951"/>
      <c r="R15" s="951"/>
      <c r="S15" s="952"/>
      <c r="T15" s="357"/>
      <c r="U15" s="950"/>
      <c r="V15" s="952"/>
      <c r="W15" s="1051"/>
      <c r="X15" s="1051"/>
      <c r="Y15" s="1160" t="s">
        <v>962</v>
      </c>
      <c r="Z15" s="1160"/>
      <c r="AA15" s="1161"/>
      <c r="AB15" s="483" t="s">
        <v>963</v>
      </c>
      <c r="AC15" s="482">
        <v>43969</v>
      </c>
      <c r="AD15" s="516">
        <v>43976</v>
      </c>
      <c r="AE15" s="473"/>
      <c r="AF15" s="469"/>
      <c r="AG15" s="31"/>
      <c r="AH15" s="519"/>
    </row>
    <row r="16" spans="1:37" ht="60.75" customHeight="1" thickBot="1">
      <c r="A16" s="1020"/>
      <c r="B16" s="946"/>
      <c r="C16" s="946"/>
      <c r="D16" s="1153"/>
      <c r="E16" s="1154"/>
      <c r="F16" s="973"/>
      <c r="G16" s="943"/>
      <c r="H16" s="943"/>
      <c r="I16" s="946"/>
      <c r="J16" s="953"/>
      <c r="K16" s="954"/>
      <c r="L16" s="954"/>
      <c r="M16" s="954"/>
      <c r="N16" s="954"/>
      <c r="O16" s="955"/>
      <c r="P16" s="953"/>
      <c r="Q16" s="954"/>
      <c r="R16" s="954"/>
      <c r="S16" s="955"/>
      <c r="T16" s="380"/>
      <c r="U16" s="953"/>
      <c r="V16" s="955"/>
      <c r="W16" s="1156"/>
      <c r="X16" s="1156"/>
      <c r="Y16" s="1162" t="s">
        <v>964</v>
      </c>
      <c r="Z16" s="1162"/>
      <c r="AA16" s="1163"/>
      <c r="AB16" s="520" t="s">
        <v>965</v>
      </c>
      <c r="AC16" s="521">
        <v>43976</v>
      </c>
      <c r="AD16" s="522">
        <v>43990</v>
      </c>
      <c r="AE16" s="474"/>
      <c r="AF16" s="383"/>
      <c r="AG16" s="382"/>
      <c r="AH16" s="523"/>
    </row>
    <row r="17" spans="1:34" ht="112.5" customHeight="1">
      <c r="A17" s="1018"/>
      <c r="B17" s="944"/>
      <c r="C17" s="944">
        <v>3</v>
      </c>
      <c r="D17" s="1151" t="s">
        <v>969</v>
      </c>
      <c r="E17" s="1152"/>
      <c r="F17" s="971">
        <v>43914</v>
      </c>
      <c r="G17" s="941" t="s">
        <v>28</v>
      </c>
      <c r="H17" s="941" t="s">
        <v>59</v>
      </c>
      <c r="I17" s="944" t="s">
        <v>25</v>
      </c>
      <c r="J17" s="947" t="s">
        <v>162</v>
      </c>
      <c r="K17" s="948"/>
      <c r="L17" s="948"/>
      <c r="M17" s="948"/>
      <c r="N17" s="948"/>
      <c r="O17" s="949"/>
      <c r="P17" s="947" t="s">
        <v>162</v>
      </c>
      <c r="Q17" s="948"/>
      <c r="R17" s="948"/>
      <c r="S17" s="949"/>
      <c r="T17" s="374"/>
      <c r="U17" s="947" t="s">
        <v>162</v>
      </c>
      <c r="V17" s="949"/>
      <c r="W17" s="1155" t="s">
        <v>958</v>
      </c>
      <c r="X17" s="1155"/>
      <c r="Y17" s="1157" t="s">
        <v>967</v>
      </c>
      <c r="Z17" s="1157"/>
      <c r="AA17" s="1158"/>
      <c r="AB17" s="513" t="s">
        <v>960</v>
      </c>
      <c r="AC17" s="514">
        <v>43945</v>
      </c>
      <c r="AD17" s="514">
        <v>43951</v>
      </c>
      <c r="AE17" s="495"/>
      <c r="AF17" s="376"/>
      <c r="AG17" s="375"/>
      <c r="AH17" s="518"/>
    </row>
    <row r="18" spans="1:34" ht="96.75" customHeight="1">
      <c r="A18" s="1019"/>
      <c r="B18" s="945"/>
      <c r="C18" s="945"/>
      <c r="D18" s="1044"/>
      <c r="E18" s="1045"/>
      <c r="F18" s="972"/>
      <c r="G18" s="942"/>
      <c r="H18" s="942"/>
      <c r="I18" s="945"/>
      <c r="J18" s="950"/>
      <c r="K18" s="951"/>
      <c r="L18" s="951"/>
      <c r="M18" s="951"/>
      <c r="N18" s="951"/>
      <c r="O18" s="952"/>
      <c r="P18" s="950"/>
      <c r="Q18" s="951"/>
      <c r="R18" s="951"/>
      <c r="S18" s="952"/>
      <c r="T18" s="357"/>
      <c r="U18" s="950"/>
      <c r="V18" s="952"/>
      <c r="W18" s="1051"/>
      <c r="X18" s="1051"/>
      <c r="Y18" s="1159" t="s">
        <v>968</v>
      </c>
      <c r="Z18" s="1160"/>
      <c r="AA18" s="1161"/>
      <c r="AB18" s="515" t="s">
        <v>961</v>
      </c>
      <c r="AC18" s="481">
        <v>43962</v>
      </c>
      <c r="AD18" s="482">
        <v>43969</v>
      </c>
      <c r="AE18" s="473"/>
      <c r="AF18" s="469"/>
      <c r="AG18" s="31"/>
      <c r="AH18" s="519"/>
    </row>
    <row r="19" spans="1:34" ht="51" customHeight="1">
      <c r="A19" s="1019"/>
      <c r="B19" s="945"/>
      <c r="C19" s="945"/>
      <c r="D19" s="1044"/>
      <c r="E19" s="1045"/>
      <c r="F19" s="972"/>
      <c r="G19" s="942"/>
      <c r="H19" s="942"/>
      <c r="I19" s="945"/>
      <c r="J19" s="950"/>
      <c r="K19" s="951"/>
      <c r="L19" s="951"/>
      <c r="M19" s="951"/>
      <c r="N19" s="951"/>
      <c r="O19" s="952"/>
      <c r="P19" s="950"/>
      <c r="Q19" s="951"/>
      <c r="R19" s="951"/>
      <c r="S19" s="952"/>
      <c r="T19" s="357"/>
      <c r="U19" s="950"/>
      <c r="V19" s="952"/>
      <c r="W19" s="1051"/>
      <c r="X19" s="1051"/>
      <c r="Y19" s="1160" t="s">
        <v>962</v>
      </c>
      <c r="Z19" s="1160"/>
      <c r="AA19" s="1161"/>
      <c r="AB19" s="483" t="s">
        <v>963</v>
      </c>
      <c r="AC19" s="482">
        <v>43969</v>
      </c>
      <c r="AD19" s="516">
        <v>43976</v>
      </c>
      <c r="AE19" s="473"/>
      <c r="AF19" s="469"/>
      <c r="AG19" s="31"/>
      <c r="AH19" s="519"/>
    </row>
    <row r="20" spans="1:34" ht="48.75" customHeight="1" thickBot="1">
      <c r="A20" s="1020"/>
      <c r="B20" s="946"/>
      <c r="C20" s="946"/>
      <c r="D20" s="1153"/>
      <c r="E20" s="1154"/>
      <c r="F20" s="973"/>
      <c r="G20" s="943"/>
      <c r="H20" s="943"/>
      <c r="I20" s="946"/>
      <c r="J20" s="953"/>
      <c r="K20" s="954"/>
      <c r="L20" s="954"/>
      <c r="M20" s="954"/>
      <c r="N20" s="954"/>
      <c r="O20" s="955"/>
      <c r="P20" s="953"/>
      <c r="Q20" s="954"/>
      <c r="R20" s="954"/>
      <c r="S20" s="955"/>
      <c r="T20" s="380"/>
      <c r="U20" s="953"/>
      <c r="V20" s="955"/>
      <c r="W20" s="1156"/>
      <c r="X20" s="1156"/>
      <c r="Y20" s="1162" t="s">
        <v>964</v>
      </c>
      <c r="Z20" s="1162"/>
      <c r="AA20" s="1163"/>
      <c r="AB20" s="520" t="s">
        <v>965</v>
      </c>
      <c r="AC20" s="521">
        <v>43976</v>
      </c>
      <c r="AD20" s="522">
        <v>43990</v>
      </c>
      <c r="AE20" s="474"/>
      <c r="AF20" s="383"/>
      <c r="AG20" s="382"/>
      <c r="AH20" s="523"/>
    </row>
    <row r="21" spans="1:34" ht="85.5" customHeight="1">
      <c r="A21" s="1018"/>
      <c r="B21" s="944"/>
      <c r="C21" s="944">
        <v>4</v>
      </c>
      <c r="D21" s="1151" t="s">
        <v>1072</v>
      </c>
      <c r="E21" s="1152"/>
      <c r="F21" s="971" t="s">
        <v>1075</v>
      </c>
      <c r="G21" s="941" t="s">
        <v>42</v>
      </c>
      <c r="H21" s="941" t="s">
        <v>59</v>
      </c>
      <c r="I21" s="944" t="s">
        <v>25</v>
      </c>
      <c r="J21" s="947" t="s">
        <v>162</v>
      </c>
      <c r="K21" s="948"/>
      <c r="L21" s="948"/>
      <c r="M21" s="948"/>
      <c r="N21" s="948"/>
      <c r="O21" s="949"/>
      <c r="P21" s="947" t="s">
        <v>162</v>
      </c>
      <c r="Q21" s="948"/>
      <c r="R21" s="948"/>
      <c r="S21" s="949"/>
      <c r="T21" s="374"/>
      <c r="U21" s="947" t="s">
        <v>162</v>
      </c>
      <c r="V21" s="949"/>
      <c r="W21" s="1155" t="s">
        <v>1073</v>
      </c>
      <c r="X21" s="1155" t="s">
        <v>1074</v>
      </c>
      <c r="Y21" s="1313" t="s">
        <v>1068</v>
      </c>
      <c r="Z21" s="1313"/>
      <c r="AA21" s="1313"/>
      <c r="AB21" s="1314" t="s">
        <v>1069</v>
      </c>
      <c r="AC21" s="1315">
        <v>44074</v>
      </c>
      <c r="AD21" s="1315">
        <v>44085</v>
      </c>
      <c r="AE21" s="571"/>
      <c r="AF21" s="376"/>
      <c r="AG21" s="375"/>
      <c r="AH21" s="518"/>
    </row>
    <row r="22" spans="1:34" ht="111" customHeight="1">
      <c r="A22" s="1019"/>
      <c r="B22" s="945"/>
      <c r="C22" s="945"/>
      <c r="D22" s="1044"/>
      <c r="E22" s="1045"/>
      <c r="F22" s="972"/>
      <c r="G22" s="942"/>
      <c r="H22" s="942"/>
      <c r="I22" s="945"/>
      <c r="J22" s="950"/>
      <c r="K22" s="951"/>
      <c r="L22" s="951"/>
      <c r="M22" s="951"/>
      <c r="N22" s="951"/>
      <c r="O22" s="952"/>
      <c r="P22" s="950"/>
      <c r="Q22" s="951"/>
      <c r="R22" s="951"/>
      <c r="S22" s="952"/>
      <c r="T22" s="357"/>
      <c r="U22" s="950"/>
      <c r="V22" s="952"/>
      <c r="W22" s="1051"/>
      <c r="X22" s="1051"/>
      <c r="Y22" s="1316" t="s">
        <v>1070</v>
      </c>
      <c r="Z22" s="1316"/>
      <c r="AA22" s="1316"/>
      <c r="AB22" s="1317" t="s">
        <v>1069</v>
      </c>
      <c r="AC22" s="1318">
        <v>44074</v>
      </c>
      <c r="AD22" s="1318">
        <v>44085</v>
      </c>
      <c r="AE22" s="563"/>
      <c r="AF22" s="560"/>
      <c r="AG22" s="31"/>
      <c r="AH22" s="519"/>
    </row>
    <row r="23" spans="1:34" ht="81" customHeight="1" thickBot="1">
      <c r="A23" s="1020"/>
      <c r="B23" s="946"/>
      <c r="C23" s="946"/>
      <c r="D23" s="1153"/>
      <c r="E23" s="1154"/>
      <c r="F23" s="973"/>
      <c r="G23" s="943"/>
      <c r="H23" s="943"/>
      <c r="I23" s="946"/>
      <c r="J23" s="953"/>
      <c r="K23" s="954"/>
      <c r="L23" s="954"/>
      <c r="M23" s="954"/>
      <c r="N23" s="954"/>
      <c r="O23" s="955"/>
      <c r="P23" s="953"/>
      <c r="Q23" s="954"/>
      <c r="R23" s="954"/>
      <c r="S23" s="955"/>
      <c r="T23" s="380"/>
      <c r="U23" s="953"/>
      <c r="V23" s="955"/>
      <c r="W23" s="1156"/>
      <c r="X23" s="1156"/>
      <c r="Y23" s="1319" t="s">
        <v>1071</v>
      </c>
      <c r="Z23" s="1319"/>
      <c r="AA23" s="1319"/>
      <c r="AB23" s="1320" t="s">
        <v>1069</v>
      </c>
      <c r="AC23" s="1321">
        <v>44074</v>
      </c>
      <c r="AD23" s="1321">
        <v>44085</v>
      </c>
      <c r="AE23" s="564"/>
      <c r="AF23" s="383"/>
      <c r="AG23" s="382"/>
      <c r="AH23" s="523"/>
    </row>
    <row r="24" spans="1:34" ht="84" customHeight="1">
      <c r="A24" s="1018"/>
      <c r="B24" s="944"/>
      <c r="C24" s="944">
        <v>5</v>
      </c>
      <c r="D24" s="1151" t="s">
        <v>1076</v>
      </c>
      <c r="E24" s="1152"/>
      <c r="F24" s="971" t="s">
        <v>1075</v>
      </c>
      <c r="G24" s="941" t="s">
        <v>42</v>
      </c>
      <c r="H24" s="941" t="s">
        <v>59</v>
      </c>
      <c r="I24" s="944" t="s">
        <v>25</v>
      </c>
      <c r="J24" s="947" t="s">
        <v>162</v>
      </c>
      <c r="K24" s="948"/>
      <c r="L24" s="948"/>
      <c r="M24" s="948"/>
      <c r="N24" s="948"/>
      <c r="O24" s="949"/>
      <c r="P24" s="947" t="s">
        <v>162</v>
      </c>
      <c r="Q24" s="948"/>
      <c r="R24" s="948"/>
      <c r="S24" s="949"/>
      <c r="T24" s="374"/>
      <c r="U24" s="947" t="s">
        <v>162</v>
      </c>
      <c r="V24" s="949"/>
      <c r="W24" s="1155" t="s">
        <v>1077</v>
      </c>
      <c r="X24" s="1155" t="s">
        <v>1078</v>
      </c>
      <c r="Y24" s="1322" t="s">
        <v>1079</v>
      </c>
      <c r="Z24" s="1322"/>
      <c r="AA24" s="1322"/>
      <c r="AB24" s="1323" t="s">
        <v>625</v>
      </c>
      <c r="AC24" s="1324">
        <v>44109</v>
      </c>
      <c r="AD24" s="1324">
        <v>44113</v>
      </c>
      <c r="AE24" s="571"/>
      <c r="AF24" s="376"/>
      <c r="AG24" s="375"/>
      <c r="AH24" s="518"/>
    </row>
    <row r="25" spans="1:34" ht="79.5" customHeight="1">
      <c r="A25" s="1019"/>
      <c r="B25" s="945"/>
      <c r="C25" s="945"/>
      <c r="D25" s="1044"/>
      <c r="E25" s="1045"/>
      <c r="F25" s="972"/>
      <c r="G25" s="942"/>
      <c r="H25" s="942"/>
      <c r="I25" s="945"/>
      <c r="J25" s="950"/>
      <c r="K25" s="951"/>
      <c r="L25" s="951"/>
      <c r="M25" s="951"/>
      <c r="N25" s="951"/>
      <c r="O25" s="952"/>
      <c r="P25" s="950"/>
      <c r="Q25" s="951"/>
      <c r="R25" s="951"/>
      <c r="S25" s="952"/>
      <c r="T25" s="1311"/>
      <c r="U25" s="950"/>
      <c r="V25" s="952"/>
      <c r="W25" s="1051"/>
      <c r="X25" s="1051"/>
      <c r="Y25" s="1316" t="s">
        <v>1080</v>
      </c>
      <c r="Z25" s="1316"/>
      <c r="AA25" s="1316"/>
      <c r="AB25" s="1317" t="s">
        <v>1081</v>
      </c>
      <c r="AC25" s="1318">
        <v>44113</v>
      </c>
      <c r="AD25" s="1318">
        <v>44134</v>
      </c>
      <c r="AE25" s="491"/>
      <c r="AF25" s="572"/>
      <c r="AG25" s="377"/>
      <c r="AH25" s="1312"/>
    </row>
    <row r="26" spans="1:34" ht="71.25" customHeight="1">
      <c r="A26" s="1019"/>
      <c r="B26" s="945"/>
      <c r="C26" s="945"/>
      <c r="D26" s="1044"/>
      <c r="E26" s="1045"/>
      <c r="F26" s="972"/>
      <c r="G26" s="942"/>
      <c r="H26" s="942"/>
      <c r="I26" s="945"/>
      <c r="J26" s="950"/>
      <c r="K26" s="951"/>
      <c r="L26" s="951"/>
      <c r="M26" s="951"/>
      <c r="N26" s="951"/>
      <c r="O26" s="952"/>
      <c r="P26" s="950"/>
      <c r="Q26" s="951"/>
      <c r="R26" s="951"/>
      <c r="S26" s="952"/>
      <c r="T26" s="357"/>
      <c r="U26" s="950"/>
      <c r="V26" s="952"/>
      <c r="W26" s="1051"/>
      <c r="X26" s="1051"/>
      <c r="Y26" s="1004" t="s">
        <v>1082</v>
      </c>
      <c r="Z26" s="1005"/>
      <c r="AA26" s="1006"/>
      <c r="AB26" s="1249" t="s">
        <v>1083</v>
      </c>
      <c r="AC26" s="1250">
        <v>44138</v>
      </c>
      <c r="AD26" s="1250">
        <v>44155</v>
      </c>
      <c r="AE26" s="563"/>
      <c r="AF26" s="560"/>
      <c r="AG26" s="31"/>
      <c r="AH26" s="519"/>
    </row>
    <row r="27" spans="1:34" ht="66" customHeight="1">
      <c r="A27" s="1019"/>
      <c r="B27" s="945"/>
      <c r="C27" s="945"/>
      <c r="D27" s="1044"/>
      <c r="E27" s="1045"/>
      <c r="F27" s="972"/>
      <c r="G27" s="942"/>
      <c r="H27" s="942"/>
      <c r="I27" s="945"/>
      <c r="J27" s="950"/>
      <c r="K27" s="951"/>
      <c r="L27" s="951"/>
      <c r="M27" s="951"/>
      <c r="N27" s="951"/>
      <c r="O27" s="952"/>
      <c r="P27" s="950"/>
      <c r="Q27" s="951"/>
      <c r="R27" s="951"/>
      <c r="S27" s="952"/>
      <c r="T27" s="357"/>
      <c r="U27" s="950"/>
      <c r="V27" s="952"/>
      <c r="W27" s="1051"/>
      <c r="X27" s="1051"/>
      <c r="Y27" s="1004" t="s">
        <v>1084</v>
      </c>
      <c r="Z27" s="1005"/>
      <c r="AA27" s="1006"/>
      <c r="AB27" s="1325" t="s">
        <v>1085</v>
      </c>
      <c r="AC27" s="1250">
        <v>44155</v>
      </c>
      <c r="AD27" s="1250">
        <v>44377</v>
      </c>
      <c r="AE27" s="563"/>
      <c r="AF27" s="560"/>
      <c r="AG27" s="31"/>
      <c r="AH27" s="519"/>
    </row>
    <row r="28" spans="1:34" ht="81.75" customHeight="1" thickBot="1">
      <c r="A28" s="1020"/>
      <c r="B28" s="946"/>
      <c r="C28" s="946"/>
      <c r="D28" s="1153"/>
      <c r="E28" s="1154"/>
      <c r="F28" s="973"/>
      <c r="G28" s="943"/>
      <c r="H28" s="943"/>
      <c r="I28" s="946"/>
      <c r="J28" s="953"/>
      <c r="K28" s="954"/>
      <c r="L28" s="954"/>
      <c r="M28" s="954"/>
      <c r="N28" s="954"/>
      <c r="O28" s="955"/>
      <c r="P28" s="953"/>
      <c r="Q28" s="954"/>
      <c r="R28" s="954"/>
      <c r="S28" s="955"/>
      <c r="T28" s="380"/>
      <c r="U28" s="953"/>
      <c r="V28" s="955"/>
      <c r="W28" s="1156"/>
      <c r="X28" s="1156"/>
      <c r="Y28" s="1326" t="s">
        <v>1086</v>
      </c>
      <c r="Z28" s="1327"/>
      <c r="AA28" s="1328"/>
      <c r="AB28" s="1329" t="s">
        <v>1087</v>
      </c>
      <c r="AC28" s="522">
        <v>44155</v>
      </c>
      <c r="AD28" s="522">
        <v>44377</v>
      </c>
      <c r="AE28" s="564"/>
      <c r="AF28" s="383"/>
      <c r="AG28" s="382"/>
      <c r="AH28" s="523"/>
    </row>
    <row r="29" spans="1:34" ht="81.75" customHeight="1">
      <c r="A29" s="1018"/>
      <c r="B29" s="944"/>
      <c r="C29" s="944">
        <v>6</v>
      </c>
      <c r="D29" s="1151" t="s">
        <v>1088</v>
      </c>
      <c r="E29" s="1152"/>
      <c r="F29" s="971">
        <v>44062</v>
      </c>
      <c r="G29" s="941" t="s">
        <v>38</v>
      </c>
      <c r="H29" s="941" t="s">
        <v>59</v>
      </c>
      <c r="I29" s="944" t="s">
        <v>25</v>
      </c>
      <c r="J29" s="947" t="s">
        <v>162</v>
      </c>
      <c r="K29" s="948"/>
      <c r="L29" s="948"/>
      <c r="M29" s="948"/>
      <c r="N29" s="948"/>
      <c r="O29" s="949"/>
      <c r="P29" s="947" t="s">
        <v>162</v>
      </c>
      <c r="Q29" s="948"/>
      <c r="R29" s="948"/>
      <c r="S29" s="949"/>
      <c r="T29" s="374"/>
      <c r="U29" s="947" t="s">
        <v>1089</v>
      </c>
      <c r="V29" s="949"/>
      <c r="W29" s="1253" t="s">
        <v>1090</v>
      </c>
      <c r="X29" s="1253" t="s">
        <v>1091</v>
      </c>
      <c r="Y29" s="1359" t="s">
        <v>1092</v>
      </c>
      <c r="Z29" s="1359"/>
      <c r="AA29" s="1359"/>
      <c r="AB29" s="513" t="s">
        <v>1093</v>
      </c>
      <c r="AC29" s="477">
        <v>44081</v>
      </c>
      <c r="AD29" s="477">
        <v>44082</v>
      </c>
      <c r="AE29" s="571"/>
      <c r="AF29" s="376"/>
      <c r="AG29" s="375"/>
      <c r="AH29" s="518"/>
    </row>
    <row r="30" spans="1:34" ht="67.5" customHeight="1">
      <c r="A30" s="1019"/>
      <c r="B30" s="945"/>
      <c r="C30" s="945"/>
      <c r="D30" s="1044"/>
      <c r="E30" s="1045"/>
      <c r="F30" s="972"/>
      <c r="G30" s="942"/>
      <c r="H30" s="942"/>
      <c r="I30" s="945"/>
      <c r="J30" s="950"/>
      <c r="K30" s="951"/>
      <c r="L30" s="951"/>
      <c r="M30" s="951"/>
      <c r="N30" s="951"/>
      <c r="O30" s="952"/>
      <c r="P30" s="950"/>
      <c r="Q30" s="951"/>
      <c r="R30" s="951"/>
      <c r="S30" s="952"/>
      <c r="T30" s="357"/>
      <c r="U30" s="950"/>
      <c r="V30" s="952"/>
      <c r="W30" s="1241"/>
      <c r="X30" s="1241"/>
      <c r="Y30" s="1330" t="s">
        <v>1094</v>
      </c>
      <c r="Z30" s="1330"/>
      <c r="AA30" s="1330"/>
      <c r="AB30" s="483" t="s">
        <v>1095</v>
      </c>
      <c r="AC30" s="456">
        <v>44082</v>
      </c>
      <c r="AD30" s="456">
        <v>44112</v>
      </c>
      <c r="AE30" s="563"/>
      <c r="AF30" s="560"/>
      <c r="AG30" s="31"/>
      <c r="AH30" s="519"/>
    </row>
    <row r="31" spans="1:34" ht="60.75" customHeight="1">
      <c r="A31" s="1019"/>
      <c r="B31" s="945"/>
      <c r="C31" s="945"/>
      <c r="D31" s="1044"/>
      <c r="E31" s="1045"/>
      <c r="F31" s="972"/>
      <c r="G31" s="942"/>
      <c r="H31" s="942"/>
      <c r="I31" s="945"/>
      <c r="J31" s="950"/>
      <c r="K31" s="951"/>
      <c r="L31" s="951"/>
      <c r="M31" s="951"/>
      <c r="N31" s="951"/>
      <c r="O31" s="952"/>
      <c r="P31" s="950"/>
      <c r="Q31" s="951"/>
      <c r="R31" s="951"/>
      <c r="S31" s="952"/>
      <c r="T31" s="357"/>
      <c r="U31" s="950"/>
      <c r="V31" s="952"/>
      <c r="W31" s="1241"/>
      <c r="X31" s="1241"/>
      <c r="Y31" s="1007" t="s">
        <v>1096</v>
      </c>
      <c r="Z31" s="1007"/>
      <c r="AA31" s="1007"/>
      <c r="AB31" s="1007" t="s">
        <v>1097</v>
      </c>
      <c r="AC31" s="456">
        <v>44123</v>
      </c>
      <c r="AD31" s="456">
        <v>44127</v>
      </c>
      <c r="AE31" s="563"/>
      <c r="AF31" s="560"/>
      <c r="AG31" s="31"/>
      <c r="AH31" s="519"/>
    </row>
    <row r="32" spans="1:34" ht="81.75" customHeight="1" thickBot="1">
      <c r="A32" s="1020"/>
      <c r="B32" s="946"/>
      <c r="C32" s="946"/>
      <c r="D32" s="1153"/>
      <c r="E32" s="1154"/>
      <c r="F32" s="973"/>
      <c r="G32" s="943"/>
      <c r="H32" s="943"/>
      <c r="I32" s="946"/>
      <c r="J32" s="953"/>
      <c r="K32" s="954"/>
      <c r="L32" s="954"/>
      <c r="M32" s="954"/>
      <c r="N32" s="954"/>
      <c r="O32" s="955"/>
      <c r="P32" s="953"/>
      <c r="Q32" s="954"/>
      <c r="R32" s="954"/>
      <c r="S32" s="955"/>
      <c r="T32" s="1360"/>
      <c r="U32" s="953"/>
      <c r="V32" s="955"/>
      <c r="W32" s="1255"/>
      <c r="X32" s="1255"/>
      <c r="Y32" s="1361"/>
      <c r="Z32" s="1361"/>
      <c r="AA32" s="1361"/>
      <c r="AB32" s="1361"/>
      <c r="AC32" s="501">
        <v>44179</v>
      </c>
      <c r="AD32" s="501">
        <v>44183</v>
      </c>
      <c r="AE32" s="564"/>
      <c r="AF32" s="383"/>
      <c r="AG32" s="382"/>
      <c r="AH32" s="523"/>
    </row>
    <row r="33" spans="1:37" ht="153.94999999999999" customHeight="1" thickBot="1">
      <c r="A33" s="1338"/>
      <c r="B33" s="1339"/>
      <c r="C33" s="1340">
        <v>7</v>
      </c>
      <c r="D33" s="1341" t="s">
        <v>1098</v>
      </c>
      <c r="E33" s="1342"/>
      <c r="F33" s="1343">
        <v>44062</v>
      </c>
      <c r="G33" s="1344" t="s">
        <v>38</v>
      </c>
      <c r="H33" s="1344" t="s">
        <v>59</v>
      </c>
      <c r="I33" s="1345" t="s">
        <v>25</v>
      </c>
      <c r="J33" s="1346" t="s">
        <v>162</v>
      </c>
      <c r="K33" s="1347"/>
      <c r="L33" s="1347"/>
      <c r="M33" s="1347"/>
      <c r="N33" s="1347"/>
      <c r="O33" s="1348"/>
      <c r="P33" s="1346" t="s">
        <v>162</v>
      </c>
      <c r="Q33" s="1347"/>
      <c r="R33" s="1347"/>
      <c r="S33" s="1348"/>
      <c r="T33" s="1349"/>
      <c r="U33" s="1346" t="s">
        <v>162</v>
      </c>
      <c r="V33" s="1348"/>
      <c r="W33" s="1350" t="s">
        <v>1099</v>
      </c>
      <c r="X33" s="1350" t="s">
        <v>983</v>
      </c>
      <c r="Y33" s="1351" t="s">
        <v>1100</v>
      </c>
      <c r="Z33" s="1352"/>
      <c r="AA33" s="1353"/>
      <c r="AB33" s="1354" t="s">
        <v>1101</v>
      </c>
      <c r="AC33" s="1355">
        <v>44081</v>
      </c>
      <c r="AD33" s="1355">
        <v>44086</v>
      </c>
      <c r="AE33" s="1356"/>
      <c r="AF33" s="1340"/>
      <c r="AG33" s="1357"/>
      <c r="AH33" s="1358"/>
    </row>
    <row r="34" spans="1:37" ht="6" customHeight="1">
      <c r="A34" s="1143"/>
      <c r="B34" s="1143"/>
      <c r="C34" s="1143"/>
      <c r="D34" s="1143"/>
      <c r="E34" s="1143"/>
      <c r="F34" s="1143"/>
      <c r="G34" s="1143"/>
      <c r="H34" s="1143"/>
      <c r="I34" s="1143"/>
      <c r="J34" s="1143"/>
      <c r="K34" s="1143"/>
      <c r="L34" s="1143"/>
      <c r="M34" s="1143"/>
      <c r="N34" s="1143"/>
      <c r="O34" s="1143"/>
      <c r="P34" s="1143"/>
      <c r="Q34" s="1143"/>
      <c r="R34" s="1143"/>
      <c r="S34" s="1143"/>
      <c r="T34" s="1143"/>
      <c r="U34" s="1143"/>
      <c r="V34" s="1143"/>
      <c r="W34" s="1143"/>
      <c r="X34" s="1143"/>
      <c r="Y34" s="1143"/>
      <c r="Z34" s="1143"/>
      <c r="AA34" s="1143"/>
      <c r="AB34" s="1143"/>
      <c r="AC34" s="1143"/>
      <c r="AD34" s="1143"/>
      <c r="AE34" s="1143"/>
      <c r="AF34" s="1143"/>
      <c r="AG34" s="1143"/>
      <c r="AH34" s="1143"/>
    </row>
    <row r="35" spans="1:37" ht="12.75" customHeight="1">
      <c r="A35" s="858" t="s">
        <v>22</v>
      </c>
      <c r="B35" s="858"/>
      <c r="C35" s="858"/>
      <c r="D35" s="858"/>
      <c r="E35" s="858"/>
      <c r="F35" s="858"/>
      <c r="G35" s="858"/>
      <c r="H35" s="858"/>
      <c r="I35" s="858"/>
      <c r="J35" s="858"/>
      <c r="K35" s="858"/>
      <c r="L35" s="858"/>
      <c r="M35" s="35"/>
      <c r="N35" s="35"/>
      <c r="O35" s="859" t="s">
        <v>34</v>
      </c>
      <c r="P35" s="859"/>
      <c r="Q35" s="859"/>
      <c r="R35" s="859"/>
      <c r="S35" s="859"/>
      <c r="T35" s="859"/>
      <c r="U35" s="859"/>
      <c r="V35" s="859"/>
      <c r="W35" s="859"/>
      <c r="X35" s="859"/>
      <c r="Y35" s="859"/>
      <c r="Z35" s="859"/>
      <c r="AA35" s="859"/>
      <c r="AB35" s="859"/>
      <c r="AC35" s="859"/>
      <c r="AD35" s="860" t="s">
        <v>35</v>
      </c>
      <c r="AE35" s="860"/>
      <c r="AF35" s="860"/>
      <c r="AG35" s="860"/>
      <c r="AH35" s="860"/>
    </row>
    <row r="36" spans="1:37">
      <c r="A36" s="858"/>
      <c r="B36" s="858"/>
      <c r="C36" s="858"/>
      <c r="D36" s="858"/>
      <c r="E36" s="858"/>
      <c r="F36" s="858"/>
      <c r="G36" s="858"/>
      <c r="H36" s="858"/>
      <c r="I36" s="858"/>
      <c r="J36" s="858"/>
      <c r="K36" s="858"/>
      <c r="L36" s="858"/>
      <c r="M36" s="35"/>
      <c r="N36" s="35"/>
      <c r="O36" s="859"/>
      <c r="P36" s="859"/>
      <c r="Q36" s="859"/>
      <c r="R36" s="859"/>
      <c r="S36" s="859"/>
      <c r="T36" s="859"/>
      <c r="U36" s="859"/>
      <c r="V36" s="859"/>
      <c r="W36" s="859"/>
      <c r="X36" s="859"/>
      <c r="Y36" s="859"/>
      <c r="Z36" s="859"/>
      <c r="AA36" s="859"/>
      <c r="AB36" s="859"/>
      <c r="AC36" s="859"/>
      <c r="AD36" s="860"/>
      <c r="AE36" s="860"/>
      <c r="AF36" s="860"/>
      <c r="AG36" s="860"/>
      <c r="AH36" s="860"/>
    </row>
    <row r="37" spans="1:37" ht="38.25" customHeight="1">
      <c r="A37" s="1144" t="s">
        <v>683</v>
      </c>
      <c r="B37" s="1144"/>
      <c r="C37" s="1144"/>
      <c r="D37" s="1144"/>
      <c r="E37" s="1144"/>
      <c r="F37" s="1144"/>
      <c r="G37" s="1144"/>
      <c r="H37" s="1144"/>
      <c r="I37" s="1144"/>
      <c r="J37" s="1144"/>
      <c r="K37" s="1144"/>
      <c r="L37" s="1144"/>
      <c r="M37" s="35"/>
      <c r="N37" s="35"/>
      <c r="O37" s="1145" t="s">
        <v>684</v>
      </c>
      <c r="P37" s="1145"/>
      <c r="Q37" s="1145"/>
      <c r="R37" s="1145"/>
      <c r="S37" s="1145"/>
      <c r="T37" s="1145"/>
      <c r="U37" s="1145"/>
      <c r="V37" s="1145"/>
      <c r="W37" s="1145"/>
      <c r="X37" s="1145"/>
      <c r="Y37" s="1145"/>
      <c r="Z37" s="1145"/>
      <c r="AA37" s="1145"/>
      <c r="AB37" s="1145"/>
      <c r="AC37" s="1145"/>
      <c r="AD37" s="1146" t="s">
        <v>685</v>
      </c>
      <c r="AE37" s="1146"/>
      <c r="AF37" s="1146"/>
      <c r="AG37" s="1146"/>
      <c r="AH37" s="1146"/>
    </row>
    <row r="38" spans="1:37" ht="15" customHeight="1">
      <c r="A38" s="856" t="s">
        <v>36</v>
      </c>
      <c r="B38" s="856"/>
      <c r="C38" s="856"/>
      <c r="D38" s="856"/>
      <c r="E38" s="856"/>
      <c r="F38" s="856"/>
      <c r="G38" s="856"/>
      <c r="H38" s="856"/>
      <c r="I38" s="856"/>
      <c r="J38" s="856"/>
      <c r="K38" s="856"/>
      <c r="L38" s="856"/>
      <c r="M38" s="856"/>
      <c r="N38" s="856"/>
      <c r="O38" s="856"/>
      <c r="P38" s="856"/>
      <c r="Q38" s="856"/>
      <c r="R38" s="856"/>
      <c r="S38" s="856"/>
      <c r="T38" s="856"/>
      <c r="U38" s="856"/>
      <c r="V38" s="856"/>
      <c r="W38" s="856"/>
      <c r="X38" s="856"/>
      <c r="Y38" s="856"/>
      <c r="Z38" s="856"/>
      <c r="AA38" s="856"/>
      <c r="AB38" s="856"/>
      <c r="AC38" s="856"/>
      <c r="AD38" s="856"/>
      <c r="AE38" s="856"/>
      <c r="AF38" s="856"/>
      <c r="AG38" s="856"/>
      <c r="AH38" s="856"/>
    </row>
    <row r="39" spans="1:37" ht="0.95" customHeight="1">
      <c r="A39" s="857"/>
      <c r="B39" s="857"/>
      <c r="C39" s="857"/>
      <c r="D39" s="857"/>
      <c r="E39" s="857"/>
      <c r="F39" s="857"/>
      <c r="G39" s="857"/>
      <c r="H39" s="857"/>
      <c r="I39" s="857"/>
      <c r="J39" s="857"/>
      <c r="K39" s="857"/>
      <c r="L39" s="857"/>
      <c r="M39" s="857"/>
      <c r="N39" s="857"/>
      <c r="O39" s="857"/>
      <c r="P39" s="857"/>
      <c r="Q39" s="857"/>
      <c r="R39" s="857"/>
      <c r="S39" s="857"/>
      <c r="T39" s="857"/>
      <c r="U39" s="857"/>
      <c r="V39" s="857"/>
      <c r="W39" s="857"/>
      <c r="X39" s="857"/>
      <c r="Y39" s="857"/>
      <c r="Z39" s="857"/>
      <c r="AA39" s="857"/>
      <c r="AB39" s="857"/>
      <c r="AC39" s="857"/>
      <c r="AD39" s="857"/>
      <c r="AE39" s="857"/>
      <c r="AF39" s="857"/>
      <c r="AG39" s="857"/>
      <c r="AH39" s="857"/>
      <c r="AI39" s="857"/>
    </row>
    <row r="40" spans="1:37">
      <c r="A40" s="857"/>
      <c r="B40" s="857"/>
      <c r="C40" s="857"/>
      <c r="D40" s="857"/>
      <c r="E40" s="857"/>
      <c r="F40" s="857"/>
      <c r="G40" s="857"/>
      <c r="H40" s="857"/>
      <c r="I40" s="857"/>
      <c r="J40" s="857"/>
      <c r="K40" s="857"/>
      <c r="L40" s="857"/>
      <c r="M40" s="857"/>
      <c r="N40" s="857"/>
      <c r="O40" s="857"/>
      <c r="P40" s="857"/>
      <c r="Q40" s="857"/>
      <c r="R40" s="857"/>
      <c r="S40" s="857"/>
      <c r="T40" s="857"/>
      <c r="U40" s="857"/>
      <c r="V40" s="857"/>
      <c r="W40" s="857"/>
      <c r="X40" s="857"/>
      <c r="Y40" s="857"/>
      <c r="Z40" s="857"/>
      <c r="AA40" s="857"/>
      <c r="AB40" s="857"/>
      <c r="AC40" s="857"/>
      <c r="AD40" s="857"/>
      <c r="AE40" s="857"/>
      <c r="AF40" s="857"/>
      <c r="AG40" s="857"/>
      <c r="AH40" s="857"/>
      <c r="AI40" s="36"/>
      <c r="AJ40" s="36"/>
    </row>
    <row r="41" spans="1:37" ht="24" customHeight="1">
      <c r="A41" s="37"/>
      <c r="B41" s="38"/>
      <c r="C41" s="37"/>
      <c r="D41" s="37"/>
      <c r="E41" s="37"/>
      <c r="F41" s="37"/>
      <c r="G41" s="37"/>
      <c r="H41" s="39" t="s">
        <v>66</v>
      </c>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6"/>
      <c r="AJ41" s="36"/>
    </row>
    <row r="42" spans="1:37" ht="54.95" customHeight="1">
      <c r="A42" s="37"/>
      <c r="B42" s="38"/>
      <c r="C42" s="37"/>
      <c r="D42" s="37"/>
      <c r="E42" s="37"/>
      <c r="F42" s="37"/>
      <c r="G42" s="37"/>
      <c r="H42" s="39" t="s">
        <v>67</v>
      </c>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6"/>
      <c r="AJ42" s="36"/>
    </row>
    <row r="43" spans="1:37" ht="0.95" customHeight="1">
      <c r="A43" s="37"/>
      <c r="B43" s="38" t="s">
        <v>68</v>
      </c>
      <c r="C43" s="37"/>
      <c r="D43" s="37"/>
      <c r="E43" s="37"/>
      <c r="F43" s="37"/>
      <c r="G43" s="37"/>
      <c r="H43" s="39" t="s">
        <v>69</v>
      </c>
      <c r="I43" s="37"/>
      <c r="J43" s="37"/>
      <c r="K43" s="37"/>
      <c r="L43" s="37"/>
      <c r="M43" s="37"/>
      <c r="N43" s="37"/>
      <c r="O43" s="37"/>
      <c r="P43" s="37"/>
      <c r="Q43" s="37"/>
      <c r="R43" s="37"/>
      <c r="S43" s="37"/>
      <c r="T43" s="37"/>
      <c r="U43" s="37"/>
      <c r="V43" s="37"/>
      <c r="W43" s="37"/>
      <c r="X43" s="39" t="s">
        <v>23</v>
      </c>
      <c r="Y43" s="37"/>
      <c r="Z43" s="37"/>
      <c r="AA43" s="37"/>
      <c r="AB43" s="37"/>
      <c r="AC43" s="37"/>
      <c r="AD43" s="37"/>
      <c r="AE43" s="37"/>
      <c r="AF43" s="37"/>
      <c r="AG43" s="37"/>
      <c r="AH43" s="37"/>
      <c r="AI43" s="36"/>
      <c r="AJ43" s="36"/>
    </row>
    <row r="44" spans="1:37" ht="0.95" customHeight="1">
      <c r="A44" s="37"/>
      <c r="B44" s="38" t="s">
        <v>70</v>
      </c>
      <c r="C44" s="37"/>
      <c r="D44" s="37"/>
      <c r="E44" s="37"/>
      <c r="F44" s="37"/>
      <c r="G44" s="37"/>
      <c r="H44" s="40" t="s">
        <v>59</v>
      </c>
      <c r="I44" s="37"/>
      <c r="J44" s="37"/>
      <c r="K44" s="37"/>
      <c r="L44" s="37"/>
      <c r="M44" s="37"/>
      <c r="N44" s="37"/>
      <c r="O44" s="37"/>
      <c r="P44" s="37"/>
      <c r="Q44" s="37"/>
      <c r="R44" s="37"/>
      <c r="S44" s="37"/>
      <c r="T44" s="37"/>
      <c r="U44" s="37"/>
      <c r="V44" s="37"/>
      <c r="W44" s="37"/>
      <c r="X44" s="39" t="s">
        <v>25</v>
      </c>
      <c r="Y44" s="37"/>
      <c r="Z44" s="37"/>
      <c r="AA44" s="37"/>
      <c r="AB44" s="37"/>
      <c r="AC44" s="37"/>
      <c r="AD44" s="37"/>
      <c r="AE44" s="37"/>
      <c r="AF44" s="37"/>
      <c r="AG44" s="37"/>
      <c r="AH44" s="37"/>
      <c r="AI44" s="36"/>
      <c r="AJ44" s="36"/>
    </row>
    <row r="45" spans="1:37" ht="0.95" customHeight="1">
      <c r="A45" s="41"/>
      <c r="B45" s="42" t="s">
        <v>16</v>
      </c>
      <c r="C45" s="41"/>
      <c r="D45" s="41"/>
      <c r="E45" s="41"/>
      <c r="F45" s="41"/>
      <c r="G45" s="41"/>
      <c r="H45" s="43" t="s">
        <v>65</v>
      </c>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row>
    <row r="47" spans="1:37" ht="24.75" customHeight="1">
      <c r="AK47" s="11" t="s">
        <v>38</v>
      </c>
    </row>
    <row r="48" spans="1:37" ht="24.75" customHeight="1">
      <c r="AK48" s="11" t="s">
        <v>10</v>
      </c>
    </row>
    <row r="49" spans="37:37" ht="24.75" customHeight="1">
      <c r="AK49" s="11" t="s">
        <v>42</v>
      </c>
    </row>
    <row r="50" spans="37:37" ht="24.75" customHeight="1">
      <c r="AK50" s="11" t="s">
        <v>43</v>
      </c>
    </row>
    <row r="51" spans="37:37" ht="24.75" customHeight="1">
      <c r="AK51" s="11" t="s">
        <v>44</v>
      </c>
    </row>
    <row r="52" spans="37:37" ht="24.75" customHeight="1">
      <c r="AK52" s="11" t="s">
        <v>26</v>
      </c>
    </row>
    <row r="53" spans="37:37" ht="24.75" customHeight="1">
      <c r="AK53" s="11" t="s">
        <v>27</v>
      </c>
    </row>
    <row r="54" spans="37:37" ht="24.75" customHeight="1">
      <c r="AK54" s="11" t="s">
        <v>28</v>
      </c>
    </row>
    <row r="55" spans="37:37" ht="24.75" customHeight="1">
      <c r="AK55" s="11" t="s">
        <v>30</v>
      </c>
    </row>
    <row r="56" spans="37:37" ht="24.75" customHeight="1">
      <c r="AK56" s="11" t="s">
        <v>29</v>
      </c>
    </row>
    <row r="57" spans="37:37" ht="24.75" customHeight="1">
      <c r="AK57" s="11" t="s">
        <v>31</v>
      </c>
    </row>
    <row r="58" spans="37:37" ht="24.75" customHeight="1">
      <c r="AK58" s="11" t="s">
        <v>32</v>
      </c>
    </row>
    <row r="59" spans="37:37" ht="51">
      <c r="AK59" s="11" t="s">
        <v>33</v>
      </c>
    </row>
  </sheetData>
  <mergeCells count="149">
    <mergeCell ref="AB31:AB32"/>
    <mergeCell ref="D33:E33"/>
    <mergeCell ref="J33:O33"/>
    <mergeCell ref="P33:S33"/>
    <mergeCell ref="U33:V33"/>
    <mergeCell ref="Y33:AA33"/>
    <mergeCell ref="U29:V32"/>
    <mergeCell ref="W29:W32"/>
    <mergeCell ref="X29:X32"/>
    <mergeCell ref="Y29:AA29"/>
    <mergeCell ref="Y30:AA30"/>
    <mergeCell ref="Y31:AA32"/>
    <mergeCell ref="G29:G32"/>
    <mergeCell ref="H29:H32"/>
    <mergeCell ref="I29:I32"/>
    <mergeCell ref="J29:O32"/>
    <mergeCell ref="P29:S32"/>
    <mergeCell ref="A29:A32"/>
    <mergeCell ref="B29:B32"/>
    <mergeCell ref="C29:C32"/>
    <mergeCell ref="D29:E32"/>
    <mergeCell ref="F29:F32"/>
    <mergeCell ref="U24:V28"/>
    <mergeCell ref="W24:W28"/>
    <mergeCell ref="X24:X28"/>
    <mergeCell ref="Y24:AA24"/>
    <mergeCell ref="Y26:AA26"/>
    <mergeCell ref="Y27:AA27"/>
    <mergeCell ref="Y28:AA28"/>
    <mergeCell ref="Y25:AA25"/>
    <mergeCell ref="G24:G28"/>
    <mergeCell ref="H24:H28"/>
    <mergeCell ref="I24:I28"/>
    <mergeCell ref="J24:O28"/>
    <mergeCell ref="P24:S28"/>
    <mergeCell ref="A24:A28"/>
    <mergeCell ref="B24:B28"/>
    <mergeCell ref="C24:C28"/>
    <mergeCell ref="D24:E28"/>
    <mergeCell ref="F24:F28"/>
    <mergeCell ref="U21:V23"/>
    <mergeCell ref="W21:W23"/>
    <mergeCell ref="X21:X23"/>
    <mergeCell ref="Y21:AA21"/>
    <mergeCell ref="Y22:AA22"/>
    <mergeCell ref="Y23:AA23"/>
    <mergeCell ref="G21:G23"/>
    <mergeCell ref="H21:H23"/>
    <mergeCell ref="I21:I23"/>
    <mergeCell ref="J21:O23"/>
    <mergeCell ref="P21:S23"/>
    <mergeCell ref="A21:A23"/>
    <mergeCell ref="B21:B23"/>
    <mergeCell ref="C21:C23"/>
    <mergeCell ref="D21:E23"/>
    <mergeCell ref="F21:F23"/>
    <mergeCell ref="U17:V20"/>
    <mergeCell ref="W17:W20"/>
    <mergeCell ref="X17:X20"/>
    <mergeCell ref="Y17:AA17"/>
    <mergeCell ref="Y18:AA18"/>
    <mergeCell ref="Y19:AA19"/>
    <mergeCell ref="Y20:AA20"/>
    <mergeCell ref="G17:G20"/>
    <mergeCell ref="H17:H20"/>
    <mergeCell ref="I17:I20"/>
    <mergeCell ref="J17:O20"/>
    <mergeCell ref="P17:S20"/>
    <mergeCell ref="A17:A20"/>
    <mergeCell ref="B17:B20"/>
    <mergeCell ref="C17:C20"/>
    <mergeCell ref="D17:E20"/>
    <mergeCell ref="F17:F20"/>
    <mergeCell ref="U13:V16"/>
    <mergeCell ref="W13:W16"/>
    <mergeCell ref="X13:X16"/>
    <mergeCell ref="Y13:AA13"/>
    <mergeCell ref="Y14:AA14"/>
    <mergeCell ref="Y15:AA15"/>
    <mergeCell ref="Y16:AA16"/>
    <mergeCell ref="G13:G16"/>
    <mergeCell ref="H13:H16"/>
    <mergeCell ref="I13:I16"/>
    <mergeCell ref="J13:O16"/>
    <mergeCell ref="P13:S16"/>
    <mergeCell ref="A13:A16"/>
    <mergeCell ref="B13:B16"/>
    <mergeCell ref="C13:C16"/>
    <mergeCell ref="D13:E16"/>
    <mergeCell ref="F13:F16"/>
    <mergeCell ref="A4:D4"/>
    <mergeCell ref="E4:V4"/>
    <mergeCell ref="W4:Y4"/>
    <mergeCell ref="Z4:AE4"/>
    <mergeCell ref="AF4:AG4"/>
    <mergeCell ref="A1:B2"/>
    <mergeCell ref="C1:AG1"/>
    <mergeCell ref="AH1:AH2"/>
    <mergeCell ref="C2:AG2"/>
    <mergeCell ref="A3:AH3"/>
    <mergeCell ref="D8:E12"/>
    <mergeCell ref="F8:F12"/>
    <mergeCell ref="A5:AH5"/>
    <mergeCell ref="A6:B6"/>
    <mergeCell ref="C6:C7"/>
    <mergeCell ref="D6:E7"/>
    <mergeCell ref="F6:F7"/>
    <mergeCell ref="G6:G7"/>
    <mergeCell ref="H6:H7"/>
    <mergeCell ref="I6:I7"/>
    <mergeCell ref="J6:V6"/>
    <mergeCell ref="W6:W7"/>
    <mergeCell ref="AG6:AG7"/>
    <mergeCell ref="AH6:AH7"/>
    <mergeCell ref="J7:O7"/>
    <mergeCell ref="P7:T7"/>
    <mergeCell ref="U7:V7"/>
    <mergeCell ref="X6:X7"/>
    <mergeCell ref="Y6:AA7"/>
    <mergeCell ref="AB6:AB7"/>
    <mergeCell ref="AC6:AD6"/>
    <mergeCell ref="AE6:AE7"/>
    <mergeCell ref="AF6:AF7"/>
    <mergeCell ref="Y10:AA10"/>
    <mergeCell ref="Y11:AA11"/>
    <mergeCell ref="Y12:AA12"/>
    <mergeCell ref="A38:AH38"/>
    <mergeCell ref="A39:AI39"/>
    <mergeCell ref="G8:G12"/>
    <mergeCell ref="H8:H12"/>
    <mergeCell ref="I8:I12"/>
    <mergeCell ref="J8:O12"/>
    <mergeCell ref="P8:S12"/>
    <mergeCell ref="U8:V12"/>
    <mergeCell ref="W8:W12"/>
    <mergeCell ref="X8:X12"/>
    <mergeCell ref="Y8:AA8"/>
    <mergeCell ref="Y9:AA9"/>
    <mergeCell ref="A8:A12"/>
    <mergeCell ref="B8:B12"/>
    <mergeCell ref="C8:C12"/>
    <mergeCell ref="A40:AH40"/>
    <mergeCell ref="A34:AH34"/>
    <mergeCell ref="A35:L36"/>
    <mergeCell ref="O35:AC36"/>
    <mergeCell ref="AD35:AH36"/>
    <mergeCell ref="A37:L37"/>
    <mergeCell ref="O37:AC37"/>
    <mergeCell ref="AD37:AH37"/>
  </mergeCells>
  <conditionalFormatting sqref="AG8:AG16 AG21:AG23">
    <cfRule type="cellIs" dxfId="109" priority="31" operator="between">
      <formula>0.001</formula>
      <formula>0.99</formula>
    </cfRule>
    <cfRule type="cellIs" dxfId="108" priority="32" operator="equal">
      <formula>1</formula>
    </cfRule>
    <cfRule type="cellIs" dxfId="107" priority="33" operator="equal">
      <formula>0</formula>
    </cfRule>
  </conditionalFormatting>
  <conditionalFormatting sqref="AG8:AG16 AG21:AG23">
    <cfRule type="cellIs" dxfId="106" priority="34" operator="between">
      <formula>0.01</formula>
      <formula>0.99</formula>
    </cfRule>
    <cfRule type="cellIs" dxfId="105" priority="35" operator="equal">
      <formula>1</formula>
    </cfRule>
    <cfRule type="cellIs" dxfId="104" priority="36" operator="equal">
      <formula>0</formula>
    </cfRule>
  </conditionalFormatting>
  <conditionalFormatting sqref="AG17:AG20">
    <cfRule type="cellIs" dxfId="103" priority="19" operator="between">
      <formula>0.001</formula>
      <formula>0.99</formula>
    </cfRule>
    <cfRule type="cellIs" dxfId="102" priority="20" operator="equal">
      <formula>1</formula>
    </cfRule>
    <cfRule type="cellIs" dxfId="101" priority="21" operator="equal">
      <formula>0</formula>
    </cfRule>
  </conditionalFormatting>
  <conditionalFormatting sqref="AG17:AG20">
    <cfRule type="cellIs" dxfId="100" priority="22" operator="between">
      <formula>0.01</formula>
      <formula>0.99</formula>
    </cfRule>
    <cfRule type="cellIs" dxfId="99" priority="23" operator="equal">
      <formula>1</formula>
    </cfRule>
    <cfRule type="cellIs" dxfId="98" priority="24" operator="equal">
      <formula>0</formula>
    </cfRule>
  </conditionalFormatting>
  <conditionalFormatting sqref="AG24:AG28">
    <cfRule type="cellIs" dxfId="97" priority="7" operator="between">
      <formula>0.001</formula>
      <formula>0.99</formula>
    </cfRule>
    <cfRule type="cellIs" dxfId="96" priority="8" operator="equal">
      <formula>1</formula>
    </cfRule>
    <cfRule type="cellIs" dxfId="95" priority="9" operator="equal">
      <formula>0</formula>
    </cfRule>
  </conditionalFormatting>
  <conditionalFormatting sqref="AG24:AG28">
    <cfRule type="cellIs" dxfId="94" priority="10" operator="between">
      <formula>0.01</formula>
      <formula>0.99</formula>
    </cfRule>
    <cfRule type="cellIs" dxfId="93" priority="11" operator="equal">
      <formula>1</formula>
    </cfRule>
    <cfRule type="cellIs" dxfId="92" priority="12" operator="equal">
      <formula>0</formula>
    </cfRule>
  </conditionalFormatting>
  <conditionalFormatting sqref="AG29:AG33">
    <cfRule type="cellIs" dxfId="91" priority="1" operator="between">
      <formula>0.001</formula>
      <formula>0.99</formula>
    </cfRule>
    <cfRule type="cellIs" dxfId="90" priority="2" operator="equal">
      <formula>1</formula>
    </cfRule>
    <cfRule type="cellIs" dxfId="89" priority="3" operator="equal">
      <formula>0</formula>
    </cfRule>
  </conditionalFormatting>
  <conditionalFormatting sqref="AG29:AG33">
    <cfRule type="cellIs" dxfId="88" priority="4" operator="between">
      <formula>0.01</formula>
      <formula>0.99</formula>
    </cfRule>
    <cfRule type="cellIs" dxfId="87" priority="5" operator="equal">
      <formula>1</formula>
    </cfRule>
    <cfRule type="cellIs" dxfId="86" priority="6" operator="equal">
      <formula>0</formula>
    </cfRule>
  </conditionalFormatting>
  <dataValidations count="10">
    <dataValidation type="list" allowBlank="1" showInputMessage="1" showErrorMessage="1" sqref="G8 JC24:JC25 SY24:SY25 ACU24:ACU25 AMQ24:AMQ25 AWM24:AWM25 BGI24:BGI25 BQE24:BQE25 CAA24:CAA25 CJW24:CJW25 CTS24:CTS25 DDO24:DDO25 DNK24:DNK25 DXG24:DXG25 EHC24:EHC25 EQY24:EQY25 FAU24:FAU25 FKQ24:FKQ25 FUM24:FUM25 GEI24:GEI25 GOE24:GOE25 GYA24:GYA25 HHW24:HHW25 HRS24:HRS25 IBO24:IBO25 ILK24:ILK25 IVG24:IVG25 JFC24:JFC25 JOY24:JOY25 JYU24:JYU25 KIQ24:KIQ25 KSM24:KSM25 LCI24:LCI25 LME24:LME25 LWA24:LWA25 MFW24:MFW25 MPS24:MPS25 MZO24:MZO25 NJK24:NJK25 NTG24:NTG25 ODC24:ODC25 OMY24:OMY25 OWU24:OWU25 PGQ24:PGQ25 PQM24:PQM25 QAI24:QAI25 QKE24:QKE25 QUA24:QUA25 RDW24:RDW25 RNS24:RNS25 RXO24:RXO25 SHK24:SHK25 SRG24:SRG25 TBC24:TBC25 TKY24:TKY25 TUU24:TUU25 UEQ24:UEQ25 UOM24:UOM25 UYI24:UYI25 VIE24:VIE25 VSA24:VSA25 WBW24:WBW25 WLS24:WLS25 WVO24:WVO25 G24:G25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17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13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65 JC65565 SY65565 ACU65565 AMQ65565 AWM65565 BGI65565 BQE65565 CAA65565 CJW65565 CTS65565 DDO65565 DNK65565 DXG65565 EHC65565 EQY65565 FAU65565 FKQ65565 FUM65565 GEI65565 GOE65565 GYA65565 HHW65565 HRS65565 IBO65565 ILK65565 IVG65565 JFC65565 JOY65565 JYU65565 KIQ65565 KSM65565 LCI65565 LME65565 LWA65565 MFW65565 MPS65565 MZO65565 NJK65565 NTG65565 ODC65565 OMY65565 OWU65565 PGQ65565 PQM65565 QAI65565 QKE65565 QUA65565 RDW65565 RNS65565 RXO65565 SHK65565 SRG65565 TBC65565 TKY65565 TUU65565 UEQ65565 UOM65565 UYI65565 VIE65565 VSA65565 WBW65565 WLS65565 WVO65565 G131101 JC131101 SY131101 ACU131101 AMQ131101 AWM131101 BGI131101 BQE131101 CAA131101 CJW131101 CTS131101 DDO131101 DNK131101 DXG131101 EHC131101 EQY131101 FAU131101 FKQ131101 FUM131101 GEI131101 GOE131101 GYA131101 HHW131101 HRS131101 IBO131101 ILK131101 IVG131101 JFC131101 JOY131101 JYU131101 KIQ131101 KSM131101 LCI131101 LME131101 LWA131101 MFW131101 MPS131101 MZO131101 NJK131101 NTG131101 ODC131101 OMY131101 OWU131101 PGQ131101 PQM131101 QAI131101 QKE131101 QUA131101 RDW131101 RNS131101 RXO131101 SHK131101 SRG131101 TBC131101 TKY131101 TUU131101 UEQ131101 UOM131101 UYI131101 VIE131101 VSA131101 WBW131101 WLS131101 WVO131101 G196637 JC196637 SY196637 ACU196637 AMQ196637 AWM196637 BGI196637 BQE196637 CAA196637 CJW196637 CTS196637 DDO196637 DNK196637 DXG196637 EHC196637 EQY196637 FAU196637 FKQ196637 FUM196637 GEI196637 GOE196637 GYA196637 HHW196637 HRS196637 IBO196637 ILK196637 IVG196637 JFC196637 JOY196637 JYU196637 KIQ196637 KSM196637 LCI196637 LME196637 LWA196637 MFW196637 MPS196637 MZO196637 NJK196637 NTG196637 ODC196637 OMY196637 OWU196637 PGQ196637 PQM196637 QAI196637 QKE196637 QUA196637 RDW196637 RNS196637 RXO196637 SHK196637 SRG196637 TBC196637 TKY196637 TUU196637 UEQ196637 UOM196637 UYI196637 VIE196637 VSA196637 WBW196637 WLS196637 WVO196637 G262173 JC262173 SY262173 ACU262173 AMQ262173 AWM262173 BGI262173 BQE262173 CAA262173 CJW262173 CTS262173 DDO262173 DNK262173 DXG262173 EHC262173 EQY262173 FAU262173 FKQ262173 FUM262173 GEI262173 GOE262173 GYA262173 HHW262173 HRS262173 IBO262173 ILK262173 IVG262173 JFC262173 JOY262173 JYU262173 KIQ262173 KSM262173 LCI262173 LME262173 LWA262173 MFW262173 MPS262173 MZO262173 NJK262173 NTG262173 ODC262173 OMY262173 OWU262173 PGQ262173 PQM262173 QAI262173 QKE262173 QUA262173 RDW262173 RNS262173 RXO262173 SHK262173 SRG262173 TBC262173 TKY262173 TUU262173 UEQ262173 UOM262173 UYI262173 VIE262173 VSA262173 WBW262173 WLS262173 WVO262173 G327709 JC327709 SY327709 ACU327709 AMQ327709 AWM327709 BGI327709 BQE327709 CAA327709 CJW327709 CTS327709 DDO327709 DNK327709 DXG327709 EHC327709 EQY327709 FAU327709 FKQ327709 FUM327709 GEI327709 GOE327709 GYA327709 HHW327709 HRS327709 IBO327709 ILK327709 IVG327709 JFC327709 JOY327709 JYU327709 KIQ327709 KSM327709 LCI327709 LME327709 LWA327709 MFW327709 MPS327709 MZO327709 NJK327709 NTG327709 ODC327709 OMY327709 OWU327709 PGQ327709 PQM327709 QAI327709 QKE327709 QUA327709 RDW327709 RNS327709 RXO327709 SHK327709 SRG327709 TBC327709 TKY327709 TUU327709 UEQ327709 UOM327709 UYI327709 VIE327709 VSA327709 WBW327709 WLS327709 WVO327709 G393245 JC393245 SY393245 ACU393245 AMQ393245 AWM393245 BGI393245 BQE393245 CAA393245 CJW393245 CTS393245 DDO393245 DNK393245 DXG393245 EHC393245 EQY393245 FAU393245 FKQ393245 FUM393245 GEI393245 GOE393245 GYA393245 HHW393245 HRS393245 IBO393245 ILK393245 IVG393245 JFC393245 JOY393245 JYU393245 KIQ393245 KSM393245 LCI393245 LME393245 LWA393245 MFW393245 MPS393245 MZO393245 NJK393245 NTG393245 ODC393245 OMY393245 OWU393245 PGQ393245 PQM393245 QAI393245 QKE393245 QUA393245 RDW393245 RNS393245 RXO393245 SHK393245 SRG393245 TBC393245 TKY393245 TUU393245 UEQ393245 UOM393245 UYI393245 VIE393245 VSA393245 WBW393245 WLS393245 WVO393245 G458781 JC458781 SY458781 ACU458781 AMQ458781 AWM458781 BGI458781 BQE458781 CAA458781 CJW458781 CTS458781 DDO458781 DNK458781 DXG458781 EHC458781 EQY458781 FAU458781 FKQ458781 FUM458781 GEI458781 GOE458781 GYA458781 HHW458781 HRS458781 IBO458781 ILK458781 IVG458781 JFC458781 JOY458781 JYU458781 KIQ458781 KSM458781 LCI458781 LME458781 LWA458781 MFW458781 MPS458781 MZO458781 NJK458781 NTG458781 ODC458781 OMY458781 OWU458781 PGQ458781 PQM458781 QAI458781 QKE458781 QUA458781 RDW458781 RNS458781 RXO458781 SHK458781 SRG458781 TBC458781 TKY458781 TUU458781 UEQ458781 UOM458781 UYI458781 VIE458781 VSA458781 WBW458781 WLS458781 WVO458781 G524317 JC524317 SY524317 ACU524317 AMQ524317 AWM524317 BGI524317 BQE524317 CAA524317 CJW524317 CTS524317 DDO524317 DNK524317 DXG524317 EHC524317 EQY524317 FAU524317 FKQ524317 FUM524317 GEI524317 GOE524317 GYA524317 HHW524317 HRS524317 IBO524317 ILK524317 IVG524317 JFC524317 JOY524317 JYU524317 KIQ524317 KSM524317 LCI524317 LME524317 LWA524317 MFW524317 MPS524317 MZO524317 NJK524317 NTG524317 ODC524317 OMY524317 OWU524317 PGQ524317 PQM524317 QAI524317 QKE524317 QUA524317 RDW524317 RNS524317 RXO524317 SHK524317 SRG524317 TBC524317 TKY524317 TUU524317 UEQ524317 UOM524317 UYI524317 VIE524317 VSA524317 WBW524317 WLS524317 WVO524317 G589853 JC589853 SY589853 ACU589853 AMQ589853 AWM589853 BGI589853 BQE589853 CAA589853 CJW589853 CTS589853 DDO589853 DNK589853 DXG589853 EHC589853 EQY589853 FAU589853 FKQ589853 FUM589853 GEI589853 GOE589853 GYA589853 HHW589853 HRS589853 IBO589853 ILK589853 IVG589853 JFC589853 JOY589853 JYU589853 KIQ589853 KSM589853 LCI589853 LME589853 LWA589853 MFW589853 MPS589853 MZO589853 NJK589853 NTG589853 ODC589853 OMY589853 OWU589853 PGQ589853 PQM589853 QAI589853 QKE589853 QUA589853 RDW589853 RNS589853 RXO589853 SHK589853 SRG589853 TBC589853 TKY589853 TUU589853 UEQ589853 UOM589853 UYI589853 VIE589853 VSA589853 WBW589853 WLS589853 WVO589853 G655389 JC655389 SY655389 ACU655389 AMQ655389 AWM655389 BGI655389 BQE655389 CAA655389 CJW655389 CTS655389 DDO655389 DNK655389 DXG655389 EHC655389 EQY655389 FAU655389 FKQ655389 FUM655389 GEI655389 GOE655389 GYA655389 HHW655389 HRS655389 IBO655389 ILK655389 IVG655389 JFC655389 JOY655389 JYU655389 KIQ655389 KSM655389 LCI655389 LME655389 LWA655389 MFW655389 MPS655389 MZO655389 NJK655389 NTG655389 ODC655389 OMY655389 OWU655389 PGQ655389 PQM655389 QAI655389 QKE655389 QUA655389 RDW655389 RNS655389 RXO655389 SHK655389 SRG655389 TBC655389 TKY655389 TUU655389 UEQ655389 UOM655389 UYI655389 VIE655389 VSA655389 WBW655389 WLS655389 WVO655389 G720925 JC720925 SY720925 ACU720925 AMQ720925 AWM720925 BGI720925 BQE720925 CAA720925 CJW720925 CTS720925 DDO720925 DNK720925 DXG720925 EHC720925 EQY720925 FAU720925 FKQ720925 FUM720925 GEI720925 GOE720925 GYA720925 HHW720925 HRS720925 IBO720925 ILK720925 IVG720925 JFC720925 JOY720925 JYU720925 KIQ720925 KSM720925 LCI720925 LME720925 LWA720925 MFW720925 MPS720925 MZO720925 NJK720925 NTG720925 ODC720925 OMY720925 OWU720925 PGQ720925 PQM720925 QAI720925 QKE720925 QUA720925 RDW720925 RNS720925 RXO720925 SHK720925 SRG720925 TBC720925 TKY720925 TUU720925 UEQ720925 UOM720925 UYI720925 VIE720925 VSA720925 WBW720925 WLS720925 WVO720925 G786461 JC786461 SY786461 ACU786461 AMQ786461 AWM786461 BGI786461 BQE786461 CAA786461 CJW786461 CTS786461 DDO786461 DNK786461 DXG786461 EHC786461 EQY786461 FAU786461 FKQ786461 FUM786461 GEI786461 GOE786461 GYA786461 HHW786461 HRS786461 IBO786461 ILK786461 IVG786461 JFC786461 JOY786461 JYU786461 KIQ786461 KSM786461 LCI786461 LME786461 LWA786461 MFW786461 MPS786461 MZO786461 NJK786461 NTG786461 ODC786461 OMY786461 OWU786461 PGQ786461 PQM786461 QAI786461 QKE786461 QUA786461 RDW786461 RNS786461 RXO786461 SHK786461 SRG786461 TBC786461 TKY786461 TUU786461 UEQ786461 UOM786461 UYI786461 VIE786461 VSA786461 WBW786461 WLS786461 WVO786461 G851997 JC851997 SY851997 ACU851997 AMQ851997 AWM851997 BGI851997 BQE851997 CAA851997 CJW851997 CTS851997 DDO851997 DNK851997 DXG851997 EHC851997 EQY851997 FAU851997 FKQ851997 FUM851997 GEI851997 GOE851997 GYA851997 HHW851997 HRS851997 IBO851997 ILK851997 IVG851997 JFC851997 JOY851997 JYU851997 KIQ851997 KSM851997 LCI851997 LME851997 LWA851997 MFW851997 MPS851997 MZO851997 NJK851997 NTG851997 ODC851997 OMY851997 OWU851997 PGQ851997 PQM851997 QAI851997 QKE851997 QUA851997 RDW851997 RNS851997 RXO851997 SHK851997 SRG851997 TBC851997 TKY851997 TUU851997 UEQ851997 UOM851997 UYI851997 VIE851997 VSA851997 WBW851997 WLS851997 WVO851997 G917533 JC917533 SY917533 ACU917533 AMQ917533 AWM917533 BGI917533 BQE917533 CAA917533 CJW917533 CTS917533 DDO917533 DNK917533 DXG917533 EHC917533 EQY917533 FAU917533 FKQ917533 FUM917533 GEI917533 GOE917533 GYA917533 HHW917533 HRS917533 IBO917533 ILK917533 IVG917533 JFC917533 JOY917533 JYU917533 KIQ917533 KSM917533 LCI917533 LME917533 LWA917533 MFW917533 MPS917533 MZO917533 NJK917533 NTG917533 ODC917533 OMY917533 OWU917533 PGQ917533 PQM917533 QAI917533 QKE917533 QUA917533 RDW917533 RNS917533 RXO917533 SHK917533 SRG917533 TBC917533 TKY917533 TUU917533 UEQ917533 UOM917533 UYI917533 VIE917533 VSA917533 WBW917533 WLS917533 WVO917533 G983069 JC983069 SY983069 ACU983069 AMQ983069 AWM983069 BGI983069 BQE983069 CAA983069 CJW983069 CTS983069 DDO983069 DNK983069 DXG983069 EHC983069 EQY983069 FAU983069 FKQ983069 FUM983069 GEI983069 GOE983069 GYA983069 HHW983069 HRS983069 IBO983069 ILK983069 IVG983069 JFC983069 JOY983069 JYU983069 KIQ983069 KSM983069 LCI983069 LME983069 LWA983069 MFW983069 MPS983069 MZO983069 NJK983069 NTG983069 ODC983069 OMY983069 OWU983069 PGQ983069 PQM983069 QAI983069 QKE983069 QUA983069 RDW983069 RNS983069 RXO983069 SHK983069 SRG983069 TBC983069 TKY983069 TUU983069 UEQ983069 UOM983069 UYI983069 VIE983069 VSA983069 WBW983069 WLS983069 WVO983069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21">
      <formula1>$AK$47:$AK$59</formula1>
    </dataValidation>
    <dataValidation type="list" allowBlank="1" showInputMessage="1" showErrorMessage="1" sqref="I8 JE24:JE25 TA24:TA25 ACW24:ACW25 AMS24:AMS25 AWO24:AWO25 BGK24:BGK25 BQG24:BQG25 CAC24:CAC25 CJY24:CJY25 CTU24:CTU25 DDQ24:DDQ25 DNM24:DNM25 DXI24:DXI25 EHE24:EHE25 ERA24:ERA25 FAW24:FAW25 FKS24:FKS25 FUO24:FUO25 GEK24:GEK25 GOG24:GOG25 GYC24:GYC25 HHY24:HHY25 HRU24:HRU25 IBQ24:IBQ25 ILM24:ILM25 IVI24:IVI25 JFE24:JFE25 JPA24:JPA25 JYW24:JYW25 KIS24:KIS25 KSO24:KSO25 LCK24:LCK25 LMG24:LMG25 LWC24:LWC25 MFY24:MFY25 MPU24:MPU25 MZQ24:MZQ25 NJM24:NJM25 NTI24:NTI25 ODE24:ODE25 ONA24:ONA25 OWW24:OWW25 PGS24:PGS25 PQO24:PQO25 QAK24:QAK25 QKG24:QKG25 QUC24:QUC25 RDY24:RDY25 RNU24:RNU25 RXQ24:RXQ25 SHM24:SHM25 SRI24:SRI25 TBE24:TBE25 TLA24:TLA25 TUW24:TUW25 UES24:UES25 UOO24:UOO25 UYK24:UYK25 VIG24:VIG25 VSC24:VSC25 WBY24:WBY25 WLU24:WLU25 WVQ24:WVQ25 I24:I25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17 JE13 TA13 ACW13 AMS13 AWO13 BGK13 BQG13 CAC13 CJY13 CTU13 DDQ13 DNM13 DXI13 EHE13 ERA13 FAW13 FKS13 FUO13 GEK13 GOG13 GYC13 HHY13 HRU13 IBQ13 ILM13 IVI13 JFE13 JPA13 JYW13 KIS13 KSO13 LCK13 LMG13 LWC13 MFY13 MPU13 MZQ13 NJM13 NTI13 ODE13 ONA13 OWW13 PGS13 PQO13 QAK13 QKG13 QUC13 RDY13 RNU13 RXQ13 SHM13 SRI13 TBE13 TLA13 TUW13 UES13 UOO13 UYK13 VIG13 VSC13 WBY13 WLU13 WVQ13 I13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65 JE65565 TA65565 ACW65565 AMS65565 AWO65565 BGK65565 BQG65565 CAC65565 CJY65565 CTU65565 DDQ65565 DNM65565 DXI65565 EHE65565 ERA65565 FAW65565 FKS65565 FUO65565 GEK65565 GOG65565 GYC65565 HHY65565 HRU65565 IBQ65565 ILM65565 IVI65565 JFE65565 JPA65565 JYW65565 KIS65565 KSO65565 LCK65565 LMG65565 LWC65565 MFY65565 MPU65565 MZQ65565 NJM65565 NTI65565 ODE65565 ONA65565 OWW65565 PGS65565 PQO65565 QAK65565 QKG65565 QUC65565 RDY65565 RNU65565 RXQ65565 SHM65565 SRI65565 TBE65565 TLA65565 TUW65565 UES65565 UOO65565 UYK65565 VIG65565 VSC65565 WBY65565 WLU65565 WVQ65565 I131101 JE131101 TA131101 ACW131101 AMS131101 AWO131101 BGK131101 BQG131101 CAC131101 CJY131101 CTU131101 DDQ131101 DNM131101 DXI131101 EHE131101 ERA131101 FAW131101 FKS131101 FUO131101 GEK131101 GOG131101 GYC131101 HHY131101 HRU131101 IBQ131101 ILM131101 IVI131101 JFE131101 JPA131101 JYW131101 KIS131101 KSO131101 LCK131101 LMG131101 LWC131101 MFY131101 MPU131101 MZQ131101 NJM131101 NTI131101 ODE131101 ONA131101 OWW131101 PGS131101 PQO131101 QAK131101 QKG131101 QUC131101 RDY131101 RNU131101 RXQ131101 SHM131101 SRI131101 TBE131101 TLA131101 TUW131101 UES131101 UOO131101 UYK131101 VIG131101 VSC131101 WBY131101 WLU131101 WVQ131101 I196637 JE196637 TA196637 ACW196637 AMS196637 AWO196637 BGK196637 BQG196637 CAC196637 CJY196637 CTU196637 DDQ196637 DNM196637 DXI196637 EHE196637 ERA196637 FAW196637 FKS196637 FUO196637 GEK196637 GOG196637 GYC196637 HHY196637 HRU196637 IBQ196637 ILM196637 IVI196637 JFE196637 JPA196637 JYW196637 KIS196637 KSO196637 LCK196637 LMG196637 LWC196637 MFY196637 MPU196637 MZQ196637 NJM196637 NTI196637 ODE196637 ONA196637 OWW196637 PGS196637 PQO196637 QAK196637 QKG196637 QUC196637 RDY196637 RNU196637 RXQ196637 SHM196637 SRI196637 TBE196637 TLA196637 TUW196637 UES196637 UOO196637 UYK196637 VIG196637 VSC196637 WBY196637 WLU196637 WVQ196637 I262173 JE262173 TA262173 ACW262173 AMS262173 AWO262173 BGK262173 BQG262173 CAC262173 CJY262173 CTU262173 DDQ262173 DNM262173 DXI262173 EHE262173 ERA262173 FAW262173 FKS262173 FUO262173 GEK262173 GOG262173 GYC262173 HHY262173 HRU262173 IBQ262173 ILM262173 IVI262173 JFE262173 JPA262173 JYW262173 KIS262173 KSO262173 LCK262173 LMG262173 LWC262173 MFY262173 MPU262173 MZQ262173 NJM262173 NTI262173 ODE262173 ONA262173 OWW262173 PGS262173 PQO262173 QAK262173 QKG262173 QUC262173 RDY262173 RNU262173 RXQ262173 SHM262173 SRI262173 TBE262173 TLA262173 TUW262173 UES262173 UOO262173 UYK262173 VIG262173 VSC262173 WBY262173 WLU262173 WVQ262173 I327709 JE327709 TA327709 ACW327709 AMS327709 AWO327709 BGK327709 BQG327709 CAC327709 CJY327709 CTU327709 DDQ327709 DNM327709 DXI327709 EHE327709 ERA327709 FAW327709 FKS327709 FUO327709 GEK327709 GOG327709 GYC327709 HHY327709 HRU327709 IBQ327709 ILM327709 IVI327709 JFE327709 JPA327709 JYW327709 KIS327709 KSO327709 LCK327709 LMG327709 LWC327709 MFY327709 MPU327709 MZQ327709 NJM327709 NTI327709 ODE327709 ONA327709 OWW327709 PGS327709 PQO327709 QAK327709 QKG327709 QUC327709 RDY327709 RNU327709 RXQ327709 SHM327709 SRI327709 TBE327709 TLA327709 TUW327709 UES327709 UOO327709 UYK327709 VIG327709 VSC327709 WBY327709 WLU327709 WVQ327709 I393245 JE393245 TA393245 ACW393245 AMS393245 AWO393245 BGK393245 BQG393245 CAC393245 CJY393245 CTU393245 DDQ393245 DNM393245 DXI393245 EHE393245 ERA393245 FAW393245 FKS393245 FUO393245 GEK393245 GOG393245 GYC393245 HHY393245 HRU393245 IBQ393245 ILM393245 IVI393245 JFE393245 JPA393245 JYW393245 KIS393245 KSO393245 LCK393245 LMG393245 LWC393245 MFY393245 MPU393245 MZQ393245 NJM393245 NTI393245 ODE393245 ONA393245 OWW393245 PGS393245 PQO393245 QAK393245 QKG393245 QUC393245 RDY393245 RNU393245 RXQ393245 SHM393245 SRI393245 TBE393245 TLA393245 TUW393245 UES393245 UOO393245 UYK393245 VIG393245 VSC393245 WBY393245 WLU393245 WVQ393245 I458781 JE458781 TA458781 ACW458781 AMS458781 AWO458781 BGK458781 BQG458781 CAC458781 CJY458781 CTU458781 DDQ458781 DNM458781 DXI458781 EHE458781 ERA458781 FAW458781 FKS458781 FUO458781 GEK458781 GOG458781 GYC458781 HHY458781 HRU458781 IBQ458781 ILM458781 IVI458781 JFE458781 JPA458781 JYW458781 KIS458781 KSO458781 LCK458781 LMG458781 LWC458781 MFY458781 MPU458781 MZQ458781 NJM458781 NTI458781 ODE458781 ONA458781 OWW458781 PGS458781 PQO458781 QAK458781 QKG458781 QUC458781 RDY458781 RNU458781 RXQ458781 SHM458781 SRI458781 TBE458781 TLA458781 TUW458781 UES458781 UOO458781 UYK458781 VIG458781 VSC458781 WBY458781 WLU458781 WVQ458781 I524317 JE524317 TA524317 ACW524317 AMS524317 AWO524317 BGK524317 BQG524317 CAC524317 CJY524317 CTU524317 DDQ524317 DNM524317 DXI524317 EHE524317 ERA524317 FAW524317 FKS524317 FUO524317 GEK524317 GOG524317 GYC524317 HHY524317 HRU524317 IBQ524317 ILM524317 IVI524317 JFE524317 JPA524317 JYW524317 KIS524317 KSO524317 LCK524317 LMG524317 LWC524317 MFY524317 MPU524317 MZQ524317 NJM524317 NTI524317 ODE524317 ONA524317 OWW524317 PGS524317 PQO524317 QAK524317 QKG524317 QUC524317 RDY524317 RNU524317 RXQ524317 SHM524317 SRI524317 TBE524317 TLA524317 TUW524317 UES524317 UOO524317 UYK524317 VIG524317 VSC524317 WBY524317 WLU524317 WVQ524317 I589853 JE589853 TA589853 ACW589853 AMS589853 AWO589853 BGK589853 BQG589853 CAC589853 CJY589853 CTU589853 DDQ589853 DNM589853 DXI589853 EHE589853 ERA589853 FAW589853 FKS589853 FUO589853 GEK589853 GOG589853 GYC589853 HHY589853 HRU589853 IBQ589853 ILM589853 IVI589853 JFE589853 JPA589853 JYW589853 KIS589853 KSO589853 LCK589853 LMG589853 LWC589853 MFY589853 MPU589853 MZQ589853 NJM589853 NTI589853 ODE589853 ONA589853 OWW589853 PGS589853 PQO589853 QAK589853 QKG589853 QUC589853 RDY589853 RNU589853 RXQ589853 SHM589853 SRI589853 TBE589853 TLA589853 TUW589853 UES589853 UOO589853 UYK589853 VIG589853 VSC589853 WBY589853 WLU589853 WVQ589853 I655389 JE655389 TA655389 ACW655389 AMS655389 AWO655389 BGK655389 BQG655389 CAC655389 CJY655389 CTU655389 DDQ655389 DNM655389 DXI655389 EHE655389 ERA655389 FAW655389 FKS655389 FUO655389 GEK655389 GOG655389 GYC655389 HHY655389 HRU655389 IBQ655389 ILM655389 IVI655389 JFE655389 JPA655389 JYW655389 KIS655389 KSO655389 LCK655389 LMG655389 LWC655389 MFY655389 MPU655389 MZQ655389 NJM655389 NTI655389 ODE655389 ONA655389 OWW655389 PGS655389 PQO655389 QAK655389 QKG655389 QUC655389 RDY655389 RNU655389 RXQ655389 SHM655389 SRI655389 TBE655389 TLA655389 TUW655389 UES655389 UOO655389 UYK655389 VIG655389 VSC655389 WBY655389 WLU655389 WVQ655389 I720925 JE720925 TA720925 ACW720925 AMS720925 AWO720925 BGK720925 BQG720925 CAC720925 CJY720925 CTU720925 DDQ720925 DNM720925 DXI720925 EHE720925 ERA720925 FAW720925 FKS720925 FUO720925 GEK720925 GOG720925 GYC720925 HHY720925 HRU720925 IBQ720925 ILM720925 IVI720925 JFE720925 JPA720925 JYW720925 KIS720925 KSO720925 LCK720925 LMG720925 LWC720925 MFY720925 MPU720925 MZQ720925 NJM720925 NTI720925 ODE720925 ONA720925 OWW720925 PGS720925 PQO720925 QAK720925 QKG720925 QUC720925 RDY720925 RNU720925 RXQ720925 SHM720925 SRI720925 TBE720925 TLA720925 TUW720925 UES720925 UOO720925 UYK720925 VIG720925 VSC720925 WBY720925 WLU720925 WVQ720925 I786461 JE786461 TA786461 ACW786461 AMS786461 AWO786461 BGK786461 BQG786461 CAC786461 CJY786461 CTU786461 DDQ786461 DNM786461 DXI786461 EHE786461 ERA786461 FAW786461 FKS786461 FUO786461 GEK786461 GOG786461 GYC786461 HHY786461 HRU786461 IBQ786461 ILM786461 IVI786461 JFE786461 JPA786461 JYW786461 KIS786461 KSO786461 LCK786461 LMG786461 LWC786461 MFY786461 MPU786461 MZQ786461 NJM786461 NTI786461 ODE786461 ONA786461 OWW786461 PGS786461 PQO786461 QAK786461 QKG786461 QUC786461 RDY786461 RNU786461 RXQ786461 SHM786461 SRI786461 TBE786461 TLA786461 TUW786461 UES786461 UOO786461 UYK786461 VIG786461 VSC786461 WBY786461 WLU786461 WVQ786461 I851997 JE851997 TA851997 ACW851997 AMS851997 AWO851997 BGK851997 BQG851997 CAC851997 CJY851997 CTU851997 DDQ851997 DNM851997 DXI851997 EHE851997 ERA851997 FAW851997 FKS851997 FUO851997 GEK851997 GOG851997 GYC851997 HHY851997 HRU851997 IBQ851997 ILM851997 IVI851997 JFE851997 JPA851997 JYW851997 KIS851997 KSO851997 LCK851997 LMG851997 LWC851997 MFY851997 MPU851997 MZQ851997 NJM851997 NTI851997 ODE851997 ONA851997 OWW851997 PGS851997 PQO851997 QAK851997 QKG851997 QUC851997 RDY851997 RNU851997 RXQ851997 SHM851997 SRI851997 TBE851997 TLA851997 TUW851997 UES851997 UOO851997 UYK851997 VIG851997 VSC851997 WBY851997 WLU851997 WVQ851997 I917533 JE917533 TA917533 ACW917533 AMS917533 AWO917533 BGK917533 BQG917533 CAC917533 CJY917533 CTU917533 DDQ917533 DNM917533 DXI917533 EHE917533 ERA917533 FAW917533 FKS917533 FUO917533 GEK917533 GOG917533 GYC917533 HHY917533 HRU917533 IBQ917533 ILM917533 IVI917533 JFE917533 JPA917533 JYW917533 KIS917533 KSO917533 LCK917533 LMG917533 LWC917533 MFY917533 MPU917533 MZQ917533 NJM917533 NTI917533 ODE917533 ONA917533 OWW917533 PGS917533 PQO917533 QAK917533 QKG917533 QUC917533 RDY917533 RNU917533 RXQ917533 SHM917533 SRI917533 TBE917533 TLA917533 TUW917533 UES917533 UOO917533 UYK917533 VIG917533 VSC917533 WBY917533 WLU917533 WVQ917533 I983069 JE983069 TA983069 ACW983069 AMS983069 AWO983069 BGK983069 BQG983069 CAC983069 CJY983069 CTU983069 DDQ983069 DNM983069 DXI983069 EHE983069 ERA983069 FAW983069 FKS983069 FUO983069 GEK983069 GOG983069 GYC983069 HHY983069 HRU983069 IBQ983069 ILM983069 IVI983069 JFE983069 JPA983069 JYW983069 KIS983069 KSO983069 LCK983069 LMG983069 LWC983069 MFY983069 MPU983069 MZQ983069 NJM983069 NTI983069 ODE983069 ONA983069 OWW983069 PGS983069 PQO983069 QAK983069 QKG983069 QUC983069 RDY983069 RNU983069 RXQ983069 SHM983069 SRI983069 TBE983069 TLA983069 TUW983069 UES983069 UOO983069 UYK983069 VIG983069 VSC983069 WBY983069 WLU983069 WVQ983069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21">
      <formula1>$X$43:$X$44</formula1>
    </dataValidation>
    <dataValidation type="list" allowBlank="1" showInputMessage="1" showErrorMessage="1" sqref="WWN983069:WWN983073 AF65565:AF65569 KB65565:KB65569 TX65565:TX65569 ADT65565:ADT65569 ANP65565:ANP65569 AXL65565:AXL65569 BHH65565:BHH65569 BRD65565:BRD65569 CAZ65565:CAZ65569 CKV65565:CKV65569 CUR65565:CUR65569 DEN65565:DEN65569 DOJ65565:DOJ65569 DYF65565:DYF65569 EIB65565:EIB65569 ERX65565:ERX65569 FBT65565:FBT65569 FLP65565:FLP65569 FVL65565:FVL65569 GFH65565:GFH65569 GPD65565:GPD65569 GYZ65565:GYZ65569 HIV65565:HIV65569 HSR65565:HSR65569 ICN65565:ICN65569 IMJ65565:IMJ65569 IWF65565:IWF65569 JGB65565:JGB65569 JPX65565:JPX65569 JZT65565:JZT65569 KJP65565:KJP65569 KTL65565:KTL65569 LDH65565:LDH65569 LND65565:LND65569 LWZ65565:LWZ65569 MGV65565:MGV65569 MQR65565:MQR65569 NAN65565:NAN65569 NKJ65565:NKJ65569 NUF65565:NUF65569 OEB65565:OEB65569 ONX65565:ONX65569 OXT65565:OXT65569 PHP65565:PHP65569 PRL65565:PRL65569 QBH65565:QBH65569 QLD65565:QLD65569 QUZ65565:QUZ65569 REV65565:REV65569 ROR65565:ROR65569 RYN65565:RYN65569 SIJ65565:SIJ65569 SSF65565:SSF65569 TCB65565:TCB65569 TLX65565:TLX65569 TVT65565:TVT65569 UFP65565:UFP65569 UPL65565:UPL65569 UZH65565:UZH65569 VJD65565:VJD65569 VSZ65565:VSZ65569 WCV65565:WCV65569 WMR65565:WMR65569 WWN65565:WWN65569 AF131101:AF131105 KB131101:KB131105 TX131101:TX131105 ADT131101:ADT131105 ANP131101:ANP131105 AXL131101:AXL131105 BHH131101:BHH131105 BRD131101:BRD131105 CAZ131101:CAZ131105 CKV131101:CKV131105 CUR131101:CUR131105 DEN131101:DEN131105 DOJ131101:DOJ131105 DYF131101:DYF131105 EIB131101:EIB131105 ERX131101:ERX131105 FBT131101:FBT131105 FLP131101:FLP131105 FVL131101:FVL131105 GFH131101:GFH131105 GPD131101:GPD131105 GYZ131101:GYZ131105 HIV131101:HIV131105 HSR131101:HSR131105 ICN131101:ICN131105 IMJ131101:IMJ131105 IWF131101:IWF131105 JGB131101:JGB131105 JPX131101:JPX131105 JZT131101:JZT131105 KJP131101:KJP131105 KTL131101:KTL131105 LDH131101:LDH131105 LND131101:LND131105 LWZ131101:LWZ131105 MGV131101:MGV131105 MQR131101:MQR131105 NAN131101:NAN131105 NKJ131101:NKJ131105 NUF131101:NUF131105 OEB131101:OEB131105 ONX131101:ONX131105 OXT131101:OXT131105 PHP131101:PHP131105 PRL131101:PRL131105 QBH131101:QBH131105 QLD131101:QLD131105 QUZ131101:QUZ131105 REV131101:REV131105 ROR131101:ROR131105 RYN131101:RYN131105 SIJ131101:SIJ131105 SSF131101:SSF131105 TCB131101:TCB131105 TLX131101:TLX131105 TVT131101:TVT131105 UFP131101:UFP131105 UPL131101:UPL131105 UZH131101:UZH131105 VJD131101:VJD131105 VSZ131101:VSZ131105 WCV131101:WCV131105 WMR131101:WMR131105 WWN131101:WWN131105 AF196637:AF196641 KB196637:KB196641 TX196637:TX196641 ADT196637:ADT196641 ANP196637:ANP196641 AXL196637:AXL196641 BHH196637:BHH196641 BRD196637:BRD196641 CAZ196637:CAZ196641 CKV196637:CKV196641 CUR196637:CUR196641 DEN196637:DEN196641 DOJ196637:DOJ196641 DYF196637:DYF196641 EIB196637:EIB196641 ERX196637:ERX196641 FBT196637:FBT196641 FLP196637:FLP196641 FVL196637:FVL196641 GFH196637:GFH196641 GPD196637:GPD196641 GYZ196637:GYZ196641 HIV196637:HIV196641 HSR196637:HSR196641 ICN196637:ICN196641 IMJ196637:IMJ196641 IWF196637:IWF196641 JGB196637:JGB196641 JPX196637:JPX196641 JZT196637:JZT196641 KJP196637:KJP196641 KTL196637:KTL196641 LDH196637:LDH196641 LND196637:LND196641 LWZ196637:LWZ196641 MGV196637:MGV196641 MQR196637:MQR196641 NAN196637:NAN196641 NKJ196637:NKJ196641 NUF196637:NUF196641 OEB196637:OEB196641 ONX196637:ONX196641 OXT196637:OXT196641 PHP196637:PHP196641 PRL196637:PRL196641 QBH196637:QBH196641 QLD196637:QLD196641 QUZ196637:QUZ196641 REV196637:REV196641 ROR196637:ROR196641 RYN196637:RYN196641 SIJ196637:SIJ196641 SSF196637:SSF196641 TCB196637:TCB196641 TLX196637:TLX196641 TVT196637:TVT196641 UFP196637:UFP196641 UPL196637:UPL196641 UZH196637:UZH196641 VJD196637:VJD196641 VSZ196637:VSZ196641 WCV196637:WCV196641 WMR196637:WMR196641 WWN196637:WWN196641 AF262173:AF262177 KB262173:KB262177 TX262173:TX262177 ADT262173:ADT262177 ANP262173:ANP262177 AXL262173:AXL262177 BHH262173:BHH262177 BRD262173:BRD262177 CAZ262173:CAZ262177 CKV262173:CKV262177 CUR262173:CUR262177 DEN262173:DEN262177 DOJ262173:DOJ262177 DYF262173:DYF262177 EIB262173:EIB262177 ERX262173:ERX262177 FBT262173:FBT262177 FLP262173:FLP262177 FVL262173:FVL262177 GFH262173:GFH262177 GPD262173:GPD262177 GYZ262173:GYZ262177 HIV262173:HIV262177 HSR262173:HSR262177 ICN262173:ICN262177 IMJ262173:IMJ262177 IWF262173:IWF262177 JGB262173:JGB262177 JPX262173:JPX262177 JZT262173:JZT262177 KJP262173:KJP262177 KTL262173:KTL262177 LDH262173:LDH262177 LND262173:LND262177 LWZ262173:LWZ262177 MGV262173:MGV262177 MQR262173:MQR262177 NAN262173:NAN262177 NKJ262173:NKJ262177 NUF262173:NUF262177 OEB262173:OEB262177 ONX262173:ONX262177 OXT262173:OXT262177 PHP262173:PHP262177 PRL262173:PRL262177 QBH262173:QBH262177 QLD262173:QLD262177 QUZ262173:QUZ262177 REV262173:REV262177 ROR262173:ROR262177 RYN262173:RYN262177 SIJ262173:SIJ262177 SSF262173:SSF262177 TCB262173:TCB262177 TLX262173:TLX262177 TVT262173:TVT262177 UFP262173:UFP262177 UPL262173:UPL262177 UZH262173:UZH262177 VJD262173:VJD262177 VSZ262173:VSZ262177 WCV262173:WCV262177 WMR262173:WMR262177 WWN262173:WWN262177 AF327709:AF327713 KB327709:KB327713 TX327709:TX327713 ADT327709:ADT327713 ANP327709:ANP327713 AXL327709:AXL327713 BHH327709:BHH327713 BRD327709:BRD327713 CAZ327709:CAZ327713 CKV327709:CKV327713 CUR327709:CUR327713 DEN327709:DEN327713 DOJ327709:DOJ327713 DYF327709:DYF327713 EIB327709:EIB327713 ERX327709:ERX327713 FBT327709:FBT327713 FLP327709:FLP327713 FVL327709:FVL327713 GFH327709:GFH327713 GPD327709:GPD327713 GYZ327709:GYZ327713 HIV327709:HIV327713 HSR327709:HSR327713 ICN327709:ICN327713 IMJ327709:IMJ327713 IWF327709:IWF327713 JGB327709:JGB327713 JPX327709:JPX327713 JZT327709:JZT327713 KJP327709:KJP327713 KTL327709:KTL327713 LDH327709:LDH327713 LND327709:LND327713 LWZ327709:LWZ327713 MGV327709:MGV327713 MQR327709:MQR327713 NAN327709:NAN327713 NKJ327709:NKJ327713 NUF327709:NUF327713 OEB327709:OEB327713 ONX327709:ONX327713 OXT327709:OXT327713 PHP327709:PHP327713 PRL327709:PRL327713 QBH327709:QBH327713 QLD327709:QLD327713 QUZ327709:QUZ327713 REV327709:REV327713 ROR327709:ROR327713 RYN327709:RYN327713 SIJ327709:SIJ327713 SSF327709:SSF327713 TCB327709:TCB327713 TLX327709:TLX327713 TVT327709:TVT327713 UFP327709:UFP327713 UPL327709:UPL327713 UZH327709:UZH327713 VJD327709:VJD327713 VSZ327709:VSZ327713 WCV327709:WCV327713 WMR327709:WMR327713 WWN327709:WWN327713 AF393245:AF393249 KB393245:KB393249 TX393245:TX393249 ADT393245:ADT393249 ANP393245:ANP393249 AXL393245:AXL393249 BHH393245:BHH393249 BRD393245:BRD393249 CAZ393245:CAZ393249 CKV393245:CKV393249 CUR393245:CUR393249 DEN393245:DEN393249 DOJ393245:DOJ393249 DYF393245:DYF393249 EIB393245:EIB393249 ERX393245:ERX393249 FBT393245:FBT393249 FLP393245:FLP393249 FVL393245:FVL393249 GFH393245:GFH393249 GPD393245:GPD393249 GYZ393245:GYZ393249 HIV393245:HIV393249 HSR393245:HSR393249 ICN393245:ICN393249 IMJ393245:IMJ393249 IWF393245:IWF393249 JGB393245:JGB393249 JPX393245:JPX393249 JZT393245:JZT393249 KJP393245:KJP393249 KTL393245:KTL393249 LDH393245:LDH393249 LND393245:LND393249 LWZ393245:LWZ393249 MGV393245:MGV393249 MQR393245:MQR393249 NAN393245:NAN393249 NKJ393245:NKJ393249 NUF393245:NUF393249 OEB393245:OEB393249 ONX393245:ONX393249 OXT393245:OXT393249 PHP393245:PHP393249 PRL393245:PRL393249 QBH393245:QBH393249 QLD393245:QLD393249 QUZ393245:QUZ393249 REV393245:REV393249 ROR393245:ROR393249 RYN393245:RYN393249 SIJ393245:SIJ393249 SSF393245:SSF393249 TCB393245:TCB393249 TLX393245:TLX393249 TVT393245:TVT393249 UFP393245:UFP393249 UPL393245:UPL393249 UZH393245:UZH393249 VJD393245:VJD393249 VSZ393245:VSZ393249 WCV393245:WCV393249 WMR393245:WMR393249 WWN393245:WWN393249 AF458781:AF458785 KB458781:KB458785 TX458781:TX458785 ADT458781:ADT458785 ANP458781:ANP458785 AXL458781:AXL458785 BHH458781:BHH458785 BRD458781:BRD458785 CAZ458781:CAZ458785 CKV458781:CKV458785 CUR458781:CUR458785 DEN458781:DEN458785 DOJ458781:DOJ458785 DYF458781:DYF458785 EIB458781:EIB458785 ERX458781:ERX458785 FBT458781:FBT458785 FLP458781:FLP458785 FVL458781:FVL458785 GFH458781:GFH458785 GPD458781:GPD458785 GYZ458781:GYZ458785 HIV458781:HIV458785 HSR458781:HSR458785 ICN458781:ICN458785 IMJ458781:IMJ458785 IWF458781:IWF458785 JGB458781:JGB458785 JPX458781:JPX458785 JZT458781:JZT458785 KJP458781:KJP458785 KTL458781:KTL458785 LDH458781:LDH458785 LND458781:LND458785 LWZ458781:LWZ458785 MGV458781:MGV458785 MQR458781:MQR458785 NAN458781:NAN458785 NKJ458781:NKJ458785 NUF458781:NUF458785 OEB458781:OEB458785 ONX458781:ONX458785 OXT458781:OXT458785 PHP458781:PHP458785 PRL458781:PRL458785 QBH458781:QBH458785 QLD458781:QLD458785 QUZ458781:QUZ458785 REV458781:REV458785 ROR458781:ROR458785 RYN458781:RYN458785 SIJ458781:SIJ458785 SSF458781:SSF458785 TCB458781:TCB458785 TLX458781:TLX458785 TVT458781:TVT458785 UFP458781:UFP458785 UPL458781:UPL458785 UZH458781:UZH458785 VJD458781:VJD458785 VSZ458781:VSZ458785 WCV458781:WCV458785 WMR458781:WMR458785 WWN458781:WWN458785 AF524317:AF524321 KB524317:KB524321 TX524317:TX524321 ADT524317:ADT524321 ANP524317:ANP524321 AXL524317:AXL524321 BHH524317:BHH524321 BRD524317:BRD524321 CAZ524317:CAZ524321 CKV524317:CKV524321 CUR524317:CUR524321 DEN524317:DEN524321 DOJ524317:DOJ524321 DYF524317:DYF524321 EIB524317:EIB524321 ERX524317:ERX524321 FBT524317:FBT524321 FLP524317:FLP524321 FVL524317:FVL524321 GFH524317:GFH524321 GPD524317:GPD524321 GYZ524317:GYZ524321 HIV524317:HIV524321 HSR524317:HSR524321 ICN524317:ICN524321 IMJ524317:IMJ524321 IWF524317:IWF524321 JGB524317:JGB524321 JPX524317:JPX524321 JZT524317:JZT524321 KJP524317:KJP524321 KTL524317:KTL524321 LDH524317:LDH524321 LND524317:LND524321 LWZ524317:LWZ524321 MGV524317:MGV524321 MQR524317:MQR524321 NAN524317:NAN524321 NKJ524317:NKJ524321 NUF524317:NUF524321 OEB524317:OEB524321 ONX524317:ONX524321 OXT524317:OXT524321 PHP524317:PHP524321 PRL524317:PRL524321 QBH524317:QBH524321 QLD524317:QLD524321 QUZ524317:QUZ524321 REV524317:REV524321 ROR524317:ROR524321 RYN524317:RYN524321 SIJ524317:SIJ524321 SSF524317:SSF524321 TCB524317:TCB524321 TLX524317:TLX524321 TVT524317:TVT524321 UFP524317:UFP524321 UPL524317:UPL524321 UZH524317:UZH524321 VJD524317:VJD524321 VSZ524317:VSZ524321 WCV524317:WCV524321 WMR524317:WMR524321 WWN524317:WWN524321 AF589853:AF589857 KB589853:KB589857 TX589853:TX589857 ADT589853:ADT589857 ANP589853:ANP589857 AXL589853:AXL589857 BHH589853:BHH589857 BRD589853:BRD589857 CAZ589853:CAZ589857 CKV589853:CKV589857 CUR589853:CUR589857 DEN589853:DEN589857 DOJ589853:DOJ589857 DYF589853:DYF589857 EIB589853:EIB589857 ERX589853:ERX589857 FBT589853:FBT589857 FLP589853:FLP589857 FVL589853:FVL589857 GFH589853:GFH589857 GPD589853:GPD589857 GYZ589853:GYZ589857 HIV589853:HIV589857 HSR589853:HSR589857 ICN589853:ICN589857 IMJ589853:IMJ589857 IWF589853:IWF589857 JGB589853:JGB589857 JPX589853:JPX589857 JZT589853:JZT589857 KJP589853:KJP589857 KTL589853:KTL589857 LDH589853:LDH589857 LND589853:LND589857 LWZ589853:LWZ589857 MGV589853:MGV589857 MQR589853:MQR589857 NAN589853:NAN589857 NKJ589853:NKJ589857 NUF589853:NUF589857 OEB589853:OEB589857 ONX589853:ONX589857 OXT589853:OXT589857 PHP589853:PHP589857 PRL589853:PRL589857 QBH589853:QBH589857 QLD589853:QLD589857 QUZ589853:QUZ589857 REV589853:REV589857 ROR589853:ROR589857 RYN589853:RYN589857 SIJ589853:SIJ589857 SSF589853:SSF589857 TCB589853:TCB589857 TLX589853:TLX589857 TVT589853:TVT589857 UFP589853:UFP589857 UPL589853:UPL589857 UZH589853:UZH589857 VJD589853:VJD589857 VSZ589853:VSZ589857 WCV589853:WCV589857 WMR589853:WMR589857 WWN589853:WWN589857 AF655389:AF655393 KB655389:KB655393 TX655389:TX655393 ADT655389:ADT655393 ANP655389:ANP655393 AXL655389:AXL655393 BHH655389:BHH655393 BRD655389:BRD655393 CAZ655389:CAZ655393 CKV655389:CKV655393 CUR655389:CUR655393 DEN655389:DEN655393 DOJ655389:DOJ655393 DYF655389:DYF655393 EIB655389:EIB655393 ERX655389:ERX655393 FBT655389:FBT655393 FLP655389:FLP655393 FVL655389:FVL655393 GFH655389:GFH655393 GPD655389:GPD655393 GYZ655389:GYZ655393 HIV655389:HIV655393 HSR655389:HSR655393 ICN655389:ICN655393 IMJ655389:IMJ655393 IWF655389:IWF655393 JGB655389:JGB655393 JPX655389:JPX655393 JZT655389:JZT655393 KJP655389:KJP655393 KTL655389:KTL655393 LDH655389:LDH655393 LND655389:LND655393 LWZ655389:LWZ655393 MGV655389:MGV655393 MQR655389:MQR655393 NAN655389:NAN655393 NKJ655389:NKJ655393 NUF655389:NUF655393 OEB655389:OEB655393 ONX655389:ONX655393 OXT655389:OXT655393 PHP655389:PHP655393 PRL655389:PRL655393 QBH655389:QBH655393 QLD655389:QLD655393 QUZ655389:QUZ655393 REV655389:REV655393 ROR655389:ROR655393 RYN655389:RYN655393 SIJ655389:SIJ655393 SSF655389:SSF655393 TCB655389:TCB655393 TLX655389:TLX655393 TVT655389:TVT655393 UFP655389:UFP655393 UPL655389:UPL655393 UZH655389:UZH655393 VJD655389:VJD655393 VSZ655389:VSZ655393 WCV655389:WCV655393 WMR655389:WMR655393 WWN655389:WWN655393 AF720925:AF720929 KB720925:KB720929 TX720925:TX720929 ADT720925:ADT720929 ANP720925:ANP720929 AXL720925:AXL720929 BHH720925:BHH720929 BRD720925:BRD720929 CAZ720925:CAZ720929 CKV720925:CKV720929 CUR720925:CUR720929 DEN720925:DEN720929 DOJ720925:DOJ720929 DYF720925:DYF720929 EIB720925:EIB720929 ERX720925:ERX720929 FBT720925:FBT720929 FLP720925:FLP720929 FVL720925:FVL720929 GFH720925:GFH720929 GPD720925:GPD720929 GYZ720925:GYZ720929 HIV720925:HIV720929 HSR720925:HSR720929 ICN720925:ICN720929 IMJ720925:IMJ720929 IWF720925:IWF720929 JGB720925:JGB720929 JPX720925:JPX720929 JZT720925:JZT720929 KJP720925:KJP720929 KTL720925:KTL720929 LDH720925:LDH720929 LND720925:LND720929 LWZ720925:LWZ720929 MGV720925:MGV720929 MQR720925:MQR720929 NAN720925:NAN720929 NKJ720925:NKJ720929 NUF720925:NUF720929 OEB720925:OEB720929 ONX720925:ONX720929 OXT720925:OXT720929 PHP720925:PHP720929 PRL720925:PRL720929 QBH720925:QBH720929 QLD720925:QLD720929 QUZ720925:QUZ720929 REV720925:REV720929 ROR720925:ROR720929 RYN720925:RYN720929 SIJ720925:SIJ720929 SSF720925:SSF720929 TCB720925:TCB720929 TLX720925:TLX720929 TVT720925:TVT720929 UFP720925:UFP720929 UPL720925:UPL720929 UZH720925:UZH720929 VJD720925:VJD720929 VSZ720925:VSZ720929 WCV720925:WCV720929 WMR720925:WMR720929 WWN720925:WWN720929 AF786461:AF786465 KB786461:KB786465 TX786461:TX786465 ADT786461:ADT786465 ANP786461:ANP786465 AXL786461:AXL786465 BHH786461:BHH786465 BRD786461:BRD786465 CAZ786461:CAZ786465 CKV786461:CKV786465 CUR786461:CUR786465 DEN786461:DEN786465 DOJ786461:DOJ786465 DYF786461:DYF786465 EIB786461:EIB786465 ERX786461:ERX786465 FBT786461:FBT786465 FLP786461:FLP786465 FVL786461:FVL786465 GFH786461:GFH786465 GPD786461:GPD786465 GYZ786461:GYZ786465 HIV786461:HIV786465 HSR786461:HSR786465 ICN786461:ICN786465 IMJ786461:IMJ786465 IWF786461:IWF786465 JGB786461:JGB786465 JPX786461:JPX786465 JZT786461:JZT786465 KJP786461:KJP786465 KTL786461:KTL786465 LDH786461:LDH786465 LND786461:LND786465 LWZ786461:LWZ786465 MGV786461:MGV786465 MQR786461:MQR786465 NAN786461:NAN786465 NKJ786461:NKJ786465 NUF786461:NUF786465 OEB786461:OEB786465 ONX786461:ONX786465 OXT786461:OXT786465 PHP786461:PHP786465 PRL786461:PRL786465 QBH786461:QBH786465 QLD786461:QLD786465 QUZ786461:QUZ786465 REV786461:REV786465 ROR786461:ROR786465 RYN786461:RYN786465 SIJ786461:SIJ786465 SSF786461:SSF786465 TCB786461:TCB786465 TLX786461:TLX786465 TVT786461:TVT786465 UFP786461:UFP786465 UPL786461:UPL786465 UZH786461:UZH786465 VJD786461:VJD786465 VSZ786461:VSZ786465 WCV786461:WCV786465 WMR786461:WMR786465 WWN786461:WWN786465 AF851997:AF852001 KB851997:KB852001 TX851997:TX852001 ADT851997:ADT852001 ANP851997:ANP852001 AXL851997:AXL852001 BHH851997:BHH852001 BRD851997:BRD852001 CAZ851997:CAZ852001 CKV851997:CKV852001 CUR851997:CUR852001 DEN851997:DEN852001 DOJ851997:DOJ852001 DYF851997:DYF852001 EIB851997:EIB852001 ERX851997:ERX852001 FBT851997:FBT852001 FLP851997:FLP852001 FVL851997:FVL852001 GFH851997:GFH852001 GPD851997:GPD852001 GYZ851997:GYZ852001 HIV851997:HIV852001 HSR851997:HSR852001 ICN851997:ICN852001 IMJ851997:IMJ852001 IWF851997:IWF852001 JGB851997:JGB852001 JPX851997:JPX852001 JZT851997:JZT852001 KJP851997:KJP852001 KTL851997:KTL852001 LDH851997:LDH852001 LND851997:LND852001 LWZ851997:LWZ852001 MGV851997:MGV852001 MQR851997:MQR852001 NAN851997:NAN852001 NKJ851997:NKJ852001 NUF851997:NUF852001 OEB851997:OEB852001 ONX851997:ONX852001 OXT851997:OXT852001 PHP851997:PHP852001 PRL851997:PRL852001 QBH851997:QBH852001 QLD851997:QLD852001 QUZ851997:QUZ852001 REV851997:REV852001 ROR851997:ROR852001 RYN851997:RYN852001 SIJ851997:SIJ852001 SSF851997:SSF852001 TCB851997:TCB852001 TLX851997:TLX852001 TVT851997:TVT852001 UFP851997:UFP852001 UPL851997:UPL852001 UZH851997:UZH852001 VJD851997:VJD852001 VSZ851997:VSZ852001 WCV851997:WCV852001 WMR851997:WMR852001 WWN851997:WWN852001 AF917533:AF917537 KB917533:KB917537 TX917533:TX917537 ADT917533:ADT917537 ANP917533:ANP917537 AXL917533:AXL917537 BHH917533:BHH917537 BRD917533:BRD917537 CAZ917533:CAZ917537 CKV917533:CKV917537 CUR917533:CUR917537 DEN917533:DEN917537 DOJ917533:DOJ917537 DYF917533:DYF917537 EIB917533:EIB917537 ERX917533:ERX917537 FBT917533:FBT917537 FLP917533:FLP917537 FVL917533:FVL917537 GFH917533:GFH917537 GPD917533:GPD917537 GYZ917533:GYZ917537 HIV917533:HIV917537 HSR917533:HSR917537 ICN917533:ICN917537 IMJ917533:IMJ917537 IWF917533:IWF917537 JGB917533:JGB917537 JPX917533:JPX917537 JZT917533:JZT917537 KJP917533:KJP917537 KTL917533:KTL917537 LDH917533:LDH917537 LND917533:LND917537 LWZ917533:LWZ917537 MGV917533:MGV917537 MQR917533:MQR917537 NAN917533:NAN917537 NKJ917533:NKJ917537 NUF917533:NUF917537 OEB917533:OEB917537 ONX917533:ONX917537 OXT917533:OXT917537 PHP917533:PHP917537 PRL917533:PRL917537 QBH917533:QBH917537 QLD917533:QLD917537 QUZ917533:QUZ917537 REV917533:REV917537 ROR917533:ROR917537 RYN917533:RYN917537 SIJ917533:SIJ917537 SSF917533:SSF917537 TCB917533:TCB917537 TLX917533:TLX917537 TVT917533:TVT917537 UFP917533:UFP917537 UPL917533:UPL917537 UZH917533:UZH917537 VJD917533:VJD917537 VSZ917533:VSZ917537 WCV917533:WCV917537 WMR917533:WMR917537 WWN917533:WWN917537 AF983069:AF983073 KB983069:KB983073 TX983069:TX983073 ADT983069:ADT983073 ANP983069:ANP983073 AXL983069:AXL983073 BHH983069:BHH983073 BRD983069:BRD983073 CAZ983069:CAZ983073 CKV983069:CKV983073 CUR983069:CUR983073 DEN983069:DEN983073 DOJ983069:DOJ983073 DYF983069:DYF983073 EIB983069:EIB983073 ERX983069:ERX983073 FBT983069:FBT983073 FLP983069:FLP983073 FVL983069:FVL983073 GFH983069:GFH983073 GPD983069:GPD983073 GYZ983069:GYZ983073 HIV983069:HIV983073 HSR983069:HSR983073 ICN983069:ICN983073 IMJ983069:IMJ983073 IWF983069:IWF983073 JGB983069:JGB983073 JPX983069:JPX983073 JZT983069:JZT983073 KJP983069:KJP983073 KTL983069:KTL983073 LDH983069:LDH983073 LND983069:LND983073 LWZ983069:LWZ983073 MGV983069:MGV983073 MQR983069:MQR983073 NAN983069:NAN983073 NKJ983069:NKJ983073 NUF983069:NUF983073 OEB983069:OEB983073 ONX983069:ONX983073 OXT983069:OXT983073 PHP983069:PHP983073 PRL983069:PRL983073 QBH983069:QBH983073 QLD983069:QLD983073 QUZ983069:QUZ983073 REV983069:REV983073 ROR983069:ROR983073 RYN983069:RYN983073 SIJ983069:SIJ983073 SSF983069:SSF983073 TCB983069:TCB983073 TLX983069:TLX983073 TVT983069:TVT983073 UFP983069:UFP983073 UPL983069:UPL983073 UZH983069:UZH983073 VJD983069:VJD983073 VSZ983069:VSZ983073 WCV983069:WCV983073 WMR983069:WMR983073 WWN8:WWN33 AF8:AF33 KB8:KB33 TX8:TX33 ADT8:ADT33 ANP8:ANP33 AXL8:AXL33 BHH8:BHH33 BRD8:BRD33 CAZ8:CAZ33 CKV8:CKV33 CUR8:CUR33 DEN8:DEN33 DOJ8:DOJ33 DYF8:DYF33 EIB8:EIB33 ERX8:ERX33 FBT8:FBT33 FLP8:FLP33 FVL8:FVL33 GFH8:GFH33 GPD8:GPD33 GYZ8:GYZ33 HIV8:HIV33 HSR8:HSR33 ICN8:ICN33 IMJ8:IMJ33 IWF8:IWF33 JGB8:JGB33 JPX8:JPX33 JZT8:JZT33 KJP8:KJP33 KTL8:KTL33 LDH8:LDH33 LND8:LND33 LWZ8:LWZ33 MGV8:MGV33 MQR8:MQR33 NAN8:NAN33 NKJ8:NKJ33 NUF8:NUF33 OEB8:OEB33 ONX8:ONX33 OXT8:OXT33 PHP8:PHP33 PRL8:PRL33 QBH8:QBH33 QLD8:QLD33 QUZ8:QUZ33 REV8:REV33 ROR8:ROR33 RYN8:RYN33 SIJ8:SIJ33 SSF8:SSF33 TCB8:TCB33 TLX8:TLX33 TVT8:TVT33 UFP8:UFP33 UPL8:UPL33 UZH8:UZH33 VJD8:VJD33 VSZ8:VSZ33 WCV8:WCV33 WMR8:WMR33">
      <formula1>$AJ$1:$AJ$4</formula1>
    </dataValidation>
    <dataValidation type="list" allowBlank="1" showInputMessage="1" showErrorMessage="1" sqref="KA8 ADS24:ADS25 ANO24:ANO25 AXK24:AXK25 BHG24:BHG25 BRC24:BRC25 CAY24:CAY25 CKU24:CKU25 CUQ24:CUQ25 DEM24:DEM25 DOI24:DOI25 DYE24:DYE25 EIA24:EIA25 ERW24:ERW25 FBS24:FBS25 FLO24:FLO25 FVK24:FVK25 GFG24:GFG25 GPC24:GPC25 GYY24:GYY25 HIU24:HIU25 HSQ24:HSQ25 ICM24:ICM25 IMI24:IMI25 IWE24:IWE25 JGA24:JGA25 JPW24:JPW25 JZS24:JZS25 KJO24:KJO25 KTK24:KTK25 LDG24:LDG25 LNC24:LNC25 LWY24:LWY25 MGU24:MGU25 MQQ24:MQQ25 NAM24:NAM25 NKI24:NKI25 NUE24:NUE25 OEA24:OEA25 ONW24:ONW25 OXS24:OXS25 PHO24:PHO25 PRK24:PRK25 QBG24:QBG25 QLC24:QLC25 QUY24:QUY25 REU24:REU25 ROQ24:ROQ25 RYM24:RYM25 SII24:SII25 SSE24:SSE25 TCA24:TCA25 TLW24:TLW25 TVS24:TVS25 UFO24:UFO25 UPK24:UPK25 UZG24:UZG25 VJC24:VJC25 VSY24:VSY25 WCU24:WCU25 WMQ24:WMQ25 WWM24:WWM25 KA24:KA25 TW24:TW25 TW21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KA17 TW17 WWM983069 ADS13 ANO13 AXK13 BHG13 BRC13 CAY13 CKU13 CUQ13 DEM13 DOI13 DYE13 EIA13 ERW13 FBS13 FLO13 FVK13 GFG13 GPC13 GYY13 HIU13 HSQ13 ICM13 IMI13 IWE13 JGA13 JPW13 JZS13 KJO13 KTK13 LDG13 LNC13 LWY13 MGU13 MQQ13 NAM13 NKI13 NUE13 OEA13 ONW13 OXS13 PHO13 PRK13 QBG13 QLC13 QUY13 REU13 ROQ13 RYM13 SII13 SSE13 TCA13 TLW13 TVS13 UFO13 UPK13 UZG13 VJC13 VSY13 WCU13 WMQ13 WWM13 KA13 TW13 TW8 ADS8 ANO8 AXK8 BHG8 BRC8 CAY8 CKU8 CUQ8 DEM8 DOI8 DYE8 EIA8 ERW8 FBS8 FLO8 FVK8 GFG8 GPC8 GYY8 HIU8 HSQ8 ICM8 IMI8 IWE8 JGA8 JPW8 JZS8 KJO8 KTK8 LDG8 LNC8 LWY8 MGU8 MQQ8 NAM8 NKI8 NUE8 OEA8 ONW8 OXS8 PHO8 PRK8 QBG8 QLC8 QUY8 REU8 ROQ8 RYM8 SII8 SSE8 TCA8 TLW8 TVS8 UFO8 UPK8 UZG8 VJC8 VSY8 WCU8 WMQ8 WWM8 AE65565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AE131101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AE196637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AE262173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AE327709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AE393245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AE458781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AE524317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AE589853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AE655389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AE720925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AE786461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AE851997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AE917533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AE983069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ADS17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KA21 AE8:AE28">
      <formula1>$B$43:$B$45</formula1>
    </dataValidation>
    <dataValidation type="list" allowBlank="1" showInputMessage="1" showErrorMessage="1" sqref="H8 JD24:JD25 SZ24:SZ25 ACV24:ACV25 AMR24:AMR25 AWN24:AWN25 BGJ24:BGJ25 BQF24:BQF25 CAB24:CAB25 CJX24:CJX25 CTT24:CTT25 DDP24:DDP25 DNL24:DNL25 DXH24:DXH25 EHD24:EHD25 EQZ24:EQZ25 FAV24:FAV25 FKR24:FKR25 FUN24:FUN25 GEJ24:GEJ25 GOF24:GOF25 GYB24:GYB25 HHX24:HHX25 HRT24:HRT25 IBP24:IBP25 ILL24:ILL25 IVH24:IVH25 JFD24:JFD25 JOZ24:JOZ25 JYV24:JYV25 KIR24:KIR25 KSN24:KSN25 LCJ24:LCJ25 LMF24:LMF25 LWB24:LWB25 MFX24:MFX25 MPT24:MPT25 MZP24:MZP25 NJL24:NJL25 NTH24:NTH25 ODD24:ODD25 OMZ24:OMZ25 OWV24:OWV25 PGR24:PGR25 PQN24:PQN25 QAJ24:QAJ25 QKF24:QKF25 QUB24:QUB25 RDX24:RDX25 RNT24:RNT25 RXP24:RXP25 SHL24:SHL25 SRH24:SRH25 TBD24:TBD25 TKZ24:TKZ25 TUV24:TUV25 UER24:UER25 UON24:UON25 UYJ24:UYJ25 VIF24:VIF25 VSB24:VSB25 WBX24:WBX25 WLT24:WLT25 WVP24:WVP25 H24:H25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17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13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21">
      <formula1>$H$41:$H$45</formula1>
    </dataValidation>
    <dataValidation type="date" showInputMessage="1" showErrorMessage="1" error="Debe Digitar una Fecha Valida o Verificar la Fecha Inicial" sqref="WWL983069:WWL983073 AD65565:AD65569 JZ65565:JZ65569 TV65565:TV65569 ADR65565:ADR65569 ANN65565:ANN65569 AXJ65565:AXJ65569 BHF65565:BHF65569 BRB65565:BRB65569 CAX65565:CAX65569 CKT65565:CKT65569 CUP65565:CUP65569 DEL65565:DEL65569 DOH65565:DOH65569 DYD65565:DYD65569 EHZ65565:EHZ65569 ERV65565:ERV65569 FBR65565:FBR65569 FLN65565:FLN65569 FVJ65565:FVJ65569 GFF65565:GFF65569 GPB65565:GPB65569 GYX65565:GYX65569 HIT65565:HIT65569 HSP65565:HSP65569 ICL65565:ICL65569 IMH65565:IMH65569 IWD65565:IWD65569 JFZ65565:JFZ65569 JPV65565:JPV65569 JZR65565:JZR65569 KJN65565:KJN65569 KTJ65565:KTJ65569 LDF65565:LDF65569 LNB65565:LNB65569 LWX65565:LWX65569 MGT65565:MGT65569 MQP65565:MQP65569 NAL65565:NAL65569 NKH65565:NKH65569 NUD65565:NUD65569 ODZ65565:ODZ65569 ONV65565:ONV65569 OXR65565:OXR65569 PHN65565:PHN65569 PRJ65565:PRJ65569 QBF65565:QBF65569 QLB65565:QLB65569 QUX65565:QUX65569 RET65565:RET65569 ROP65565:ROP65569 RYL65565:RYL65569 SIH65565:SIH65569 SSD65565:SSD65569 TBZ65565:TBZ65569 TLV65565:TLV65569 TVR65565:TVR65569 UFN65565:UFN65569 UPJ65565:UPJ65569 UZF65565:UZF65569 VJB65565:VJB65569 VSX65565:VSX65569 WCT65565:WCT65569 WMP65565:WMP65569 WWL65565:WWL65569 AD131101:AD131105 JZ131101:JZ131105 TV131101:TV131105 ADR131101:ADR131105 ANN131101:ANN131105 AXJ131101:AXJ131105 BHF131101:BHF131105 BRB131101:BRB131105 CAX131101:CAX131105 CKT131101:CKT131105 CUP131101:CUP131105 DEL131101:DEL131105 DOH131101:DOH131105 DYD131101:DYD131105 EHZ131101:EHZ131105 ERV131101:ERV131105 FBR131101:FBR131105 FLN131101:FLN131105 FVJ131101:FVJ131105 GFF131101:GFF131105 GPB131101:GPB131105 GYX131101:GYX131105 HIT131101:HIT131105 HSP131101:HSP131105 ICL131101:ICL131105 IMH131101:IMH131105 IWD131101:IWD131105 JFZ131101:JFZ131105 JPV131101:JPV131105 JZR131101:JZR131105 KJN131101:KJN131105 KTJ131101:KTJ131105 LDF131101:LDF131105 LNB131101:LNB131105 LWX131101:LWX131105 MGT131101:MGT131105 MQP131101:MQP131105 NAL131101:NAL131105 NKH131101:NKH131105 NUD131101:NUD131105 ODZ131101:ODZ131105 ONV131101:ONV131105 OXR131101:OXR131105 PHN131101:PHN131105 PRJ131101:PRJ131105 QBF131101:QBF131105 QLB131101:QLB131105 QUX131101:QUX131105 RET131101:RET131105 ROP131101:ROP131105 RYL131101:RYL131105 SIH131101:SIH131105 SSD131101:SSD131105 TBZ131101:TBZ131105 TLV131101:TLV131105 TVR131101:TVR131105 UFN131101:UFN131105 UPJ131101:UPJ131105 UZF131101:UZF131105 VJB131101:VJB131105 VSX131101:VSX131105 WCT131101:WCT131105 WMP131101:WMP131105 WWL131101:WWL131105 AD196637:AD196641 JZ196637:JZ196641 TV196637:TV196641 ADR196637:ADR196641 ANN196637:ANN196641 AXJ196637:AXJ196641 BHF196637:BHF196641 BRB196637:BRB196641 CAX196637:CAX196641 CKT196637:CKT196641 CUP196637:CUP196641 DEL196637:DEL196641 DOH196637:DOH196641 DYD196637:DYD196641 EHZ196637:EHZ196641 ERV196637:ERV196641 FBR196637:FBR196641 FLN196637:FLN196641 FVJ196637:FVJ196641 GFF196637:GFF196641 GPB196637:GPB196641 GYX196637:GYX196641 HIT196637:HIT196641 HSP196637:HSP196641 ICL196637:ICL196641 IMH196637:IMH196641 IWD196637:IWD196641 JFZ196637:JFZ196641 JPV196637:JPV196641 JZR196637:JZR196641 KJN196637:KJN196641 KTJ196637:KTJ196641 LDF196637:LDF196641 LNB196637:LNB196641 LWX196637:LWX196641 MGT196637:MGT196641 MQP196637:MQP196641 NAL196637:NAL196641 NKH196637:NKH196641 NUD196637:NUD196641 ODZ196637:ODZ196641 ONV196637:ONV196641 OXR196637:OXR196641 PHN196637:PHN196641 PRJ196637:PRJ196641 QBF196637:QBF196641 QLB196637:QLB196641 QUX196637:QUX196641 RET196637:RET196641 ROP196637:ROP196641 RYL196637:RYL196641 SIH196637:SIH196641 SSD196637:SSD196641 TBZ196637:TBZ196641 TLV196637:TLV196641 TVR196637:TVR196641 UFN196637:UFN196641 UPJ196637:UPJ196641 UZF196637:UZF196641 VJB196637:VJB196641 VSX196637:VSX196641 WCT196637:WCT196641 WMP196637:WMP196641 WWL196637:WWL196641 AD262173:AD262177 JZ262173:JZ262177 TV262173:TV262177 ADR262173:ADR262177 ANN262173:ANN262177 AXJ262173:AXJ262177 BHF262173:BHF262177 BRB262173:BRB262177 CAX262173:CAX262177 CKT262173:CKT262177 CUP262173:CUP262177 DEL262173:DEL262177 DOH262173:DOH262177 DYD262173:DYD262177 EHZ262173:EHZ262177 ERV262173:ERV262177 FBR262173:FBR262177 FLN262173:FLN262177 FVJ262173:FVJ262177 GFF262173:GFF262177 GPB262173:GPB262177 GYX262173:GYX262177 HIT262173:HIT262177 HSP262173:HSP262177 ICL262173:ICL262177 IMH262173:IMH262177 IWD262173:IWD262177 JFZ262173:JFZ262177 JPV262173:JPV262177 JZR262173:JZR262177 KJN262173:KJN262177 KTJ262173:KTJ262177 LDF262173:LDF262177 LNB262173:LNB262177 LWX262173:LWX262177 MGT262173:MGT262177 MQP262173:MQP262177 NAL262173:NAL262177 NKH262173:NKH262177 NUD262173:NUD262177 ODZ262173:ODZ262177 ONV262173:ONV262177 OXR262173:OXR262177 PHN262173:PHN262177 PRJ262173:PRJ262177 QBF262173:QBF262177 QLB262173:QLB262177 QUX262173:QUX262177 RET262173:RET262177 ROP262173:ROP262177 RYL262173:RYL262177 SIH262173:SIH262177 SSD262173:SSD262177 TBZ262173:TBZ262177 TLV262173:TLV262177 TVR262173:TVR262177 UFN262173:UFN262177 UPJ262173:UPJ262177 UZF262173:UZF262177 VJB262173:VJB262177 VSX262173:VSX262177 WCT262173:WCT262177 WMP262173:WMP262177 WWL262173:WWL262177 AD327709:AD327713 JZ327709:JZ327713 TV327709:TV327713 ADR327709:ADR327713 ANN327709:ANN327713 AXJ327709:AXJ327713 BHF327709:BHF327713 BRB327709:BRB327713 CAX327709:CAX327713 CKT327709:CKT327713 CUP327709:CUP327713 DEL327709:DEL327713 DOH327709:DOH327713 DYD327709:DYD327713 EHZ327709:EHZ327713 ERV327709:ERV327713 FBR327709:FBR327713 FLN327709:FLN327713 FVJ327709:FVJ327713 GFF327709:GFF327713 GPB327709:GPB327713 GYX327709:GYX327713 HIT327709:HIT327713 HSP327709:HSP327713 ICL327709:ICL327713 IMH327709:IMH327713 IWD327709:IWD327713 JFZ327709:JFZ327713 JPV327709:JPV327713 JZR327709:JZR327713 KJN327709:KJN327713 KTJ327709:KTJ327713 LDF327709:LDF327713 LNB327709:LNB327713 LWX327709:LWX327713 MGT327709:MGT327713 MQP327709:MQP327713 NAL327709:NAL327713 NKH327709:NKH327713 NUD327709:NUD327713 ODZ327709:ODZ327713 ONV327709:ONV327713 OXR327709:OXR327713 PHN327709:PHN327713 PRJ327709:PRJ327713 QBF327709:QBF327713 QLB327709:QLB327713 QUX327709:QUX327713 RET327709:RET327713 ROP327709:ROP327713 RYL327709:RYL327713 SIH327709:SIH327713 SSD327709:SSD327713 TBZ327709:TBZ327713 TLV327709:TLV327713 TVR327709:TVR327713 UFN327709:UFN327713 UPJ327709:UPJ327713 UZF327709:UZF327713 VJB327709:VJB327713 VSX327709:VSX327713 WCT327709:WCT327713 WMP327709:WMP327713 WWL327709:WWL327713 AD393245:AD393249 JZ393245:JZ393249 TV393245:TV393249 ADR393245:ADR393249 ANN393245:ANN393249 AXJ393245:AXJ393249 BHF393245:BHF393249 BRB393245:BRB393249 CAX393245:CAX393249 CKT393245:CKT393249 CUP393245:CUP393249 DEL393245:DEL393249 DOH393245:DOH393249 DYD393245:DYD393249 EHZ393245:EHZ393249 ERV393245:ERV393249 FBR393245:FBR393249 FLN393245:FLN393249 FVJ393245:FVJ393249 GFF393245:GFF393249 GPB393245:GPB393249 GYX393245:GYX393249 HIT393245:HIT393249 HSP393245:HSP393249 ICL393245:ICL393249 IMH393245:IMH393249 IWD393245:IWD393249 JFZ393245:JFZ393249 JPV393245:JPV393249 JZR393245:JZR393249 KJN393245:KJN393249 KTJ393245:KTJ393249 LDF393245:LDF393249 LNB393245:LNB393249 LWX393245:LWX393249 MGT393245:MGT393249 MQP393245:MQP393249 NAL393245:NAL393249 NKH393245:NKH393249 NUD393245:NUD393249 ODZ393245:ODZ393249 ONV393245:ONV393249 OXR393245:OXR393249 PHN393245:PHN393249 PRJ393245:PRJ393249 QBF393245:QBF393249 QLB393245:QLB393249 QUX393245:QUX393249 RET393245:RET393249 ROP393245:ROP393249 RYL393245:RYL393249 SIH393245:SIH393249 SSD393245:SSD393249 TBZ393245:TBZ393249 TLV393245:TLV393249 TVR393245:TVR393249 UFN393245:UFN393249 UPJ393245:UPJ393249 UZF393245:UZF393249 VJB393245:VJB393249 VSX393245:VSX393249 WCT393245:WCT393249 WMP393245:WMP393249 WWL393245:WWL393249 AD458781:AD458785 JZ458781:JZ458785 TV458781:TV458785 ADR458781:ADR458785 ANN458781:ANN458785 AXJ458781:AXJ458785 BHF458781:BHF458785 BRB458781:BRB458785 CAX458781:CAX458785 CKT458781:CKT458785 CUP458781:CUP458785 DEL458781:DEL458785 DOH458781:DOH458785 DYD458781:DYD458785 EHZ458781:EHZ458785 ERV458781:ERV458785 FBR458781:FBR458785 FLN458781:FLN458785 FVJ458781:FVJ458785 GFF458781:GFF458785 GPB458781:GPB458785 GYX458781:GYX458785 HIT458781:HIT458785 HSP458781:HSP458785 ICL458781:ICL458785 IMH458781:IMH458785 IWD458781:IWD458785 JFZ458781:JFZ458785 JPV458781:JPV458785 JZR458781:JZR458785 KJN458781:KJN458785 KTJ458781:KTJ458785 LDF458781:LDF458785 LNB458781:LNB458785 LWX458781:LWX458785 MGT458781:MGT458785 MQP458781:MQP458785 NAL458781:NAL458785 NKH458781:NKH458785 NUD458781:NUD458785 ODZ458781:ODZ458785 ONV458781:ONV458785 OXR458781:OXR458785 PHN458781:PHN458785 PRJ458781:PRJ458785 QBF458781:QBF458785 QLB458781:QLB458785 QUX458781:QUX458785 RET458781:RET458785 ROP458781:ROP458785 RYL458781:RYL458785 SIH458781:SIH458785 SSD458781:SSD458785 TBZ458781:TBZ458785 TLV458781:TLV458785 TVR458781:TVR458785 UFN458781:UFN458785 UPJ458781:UPJ458785 UZF458781:UZF458785 VJB458781:VJB458785 VSX458781:VSX458785 WCT458781:WCT458785 WMP458781:WMP458785 WWL458781:WWL458785 AD524317:AD524321 JZ524317:JZ524321 TV524317:TV524321 ADR524317:ADR524321 ANN524317:ANN524321 AXJ524317:AXJ524321 BHF524317:BHF524321 BRB524317:BRB524321 CAX524317:CAX524321 CKT524317:CKT524321 CUP524317:CUP524321 DEL524317:DEL524321 DOH524317:DOH524321 DYD524317:DYD524321 EHZ524317:EHZ524321 ERV524317:ERV524321 FBR524317:FBR524321 FLN524317:FLN524321 FVJ524317:FVJ524321 GFF524317:GFF524321 GPB524317:GPB524321 GYX524317:GYX524321 HIT524317:HIT524321 HSP524317:HSP524321 ICL524317:ICL524321 IMH524317:IMH524321 IWD524317:IWD524321 JFZ524317:JFZ524321 JPV524317:JPV524321 JZR524317:JZR524321 KJN524317:KJN524321 KTJ524317:KTJ524321 LDF524317:LDF524321 LNB524317:LNB524321 LWX524317:LWX524321 MGT524317:MGT524321 MQP524317:MQP524321 NAL524317:NAL524321 NKH524317:NKH524321 NUD524317:NUD524321 ODZ524317:ODZ524321 ONV524317:ONV524321 OXR524317:OXR524321 PHN524317:PHN524321 PRJ524317:PRJ524321 QBF524317:QBF524321 QLB524317:QLB524321 QUX524317:QUX524321 RET524317:RET524321 ROP524317:ROP524321 RYL524317:RYL524321 SIH524317:SIH524321 SSD524317:SSD524321 TBZ524317:TBZ524321 TLV524317:TLV524321 TVR524317:TVR524321 UFN524317:UFN524321 UPJ524317:UPJ524321 UZF524317:UZF524321 VJB524317:VJB524321 VSX524317:VSX524321 WCT524317:WCT524321 WMP524317:WMP524321 WWL524317:WWL524321 AD589853:AD589857 JZ589853:JZ589857 TV589853:TV589857 ADR589853:ADR589857 ANN589853:ANN589857 AXJ589853:AXJ589857 BHF589853:BHF589857 BRB589853:BRB589857 CAX589853:CAX589857 CKT589853:CKT589857 CUP589853:CUP589857 DEL589853:DEL589857 DOH589853:DOH589857 DYD589853:DYD589857 EHZ589853:EHZ589857 ERV589853:ERV589857 FBR589853:FBR589857 FLN589853:FLN589857 FVJ589853:FVJ589857 GFF589853:GFF589857 GPB589853:GPB589857 GYX589853:GYX589857 HIT589853:HIT589857 HSP589853:HSP589857 ICL589853:ICL589857 IMH589853:IMH589857 IWD589853:IWD589857 JFZ589853:JFZ589857 JPV589853:JPV589857 JZR589853:JZR589857 KJN589853:KJN589857 KTJ589853:KTJ589857 LDF589853:LDF589857 LNB589853:LNB589857 LWX589853:LWX589857 MGT589853:MGT589857 MQP589853:MQP589857 NAL589853:NAL589857 NKH589853:NKH589857 NUD589853:NUD589857 ODZ589853:ODZ589857 ONV589853:ONV589857 OXR589853:OXR589857 PHN589853:PHN589857 PRJ589853:PRJ589857 QBF589853:QBF589857 QLB589853:QLB589857 QUX589853:QUX589857 RET589853:RET589857 ROP589853:ROP589857 RYL589853:RYL589857 SIH589853:SIH589857 SSD589853:SSD589857 TBZ589853:TBZ589857 TLV589853:TLV589857 TVR589853:TVR589857 UFN589853:UFN589857 UPJ589853:UPJ589857 UZF589853:UZF589857 VJB589853:VJB589857 VSX589853:VSX589857 WCT589853:WCT589857 WMP589853:WMP589857 WWL589853:WWL589857 AD655389:AD655393 JZ655389:JZ655393 TV655389:TV655393 ADR655389:ADR655393 ANN655389:ANN655393 AXJ655389:AXJ655393 BHF655389:BHF655393 BRB655389:BRB655393 CAX655389:CAX655393 CKT655389:CKT655393 CUP655389:CUP655393 DEL655389:DEL655393 DOH655389:DOH655393 DYD655389:DYD655393 EHZ655389:EHZ655393 ERV655389:ERV655393 FBR655389:FBR655393 FLN655389:FLN655393 FVJ655389:FVJ655393 GFF655389:GFF655393 GPB655389:GPB655393 GYX655389:GYX655393 HIT655389:HIT655393 HSP655389:HSP655393 ICL655389:ICL655393 IMH655389:IMH655393 IWD655389:IWD655393 JFZ655389:JFZ655393 JPV655389:JPV655393 JZR655389:JZR655393 KJN655389:KJN655393 KTJ655389:KTJ655393 LDF655389:LDF655393 LNB655389:LNB655393 LWX655389:LWX655393 MGT655389:MGT655393 MQP655389:MQP655393 NAL655389:NAL655393 NKH655389:NKH655393 NUD655389:NUD655393 ODZ655389:ODZ655393 ONV655389:ONV655393 OXR655389:OXR655393 PHN655389:PHN655393 PRJ655389:PRJ655393 QBF655389:QBF655393 QLB655389:QLB655393 QUX655389:QUX655393 RET655389:RET655393 ROP655389:ROP655393 RYL655389:RYL655393 SIH655389:SIH655393 SSD655389:SSD655393 TBZ655389:TBZ655393 TLV655389:TLV655393 TVR655389:TVR655393 UFN655389:UFN655393 UPJ655389:UPJ655393 UZF655389:UZF655393 VJB655389:VJB655393 VSX655389:VSX655393 WCT655389:WCT655393 WMP655389:WMP655393 WWL655389:WWL655393 AD720925:AD720929 JZ720925:JZ720929 TV720925:TV720929 ADR720925:ADR720929 ANN720925:ANN720929 AXJ720925:AXJ720929 BHF720925:BHF720929 BRB720925:BRB720929 CAX720925:CAX720929 CKT720925:CKT720929 CUP720925:CUP720929 DEL720925:DEL720929 DOH720925:DOH720929 DYD720925:DYD720929 EHZ720925:EHZ720929 ERV720925:ERV720929 FBR720925:FBR720929 FLN720925:FLN720929 FVJ720925:FVJ720929 GFF720925:GFF720929 GPB720925:GPB720929 GYX720925:GYX720929 HIT720925:HIT720929 HSP720925:HSP720929 ICL720925:ICL720929 IMH720925:IMH720929 IWD720925:IWD720929 JFZ720925:JFZ720929 JPV720925:JPV720929 JZR720925:JZR720929 KJN720925:KJN720929 KTJ720925:KTJ720929 LDF720925:LDF720929 LNB720925:LNB720929 LWX720925:LWX720929 MGT720925:MGT720929 MQP720925:MQP720929 NAL720925:NAL720929 NKH720925:NKH720929 NUD720925:NUD720929 ODZ720925:ODZ720929 ONV720925:ONV720929 OXR720925:OXR720929 PHN720925:PHN720929 PRJ720925:PRJ720929 QBF720925:QBF720929 QLB720925:QLB720929 QUX720925:QUX720929 RET720925:RET720929 ROP720925:ROP720929 RYL720925:RYL720929 SIH720925:SIH720929 SSD720925:SSD720929 TBZ720925:TBZ720929 TLV720925:TLV720929 TVR720925:TVR720929 UFN720925:UFN720929 UPJ720925:UPJ720929 UZF720925:UZF720929 VJB720925:VJB720929 VSX720925:VSX720929 WCT720925:WCT720929 WMP720925:WMP720929 WWL720925:WWL720929 AD786461:AD786465 JZ786461:JZ786465 TV786461:TV786465 ADR786461:ADR786465 ANN786461:ANN786465 AXJ786461:AXJ786465 BHF786461:BHF786465 BRB786461:BRB786465 CAX786461:CAX786465 CKT786461:CKT786465 CUP786461:CUP786465 DEL786461:DEL786465 DOH786461:DOH786465 DYD786461:DYD786465 EHZ786461:EHZ786465 ERV786461:ERV786465 FBR786461:FBR786465 FLN786461:FLN786465 FVJ786461:FVJ786465 GFF786461:GFF786465 GPB786461:GPB786465 GYX786461:GYX786465 HIT786461:HIT786465 HSP786461:HSP786465 ICL786461:ICL786465 IMH786461:IMH786465 IWD786461:IWD786465 JFZ786461:JFZ786465 JPV786461:JPV786465 JZR786461:JZR786465 KJN786461:KJN786465 KTJ786461:KTJ786465 LDF786461:LDF786465 LNB786461:LNB786465 LWX786461:LWX786465 MGT786461:MGT786465 MQP786461:MQP786465 NAL786461:NAL786465 NKH786461:NKH786465 NUD786461:NUD786465 ODZ786461:ODZ786465 ONV786461:ONV786465 OXR786461:OXR786465 PHN786461:PHN786465 PRJ786461:PRJ786465 QBF786461:QBF786465 QLB786461:QLB786465 QUX786461:QUX786465 RET786461:RET786465 ROP786461:ROP786465 RYL786461:RYL786465 SIH786461:SIH786465 SSD786461:SSD786465 TBZ786461:TBZ786465 TLV786461:TLV786465 TVR786461:TVR786465 UFN786461:UFN786465 UPJ786461:UPJ786465 UZF786461:UZF786465 VJB786461:VJB786465 VSX786461:VSX786465 WCT786461:WCT786465 WMP786461:WMP786465 WWL786461:WWL786465 AD851997:AD852001 JZ851997:JZ852001 TV851997:TV852001 ADR851997:ADR852001 ANN851997:ANN852001 AXJ851997:AXJ852001 BHF851997:BHF852001 BRB851997:BRB852001 CAX851997:CAX852001 CKT851997:CKT852001 CUP851997:CUP852001 DEL851997:DEL852001 DOH851997:DOH852001 DYD851997:DYD852001 EHZ851997:EHZ852001 ERV851997:ERV852001 FBR851997:FBR852001 FLN851997:FLN852001 FVJ851997:FVJ852001 GFF851997:GFF852001 GPB851997:GPB852001 GYX851997:GYX852001 HIT851997:HIT852001 HSP851997:HSP852001 ICL851997:ICL852001 IMH851997:IMH852001 IWD851997:IWD852001 JFZ851997:JFZ852001 JPV851997:JPV852001 JZR851997:JZR852001 KJN851997:KJN852001 KTJ851997:KTJ852001 LDF851997:LDF852001 LNB851997:LNB852001 LWX851997:LWX852001 MGT851997:MGT852001 MQP851997:MQP852001 NAL851997:NAL852001 NKH851997:NKH852001 NUD851997:NUD852001 ODZ851997:ODZ852001 ONV851997:ONV852001 OXR851997:OXR852001 PHN851997:PHN852001 PRJ851997:PRJ852001 QBF851997:QBF852001 QLB851997:QLB852001 QUX851997:QUX852001 RET851997:RET852001 ROP851997:ROP852001 RYL851997:RYL852001 SIH851997:SIH852001 SSD851997:SSD852001 TBZ851997:TBZ852001 TLV851997:TLV852001 TVR851997:TVR852001 UFN851997:UFN852001 UPJ851997:UPJ852001 UZF851997:UZF852001 VJB851997:VJB852001 VSX851997:VSX852001 WCT851997:WCT852001 WMP851997:WMP852001 WWL851997:WWL852001 AD917533:AD917537 JZ917533:JZ917537 TV917533:TV917537 ADR917533:ADR917537 ANN917533:ANN917537 AXJ917533:AXJ917537 BHF917533:BHF917537 BRB917533:BRB917537 CAX917533:CAX917537 CKT917533:CKT917537 CUP917533:CUP917537 DEL917533:DEL917537 DOH917533:DOH917537 DYD917533:DYD917537 EHZ917533:EHZ917537 ERV917533:ERV917537 FBR917533:FBR917537 FLN917533:FLN917537 FVJ917533:FVJ917537 GFF917533:GFF917537 GPB917533:GPB917537 GYX917533:GYX917537 HIT917533:HIT917537 HSP917533:HSP917537 ICL917533:ICL917537 IMH917533:IMH917537 IWD917533:IWD917537 JFZ917533:JFZ917537 JPV917533:JPV917537 JZR917533:JZR917537 KJN917533:KJN917537 KTJ917533:KTJ917537 LDF917533:LDF917537 LNB917533:LNB917537 LWX917533:LWX917537 MGT917533:MGT917537 MQP917533:MQP917537 NAL917533:NAL917537 NKH917533:NKH917537 NUD917533:NUD917537 ODZ917533:ODZ917537 ONV917533:ONV917537 OXR917533:OXR917537 PHN917533:PHN917537 PRJ917533:PRJ917537 QBF917533:QBF917537 QLB917533:QLB917537 QUX917533:QUX917537 RET917533:RET917537 ROP917533:ROP917537 RYL917533:RYL917537 SIH917533:SIH917537 SSD917533:SSD917537 TBZ917533:TBZ917537 TLV917533:TLV917537 TVR917533:TVR917537 UFN917533:UFN917537 UPJ917533:UPJ917537 UZF917533:UZF917537 VJB917533:VJB917537 VSX917533:VSX917537 WCT917533:WCT917537 WMP917533:WMP917537 WWL917533:WWL917537 AD983069:AD983073 JZ983069:JZ983073 TV983069:TV983073 ADR983069:ADR983073 ANN983069:ANN983073 AXJ983069:AXJ983073 BHF983069:BHF983073 BRB983069:BRB983073 CAX983069:CAX983073 CKT983069:CKT983073 CUP983069:CUP983073 DEL983069:DEL983073 DOH983069:DOH983073 DYD983069:DYD983073 EHZ983069:EHZ983073 ERV983069:ERV983073 FBR983069:FBR983073 FLN983069:FLN983073 FVJ983069:FVJ983073 GFF983069:GFF983073 GPB983069:GPB983073 GYX983069:GYX983073 HIT983069:HIT983073 HSP983069:HSP983073 ICL983069:ICL983073 IMH983069:IMH983073 IWD983069:IWD983073 JFZ983069:JFZ983073 JPV983069:JPV983073 JZR983069:JZR983073 KJN983069:KJN983073 KTJ983069:KTJ983073 LDF983069:LDF983073 LNB983069:LNB983073 LWX983069:LWX983073 MGT983069:MGT983073 MQP983069:MQP983073 NAL983069:NAL983073 NKH983069:NKH983073 NUD983069:NUD983073 ODZ983069:ODZ983073 ONV983069:ONV983073 OXR983069:OXR983073 PHN983069:PHN983073 PRJ983069:PRJ983073 QBF983069:QBF983073 QLB983069:QLB983073 QUX983069:QUX983073 RET983069:RET983073 ROP983069:ROP983073 RYL983069:RYL983073 SIH983069:SIH983073 SSD983069:SSD983073 TBZ983069:TBZ983073 TLV983069:TLV983073 TVR983069:TVR983073 UFN983069:UFN983073 UPJ983069:UPJ983073 UZF983069:UZF983073 VJB983069:VJB983073 VSX983069:VSX983073 WCT983069:WCT983073 WMP983069:WMP983073 WWL8:WWL33 WCT8:WCT33 JZ8:JZ33 TV8:TV33 ADR8:ADR33 ANN8:ANN33 AXJ8:AXJ33 BHF8:BHF33 BRB8:BRB33 CAX8:CAX33 CKT8:CKT33 CUP8:CUP33 DEL8:DEL33 DOH8:DOH33 DYD8:DYD33 EHZ8:EHZ33 ERV8:ERV33 FBR8:FBR33 FLN8:FLN33 FVJ8:FVJ33 GFF8:GFF33 GPB8:GPB33 GYX8:GYX33 HIT8:HIT33 HSP8:HSP33 ICL8:ICL33 IMH8:IMH33 IWD8:IWD33 JFZ8:JFZ33 JPV8:JPV33 JZR8:JZR33 KJN8:KJN33 KTJ8:KTJ33 LDF8:LDF33 LNB8:LNB33 LWX8:LWX33 MGT8:MGT33 MQP8:MQP33 NAL8:NAL33 NKH8:NKH33 NUD8:NUD33 ODZ8:ODZ33 ONV8:ONV33 OXR8:OXR33 PHN8:PHN33 PRJ8:PRJ33 QBF8:QBF33 QLB8:QLB33 QUX8:QUX33 RET8:RET33 ROP8:ROP33 RYL8:RYL33 SIH8:SIH33 SSD8:SSD33 TBZ8:TBZ33 TLV8:TLV33 TVR8:TVR33 UFN8:UFN33 UPJ8:UPJ33 UZF8:UZF33 VJB8:VJB33 VSX8:VSX33 AD8:AD33 WMP8:WMP33">
      <formula1>AC8</formula1>
      <formula2>IF(AC8&lt;&gt;0,IF(AD8-AC8&gt;=0,AD8,),)</formula2>
    </dataValidation>
    <dataValidation type="list" allowBlank="1" showInputMessage="1" showErrorMessage="1" sqref="H33 H29">
      <formula1>$H$25:$H$29</formula1>
    </dataValidation>
    <dataValidation type="list" allowBlank="1" showInputMessage="1" showErrorMessage="1" sqref="AE29:AE33">
      <formula1>$B$27:$B$29</formula1>
    </dataValidation>
    <dataValidation type="list" allowBlank="1" showInputMessage="1" showErrorMessage="1" sqref="I33 I29">
      <formula1>$X$27:$X$28</formula1>
    </dataValidation>
    <dataValidation type="list" allowBlank="1" showInputMessage="1" showErrorMessage="1" sqref="G33 G29">
      <formula1>$AK$31:$AK$43</formula1>
    </dataValidation>
  </dataValidations>
  <printOptions horizontalCentered="1"/>
  <pageMargins left="0.25" right="0.25" top="0.75" bottom="0.75" header="0.3" footer="0.3"/>
  <pageSetup scale="45" orientation="landscape" copies="2"/>
  <headerFooter>
    <oddFooter>&amp;C&amp;"Tahoma,Cursiva"&amp;9Si usted ha accedido a este formato a través de un medio diferente al sitio web del Sistema de Control Documental del SIGEC asegúrese que ésta es la versión vigente</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AL40"/>
  <sheetViews>
    <sheetView view="pageBreakPreview" topLeftCell="A15" zoomScaleSheetLayoutView="100" workbookViewId="0">
      <selection activeCell="A19" sqref="A19:AF19"/>
    </sheetView>
  </sheetViews>
  <sheetFormatPr baseColWidth="10" defaultRowHeight="12.75"/>
  <cols>
    <col min="1" max="1" width="7.28515625" style="2" customWidth="1"/>
    <col min="2" max="2" width="13.42578125" style="2" customWidth="1"/>
    <col min="3" max="3" width="4.28515625" style="2" customWidth="1"/>
    <col min="4" max="4" width="5.28515625" style="2" customWidth="1"/>
    <col min="5" max="5" width="19.28515625" style="2" customWidth="1"/>
    <col min="6" max="6" width="4.140625" style="2" customWidth="1"/>
    <col min="7" max="7" width="11.28515625" style="2" customWidth="1"/>
    <col min="8" max="8" width="11" style="2" customWidth="1"/>
    <col min="9" max="10" width="2.140625" style="2" customWidth="1"/>
    <col min="11" max="11" width="3.28515625" style="2" customWidth="1"/>
    <col min="12" max="12" width="0.28515625" style="2" hidden="1" customWidth="1"/>
    <col min="13" max="13" width="0.42578125" style="2" hidden="1" customWidth="1"/>
    <col min="14" max="14" width="2.85546875" style="2" customWidth="1"/>
    <col min="15" max="15" width="3.28515625" style="2" customWidth="1"/>
    <col min="16" max="16" width="1.5703125" style="2" customWidth="1"/>
    <col min="17" max="17" width="1.85546875" style="2" hidden="1" customWidth="1"/>
    <col min="18" max="18" width="6.85546875" style="2" customWidth="1"/>
    <col min="19" max="19" width="3" style="2" hidden="1" customWidth="1"/>
    <col min="20" max="21" width="6.28515625" style="2" customWidth="1"/>
    <col min="22" max="22" width="13.85546875" style="2" customWidth="1"/>
    <col min="23" max="23" width="11.42578125" style="2" customWidth="1"/>
    <col min="24" max="24" width="15.28515625" style="2" customWidth="1"/>
    <col min="25" max="25" width="0.42578125" style="2" hidden="1" customWidth="1"/>
    <col min="26" max="26" width="13" style="2" customWidth="1"/>
    <col min="27" max="27" width="14.28515625" style="2" customWidth="1"/>
    <col min="28" max="28" width="13.140625" style="2" customWidth="1"/>
    <col min="29" max="29" width="14" style="2" customWidth="1"/>
    <col min="30" max="30" width="8.140625" style="2" customWidth="1"/>
    <col min="31" max="31" width="11.5703125" style="2" customWidth="1"/>
    <col min="32" max="32" width="37.42578125" style="2" customWidth="1"/>
    <col min="33" max="33" width="12" style="2" customWidth="1"/>
    <col min="34" max="35" width="0.28515625" style="2" customWidth="1"/>
    <col min="36" max="36" width="1.42578125" style="2" customWidth="1"/>
    <col min="37" max="37" width="1.28515625" style="2" hidden="1" customWidth="1"/>
    <col min="38" max="256" width="11.42578125" style="2"/>
    <col min="257" max="257" width="8" style="2" customWidth="1"/>
    <col min="258" max="258" width="13.42578125" style="2" customWidth="1"/>
    <col min="259" max="259" width="4.28515625" style="2" customWidth="1"/>
    <col min="260" max="260" width="4" style="2" customWidth="1"/>
    <col min="261" max="261" width="17" style="2" customWidth="1"/>
    <col min="262" max="262" width="4.140625" style="2" customWidth="1"/>
    <col min="263" max="263" width="11.28515625" style="2" customWidth="1"/>
    <col min="264" max="264" width="11" style="2" customWidth="1"/>
    <col min="265" max="266" width="2.140625" style="2" customWidth="1"/>
    <col min="267" max="267" width="3.28515625" style="2" customWidth="1"/>
    <col min="268" max="269" width="0" style="2" hidden="1" customWidth="1"/>
    <col min="270" max="270" width="2.85546875" style="2" customWidth="1"/>
    <col min="271" max="271" width="3.28515625" style="2" customWidth="1"/>
    <col min="272" max="272" width="1.5703125" style="2" customWidth="1"/>
    <col min="273" max="273" width="0" style="2" hidden="1" customWidth="1"/>
    <col min="274" max="274" width="6.85546875" style="2" customWidth="1"/>
    <col min="275" max="275" width="0" style="2" hidden="1" customWidth="1"/>
    <col min="276" max="277" width="6.28515625" style="2" customWidth="1"/>
    <col min="278" max="278" width="13.85546875" style="2" customWidth="1"/>
    <col min="279" max="279" width="10.85546875" style="2" customWidth="1"/>
    <col min="280" max="280" width="14.7109375" style="2" customWidth="1"/>
    <col min="281" max="281" width="0" style="2" hidden="1" customWidth="1"/>
    <col min="282" max="282" width="13" style="2" customWidth="1"/>
    <col min="283" max="283" width="12.7109375" style="2" customWidth="1"/>
    <col min="284" max="284" width="13.140625" style="2" customWidth="1"/>
    <col min="285" max="285" width="14" style="2" customWidth="1"/>
    <col min="286" max="286" width="8.140625" style="2" customWidth="1"/>
    <col min="287" max="287" width="11.5703125" style="2" customWidth="1"/>
    <col min="288" max="288" width="24.7109375" style="2" customWidth="1"/>
    <col min="289" max="289" width="12" style="2" customWidth="1"/>
    <col min="290" max="291" width="0.28515625" style="2" customWidth="1"/>
    <col min="292" max="292" width="1.42578125" style="2" customWidth="1"/>
    <col min="293" max="293" width="0" style="2" hidden="1" customWidth="1"/>
    <col min="294" max="512" width="11.42578125" style="2"/>
    <col min="513" max="513" width="8" style="2" customWidth="1"/>
    <col min="514" max="514" width="13.42578125" style="2" customWidth="1"/>
    <col min="515" max="515" width="4.28515625" style="2" customWidth="1"/>
    <col min="516" max="516" width="4" style="2" customWidth="1"/>
    <col min="517" max="517" width="17" style="2" customWidth="1"/>
    <col min="518" max="518" width="4.140625" style="2" customWidth="1"/>
    <col min="519" max="519" width="11.28515625" style="2" customWidth="1"/>
    <col min="520" max="520" width="11" style="2" customWidth="1"/>
    <col min="521" max="522" width="2.140625" style="2" customWidth="1"/>
    <col min="523" max="523" width="3.28515625" style="2" customWidth="1"/>
    <col min="524" max="525" width="0" style="2" hidden="1" customWidth="1"/>
    <col min="526" max="526" width="2.85546875" style="2" customWidth="1"/>
    <col min="527" max="527" width="3.28515625" style="2" customWidth="1"/>
    <col min="528" max="528" width="1.5703125" style="2" customWidth="1"/>
    <col min="529" max="529" width="0" style="2" hidden="1" customWidth="1"/>
    <col min="530" max="530" width="6.85546875" style="2" customWidth="1"/>
    <col min="531" max="531" width="0" style="2" hidden="1" customWidth="1"/>
    <col min="532" max="533" width="6.28515625" style="2" customWidth="1"/>
    <col min="534" max="534" width="13.85546875" style="2" customWidth="1"/>
    <col min="535" max="535" width="10.85546875" style="2" customWidth="1"/>
    <col min="536" max="536" width="14.7109375" style="2" customWidth="1"/>
    <col min="537" max="537" width="0" style="2" hidden="1" customWidth="1"/>
    <col min="538" max="538" width="13" style="2" customWidth="1"/>
    <col min="539" max="539" width="12.7109375" style="2" customWidth="1"/>
    <col min="540" max="540" width="13.140625" style="2" customWidth="1"/>
    <col min="541" max="541" width="14" style="2" customWidth="1"/>
    <col min="542" max="542" width="8.140625" style="2" customWidth="1"/>
    <col min="543" max="543" width="11.5703125" style="2" customWidth="1"/>
    <col min="544" max="544" width="24.7109375" style="2" customWidth="1"/>
    <col min="545" max="545" width="12" style="2" customWidth="1"/>
    <col min="546" max="547" width="0.28515625" style="2" customWidth="1"/>
    <col min="548" max="548" width="1.42578125" style="2" customWidth="1"/>
    <col min="549" max="549" width="0" style="2" hidden="1" customWidth="1"/>
    <col min="550" max="768" width="11.42578125" style="2"/>
    <col min="769" max="769" width="8" style="2" customWidth="1"/>
    <col min="770" max="770" width="13.42578125" style="2" customWidth="1"/>
    <col min="771" max="771" width="4.28515625" style="2" customWidth="1"/>
    <col min="772" max="772" width="4" style="2" customWidth="1"/>
    <col min="773" max="773" width="17" style="2" customWidth="1"/>
    <col min="774" max="774" width="4.140625" style="2" customWidth="1"/>
    <col min="775" max="775" width="11.28515625" style="2" customWidth="1"/>
    <col min="776" max="776" width="11" style="2" customWidth="1"/>
    <col min="777" max="778" width="2.140625" style="2" customWidth="1"/>
    <col min="779" max="779" width="3.28515625" style="2" customWidth="1"/>
    <col min="780" max="781" width="0" style="2" hidden="1" customWidth="1"/>
    <col min="782" max="782" width="2.85546875" style="2" customWidth="1"/>
    <col min="783" max="783" width="3.28515625" style="2" customWidth="1"/>
    <col min="784" max="784" width="1.5703125" style="2" customWidth="1"/>
    <col min="785" max="785" width="0" style="2" hidden="1" customWidth="1"/>
    <col min="786" max="786" width="6.85546875" style="2" customWidth="1"/>
    <col min="787" max="787" width="0" style="2" hidden="1" customWidth="1"/>
    <col min="788" max="789" width="6.28515625" style="2" customWidth="1"/>
    <col min="790" max="790" width="13.85546875" style="2" customWidth="1"/>
    <col min="791" max="791" width="10.85546875" style="2" customWidth="1"/>
    <col min="792" max="792" width="14.7109375" style="2" customWidth="1"/>
    <col min="793" max="793" width="0" style="2" hidden="1" customWidth="1"/>
    <col min="794" max="794" width="13" style="2" customWidth="1"/>
    <col min="795" max="795" width="12.7109375" style="2" customWidth="1"/>
    <col min="796" max="796" width="13.140625" style="2" customWidth="1"/>
    <col min="797" max="797" width="14" style="2" customWidth="1"/>
    <col min="798" max="798" width="8.140625" style="2" customWidth="1"/>
    <col min="799" max="799" width="11.5703125" style="2" customWidth="1"/>
    <col min="800" max="800" width="24.7109375" style="2" customWidth="1"/>
    <col min="801" max="801" width="12" style="2" customWidth="1"/>
    <col min="802" max="803" width="0.28515625" style="2" customWidth="1"/>
    <col min="804" max="804" width="1.42578125" style="2" customWidth="1"/>
    <col min="805" max="805" width="0" style="2" hidden="1" customWidth="1"/>
    <col min="806" max="1024" width="11.42578125" style="2"/>
    <col min="1025" max="1025" width="8" style="2" customWidth="1"/>
    <col min="1026" max="1026" width="13.42578125" style="2" customWidth="1"/>
    <col min="1027" max="1027" width="4.28515625" style="2" customWidth="1"/>
    <col min="1028" max="1028" width="4" style="2" customWidth="1"/>
    <col min="1029" max="1029" width="17" style="2" customWidth="1"/>
    <col min="1030" max="1030" width="4.140625" style="2" customWidth="1"/>
    <col min="1031" max="1031" width="11.28515625" style="2" customWidth="1"/>
    <col min="1032" max="1032" width="11" style="2" customWidth="1"/>
    <col min="1033" max="1034" width="2.140625" style="2" customWidth="1"/>
    <col min="1035" max="1035" width="3.28515625" style="2" customWidth="1"/>
    <col min="1036" max="1037" width="0" style="2" hidden="1" customWidth="1"/>
    <col min="1038" max="1038" width="2.85546875" style="2" customWidth="1"/>
    <col min="1039" max="1039" width="3.28515625" style="2" customWidth="1"/>
    <col min="1040" max="1040" width="1.5703125" style="2" customWidth="1"/>
    <col min="1041" max="1041" width="0" style="2" hidden="1" customWidth="1"/>
    <col min="1042" max="1042" width="6.85546875" style="2" customWidth="1"/>
    <col min="1043" max="1043" width="0" style="2" hidden="1" customWidth="1"/>
    <col min="1044" max="1045" width="6.28515625" style="2" customWidth="1"/>
    <col min="1046" max="1046" width="13.85546875" style="2" customWidth="1"/>
    <col min="1047" max="1047" width="10.85546875" style="2" customWidth="1"/>
    <col min="1048" max="1048" width="14.7109375" style="2" customWidth="1"/>
    <col min="1049" max="1049" width="0" style="2" hidden="1" customWidth="1"/>
    <col min="1050" max="1050" width="13" style="2" customWidth="1"/>
    <col min="1051" max="1051" width="12.7109375" style="2" customWidth="1"/>
    <col min="1052" max="1052" width="13.140625" style="2" customWidth="1"/>
    <col min="1053" max="1053" width="14" style="2" customWidth="1"/>
    <col min="1054" max="1054" width="8.140625" style="2" customWidth="1"/>
    <col min="1055" max="1055" width="11.5703125" style="2" customWidth="1"/>
    <col min="1056" max="1056" width="24.7109375" style="2" customWidth="1"/>
    <col min="1057" max="1057" width="12" style="2" customWidth="1"/>
    <col min="1058" max="1059" width="0.28515625" style="2" customWidth="1"/>
    <col min="1060" max="1060" width="1.42578125" style="2" customWidth="1"/>
    <col min="1061" max="1061" width="0" style="2" hidden="1" customWidth="1"/>
    <col min="1062" max="1280" width="11.42578125" style="2"/>
    <col min="1281" max="1281" width="8" style="2" customWidth="1"/>
    <col min="1282" max="1282" width="13.42578125" style="2" customWidth="1"/>
    <col min="1283" max="1283" width="4.28515625" style="2" customWidth="1"/>
    <col min="1284" max="1284" width="4" style="2" customWidth="1"/>
    <col min="1285" max="1285" width="17" style="2" customWidth="1"/>
    <col min="1286" max="1286" width="4.140625" style="2" customWidth="1"/>
    <col min="1287" max="1287" width="11.28515625" style="2" customWidth="1"/>
    <col min="1288" max="1288" width="11" style="2" customWidth="1"/>
    <col min="1289" max="1290" width="2.140625" style="2" customWidth="1"/>
    <col min="1291" max="1291" width="3.28515625" style="2" customWidth="1"/>
    <col min="1292" max="1293" width="0" style="2" hidden="1" customWidth="1"/>
    <col min="1294" max="1294" width="2.85546875" style="2" customWidth="1"/>
    <col min="1295" max="1295" width="3.28515625" style="2" customWidth="1"/>
    <col min="1296" max="1296" width="1.5703125" style="2" customWidth="1"/>
    <col min="1297" max="1297" width="0" style="2" hidden="1" customWidth="1"/>
    <col min="1298" max="1298" width="6.85546875" style="2" customWidth="1"/>
    <col min="1299" max="1299" width="0" style="2" hidden="1" customWidth="1"/>
    <col min="1300" max="1301" width="6.28515625" style="2" customWidth="1"/>
    <col min="1302" max="1302" width="13.85546875" style="2" customWidth="1"/>
    <col min="1303" max="1303" width="10.85546875" style="2" customWidth="1"/>
    <col min="1304" max="1304" width="14.7109375" style="2" customWidth="1"/>
    <col min="1305" max="1305" width="0" style="2" hidden="1" customWidth="1"/>
    <col min="1306" max="1306" width="13" style="2" customWidth="1"/>
    <col min="1307" max="1307" width="12.7109375" style="2" customWidth="1"/>
    <col min="1308" max="1308" width="13.140625" style="2" customWidth="1"/>
    <col min="1309" max="1309" width="14" style="2" customWidth="1"/>
    <col min="1310" max="1310" width="8.140625" style="2" customWidth="1"/>
    <col min="1311" max="1311" width="11.5703125" style="2" customWidth="1"/>
    <col min="1312" max="1312" width="24.7109375" style="2" customWidth="1"/>
    <col min="1313" max="1313" width="12" style="2" customWidth="1"/>
    <col min="1314" max="1315" width="0.28515625" style="2" customWidth="1"/>
    <col min="1316" max="1316" width="1.42578125" style="2" customWidth="1"/>
    <col min="1317" max="1317" width="0" style="2" hidden="1" customWidth="1"/>
    <col min="1318" max="1536" width="11.42578125" style="2"/>
    <col min="1537" max="1537" width="8" style="2" customWidth="1"/>
    <col min="1538" max="1538" width="13.42578125" style="2" customWidth="1"/>
    <col min="1539" max="1539" width="4.28515625" style="2" customWidth="1"/>
    <col min="1540" max="1540" width="4" style="2" customWidth="1"/>
    <col min="1541" max="1541" width="17" style="2" customWidth="1"/>
    <col min="1542" max="1542" width="4.140625" style="2" customWidth="1"/>
    <col min="1543" max="1543" width="11.28515625" style="2" customWidth="1"/>
    <col min="1544" max="1544" width="11" style="2" customWidth="1"/>
    <col min="1545" max="1546" width="2.140625" style="2" customWidth="1"/>
    <col min="1547" max="1547" width="3.28515625" style="2" customWidth="1"/>
    <col min="1548" max="1549" width="0" style="2" hidden="1" customWidth="1"/>
    <col min="1550" max="1550" width="2.85546875" style="2" customWidth="1"/>
    <col min="1551" max="1551" width="3.28515625" style="2" customWidth="1"/>
    <col min="1552" max="1552" width="1.5703125" style="2" customWidth="1"/>
    <col min="1553" max="1553" width="0" style="2" hidden="1" customWidth="1"/>
    <col min="1554" max="1554" width="6.85546875" style="2" customWidth="1"/>
    <col min="1555" max="1555" width="0" style="2" hidden="1" customWidth="1"/>
    <col min="1556" max="1557" width="6.28515625" style="2" customWidth="1"/>
    <col min="1558" max="1558" width="13.85546875" style="2" customWidth="1"/>
    <col min="1559" max="1559" width="10.85546875" style="2" customWidth="1"/>
    <col min="1560" max="1560" width="14.7109375" style="2" customWidth="1"/>
    <col min="1561" max="1561" width="0" style="2" hidden="1" customWidth="1"/>
    <col min="1562" max="1562" width="13" style="2" customWidth="1"/>
    <col min="1563" max="1563" width="12.7109375" style="2" customWidth="1"/>
    <col min="1564" max="1564" width="13.140625" style="2" customWidth="1"/>
    <col min="1565" max="1565" width="14" style="2" customWidth="1"/>
    <col min="1566" max="1566" width="8.140625" style="2" customWidth="1"/>
    <col min="1567" max="1567" width="11.5703125" style="2" customWidth="1"/>
    <col min="1568" max="1568" width="24.7109375" style="2" customWidth="1"/>
    <col min="1569" max="1569" width="12" style="2" customWidth="1"/>
    <col min="1570" max="1571" width="0.28515625" style="2" customWidth="1"/>
    <col min="1572" max="1572" width="1.42578125" style="2" customWidth="1"/>
    <col min="1573" max="1573" width="0" style="2" hidden="1" customWidth="1"/>
    <col min="1574" max="1792" width="11.42578125" style="2"/>
    <col min="1793" max="1793" width="8" style="2" customWidth="1"/>
    <col min="1794" max="1794" width="13.42578125" style="2" customWidth="1"/>
    <col min="1795" max="1795" width="4.28515625" style="2" customWidth="1"/>
    <col min="1796" max="1796" width="4" style="2" customWidth="1"/>
    <col min="1797" max="1797" width="17" style="2" customWidth="1"/>
    <col min="1798" max="1798" width="4.140625" style="2" customWidth="1"/>
    <col min="1799" max="1799" width="11.28515625" style="2" customWidth="1"/>
    <col min="1800" max="1800" width="11" style="2" customWidth="1"/>
    <col min="1801" max="1802" width="2.140625" style="2" customWidth="1"/>
    <col min="1803" max="1803" width="3.28515625" style="2" customWidth="1"/>
    <col min="1804" max="1805" width="0" style="2" hidden="1" customWidth="1"/>
    <col min="1806" max="1806" width="2.85546875" style="2" customWidth="1"/>
    <col min="1807" max="1807" width="3.28515625" style="2" customWidth="1"/>
    <col min="1808" max="1808" width="1.5703125" style="2" customWidth="1"/>
    <col min="1809" max="1809" width="0" style="2" hidden="1" customWidth="1"/>
    <col min="1810" max="1810" width="6.85546875" style="2" customWidth="1"/>
    <col min="1811" max="1811" width="0" style="2" hidden="1" customWidth="1"/>
    <col min="1812" max="1813" width="6.28515625" style="2" customWidth="1"/>
    <col min="1814" max="1814" width="13.85546875" style="2" customWidth="1"/>
    <col min="1815" max="1815" width="10.85546875" style="2" customWidth="1"/>
    <col min="1816" max="1816" width="14.7109375" style="2" customWidth="1"/>
    <col min="1817" max="1817" width="0" style="2" hidden="1" customWidth="1"/>
    <col min="1818" max="1818" width="13" style="2" customWidth="1"/>
    <col min="1819" max="1819" width="12.7109375" style="2" customWidth="1"/>
    <col min="1820" max="1820" width="13.140625" style="2" customWidth="1"/>
    <col min="1821" max="1821" width="14" style="2" customWidth="1"/>
    <col min="1822" max="1822" width="8.140625" style="2" customWidth="1"/>
    <col min="1823" max="1823" width="11.5703125" style="2" customWidth="1"/>
    <col min="1824" max="1824" width="24.7109375" style="2" customWidth="1"/>
    <col min="1825" max="1825" width="12" style="2" customWidth="1"/>
    <col min="1826" max="1827" width="0.28515625" style="2" customWidth="1"/>
    <col min="1828" max="1828" width="1.42578125" style="2" customWidth="1"/>
    <col min="1829" max="1829" width="0" style="2" hidden="1" customWidth="1"/>
    <col min="1830" max="2048" width="11.42578125" style="2"/>
    <col min="2049" max="2049" width="8" style="2" customWidth="1"/>
    <col min="2050" max="2050" width="13.42578125" style="2" customWidth="1"/>
    <col min="2051" max="2051" width="4.28515625" style="2" customWidth="1"/>
    <col min="2052" max="2052" width="4" style="2" customWidth="1"/>
    <col min="2053" max="2053" width="17" style="2" customWidth="1"/>
    <col min="2054" max="2054" width="4.140625" style="2" customWidth="1"/>
    <col min="2055" max="2055" width="11.28515625" style="2" customWidth="1"/>
    <col min="2056" max="2056" width="11" style="2" customWidth="1"/>
    <col min="2057" max="2058" width="2.140625" style="2" customWidth="1"/>
    <col min="2059" max="2059" width="3.28515625" style="2" customWidth="1"/>
    <col min="2060" max="2061" width="0" style="2" hidden="1" customWidth="1"/>
    <col min="2062" max="2062" width="2.85546875" style="2" customWidth="1"/>
    <col min="2063" max="2063" width="3.28515625" style="2" customWidth="1"/>
    <col min="2064" max="2064" width="1.5703125" style="2" customWidth="1"/>
    <col min="2065" max="2065" width="0" style="2" hidden="1" customWidth="1"/>
    <col min="2066" max="2066" width="6.85546875" style="2" customWidth="1"/>
    <col min="2067" max="2067" width="0" style="2" hidden="1" customWidth="1"/>
    <col min="2068" max="2069" width="6.28515625" style="2" customWidth="1"/>
    <col min="2070" max="2070" width="13.85546875" style="2" customWidth="1"/>
    <col min="2071" max="2071" width="10.85546875" style="2" customWidth="1"/>
    <col min="2072" max="2072" width="14.7109375" style="2" customWidth="1"/>
    <col min="2073" max="2073" width="0" style="2" hidden="1" customWidth="1"/>
    <col min="2074" max="2074" width="13" style="2" customWidth="1"/>
    <col min="2075" max="2075" width="12.7109375" style="2" customWidth="1"/>
    <col min="2076" max="2076" width="13.140625" style="2" customWidth="1"/>
    <col min="2077" max="2077" width="14" style="2" customWidth="1"/>
    <col min="2078" max="2078" width="8.140625" style="2" customWidth="1"/>
    <col min="2079" max="2079" width="11.5703125" style="2" customWidth="1"/>
    <col min="2080" max="2080" width="24.7109375" style="2" customWidth="1"/>
    <col min="2081" max="2081" width="12" style="2" customWidth="1"/>
    <col min="2082" max="2083" width="0.28515625" style="2" customWidth="1"/>
    <col min="2084" max="2084" width="1.42578125" style="2" customWidth="1"/>
    <col min="2085" max="2085" width="0" style="2" hidden="1" customWidth="1"/>
    <col min="2086" max="2304" width="11.42578125" style="2"/>
    <col min="2305" max="2305" width="8" style="2" customWidth="1"/>
    <col min="2306" max="2306" width="13.42578125" style="2" customWidth="1"/>
    <col min="2307" max="2307" width="4.28515625" style="2" customWidth="1"/>
    <col min="2308" max="2308" width="4" style="2" customWidth="1"/>
    <col min="2309" max="2309" width="17" style="2" customWidth="1"/>
    <col min="2310" max="2310" width="4.140625" style="2" customWidth="1"/>
    <col min="2311" max="2311" width="11.28515625" style="2" customWidth="1"/>
    <col min="2312" max="2312" width="11" style="2" customWidth="1"/>
    <col min="2313" max="2314" width="2.140625" style="2" customWidth="1"/>
    <col min="2315" max="2315" width="3.28515625" style="2" customWidth="1"/>
    <col min="2316" max="2317" width="0" style="2" hidden="1" customWidth="1"/>
    <col min="2318" max="2318" width="2.85546875" style="2" customWidth="1"/>
    <col min="2319" max="2319" width="3.28515625" style="2" customWidth="1"/>
    <col min="2320" max="2320" width="1.5703125" style="2" customWidth="1"/>
    <col min="2321" max="2321" width="0" style="2" hidden="1" customWidth="1"/>
    <col min="2322" max="2322" width="6.85546875" style="2" customWidth="1"/>
    <col min="2323" max="2323" width="0" style="2" hidden="1" customWidth="1"/>
    <col min="2324" max="2325" width="6.28515625" style="2" customWidth="1"/>
    <col min="2326" max="2326" width="13.85546875" style="2" customWidth="1"/>
    <col min="2327" max="2327" width="10.85546875" style="2" customWidth="1"/>
    <col min="2328" max="2328" width="14.7109375" style="2" customWidth="1"/>
    <col min="2329" max="2329" width="0" style="2" hidden="1" customWidth="1"/>
    <col min="2330" max="2330" width="13" style="2" customWidth="1"/>
    <col min="2331" max="2331" width="12.7109375" style="2" customWidth="1"/>
    <col min="2332" max="2332" width="13.140625" style="2" customWidth="1"/>
    <col min="2333" max="2333" width="14" style="2" customWidth="1"/>
    <col min="2334" max="2334" width="8.140625" style="2" customWidth="1"/>
    <col min="2335" max="2335" width="11.5703125" style="2" customWidth="1"/>
    <col min="2336" max="2336" width="24.7109375" style="2" customWidth="1"/>
    <col min="2337" max="2337" width="12" style="2" customWidth="1"/>
    <col min="2338" max="2339" width="0.28515625" style="2" customWidth="1"/>
    <col min="2340" max="2340" width="1.42578125" style="2" customWidth="1"/>
    <col min="2341" max="2341" width="0" style="2" hidden="1" customWidth="1"/>
    <col min="2342" max="2560" width="11.42578125" style="2"/>
    <col min="2561" max="2561" width="8" style="2" customWidth="1"/>
    <col min="2562" max="2562" width="13.42578125" style="2" customWidth="1"/>
    <col min="2563" max="2563" width="4.28515625" style="2" customWidth="1"/>
    <col min="2564" max="2564" width="4" style="2" customWidth="1"/>
    <col min="2565" max="2565" width="17" style="2" customWidth="1"/>
    <col min="2566" max="2566" width="4.140625" style="2" customWidth="1"/>
    <col min="2567" max="2567" width="11.28515625" style="2" customWidth="1"/>
    <col min="2568" max="2568" width="11" style="2" customWidth="1"/>
    <col min="2569" max="2570" width="2.140625" style="2" customWidth="1"/>
    <col min="2571" max="2571" width="3.28515625" style="2" customWidth="1"/>
    <col min="2572" max="2573" width="0" style="2" hidden="1" customWidth="1"/>
    <col min="2574" max="2574" width="2.85546875" style="2" customWidth="1"/>
    <col min="2575" max="2575" width="3.28515625" style="2" customWidth="1"/>
    <col min="2576" max="2576" width="1.5703125" style="2" customWidth="1"/>
    <col min="2577" max="2577" width="0" style="2" hidden="1" customWidth="1"/>
    <col min="2578" max="2578" width="6.85546875" style="2" customWidth="1"/>
    <col min="2579" max="2579" width="0" style="2" hidden="1" customWidth="1"/>
    <col min="2580" max="2581" width="6.28515625" style="2" customWidth="1"/>
    <col min="2582" max="2582" width="13.85546875" style="2" customWidth="1"/>
    <col min="2583" max="2583" width="10.85546875" style="2" customWidth="1"/>
    <col min="2584" max="2584" width="14.7109375" style="2" customWidth="1"/>
    <col min="2585" max="2585" width="0" style="2" hidden="1" customWidth="1"/>
    <col min="2586" max="2586" width="13" style="2" customWidth="1"/>
    <col min="2587" max="2587" width="12.7109375" style="2" customWidth="1"/>
    <col min="2588" max="2588" width="13.140625" style="2" customWidth="1"/>
    <col min="2589" max="2589" width="14" style="2" customWidth="1"/>
    <col min="2590" max="2590" width="8.140625" style="2" customWidth="1"/>
    <col min="2591" max="2591" width="11.5703125" style="2" customWidth="1"/>
    <col min="2592" max="2592" width="24.7109375" style="2" customWidth="1"/>
    <col min="2593" max="2593" width="12" style="2" customWidth="1"/>
    <col min="2594" max="2595" width="0.28515625" style="2" customWidth="1"/>
    <col min="2596" max="2596" width="1.42578125" style="2" customWidth="1"/>
    <col min="2597" max="2597" width="0" style="2" hidden="1" customWidth="1"/>
    <col min="2598" max="2816" width="11.42578125" style="2"/>
    <col min="2817" max="2817" width="8" style="2" customWidth="1"/>
    <col min="2818" max="2818" width="13.42578125" style="2" customWidth="1"/>
    <col min="2819" max="2819" width="4.28515625" style="2" customWidth="1"/>
    <col min="2820" max="2820" width="4" style="2" customWidth="1"/>
    <col min="2821" max="2821" width="17" style="2" customWidth="1"/>
    <col min="2822" max="2822" width="4.140625" style="2" customWidth="1"/>
    <col min="2823" max="2823" width="11.28515625" style="2" customWidth="1"/>
    <col min="2824" max="2824" width="11" style="2" customWidth="1"/>
    <col min="2825" max="2826" width="2.140625" style="2" customWidth="1"/>
    <col min="2827" max="2827" width="3.28515625" style="2" customWidth="1"/>
    <col min="2828" max="2829" width="0" style="2" hidden="1" customWidth="1"/>
    <col min="2830" max="2830" width="2.85546875" style="2" customWidth="1"/>
    <col min="2831" max="2831" width="3.28515625" style="2" customWidth="1"/>
    <col min="2832" max="2832" width="1.5703125" style="2" customWidth="1"/>
    <col min="2833" max="2833" width="0" style="2" hidden="1" customWidth="1"/>
    <col min="2834" max="2834" width="6.85546875" style="2" customWidth="1"/>
    <col min="2835" max="2835" width="0" style="2" hidden="1" customWidth="1"/>
    <col min="2836" max="2837" width="6.28515625" style="2" customWidth="1"/>
    <col min="2838" max="2838" width="13.85546875" style="2" customWidth="1"/>
    <col min="2839" max="2839" width="10.85546875" style="2" customWidth="1"/>
    <col min="2840" max="2840" width="14.7109375" style="2" customWidth="1"/>
    <col min="2841" max="2841" width="0" style="2" hidden="1" customWidth="1"/>
    <col min="2842" max="2842" width="13" style="2" customWidth="1"/>
    <col min="2843" max="2843" width="12.7109375" style="2" customWidth="1"/>
    <col min="2844" max="2844" width="13.140625" style="2" customWidth="1"/>
    <col min="2845" max="2845" width="14" style="2" customWidth="1"/>
    <col min="2846" max="2846" width="8.140625" style="2" customWidth="1"/>
    <col min="2847" max="2847" width="11.5703125" style="2" customWidth="1"/>
    <col min="2848" max="2848" width="24.7109375" style="2" customWidth="1"/>
    <col min="2849" max="2849" width="12" style="2" customWidth="1"/>
    <col min="2850" max="2851" width="0.28515625" style="2" customWidth="1"/>
    <col min="2852" max="2852" width="1.42578125" style="2" customWidth="1"/>
    <col min="2853" max="2853" width="0" style="2" hidden="1" customWidth="1"/>
    <col min="2854" max="3072" width="11.42578125" style="2"/>
    <col min="3073" max="3073" width="8" style="2" customWidth="1"/>
    <col min="3074" max="3074" width="13.42578125" style="2" customWidth="1"/>
    <col min="3075" max="3075" width="4.28515625" style="2" customWidth="1"/>
    <col min="3076" max="3076" width="4" style="2" customWidth="1"/>
    <col min="3077" max="3077" width="17" style="2" customWidth="1"/>
    <col min="3078" max="3078" width="4.140625" style="2" customWidth="1"/>
    <col min="3079" max="3079" width="11.28515625" style="2" customWidth="1"/>
    <col min="3080" max="3080" width="11" style="2" customWidth="1"/>
    <col min="3081" max="3082" width="2.140625" style="2" customWidth="1"/>
    <col min="3083" max="3083" width="3.28515625" style="2" customWidth="1"/>
    <col min="3084" max="3085" width="0" style="2" hidden="1" customWidth="1"/>
    <col min="3086" max="3086" width="2.85546875" style="2" customWidth="1"/>
    <col min="3087" max="3087" width="3.28515625" style="2" customWidth="1"/>
    <col min="3088" max="3088" width="1.5703125" style="2" customWidth="1"/>
    <col min="3089" max="3089" width="0" style="2" hidden="1" customWidth="1"/>
    <col min="3090" max="3090" width="6.85546875" style="2" customWidth="1"/>
    <col min="3091" max="3091" width="0" style="2" hidden="1" customWidth="1"/>
    <col min="3092" max="3093" width="6.28515625" style="2" customWidth="1"/>
    <col min="3094" max="3094" width="13.85546875" style="2" customWidth="1"/>
    <col min="3095" max="3095" width="10.85546875" style="2" customWidth="1"/>
    <col min="3096" max="3096" width="14.7109375" style="2" customWidth="1"/>
    <col min="3097" max="3097" width="0" style="2" hidden="1" customWidth="1"/>
    <col min="3098" max="3098" width="13" style="2" customWidth="1"/>
    <col min="3099" max="3099" width="12.7109375" style="2" customWidth="1"/>
    <col min="3100" max="3100" width="13.140625" style="2" customWidth="1"/>
    <col min="3101" max="3101" width="14" style="2" customWidth="1"/>
    <col min="3102" max="3102" width="8.140625" style="2" customWidth="1"/>
    <col min="3103" max="3103" width="11.5703125" style="2" customWidth="1"/>
    <col min="3104" max="3104" width="24.7109375" style="2" customWidth="1"/>
    <col min="3105" max="3105" width="12" style="2" customWidth="1"/>
    <col min="3106" max="3107" width="0.28515625" style="2" customWidth="1"/>
    <col min="3108" max="3108" width="1.42578125" style="2" customWidth="1"/>
    <col min="3109" max="3109" width="0" style="2" hidden="1" customWidth="1"/>
    <col min="3110" max="3328" width="11.42578125" style="2"/>
    <col min="3329" max="3329" width="8" style="2" customWidth="1"/>
    <col min="3330" max="3330" width="13.42578125" style="2" customWidth="1"/>
    <col min="3331" max="3331" width="4.28515625" style="2" customWidth="1"/>
    <col min="3332" max="3332" width="4" style="2" customWidth="1"/>
    <col min="3333" max="3333" width="17" style="2" customWidth="1"/>
    <col min="3334" max="3334" width="4.140625" style="2" customWidth="1"/>
    <col min="3335" max="3335" width="11.28515625" style="2" customWidth="1"/>
    <col min="3336" max="3336" width="11" style="2" customWidth="1"/>
    <col min="3337" max="3338" width="2.140625" style="2" customWidth="1"/>
    <col min="3339" max="3339" width="3.28515625" style="2" customWidth="1"/>
    <col min="3340" max="3341" width="0" style="2" hidden="1" customWidth="1"/>
    <col min="3342" max="3342" width="2.85546875" style="2" customWidth="1"/>
    <col min="3343" max="3343" width="3.28515625" style="2" customWidth="1"/>
    <col min="3344" max="3344" width="1.5703125" style="2" customWidth="1"/>
    <col min="3345" max="3345" width="0" style="2" hidden="1" customWidth="1"/>
    <col min="3346" max="3346" width="6.85546875" style="2" customWidth="1"/>
    <col min="3347" max="3347" width="0" style="2" hidden="1" customWidth="1"/>
    <col min="3348" max="3349" width="6.28515625" style="2" customWidth="1"/>
    <col min="3350" max="3350" width="13.85546875" style="2" customWidth="1"/>
    <col min="3351" max="3351" width="10.85546875" style="2" customWidth="1"/>
    <col min="3352" max="3352" width="14.7109375" style="2" customWidth="1"/>
    <col min="3353" max="3353" width="0" style="2" hidden="1" customWidth="1"/>
    <col min="3354" max="3354" width="13" style="2" customWidth="1"/>
    <col min="3355" max="3355" width="12.7109375" style="2" customWidth="1"/>
    <col min="3356" max="3356" width="13.140625" style="2" customWidth="1"/>
    <col min="3357" max="3357" width="14" style="2" customWidth="1"/>
    <col min="3358" max="3358" width="8.140625" style="2" customWidth="1"/>
    <col min="3359" max="3359" width="11.5703125" style="2" customWidth="1"/>
    <col min="3360" max="3360" width="24.7109375" style="2" customWidth="1"/>
    <col min="3361" max="3361" width="12" style="2" customWidth="1"/>
    <col min="3362" max="3363" width="0.28515625" style="2" customWidth="1"/>
    <col min="3364" max="3364" width="1.42578125" style="2" customWidth="1"/>
    <col min="3365" max="3365" width="0" style="2" hidden="1" customWidth="1"/>
    <col min="3366" max="3584" width="11.42578125" style="2"/>
    <col min="3585" max="3585" width="8" style="2" customWidth="1"/>
    <col min="3586" max="3586" width="13.42578125" style="2" customWidth="1"/>
    <col min="3587" max="3587" width="4.28515625" style="2" customWidth="1"/>
    <col min="3588" max="3588" width="4" style="2" customWidth="1"/>
    <col min="3589" max="3589" width="17" style="2" customWidth="1"/>
    <col min="3590" max="3590" width="4.140625" style="2" customWidth="1"/>
    <col min="3591" max="3591" width="11.28515625" style="2" customWidth="1"/>
    <col min="3592" max="3592" width="11" style="2" customWidth="1"/>
    <col min="3593" max="3594" width="2.140625" style="2" customWidth="1"/>
    <col min="3595" max="3595" width="3.28515625" style="2" customWidth="1"/>
    <col min="3596" max="3597" width="0" style="2" hidden="1" customWidth="1"/>
    <col min="3598" max="3598" width="2.85546875" style="2" customWidth="1"/>
    <col min="3599" max="3599" width="3.28515625" style="2" customWidth="1"/>
    <col min="3600" max="3600" width="1.5703125" style="2" customWidth="1"/>
    <col min="3601" max="3601" width="0" style="2" hidden="1" customWidth="1"/>
    <col min="3602" max="3602" width="6.85546875" style="2" customWidth="1"/>
    <col min="3603" max="3603" width="0" style="2" hidden="1" customWidth="1"/>
    <col min="3604" max="3605" width="6.28515625" style="2" customWidth="1"/>
    <col min="3606" max="3606" width="13.85546875" style="2" customWidth="1"/>
    <col min="3607" max="3607" width="10.85546875" style="2" customWidth="1"/>
    <col min="3608" max="3608" width="14.7109375" style="2" customWidth="1"/>
    <col min="3609" max="3609" width="0" style="2" hidden="1" customWidth="1"/>
    <col min="3610" max="3610" width="13" style="2" customWidth="1"/>
    <col min="3611" max="3611" width="12.7109375" style="2" customWidth="1"/>
    <col min="3612" max="3612" width="13.140625" style="2" customWidth="1"/>
    <col min="3613" max="3613" width="14" style="2" customWidth="1"/>
    <col min="3614" max="3614" width="8.140625" style="2" customWidth="1"/>
    <col min="3615" max="3615" width="11.5703125" style="2" customWidth="1"/>
    <col min="3616" max="3616" width="24.7109375" style="2" customWidth="1"/>
    <col min="3617" max="3617" width="12" style="2" customWidth="1"/>
    <col min="3618" max="3619" width="0.28515625" style="2" customWidth="1"/>
    <col min="3620" max="3620" width="1.42578125" style="2" customWidth="1"/>
    <col min="3621" max="3621" width="0" style="2" hidden="1" customWidth="1"/>
    <col min="3622" max="3840" width="11.42578125" style="2"/>
    <col min="3841" max="3841" width="8" style="2" customWidth="1"/>
    <col min="3842" max="3842" width="13.42578125" style="2" customWidth="1"/>
    <col min="3843" max="3843" width="4.28515625" style="2" customWidth="1"/>
    <col min="3844" max="3844" width="4" style="2" customWidth="1"/>
    <col min="3845" max="3845" width="17" style="2" customWidth="1"/>
    <col min="3846" max="3846" width="4.140625" style="2" customWidth="1"/>
    <col min="3847" max="3847" width="11.28515625" style="2" customWidth="1"/>
    <col min="3848" max="3848" width="11" style="2" customWidth="1"/>
    <col min="3849" max="3850" width="2.140625" style="2" customWidth="1"/>
    <col min="3851" max="3851" width="3.28515625" style="2" customWidth="1"/>
    <col min="3852" max="3853" width="0" style="2" hidden="1" customWidth="1"/>
    <col min="3854" max="3854" width="2.85546875" style="2" customWidth="1"/>
    <col min="3855" max="3855" width="3.28515625" style="2" customWidth="1"/>
    <col min="3856" max="3856" width="1.5703125" style="2" customWidth="1"/>
    <col min="3857" max="3857" width="0" style="2" hidden="1" customWidth="1"/>
    <col min="3858" max="3858" width="6.85546875" style="2" customWidth="1"/>
    <col min="3859" max="3859" width="0" style="2" hidden="1" customWidth="1"/>
    <col min="3860" max="3861" width="6.28515625" style="2" customWidth="1"/>
    <col min="3862" max="3862" width="13.85546875" style="2" customWidth="1"/>
    <col min="3863" max="3863" width="10.85546875" style="2" customWidth="1"/>
    <col min="3864" max="3864" width="14.7109375" style="2" customWidth="1"/>
    <col min="3865" max="3865" width="0" style="2" hidden="1" customWidth="1"/>
    <col min="3866" max="3866" width="13" style="2" customWidth="1"/>
    <col min="3867" max="3867" width="12.7109375" style="2" customWidth="1"/>
    <col min="3868" max="3868" width="13.140625" style="2" customWidth="1"/>
    <col min="3869" max="3869" width="14" style="2" customWidth="1"/>
    <col min="3870" max="3870" width="8.140625" style="2" customWidth="1"/>
    <col min="3871" max="3871" width="11.5703125" style="2" customWidth="1"/>
    <col min="3872" max="3872" width="24.7109375" style="2" customWidth="1"/>
    <col min="3873" max="3873" width="12" style="2" customWidth="1"/>
    <col min="3874" max="3875" width="0.28515625" style="2" customWidth="1"/>
    <col min="3876" max="3876" width="1.42578125" style="2" customWidth="1"/>
    <col min="3877" max="3877" width="0" style="2" hidden="1" customWidth="1"/>
    <col min="3878" max="4096" width="11.42578125" style="2"/>
    <col min="4097" max="4097" width="8" style="2" customWidth="1"/>
    <col min="4098" max="4098" width="13.42578125" style="2" customWidth="1"/>
    <col min="4099" max="4099" width="4.28515625" style="2" customWidth="1"/>
    <col min="4100" max="4100" width="4" style="2" customWidth="1"/>
    <col min="4101" max="4101" width="17" style="2" customWidth="1"/>
    <col min="4102" max="4102" width="4.140625" style="2" customWidth="1"/>
    <col min="4103" max="4103" width="11.28515625" style="2" customWidth="1"/>
    <col min="4104" max="4104" width="11" style="2" customWidth="1"/>
    <col min="4105" max="4106" width="2.140625" style="2" customWidth="1"/>
    <col min="4107" max="4107" width="3.28515625" style="2" customWidth="1"/>
    <col min="4108" max="4109" width="0" style="2" hidden="1" customWidth="1"/>
    <col min="4110" max="4110" width="2.85546875" style="2" customWidth="1"/>
    <col min="4111" max="4111" width="3.28515625" style="2" customWidth="1"/>
    <col min="4112" max="4112" width="1.5703125" style="2" customWidth="1"/>
    <col min="4113" max="4113" width="0" style="2" hidden="1" customWidth="1"/>
    <col min="4114" max="4114" width="6.85546875" style="2" customWidth="1"/>
    <col min="4115" max="4115" width="0" style="2" hidden="1" customWidth="1"/>
    <col min="4116" max="4117" width="6.28515625" style="2" customWidth="1"/>
    <col min="4118" max="4118" width="13.85546875" style="2" customWidth="1"/>
    <col min="4119" max="4119" width="10.85546875" style="2" customWidth="1"/>
    <col min="4120" max="4120" width="14.7109375" style="2" customWidth="1"/>
    <col min="4121" max="4121" width="0" style="2" hidden="1" customWidth="1"/>
    <col min="4122" max="4122" width="13" style="2" customWidth="1"/>
    <col min="4123" max="4123" width="12.7109375" style="2" customWidth="1"/>
    <col min="4124" max="4124" width="13.140625" style="2" customWidth="1"/>
    <col min="4125" max="4125" width="14" style="2" customWidth="1"/>
    <col min="4126" max="4126" width="8.140625" style="2" customWidth="1"/>
    <col min="4127" max="4127" width="11.5703125" style="2" customWidth="1"/>
    <col min="4128" max="4128" width="24.7109375" style="2" customWidth="1"/>
    <col min="4129" max="4129" width="12" style="2" customWidth="1"/>
    <col min="4130" max="4131" width="0.28515625" style="2" customWidth="1"/>
    <col min="4132" max="4132" width="1.42578125" style="2" customWidth="1"/>
    <col min="4133" max="4133" width="0" style="2" hidden="1" customWidth="1"/>
    <col min="4134" max="4352" width="11.42578125" style="2"/>
    <col min="4353" max="4353" width="8" style="2" customWidth="1"/>
    <col min="4354" max="4354" width="13.42578125" style="2" customWidth="1"/>
    <col min="4355" max="4355" width="4.28515625" style="2" customWidth="1"/>
    <col min="4356" max="4356" width="4" style="2" customWidth="1"/>
    <col min="4357" max="4357" width="17" style="2" customWidth="1"/>
    <col min="4358" max="4358" width="4.140625" style="2" customWidth="1"/>
    <col min="4359" max="4359" width="11.28515625" style="2" customWidth="1"/>
    <col min="4360" max="4360" width="11" style="2" customWidth="1"/>
    <col min="4361" max="4362" width="2.140625" style="2" customWidth="1"/>
    <col min="4363" max="4363" width="3.28515625" style="2" customWidth="1"/>
    <col min="4364" max="4365" width="0" style="2" hidden="1" customWidth="1"/>
    <col min="4366" max="4366" width="2.85546875" style="2" customWidth="1"/>
    <col min="4367" max="4367" width="3.28515625" style="2" customWidth="1"/>
    <col min="4368" max="4368" width="1.5703125" style="2" customWidth="1"/>
    <col min="4369" max="4369" width="0" style="2" hidden="1" customWidth="1"/>
    <col min="4370" max="4370" width="6.85546875" style="2" customWidth="1"/>
    <col min="4371" max="4371" width="0" style="2" hidden="1" customWidth="1"/>
    <col min="4372" max="4373" width="6.28515625" style="2" customWidth="1"/>
    <col min="4374" max="4374" width="13.85546875" style="2" customWidth="1"/>
    <col min="4375" max="4375" width="10.85546875" style="2" customWidth="1"/>
    <col min="4376" max="4376" width="14.7109375" style="2" customWidth="1"/>
    <col min="4377" max="4377" width="0" style="2" hidden="1" customWidth="1"/>
    <col min="4378" max="4378" width="13" style="2" customWidth="1"/>
    <col min="4379" max="4379" width="12.7109375" style="2" customWidth="1"/>
    <col min="4380" max="4380" width="13.140625" style="2" customWidth="1"/>
    <col min="4381" max="4381" width="14" style="2" customWidth="1"/>
    <col min="4382" max="4382" width="8.140625" style="2" customWidth="1"/>
    <col min="4383" max="4383" width="11.5703125" style="2" customWidth="1"/>
    <col min="4384" max="4384" width="24.7109375" style="2" customWidth="1"/>
    <col min="4385" max="4385" width="12" style="2" customWidth="1"/>
    <col min="4386" max="4387" width="0.28515625" style="2" customWidth="1"/>
    <col min="4388" max="4388" width="1.42578125" style="2" customWidth="1"/>
    <col min="4389" max="4389" width="0" style="2" hidden="1" customWidth="1"/>
    <col min="4390" max="4608" width="11.42578125" style="2"/>
    <col min="4609" max="4609" width="8" style="2" customWidth="1"/>
    <col min="4610" max="4610" width="13.42578125" style="2" customWidth="1"/>
    <col min="4611" max="4611" width="4.28515625" style="2" customWidth="1"/>
    <col min="4612" max="4612" width="4" style="2" customWidth="1"/>
    <col min="4613" max="4613" width="17" style="2" customWidth="1"/>
    <col min="4614" max="4614" width="4.140625" style="2" customWidth="1"/>
    <col min="4615" max="4615" width="11.28515625" style="2" customWidth="1"/>
    <col min="4616" max="4616" width="11" style="2" customWidth="1"/>
    <col min="4617" max="4618" width="2.140625" style="2" customWidth="1"/>
    <col min="4619" max="4619" width="3.28515625" style="2" customWidth="1"/>
    <col min="4620" max="4621" width="0" style="2" hidden="1" customWidth="1"/>
    <col min="4622" max="4622" width="2.85546875" style="2" customWidth="1"/>
    <col min="4623" max="4623" width="3.28515625" style="2" customWidth="1"/>
    <col min="4624" max="4624" width="1.5703125" style="2" customWidth="1"/>
    <col min="4625" max="4625" width="0" style="2" hidden="1" customWidth="1"/>
    <col min="4626" max="4626" width="6.85546875" style="2" customWidth="1"/>
    <col min="4627" max="4627" width="0" style="2" hidden="1" customWidth="1"/>
    <col min="4628" max="4629" width="6.28515625" style="2" customWidth="1"/>
    <col min="4630" max="4630" width="13.85546875" style="2" customWidth="1"/>
    <col min="4631" max="4631" width="10.85546875" style="2" customWidth="1"/>
    <col min="4632" max="4632" width="14.7109375" style="2" customWidth="1"/>
    <col min="4633" max="4633" width="0" style="2" hidden="1" customWidth="1"/>
    <col min="4634" max="4634" width="13" style="2" customWidth="1"/>
    <col min="4635" max="4635" width="12.7109375" style="2" customWidth="1"/>
    <col min="4636" max="4636" width="13.140625" style="2" customWidth="1"/>
    <col min="4637" max="4637" width="14" style="2" customWidth="1"/>
    <col min="4638" max="4638" width="8.140625" style="2" customWidth="1"/>
    <col min="4639" max="4639" width="11.5703125" style="2" customWidth="1"/>
    <col min="4640" max="4640" width="24.7109375" style="2" customWidth="1"/>
    <col min="4641" max="4641" width="12" style="2" customWidth="1"/>
    <col min="4642" max="4643" width="0.28515625" style="2" customWidth="1"/>
    <col min="4644" max="4644" width="1.42578125" style="2" customWidth="1"/>
    <col min="4645" max="4645" width="0" style="2" hidden="1" customWidth="1"/>
    <col min="4646" max="4864" width="11.42578125" style="2"/>
    <col min="4865" max="4865" width="8" style="2" customWidth="1"/>
    <col min="4866" max="4866" width="13.42578125" style="2" customWidth="1"/>
    <col min="4867" max="4867" width="4.28515625" style="2" customWidth="1"/>
    <col min="4868" max="4868" width="4" style="2" customWidth="1"/>
    <col min="4869" max="4869" width="17" style="2" customWidth="1"/>
    <col min="4870" max="4870" width="4.140625" style="2" customWidth="1"/>
    <col min="4871" max="4871" width="11.28515625" style="2" customWidth="1"/>
    <col min="4872" max="4872" width="11" style="2" customWidth="1"/>
    <col min="4873" max="4874" width="2.140625" style="2" customWidth="1"/>
    <col min="4875" max="4875" width="3.28515625" style="2" customWidth="1"/>
    <col min="4876" max="4877" width="0" style="2" hidden="1" customWidth="1"/>
    <col min="4878" max="4878" width="2.85546875" style="2" customWidth="1"/>
    <col min="4879" max="4879" width="3.28515625" style="2" customWidth="1"/>
    <col min="4880" max="4880" width="1.5703125" style="2" customWidth="1"/>
    <col min="4881" max="4881" width="0" style="2" hidden="1" customWidth="1"/>
    <col min="4882" max="4882" width="6.85546875" style="2" customWidth="1"/>
    <col min="4883" max="4883" width="0" style="2" hidden="1" customWidth="1"/>
    <col min="4884" max="4885" width="6.28515625" style="2" customWidth="1"/>
    <col min="4886" max="4886" width="13.85546875" style="2" customWidth="1"/>
    <col min="4887" max="4887" width="10.85546875" style="2" customWidth="1"/>
    <col min="4888" max="4888" width="14.7109375" style="2" customWidth="1"/>
    <col min="4889" max="4889" width="0" style="2" hidden="1" customWidth="1"/>
    <col min="4890" max="4890" width="13" style="2" customWidth="1"/>
    <col min="4891" max="4891" width="12.7109375" style="2" customWidth="1"/>
    <col min="4892" max="4892" width="13.140625" style="2" customWidth="1"/>
    <col min="4893" max="4893" width="14" style="2" customWidth="1"/>
    <col min="4894" max="4894" width="8.140625" style="2" customWidth="1"/>
    <col min="4895" max="4895" width="11.5703125" style="2" customWidth="1"/>
    <col min="4896" max="4896" width="24.7109375" style="2" customWidth="1"/>
    <col min="4897" max="4897" width="12" style="2" customWidth="1"/>
    <col min="4898" max="4899" width="0.28515625" style="2" customWidth="1"/>
    <col min="4900" max="4900" width="1.42578125" style="2" customWidth="1"/>
    <col min="4901" max="4901" width="0" style="2" hidden="1" customWidth="1"/>
    <col min="4902" max="5120" width="11.42578125" style="2"/>
    <col min="5121" max="5121" width="8" style="2" customWidth="1"/>
    <col min="5122" max="5122" width="13.42578125" style="2" customWidth="1"/>
    <col min="5123" max="5123" width="4.28515625" style="2" customWidth="1"/>
    <col min="5124" max="5124" width="4" style="2" customWidth="1"/>
    <col min="5125" max="5125" width="17" style="2" customWidth="1"/>
    <col min="5126" max="5126" width="4.140625" style="2" customWidth="1"/>
    <col min="5127" max="5127" width="11.28515625" style="2" customWidth="1"/>
    <col min="5128" max="5128" width="11" style="2" customWidth="1"/>
    <col min="5129" max="5130" width="2.140625" style="2" customWidth="1"/>
    <col min="5131" max="5131" width="3.28515625" style="2" customWidth="1"/>
    <col min="5132" max="5133" width="0" style="2" hidden="1" customWidth="1"/>
    <col min="5134" max="5134" width="2.85546875" style="2" customWidth="1"/>
    <col min="5135" max="5135" width="3.28515625" style="2" customWidth="1"/>
    <col min="5136" max="5136" width="1.5703125" style="2" customWidth="1"/>
    <col min="5137" max="5137" width="0" style="2" hidden="1" customWidth="1"/>
    <col min="5138" max="5138" width="6.85546875" style="2" customWidth="1"/>
    <col min="5139" max="5139" width="0" style="2" hidden="1" customWidth="1"/>
    <col min="5140" max="5141" width="6.28515625" style="2" customWidth="1"/>
    <col min="5142" max="5142" width="13.85546875" style="2" customWidth="1"/>
    <col min="5143" max="5143" width="10.85546875" style="2" customWidth="1"/>
    <col min="5144" max="5144" width="14.7109375" style="2" customWidth="1"/>
    <col min="5145" max="5145" width="0" style="2" hidden="1" customWidth="1"/>
    <col min="5146" max="5146" width="13" style="2" customWidth="1"/>
    <col min="5147" max="5147" width="12.7109375" style="2" customWidth="1"/>
    <col min="5148" max="5148" width="13.140625" style="2" customWidth="1"/>
    <col min="5149" max="5149" width="14" style="2" customWidth="1"/>
    <col min="5150" max="5150" width="8.140625" style="2" customWidth="1"/>
    <col min="5151" max="5151" width="11.5703125" style="2" customWidth="1"/>
    <col min="5152" max="5152" width="24.7109375" style="2" customWidth="1"/>
    <col min="5153" max="5153" width="12" style="2" customWidth="1"/>
    <col min="5154" max="5155" width="0.28515625" style="2" customWidth="1"/>
    <col min="5156" max="5156" width="1.42578125" style="2" customWidth="1"/>
    <col min="5157" max="5157" width="0" style="2" hidden="1" customWidth="1"/>
    <col min="5158" max="5376" width="11.42578125" style="2"/>
    <col min="5377" max="5377" width="8" style="2" customWidth="1"/>
    <col min="5378" max="5378" width="13.42578125" style="2" customWidth="1"/>
    <col min="5379" max="5379" width="4.28515625" style="2" customWidth="1"/>
    <col min="5380" max="5380" width="4" style="2" customWidth="1"/>
    <col min="5381" max="5381" width="17" style="2" customWidth="1"/>
    <col min="5382" max="5382" width="4.140625" style="2" customWidth="1"/>
    <col min="5383" max="5383" width="11.28515625" style="2" customWidth="1"/>
    <col min="5384" max="5384" width="11" style="2" customWidth="1"/>
    <col min="5385" max="5386" width="2.140625" style="2" customWidth="1"/>
    <col min="5387" max="5387" width="3.28515625" style="2" customWidth="1"/>
    <col min="5388" max="5389" width="0" style="2" hidden="1" customWidth="1"/>
    <col min="5390" max="5390" width="2.85546875" style="2" customWidth="1"/>
    <col min="5391" max="5391" width="3.28515625" style="2" customWidth="1"/>
    <col min="5392" max="5392" width="1.5703125" style="2" customWidth="1"/>
    <col min="5393" max="5393" width="0" style="2" hidden="1" customWidth="1"/>
    <col min="5394" max="5394" width="6.85546875" style="2" customWidth="1"/>
    <col min="5395" max="5395" width="0" style="2" hidden="1" customWidth="1"/>
    <col min="5396" max="5397" width="6.28515625" style="2" customWidth="1"/>
    <col min="5398" max="5398" width="13.85546875" style="2" customWidth="1"/>
    <col min="5399" max="5399" width="10.85546875" style="2" customWidth="1"/>
    <col min="5400" max="5400" width="14.7109375" style="2" customWidth="1"/>
    <col min="5401" max="5401" width="0" style="2" hidden="1" customWidth="1"/>
    <col min="5402" max="5402" width="13" style="2" customWidth="1"/>
    <col min="5403" max="5403" width="12.7109375" style="2" customWidth="1"/>
    <col min="5404" max="5404" width="13.140625" style="2" customWidth="1"/>
    <col min="5405" max="5405" width="14" style="2" customWidth="1"/>
    <col min="5406" max="5406" width="8.140625" style="2" customWidth="1"/>
    <col min="5407" max="5407" width="11.5703125" style="2" customWidth="1"/>
    <col min="5408" max="5408" width="24.7109375" style="2" customWidth="1"/>
    <col min="5409" max="5409" width="12" style="2" customWidth="1"/>
    <col min="5410" max="5411" width="0.28515625" style="2" customWidth="1"/>
    <col min="5412" max="5412" width="1.42578125" style="2" customWidth="1"/>
    <col min="5413" max="5413" width="0" style="2" hidden="1" customWidth="1"/>
    <col min="5414" max="5632" width="11.42578125" style="2"/>
    <col min="5633" max="5633" width="8" style="2" customWidth="1"/>
    <col min="5634" max="5634" width="13.42578125" style="2" customWidth="1"/>
    <col min="5635" max="5635" width="4.28515625" style="2" customWidth="1"/>
    <col min="5636" max="5636" width="4" style="2" customWidth="1"/>
    <col min="5637" max="5637" width="17" style="2" customWidth="1"/>
    <col min="5638" max="5638" width="4.140625" style="2" customWidth="1"/>
    <col min="5639" max="5639" width="11.28515625" style="2" customWidth="1"/>
    <col min="5640" max="5640" width="11" style="2" customWidth="1"/>
    <col min="5641" max="5642" width="2.140625" style="2" customWidth="1"/>
    <col min="5643" max="5643" width="3.28515625" style="2" customWidth="1"/>
    <col min="5644" max="5645" width="0" style="2" hidden="1" customWidth="1"/>
    <col min="5646" max="5646" width="2.85546875" style="2" customWidth="1"/>
    <col min="5647" max="5647" width="3.28515625" style="2" customWidth="1"/>
    <col min="5648" max="5648" width="1.5703125" style="2" customWidth="1"/>
    <col min="5649" max="5649" width="0" style="2" hidden="1" customWidth="1"/>
    <col min="5650" max="5650" width="6.85546875" style="2" customWidth="1"/>
    <col min="5651" max="5651" width="0" style="2" hidden="1" customWidth="1"/>
    <col min="5652" max="5653" width="6.28515625" style="2" customWidth="1"/>
    <col min="5654" max="5654" width="13.85546875" style="2" customWidth="1"/>
    <col min="5655" max="5655" width="10.85546875" style="2" customWidth="1"/>
    <col min="5656" max="5656" width="14.7109375" style="2" customWidth="1"/>
    <col min="5657" max="5657" width="0" style="2" hidden="1" customWidth="1"/>
    <col min="5658" max="5658" width="13" style="2" customWidth="1"/>
    <col min="5659" max="5659" width="12.7109375" style="2" customWidth="1"/>
    <col min="5660" max="5660" width="13.140625" style="2" customWidth="1"/>
    <col min="5661" max="5661" width="14" style="2" customWidth="1"/>
    <col min="5662" max="5662" width="8.140625" style="2" customWidth="1"/>
    <col min="5663" max="5663" width="11.5703125" style="2" customWidth="1"/>
    <col min="5664" max="5664" width="24.7109375" style="2" customWidth="1"/>
    <col min="5665" max="5665" width="12" style="2" customWidth="1"/>
    <col min="5666" max="5667" width="0.28515625" style="2" customWidth="1"/>
    <col min="5668" max="5668" width="1.42578125" style="2" customWidth="1"/>
    <col min="5669" max="5669" width="0" style="2" hidden="1" customWidth="1"/>
    <col min="5670" max="5888" width="11.42578125" style="2"/>
    <col min="5889" max="5889" width="8" style="2" customWidth="1"/>
    <col min="5890" max="5890" width="13.42578125" style="2" customWidth="1"/>
    <col min="5891" max="5891" width="4.28515625" style="2" customWidth="1"/>
    <col min="5892" max="5892" width="4" style="2" customWidth="1"/>
    <col min="5893" max="5893" width="17" style="2" customWidth="1"/>
    <col min="5894" max="5894" width="4.140625" style="2" customWidth="1"/>
    <col min="5895" max="5895" width="11.28515625" style="2" customWidth="1"/>
    <col min="5896" max="5896" width="11" style="2" customWidth="1"/>
    <col min="5897" max="5898" width="2.140625" style="2" customWidth="1"/>
    <col min="5899" max="5899" width="3.28515625" style="2" customWidth="1"/>
    <col min="5900" max="5901" width="0" style="2" hidden="1" customWidth="1"/>
    <col min="5902" max="5902" width="2.85546875" style="2" customWidth="1"/>
    <col min="5903" max="5903" width="3.28515625" style="2" customWidth="1"/>
    <col min="5904" max="5904" width="1.5703125" style="2" customWidth="1"/>
    <col min="5905" max="5905" width="0" style="2" hidden="1" customWidth="1"/>
    <col min="5906" max="5906" width="6.85546875" style="2" customWidth="1"/>
    <col min="5907" max="5907" width="0" style="2" hidden="1" customWidth="1"/>
    <col min="5908" max="5909" width="6.28515625" style="2" customWidth="1"/>
    <col min="5910" max="5910" width="13.85546875" style="2" customWidth="1"/>
    <col min="5911" max="5911" width="10.85546875" style="2" customWidth="1"/>
    <col min="5912" max="5912" width="14.7109375" style="2" customWidth="1"/>
    <col min="5913" max="5913" width="0" style="2" hidden="1" customWidth="1"/>
    <col min="5914" max="5914" width="13" style="2" customWidth="1"/>
    <col min="5915" max="5915" width="12.7109375" style="2" customWidth="1"/>
    <col min="5916" max="5916" width="13.140625" style="2" customWidth="1"/>
    <col min="5917" max="5917" width="14" style="2" customWidth="1"/>
    <col min="5918" max="5918" width="8.140625" style="2" customWidth="1"/>
    <col min="5919" max="5919" width="11.5703125" style="2" customWidth="1"/>
    <col min="5920" max="5920" width="24.7109375" style="2" customWidth="1"/>
    <col min="5921" max="5921" width="12" style="2" customWidth="1"/>
    <col min="5922" max="5923" width="0.28515625" style="2" customWidth="1"/>
    <col min="5924" max="5924" width="1.42578125" style="2" customWidth="1"/>
    <col min="5925" max="5925" width="0" style="2" hidden="1" customWidth="1"/>
    <col min="5926" max="6144" width="11.42578125" style="2"/>
    <col min="6145" max="6145" width="8" style="2" customWidth="1"/>
    <col min="6146" max="6146" width="13.42578125" style="2" customWidth="1"/>
    <col min="6147" max="6147" width="4.28515625" style="2" customWidth="1"/>
    <col min="6148" max="6148" width="4" style="2" customWidth="1"/>
    <col min="6149" max="6149" width="17" style="2" customWidth="1"/>
    <col min="6150" max="6150" width="4.140625" style="2" customWidth="1"/>
    <col min="6151" max="6151" width="11.28515625" style="2" customWidth="1"/>
    <col min="6152" max="6152" width="11" style="2" customWidth="1"/>
    <col min="6153" max="6154" width="2.140625" style="2" customWidth="1"/>
    <col min="6155" max="6155" width="3.28515625" style="2" customWidth="1"/>
    <col min="6156" max="6157" width="0" style="2" hidden="1" customWidth="1"/>
    <col min="6158" max="6158" width="2.85546875" style="2" customWidth="1"/>
    <col min="6159" max="6159" width="3.28515625" style="2" customWidth="1"/>
    <col min="6160" max="6160" width="1.5703125" style="2" customWidth="1"/>
    <col min="6161" max="6161" width="0" style="2" hidden="1" customWidth="1"/>
    <col min="6162" max="6162" width="6.85546875" style="2" customWidth="1"/>
    <col min="6163" max="6163" width="0" style="2" hidden="1" customWidth="1"/>
    <col min="6164" max="6165" width="6.28515625" style="2" customWidth="1"/>
    <col min="6166" max="6166" width="13.85546875" style="2" customWidth="1"/>
    <col min="6167" max="6167" width="10.85546875" style="2" customWidth="1"/>
    <col min="6168" max="6168" width="14.7109375" style="2" customWidth="1"/>
    <col min="6169" max="6169" width="0" style="2" hidden="1" customWidth="1"/>
    <col min="6170" max="6170" width="13" style="2" customWidth="1"/>
    <col min="6171" max="6171" width="12.7109375" style="2" customWidth="1"/>
    <col min="6172" max="6172" width="13.140625" style="2" customWidth="1"/>
    <col min="6173" max="6173" width="14" style="2" customWidth="1"/>
    <col min="6174" max="6174" width="8.140625" style="2" customWidth="1"/>
    <col min="6175" max="6175" width="11.5703125" style="2" customWidth="1"/>
    <col min="6176" max="6176" width="24.7109375" style="2" customWidth="1"/>
    <col min="6177" max="6177" width="12" style="2" customWidth="1"/>
    <col min="6178" max="6179" width="0.28515625" style="2" customWidth="1"/>
    <col min="6180" max="6180" width="1.42578125" style="2" customWidth="1"/>
    <col min="6181" max="6181" width="0" style="2" hidden="1" customWidth="1"/>
    <col min="6182" max="6400" width="11.42578125" style="2"/>
    <col min="6401" max="6401" width="8" style="2" customWidth="1"/>
    <col min="6402" max="6402" width="13.42578125" style="2" customWidth="1"/>
    <col min="6403" max="6403" width="4.28515625" style="2" customWidth="1"/>
    <col min="6404" max="6404" width="4" style="2" customWidth="1"/>
    <col min="6405" max="6405" width="17" style="2" customWidth="1"/>
    <col min="6406" max="6406" width="4.140625" style="2" customWidth="1"/>
    <col min="6407" max="6407" width="11.28515625" style="2" customWidth="1"/>
    <col min="6408" max="6408" width="11" style="2" customWidth="1"/>
    <col min="6409" max="6410" width="2.140625" style="2" customWidth="1"/>
    <col min="6411" max="6411" width="3.28515625" style="2" customWidth="1"/>
    <col min="6412" max="6413" width="0" style="2" hidden="1" customWidth="1"/>
    <col min="6414" max="6414" width="2.85546875" style="2" customWidth="1"/>
    <col min="6415" max="6415" width="3.28515625" style="2" customWidth="1"/>
    <col min="6416" max="6416" width="1.5703125" style="2" customWidth="1"/>
    <col min="6417" max="6417" width="0" style="2" hidden="1" customWidth="1"/>
    <col min="6418" max="6418" width="6.85546875" style="2" customWidth="1"/>
    <col min="6419" max="6419" width="0" style="2" hidden="1" customWidth="1"/>
    <col min="6420" max="6421" width="6.28515625" style="2" customWidth="1"/>
    <col min="6422" max="6422" width="13.85546875" style="2" customWidth="1"/>
    <col min="6423" max="6423" width="10.85546875" style="2" customWidth="1"/>
    <col min="6424" max="6424" width="14.7109375" style="2" customWidth="1"/>
    <col min="6425" max="6425" width="0" style="2" hidden="1" customWidth="1"/>
    <col min="6426" max="6426" width="13" style="2" customWidth="1"/>
    <col min="6427" max="6427" width="12.7109375" style="2" customWidth="1"/>
    <col min="6428" max="6428" width="13.140625" style="2" customWidth="1"/>
    <col min="6429" max="6429" width="14" style="2" customWidth="1"/>
    <col min="6430" max="6430" width="8.140625" style="2" customWidth="1"/>
    <col min="6431" max="6431" width="11.5703125" style="2" customWidth="1"/>
    <col min="6432" max="6432" width="24.7109375" style="2" customWidth="1"/>
    <col min="6433" max="6433" width="12" style="2" customWidth="1"/>
    <col min="6434" max="6435" width="0.28515625" style="2" customWidth="1"/>
    <col min="6436" max="6436" width="1.42578125" style="2" customWidth="1"/>
    <col min="6437" max="6437" width="0" style="2" hidden="1" customWidth="1"/>
    <col min="6438" max="6656" width="11.42578125" style="2"/>
    <col min="6657" max="6657" width="8" style="2" customWidth="1"/>
    <col min="6658" max="6658" width="13.42578125" style="2" customWidth="1"/>
    <col min="6659" max="6659" width="4.28515625" style="2" customWidth="1"/>
    <col min="6660" max="6660" width="4" style="2" customWidth="1"/>
    <col min="6661" max="6661" width="17" style="2" customWidth="1"/>
    <col min="6662" max="6662" width="4.140625" style="2" customWidth="1"/>
    <col min="6663" max="6663" width="11.28515625" style="2" customWidth="1"/>
    <col min="6664" max="6664" width="11" style="2" customWidth="1"/>
    <col min="6665" max="6666" width="2.140625" style="2" customWidth="1"/>
    <col min="6667" max="6667" width="3.28515625" style="2" customWidth="1"/>
    <col min="6668" max="6669" width="0" style="2" hidden="1" customWidth="1"/>
    <col min="6670" max="6670" width="2.85546875" style="2" customWidth="1"/>
    <col min="6671" max="6671" width="3.28515625" style="2" customWidth="1"/>
    <col min="6672" max="6672" width="1.5703125" style="2" customWidth="1"/>
    <col min="6673" max="6673" width="0" style="2" hidden="1" customWidth="1"/>
    <col min="6674" max="6674" width="6.85546875" style="2" customWidth="1"/>
    <col min="6675" max="6675" width="0" style="2" hidden="1" customWidth="1"/>
    <col min="6676" max="6677" width="6.28515625" style="2" customWidth="1"/>
    <col min="6678" max="6678" width="13.85546875" style="2" customWidth="1"/>
    <col min="6679" max="6679" width="10.85546875" style="2" customWidth="1"/>
    <col min="6680" max="6680" width="14.7109375" style="2" customWidth="1"/>
    <col min="6681" max="6681" width="0" style="2" hidden="1" customWidth="1"/>
    <col min="6682" max="6682" width="13" style="2" customWidth="1"/>
    <col min="6683" max="6683" width="12.7109375" style="2" customWidth="1"/>
    <col min="6684" max="6684" width="13.140625" style="2" customWidth="1"/>
    <col min="6685" max="6685" width="14" style="2" customWidth="1"/>
    <col min="6686" max="6686" width="8.140625" style="2" customWidth="1"/>
    <col min="6687" max="6687" width="11.5703125" style="2" customWidth="1"/>
    <col min="6688" max="6688" width="24.7109375" style="2" customWidth="1"/>
    <col min="6689" max="6689" width="12" style="2" customWidth="1"/>
    <col min="6690" max="6691" width="0.28515625" style="2" customWidth="1"/>
    <col min="6692" max="6692" width="1.42578125" style="2" customWidth="1"/>
    <col min="6693" max="6693" width="0" style="2" hidden="1" customWidth="1"/>
    <col min="6694" max="6912" width="11.42578125" style="2"/>
    <col min="6913" max="6913" width="8" style="2" customWidth="1"/>
    <col min="6914" max="6914" width="13.42578125" style="2" customWidth="1"/>
    <col min="6915" max="6915" width="4.28515625" style="2" customWidth="1"/>
    <col min="6916" max="6916" width="4" style="2" customWidth="1"/>
    <col min="6917" max="6917" width="17" style="2" customWidth="1"/>
    <col min="6918" max="6918" width="4.140625" style="2" customWidth="1"/>
    <col min="6919" max="6919" width="11.28515625" style="2" customWidth="1"/>
    <col min="6920" max="6920" width="11" style="2" customWidth="1"/>
    <col min="6921" max="6922" width="2.140625" style="2" customWidth="1"/>
    <col min="6923" max="6923" width="3.28515625" style="2" customWidth="1"/>
    <col min="6924" max="6925" width="0" style="2" hidden="1" customWidth="1"/>
    <col min="6926" max="6926" width="2.85546875" style="2" customWidth="1"/>
    <col min="6927" max="6927" width="3.28515625" style="2" customWidth="1"/>
    <col min="6928" max="6928" width="1.5703125" style="2" customWidth="1"/>
    <col min="6929" max="6929" width="0" style="2" hidden="1" customWidth="1"/>
    <col min="6930" max="6930" width="6.85546875" style="2" customWidth="1"/>
    <col min="6931" max="6931" width="0" style="2" hidden="1" customWidth="1"/>
    <col min="6932" max="6933" width="6.28515625" style="2" customWidth="1"/>
    <col min="6934" max="6934" width="13.85546875" style="2" customWidth="1"/>
    <col min="6935" max="6935" width="10.85546875" style="2" customWidth="1"/>
    <col min="6936" max="6936" width="14.7109375" style="2" customWidth="1"/>
    <col min="6937" max="6937" width="0" style="2" hidden="1" customWidth="1"/>
    <col min="6938" max="6938" width="13" style="2" customWidth="1"/>
    <col min="6939" max="6939" width="12.7109375" style="2" customWidth="1"/>
    <col min="6940" max="6940" width="13.140625" style="2" customWidth="1"/>
    <col min="6941" max="6941" width="14" style="2" customWidth="1"/>
    <col min="6942" max="6942" width="8.140625" style="2" customWidth="1"/>
    <col min="6943" max="6943" width="11.5703125" style="2" customWidth="1"/>
    <col min="6944" max="6944" width="24.7109375" style="2" customWidth="1"/>
    <col min="6945" max="6945" width="12" style="2" customWidth="1"/>
    <col min="6946" max="6947" width="0.28515625" style="2" customWidth="1"/>
    <col min="6948" max="6948" width="1.42578125" style="2" customWidth="1"/>
    <col min="6949" max="6949" width="0" style="2" hidden="1" customWidth="1"/>
    <col min="6950" max="7168" width="11.42578125" style="2"/>
    <col min="7169" max="7169" width="8" style="2" customWidth="1"/>
    <col min="7170" max="7170" width="13.42578125" style="2" customWidth="1"/>
    <col min="7171" max="7171" width="4.28515625" style="2" customWidth="1"/>
    <col min="7172" max="7172" width="4" style="2" customWidth="1"/>
    <col min="7173" max="7173" width="17" style="2" customWidth="1"/>
    <col min="7174" max="7174" width="4.140625" style="2" customWidth="1"/>
    <col min="7175" max="7175" width="11.28515625" style="2" customWidth="1"/>
    <col min="7176" max="7176" width="11" style="2" customWidth="1"/>
    <col min="7177" max="7178" width="2.140625" style="2" customWidth="1"/>
    <col min="7179" max="7179" width="3.28515625" style="2" customWidth="1"/>
    <col min="7180" max="7181" width="0" style="2" hidden="1" customWidth="1"/>
    <col min="7182" max="7182" width="2.85546875" style="2" customWidth="1"/>
    <col min="7183" max="7183" width="3.28515625" style="2" customWidth="1"/>
    <col min="7184" max="7184" width="1.5703125" style="2" customWidth="1"/>
    <col min="7185" max="7185" width="0" style="2" hidden="1" customWidth="1"/>
    <col min="7186" max="7186" width="6.85546875" style="2" customWidth="1"/>
    <col min="7187" max="7187" width="0" style="2" hidden="1" customWidth="1"/>
    <col min="7188" max="7189" width="6.28515625" style="2" customWidth="1"/>
    <col min="7190" max="7190" width="13.85546875" style="2" customWidth="1"/>
    <col min="7191" max="7191" width="10.85546875" style="2" customWidth="1"/>
    <col min="7192" max="7192" width="14.7109375" style="2" customWidth="1"/>
    <col min="7193" max="7193" width="0" style="2" hidden="1" customWidth="1"/>
    <col min="7194" max="7194" width="13" style="2" customWidth="1"/>
    <col min="7195" max="7195" width="12.7109375" style="2" customWidth="1"/>
    <col min="7196" max="7196" width="13.140625" style="2" customWidth="1"/>
    <col min="7197" max="7197" width="14" style="2" customWidth="1"/>
    <col min="7198" max="7198" width="8.140625" style="2" customWidth="1"/>
    <col min="7199" max="7199" width="11.5703125" style="2" customWidth="1"/>
    <col min="7200" max="7200" width="24.7109375" style="2" customWidth="1"/>
    <col min="7201" max="7201" width="12" style="2" customWidth="1"/>
    <col min="7202" max="7203" width="0.28515625" style="2" customWidth="1"/>
    <col min="7204" max="7204" width="1.42578125" style="2" customWidth="1"/>
    <col min="7205" max="7205" width="0" style="2" hidden="1" customWidth="1"/>
    <col min="7206" max="7424" width="11.42578125" style="2"/>
    <col min="7425" max="7425" width="8" style="2" customWidth="1"/>
    <col min="7426" max="7426" width="13.42578125" style="2" customWidth="1"/>
    <col min="7427" max="7427" width="4.28515625" style="2" customWidth="1"/>
    <col min="7428" max="7428" width="4" style="2" customWidth="1"/>
    <col min="7429" max="7429" width="17" style="2" customWidth="1"/>
    <col min="7430" max="7430" width="4.140625" style="2" customWidth="1"/>
    <col min="7431" max="7431" width="11.28515625" style="2" customWidth="1"/>
    <col min="7432" max="7432" width="11" style="2" customWidth="1"/>
    <col min="7433" max="7434" width="2.140625" style="2" customWidth="1"/>
    <col min="7435" max="7435" width="3.28515625" style="2" customWidth="1"/>
    <col min="7436" max="7437" width="0" style="2" hidden="1" customWidth="1"/>
    <col min="7438" max="7438" width="2.85546875" style="2" customWidth="1"/>
    <col min="7439" max="7439" width="3.28515625" style="2" customWidth="1"/>
    <col min="7440" max="7440" width="1.5703125" style="2" customWidth="1"/>
    <col min="7441" max="7441" width="0" style="2" hidden="1" customWidth="1"/>
    <col min="7442" max="7442" width="6.85546875" style="2" customWidth="1"/>
    <col min="7443" max="7443" width="0" style="2" hidden="1" customWidth="1"/>
    <col min="7444" max="7445" width="6.28515625" style="2" customWidth="1"/>
    <col min="7446" max="7446" width="13.85546875" style="2" customWidth="1"/>
    <col min="7447" max="7447" width="10.85546875" style="2" customWidth="1"/>
    <col min="7448" max="7448" width="14.7109375" style="2" customWidth="1"/>
    <col min="7449" max="7449" width="0" style="2" hidden="1" customWidth="1"/>
    <col min="7450" max="7450" width="13" style="2" customWidth="1"/>
    <col min="7451" max="7451" width="12.7109375" style="2" customWidth="1"/>
    <col min="7452" max="7452" width="13.140625" style="2" customWidth="1"/>
    <col min="7453" max="7453" width="14" style="2" customWidth="1"/>
    <col min="7454" max="7454" width="8.140625" style="2" customWidth="1"/>
    <col min="7455" max="7455" width="11.5703125" style="2" customWidth="1"/>
    <col min="7456" max="7456" width="24.7109375" style="2" customWidth="1"/>
    <col min="7457" max="7457" width="12" style="2" customWidth="1"/>
    <col min="7458" max="7459" width="0.28515625" style="2" customWidth="1"/>
    <col min="7460" max="7460" width="1.42578125" style="2" customWidth="1"/>
    <col min="7461" max="7461" width="0" style="2" hidden="1" customWidth="1"/>
    <col min="7462" max="7680" width="11.42578125" style="2"/>
    <col min="7681" max="7681" width="8" style="2" customWidth="1"/>
    <col min="7682" max="7682" width="13.42578125" style="2" customWidth="1"/>
    <col min="7683" max="7683" width="4.28515625" style="2" customWidth="1"/>
    <col min="7684" max="7684" width="4" style="2" customWidth="1"/>
    <col min="7685" max="7685" width="17" style="2" customWidth="1"/>
    <col min="7686" max="7686" width="4.140625" style="2" customWidth="1"/>
    <col min="7687" max="7687" width="11.28515625" style="2" customWidth="1"/>
    <col min="7688" max="7688" width="11" style="2" customWidth="1"/>
    <col min="7689" max="7690" width="2.140625" style="2" customWidth="1"/>
    <col min="7691" max="7691" width="3.28515625" style="2" customWidth="1"/>
    <col min="7692" max="7693" width="0" style="2" hidden="1" customWidth="1"/>
    <col min="7694" max="7694" width="2.85546875" style="2" customWidth="1"/>
    <col min="7695" max="7695" width="3.28515625" style="2" customWidth="1"/>
    <col min="7696" max="7696" width="1.5703125" style="2" customWidth="1"/>
    <col min="7697" max="7697" width="0" style="2" hidden="1" customWidth="1"/>
    <col min="7698" max="7698" width="6.85546875" style="2" customWidth="1"/>
    <col min="7699" max="7699" width="0" style="2" hidden="1" customWidth="1"/>
    <col min="7700" max="7701" width="6.28515625" style="2" customWidth="1"/>
    <col min="7702" max="7702" width="13.85546875" style="2" customWidth="1"/>
    <col min="7703" max="7703" width="10.85546875" style="2" customWidth="1"/>
    <col min="7704" max="7704" width="14.7109375" style="2" customWidth="1"/>
    <col min="7705" max="7705" width="0" style="2" hidden="1" customWidth="1"/>
    <col min="7706" max="7706" width="13" style="2" customWidth="1"/>
    <col min="7707" max="7707" width="12.7109375" style="2" customWidth="1"/>
    <col min="7708" max="7708" width="13.140625" style="2" customWidth="1"/>
    <col min="7709" max="7709" width="14" style="2" customWidth="1"/>
    <col min="7710" max="7710" width="8.140625" style="2" customWidth="1"/>
    <col min="7711" max="7711" width="11.5703125" style="2" customWidth="1"/>
    <col min="7712" max="7712" width="24.7109375" style="2" customWidth="1"/>
    <col min="7713" max="7713" width="12" style="2" customWidth="1"/>
    <col min="7714" max="7715" width="0.28515625" style="2" customWidth="1"/>
    <col min="7716" max="7716" width="1.42578125" style="2" customWidth="1"/>
    <col min="7717" max="7717" width="0" style="2" hidden="1" customWidth="1"/>
    <col min="7718" max="7936" width="11.42578125" style="2"/>
    <col min="7937" max="7937" width="8" style="2" customWidth="1"/>
    <col min="7938" max="7938" width="13.42578125" style="2" customWidth="1"/>
    <col min="7939" max="7939" width="4.28515625" style="2" customWidth="1"/>
    <col min="7940" max="7940" width="4" style="2" customWidth="1"/>
    <col min="7941" max="7941" width="17" style="2" customWidth="1"/>
    <col min="7942" max="7942" width="4.140625" style="2" customWidth="1"/>
    <col min="7943" max="7943" width="11.28515625" style="2" customWidth="1"/>
    <col min="7944" max="7944" width="11" style="2" customWidth="1"/>
    <col min="7945" max="7946" width="2.140625" style="2" customWidth="1"/>
    <col min="7947" max="7947" width="3.28515625" style="2" customWidth="1"/>
    <col min="7948" max="7949" width="0" style="2" hidden="1" customWidth="1"/>
    <col min="7950" max="7950" width="2.85546875" style="2" customWidth="1"/>
    <col min="7951" max="7951" width="3.28515625" style="2" customWidth="1"/>
    <col min="7952" max="7952" width="1.5703125" style="2" customWidth="1"/>
    <col min="7953" max="7953" width="0" style="2" hidden="1" customWidth="1"/>
    <col min="7954" max="7954" width="6.85546875" style="2" customWidth="1"/>
    <col min="7955" max="7955" width="0" style="2" hidden="1" customWidth="1"/>
    <col min="7956" max="7957" width="6.28515625" style="2" customWidth="1"/>
    <col min="7958" max="7958" width="13.85546875" style="2" customWidth="1"/>
    <col min="7959" max="7959" width="10.85546875" style="2" customWidth="1"/>
    <col min="7960" max="7960" width="14.7109375" style="2" customWidth="1"/>
    <col min="7961" max="7961" width="0" style="2" hidden="1" customWidth="1"/>
    <col min="7962" max="7962" width="13" style="2" customWidth="1"/>
    <col min="7963" max="7963" width="12.7109375" style="2" customWidth="1"/>
    <col min="7964" max="7964" width="13.140625" style="2" customWidth="1"/>
    <col min="7965" max="7965" width="14" style="2" customWidth="1"/>
    <col min="7966" max="7966" width="8.140625" style="2" customWidth="1"/>
    <col min="7967" max="7967" width="11.5703125" style="2" customWidth="1"/>
    <col min="7968" max="7968" width="24.7109375" style="2" customWidth="1"/>
    <col min="7969" max="7969" width="12" style="2" customWidth="1"/>
    <col min="7970" max="7971" width="0.28515625" style="2" customWidth="1"/>
    <col min="7972" max="7972" width="1.42578125" style="2" customWidth="1"/>
    <col min="7973" max="7973" width="0" style="2" hidden="1" customWidth="1"/>
    <col min="7974" max="8192" width="11.42578125" style="2"/>
    <col min="8193" max="8193" width="8" style="2" customWidth="1"/>
    <col min="8194" max="8194" width="13.42578125" style="2" customWidth="1"/>
    <col min="8195" max="8195" width="4.28515625" style="2" customWidth="1"/>
    <col min="8196" max="8196" width="4" style="2" customWidth="1"/>
    <col min="8197" max="8197" width="17" style="2" customWidth="1"/>
    <col min="8198" max="8198" width="4.140625" style="2" customWidth="1"/>
    <col min="8199" max="8199" width="11.28515625" style="2" customWidth="1"/>
    <col min="8200" max="8200" width="11" style="2" customWidth="1"/>
    <col min="8201" max="8202" width="2.140625" style="2" customWidth="1"/>
    <col min="8203" max="8203" width="3.28515625" style="2" customWidth="1"/>
    <col min="8204" max="8205" width="0" style="2" hidden="1" customWidth="1"/>
    <col min="8206" max="8206" width="2.85546875" style="2" customWidth="1"/>
    <col min="8207" max="8207" width="3.28515625" style="2" customWidth="1"/>
    <col min="8208" max="8208" width="1.5703125" style="2" customWidth="1"/>
    <col min="8209" max="8209" width="0" style="2" hidden="1" customWidth="1"/>
    <col min="8210" max="8210" width="6.85546875" style="2" customWidth="1"/>
    <col min="8211" max="8211" width="0" style="2" hidden="1" customWidth="1"/>
    <col min="8212" max="8213" width="6.28515625" style="2" customWidth="1"/>
    <col min="8214" max="8214" width="13.85546875" style="2" customWidth="1"/>
    <col min="8215" max="8215" width="10.85546875" style="2" customWidth="1"/>
    <col min="8216" max="8216" width="14.7109375" style="2" customWidth="1"/>
    <col min="8217" max="8217" width="0" style="2" hidden="1" customWidth="1"/>
    <col min="8218" max="8218" width="13" style="2" customWidth="1"/>
    <col min="8219" max="8219" width="12.7109375" style="2" customWidth="1"/>
    <col min="8220" max="8220" width="13.140625" style="2" customWidth="1"/>
    <col min="8221" max="8221" width="14" style="2" customWidth="1"/>
    <col min="8222" max="8222" width="8.140625" style="2" customWidth="1"/>
    <col min="8223" max="8223" width="11.5703125" style="2" customWidth="1"/>
    <col min="8224" max="8224" width="24.7109375" style="2" customWidth="1"/>
    <col min="8225" max="8225" width="12" style="2" customWidth="1"/>
    <col min="8226" max="8227" width="0.28515625" style="2" customWidth="1"/>
    <col min="8228" max="8228" width="1.42578125" style="2" customWidth="1"/>
    <col min="8229" max="8229" width="0" style="2" hidden="1" customWidth="1"/>
    <col min="8230" max="8448" width="11.42578125" style="2"/>
    <col min="8449" max="8449" width="8" style="2" customWidth="1"/>
    <col min="8450" max="8450" width="13.42578125" style="2" customWidth="1"/>
    <col min="8451" max="8451" width="4.28515625" style="2" customWidth="1"/>
    <col min="8452" max="8452" width="4" style="2" customWidth="1"/>
    <col min="8453" max="8453" width="17" style="2" customWidth="1"/>
    <col min="8454" max="8454" width="4.140625" style="2" customWidth="1"/>
    <col min="8455" max="8455" width="11.28515625" style="2" customWidth="1"/>
    <col min="8456" max="8456" width="11" style="2" customWidth="1"/>
    <col min="8457" max="8458" width="2.140625" style="2" customWidth="1"/>
    <col min="8459" max="8459" width="3.28515625" style="2" customWidth="1"/>
    <col min="8460" max="8461" width="0" style="2" hidden="1" customWidth="1"/>
    <col min="8462" max="8462" width="2.85546875" style="2" customWidth="1"/>
    <col min="8463" max="8463" width="3.28515625" style="2" customWidth="1"/>
    <col min="8464" max="8464" width="1.5703125" style="2" customWidth="1"/>
    <col min="8465" max="8465" width="0" style="2" hidden="1" customWidth="1"/>
    <col min="8466" max="8466" width="6.85546875" style="2" customWidth="1"/>
    <col min="8467" max="8467" width="0" style="2" hidden="1" customWidth="1"/>
    <col min="8468" max="8469" width="6.28515625" style="2" customWidth="1"/>
    <col min="8470" max="8470" width="13.85546875" style="2" customWidth="1"/>
    <col min="8471" max="8471" width="10.85546875" style="2" customWidth="1"/>
    <col min="8472" max="8472" width="14.7109375" style="2" customWidth="1"/>
    <col min="8473" max="8473" width="0" style="2" hidden="1" customWidth="1"/>
    <col min="8474" max="8474" width="13" style="2" customWidth="1"/>
    <col min="8475" max="8475" width="12.7109375" style="2" customWidth="1"/>
    <col min="8476" max="8476" width="13.140625" style="2" customWidth="1"/>
    <col min="8477" max="8477" width="14" style="2" customWidth="1"/>
    <col min="8478" max="8478" width="8.140625" style="2" customWidth="1"/>
    <col min="8479" max="8479" width="11.5703125" style="2" customWidth="1"/>
    <col min="8480" max="8480" width="24.7109375" style="2" customWidth="1"/>
    <col min="8481" max="8481" width="12" style="2" customWidth="1"/>
    <col min="8482" max="8483" width="0.28515625" style="2" customWidth="1"/>
    <col min="8484" max="8484" width="1.42578125" style="2" customWidth="1"/>
    <col min="8485" max="8485" width="0" style="2" hidden="1" customWidth="1"/>
    <col min="8486" max="8704" width="11.42578125" style="2"/>
    <col min="8705" max="8705" width="8" style="2" customWidth="1"/>
    <col min="8706" max="8706" width="13.42578125" style="2" customWidth="1"/>
    <col min="8707" max="8707" width="4.28515625" style="2" customWidth="1"/>
    <col min="8708" max="8708" width="4" style="2" customWidth="1"/>
    <col min="8709" max="8709" width="17" style="2" customWidth="1"/>
    <col min="8710" max="8710" width="4.140625" style="2" customWidth="1"/>
    <col min="8711" max="8711" width="11.28515625" style="2" customWidth="1"/>
    <col min="8712" max="8712" width="11" style="2" customWidth="1"/>
    <col min="8713" max="8714" width="2.140625" style="2" customWidth="1"/>
    <col min="8715" max="8715" width="3.28515625" style="2" customWidth="1"/>
    <col min="8716" max="8717" width="0" style="2" hidden="1" customWidth="1"/>
    <col min="8718" max="8718" width="2.85546875" style="2" customWidth="1"/>
    <col min="8719" max="8719" width="3.28515625" style="2" customWidth="1"/>
    <col min="8720" max="8720" width="1.5703125" style="2" customWidth="1"/>
    <col min="8721" max="8721" width="0" style="2" hidden="1" customWidth="1"/>
    <col min="8722" max="8722" width="6.85546875" style="2" customWidth="1"/>
    <col min="8723" max="8723" width="0" style="2" hidden="1" customWidth="1"/>
    <col min="8724" max="8725" width="6.28515625" style="2" customWidth="1"/>
    <col min="8726" max="8726" width="13.85546875" style="2" customWidth="1"/>
    <col min="8727" max="8727" width="10.85546875" style="2" customWidth="1"/>
    <col min="8728" max="8728" width="14.7109375" style="2" customWidth="1"/>
    <col min="8729" max="8729" width="0" style="2" hidden="1" customWidth="1"/>
    <col min="8730" max="8730" width="13" style="2" customWidth="1"/>
    <col min="8731" max="8731" width="12.7109375" style="2" customWidth="1"/>
    <col min="8732" max="8732" width="13.140625" style="2" customWidth="1"/>
    <col min="8733" max="8733" width="14" style="2" customWidth="1"/>
    <col min="8734" max="8734" width="8.140625" style="2" customWidth="1"/>
    <col min="8735" max="8735" width="11.5703125" style="2" customWidth="1"/>
    <col min="8736" max="8736" width="24.7109375" style="2" customWidth="1"/>
    <col min="8737" max="8737" width="12" style="2" customWidth="1"/>
    <col min="8738" max="8739" width="0.28515625" style="2" customWidth="1"/>
    <col min="8740" max="8740" width="1.42578125" style="2" customWidth="1"/>
    <col min="8741" max="8741" width="0" style="2" hidden="1" customWidth="1"/>
    <col min="8742" max="8960" width="11.42578125" style="2"/>
    <col min="8961" max="8961" width="8" style="2" customWidth="1"/>
    <col min="8962" max="8962" width="13.42578125" style="2" customWidth="1"/>
    <col min="8963" max="8963" width="4.28515625" style="2" customWidth="1"/>
    <col min="8964" max="8964" width="4" style="2" customWidth="1"/>
    <col min="8965" max="8965" width="17" style="2" customWidth="1"/>
    <col min="8966" max="8966" width="4.140625" style="2" customWidth="1"/>
    <col min="8967" max="8967" width="11.28515625" style="2" customWidth="1"/>
    <col min="8968" max="8968" width="11" style="2" customWidth="1"/>
    <col min="8969" max="8970" width="2.140625" style="2" customWidth="1"/>
    <col min="8971" max="8971" width="3.28515625" style="2" customWidth="1"/>
    <col min="8972" max="8973" width="0" style="2" hidden="1" customWidth="1"/>
    <col min="8974" max="8974" width="2.85546875" style="2" customWidth="1"/>
    <col min="8975" max="8975" width="3.28515625" style="2" customWidth="1"/>
    <col min="8976" max="8976" width="1.5703125" style="2" customWidth="1"/>
    <col min="8977" max="8977" width="0" style="2" hidden="1" customWidth="1"/>
    <col min="8978" max="8978" width="6.85546875" style="2" customWidth="1"/>
    <col min="8979" max="8979" width="0" style="2" hidden="1" customWidth="1"/>
    <col min="8980" max="8981" width="6.28515625" style="2" customWidth="1"/>
    <col min="8982" max="8982" width="13.85546875" style="2" customWidth="1"/>
    <col min="8983" max="8983" width="10.85546875" style="2" customWidth="1"/>
    <col min="8984" max="8984" width="14.7109375" style="2" customWidth="1"/>
    <col min="8985" max="8985" width="0" style="2" hidden="1" customWidth="1"/>
    <col min="8986" max="8986" width="13" style="2" customWidth="1"/>
    <col min="8987" max="8987" width="12.7109375" style="2" customWidth="1"/>
    <col min="8988" max="8988" width="13.140625" style="2" customWidth="1"/>
    <col min="8989" max="8989" width="14" style="2" customWidth="1"/>
    <col min="8990" max="8990" width="8.140625" style="2" customWidth="1"/>
    <col min="8991" max="8991" width="11.5703125" style="2" customWidth="1"/>
    <col min="8992" max="8992" width="24.7109375" style="2" customWidth="1"/>
    <col min="8993" max="8993" width="12" style="2" customWidth="1"/>
    <col min="8994" max="8995" width="0.28515625" style="2" customWidth="1"/>
    <col min="8996" max="8996" width="1.42578125" style="2" customWidth="1"/>
    <col min="8997" max="8997" width="0" style="2" hidden="1" customWidth="1"/>
    <col min="8998" max="9216" width="11.42578125" style="2"/>
    <col min="9217" max="9217" width="8" style="2" customWidth="1"/>
    <col min="9218" max="9218" width="13.42578125" style="2" customWidth="1"/>
    <col min="9219" max="9219" width="4.28515625" style="2" customWidth="1"/>
    <col min="9220" max="9220" width="4" style="2" customWidth="1"/>
    <col min="9221" max="9221" width="17" style="2" customWidth="1"/>
    <col min="9222" max="9222" width="4.140625" style="2" customWidth="1"/>
    <col min="9223" max="9223" width="11.28515625" style="2" customWidth="1"/>
    <col min="9224" max="9224" width="11" style="2" customWidth="1"/>
    <col min="9225" max="9226" width="2.140625" style="2" customWidth="1"/>
    <col min="9227" max="9227" width="3.28515625" style="2" customWidth="1"/>
    <col min="9228" max="9229" width="0" style="2" hidden="1" customWidth="1"/>
    <col min="9230" max="9230" width="2.85546875" style="2" customWidth="1"/>
    <col min="9231" max="9231" width="3.28515625" style="2" customWidth="1"/>
    <col min="9232" max="9232" width="1.5703125" style="2" customWidth="1"/>
    <col min="9233" max="9233" width="0" style="2" hidden="1" customWidth="1"/>
    <col min="9234" max="9234" width="6.85546875" style="2" customWidth="1"/>
    <col min="9235" max="9235" width="0" style="2" hidden="1" customWidth="1"/>
    <col min="9236" max="9237" width="6.28515625" style="2" customWidth="1"/>
    <col min="9238" max="9238" width="13.85546875" style="2" customWidth="1"/>
    <col min="9239" max="9239" width="10.85546875" style="2" customWidth="1"/>
    <col min="9240" max="9240" width="14.7109375" style="2" customWidth="1"/>
    <col min="9241" max="9241" width="0" style="2" hidden="1" customWidth="1"/>
    <col min="9242" max="9242" width="13" style="2" customWidth="1"/>
    <col min="9243" max="9243" width="12.7109375" style="2" customWidth="1"/>
    <col min="9244" max="9244" width="13.140625" style="2" customWidth="1"/>
    <col min="9245" max="9245" width="14" style="2" customWidth="1"/>
    <col min="9246" max="9246" width="8.140625" style="2" customWidth="1"/>
    <col min="9247" max="9247" width="11.5703125" style="2" customWidth="1"/>
    <col min="9248" max="9248" width="24.7109375" style="2" customWidth="1"/>
    <col min="9249" max="9249" width="12" style="2" customWidth="1"/>
    <col min="9250" max="9251" width="0.28515625" style="2" customWidth="1"/>
    <col min="9252" max="9252" width="1.42578125" style="2" customWidth="1"/>
    <col min="9253" max="9253" width="0" style="2" hidden="1" customWidth="1"/>
    <col min="9254" max="9472" width="11.42578125" style="2"/>
    <col min="9473" max="9473" width="8" style="2" customWidth="1"/>
    <col min="9474" max="9474" width="13.42578125" style="2" customWidth="1"/>
    <col min="9475" max="9475" width="4.28515625" style="2" customWidth="1"/>
    <col min="9476" max="9476" width="4" style="2" customWidth="1"/>
    <col min="9477" max="9477" width="17" style="2" customWidth="1"/>
    <col min="9478" max="9478" width="4.140625" style="2" customWidth="1"/>
    <col min="9479" max="9479" width="11.28515625" style="2" customWidth="1"/>
    <col min="9480" max="9480" width="11" style="2" customWidth="1"/>
    <col min="9481" max="9482" width="2.140625" style="2" customWidth="1"/>
    <col min="9483" max="9483" width="3.28515625" style="2" customWidth="1"/>
    <col min="9484" max="9485" width="0" style="2" hidden="1" customWidth="1"/>
    <col min="9486" max="9486" width="2.85546875" style="2" customWidth="1"/>
    <col min="9487" max="9487" width="3.28515625" style="2" customWidth="1"/>
    <col min="9488" max="9488" width="1.5703125" style="2" customWidth="1"/>
    <col min="9489" max="9489" width="0" style="2" hidden="1" customWidth="1"/>
    <col min="9490" max="9490" width="6.85546875" style="2" customWidth="1"/>
    <col min="9491" max="9491" width="0" style="2" hidden="1" customWidth="1"/>
    <col min="9492" max="9493" width="6.28515625" style="2" customWidth="1"/>
    <col min="9494" max="9494" width="13.85546875" style="2" customWidth="1"/>
    <col min="9495" max="9495" width="10.85546875" style="2" customWidth="1"/>
    <col min="9496" max="9496" width="14.7109375" style="2" customWidth="1"/>
    <col min="9497" max="9497" width="0" style="2" hidden="1" customWidth="1"/>
    <col min="9498" max="9498" width="13" style="2" customWidth="1"/>
    <col min="9499" max="9499" width="12.7109375" style="2" customWidth="1"/>
    <col min="9500" max="9500" width="13.140625" style="2" customWidth="1"/>
    <col min="9501" max="9501" width="14" style="2" customWidth="1"/>
    <col min="9502" max="9502" width="8.140625" style="2" customWidth="1"/>
    <col min="9503" max="9503" width="11.5703125" style="2" customWidth="1"/>
    <col min="9504" max="9504" width="24.7109375" style="2" customWidth="1"/>
    <col min="9505" max="9505" width="12" style="2" customWidth="1"/>
    <col min="9506" max="9507" width="0.28515625" style="2" customWidth="1"/>
    <col min="9508" max="9508" width="1.42578125" style="2" customWidth="1"/>
    <col min="9509" max="9509" width="0" style="2" hidden="1" customWidth="1"/>
    <col min="9510" max="9728" width="11.42578125" style="2"/>
    <col min="9729" max="9729" width="8" style="2" customWidth="1"/>
    <col min="9730" max="9730" width="13.42578125" style="2" customWidth="1"/>
    <col min="9731" max="9731" width="4.28515625" style="2" customWidth="1"/>
    <col min="9732" max="9732" width="4" style="2" customWidth="1"/>
    <col min="9733" max="9733" width="17" style="2" customWidth="1"/>
    <col min="9734" max="9734" width="4.140625" style="2" customWidth="1"/>
    <col min="9735" max="9735" width="11.28515625" style="2" customWidth="1"/>
    <col min="9736" max="9736" width="11" style="2" customWidth="1"/>
    <col min="9737" max="9738" width="2.140625" style="2" customWidth="1"/>
    <col min="9739" max="9739" width="3.28515625" style="2" customWidth="1"/>
    <col min="9740" max="9741" width="0" style="2" hidden="1" customWidth="1"/>
    <col min="9742" max="9742" width="2.85546875" style="2" customWidth="1"/>
    <col min="9743" max="9743" width="3.28515625" style="2" customWidth="1"/>
    <col min="9744" max="9744" width="1.5703125" style="2" customWidth="1"/>
    <col min="9745" max="9745" width="0" style="2" hidden="1" customWidth="1"/>
    <col min="9746" max="9746" width="6.85546875" style="2" customWidth="1"/>
    <col min="9747" max="9747" width="0" style="2" hidden="1" customWidth="1"/>
    <col min="9748" max="9749" width="6.28515625" style="2" customWidth="1"/>
    <col min="9750" max="9750" width="13.85546875" style="2" customWidth="1"/>
    <col min="9751" max="9751" width="10.85546875" style="2" customWidth="1"/>
    <col min="9752" max="9752" width="14.7109375" style="2" customWidth="1"/>
    <col min="9753" max="9753" width="0" style="2" hidden="1" customWidth="1"/>
    <col min="9754" max="9754" width="13" style="2" customWidth="1"/>
    <col min="9755" max="9755" width="12.7109375" style="2" customWidth="1"/>
    <col min="9756" max="9756" width="13.140625" style="2" customWidth="1"/>
    <col min="9757" max="9757" width="14" style="2" customWidth="1"/>
    <col min="9758" max="9758" width="8.140625" style="2" customWidth="1"/>
    <col min="9759" max="9759" width="11.5703125" style="2" customWidth="1"/>
    <col min="9760" max="9760" width="24.7109375" style="2" customWidth="1"/>
    <col min="9761" max="9761" width="12" style="2" customWidth="1"/>
    <col min="9762" max="9763" width="0.28515625" style="2" customWidth="1"/>
    <col min="9764" max="9764" width="1.42578125" style="2" customWidth="1"/>
    <col min="9765" max="9765" width="0" style="2" hidden="1" customWidth="1"/>
    <col min="9766" max="9984" width="11.42578125" style="2"/>
    <col min="9985" max="9985" width="8" style="2" customWidth="1"/>
    <col min="9986" max="9986" width="13.42578125" style="2" customWidth="1"/>
    <col min="9987" max="9987" width="4.28515625" style="2" customWidth="1"/>
    <col min="9988" max="9988" width="4" style="2" customWidth="1"/>
    <col min="9989" max="9989" width="17" style="2" customWidth="1"/>
    <col min="9990" max="9990" width="4.140625" style="2" customWidth="1"/>
    <col min="9991" max="9991" width="11.28515625" style="2" customWidth="1"/>
    <col min="9992" max="9992" width="11" style="2" customWidth="1"/>
    <col min="9993" max="9994" width="2.140625" style="2" customWidth="1"/>
    <col min="9995" max="9995" width="3.28515625" style="2" customWidth="1"/>
    <col min="9996" max="9997" width="0" style="2" hidden="1" customWidth="1"/>
    <col min="9998" max="9998" width="2.85546875" style="2" customWidth="1"/>
    <col min="9999" max="9999" width="3.28515625" style="2" customWidth="1"/>
    <col min="10000" max="10000" width="1.5703125" style="2" customWidth="1"/>
    <col min="10001" max="10001" width="0" style="2" hidden="1" customWidth="1"/>
    <col min="10002" max="10002" width="6.85546875" style="2" customWidth="1"/>
    <col min="10003" max="10003" width="0" style="2" hidden="1" customWidth="1"/>
    <col min="10004" max="10005" width="6.28515625" style="2" customWidth="1"/>
    <col min="10006" max="10006" width="13.85546875" style="2" customWidth="1"/>
    <col min="10007" max="10007" width="10.85546875" style="2" customWidth="1"/>
    <col min="10008" max="10008" width="14.7109375" style="2" customWidth="1"/>
    <col min="10009" max="10009" width="0" style="2" hidden="1" customWidth="1"/>
    <col min="10010" max="10010" width="13" style="2" customWidth="1"/>
    <col min="10011" max="10011" width="12.7109375" style="2" customWidth="1"/>
    <col min="10012" max="10012" width="13.140625" style="2" customWidth="1"/>
    <col min="10013" max="10013" width="14" style="2" customWidth="1"/>
    <col min="10014" max="10014" width="8.140625" style="2" customWidth="1"/>
    <col min="10015" max="10015" width="11.5703125" style="2" customWidth="1"/>
    <col min="10016" max="10016" width="24.7109375" style="2" customWidth="1"/>
    <col min="10017" max="10017" width="12" style="2" customWidth="1"/>
    <col min="10018" max="10019" width="0.28515625" style="2" customWidth="1"/>
    <col min="10020" max="10020" width="1.42578125" style="2" customWidth="1"/>
    <col min="10021" max="10021" width="0" style="2" hidden="1" customWidth="1"/>
    <col min="10022" max="10240" width="11.42578125" style="2"/>
    <col min="10241" max="10241" width="8" style="2" customWidth="1"/>
    <col min="10242" max="10242" width="13.42578125" style="2" customWidth="1"/>
    <col min="10243" max="10243" width="4.28515625" style="2" customWidth="1"/>
    <col min="10244" max="10244" width="4" style="2" customWidth="1"/>
    <col min="10245" max="10245" width="17" style="2" customWidth="1"/>
    <col min="10246" max="10246" width="4.140625" style="2" customWidth="1"/>
    <col min="10247" max="10247" width="11.28515625" style="2" customWidth="1"/>
    <col min="10248" max="10248" width="11" style="2" customWidth="1"/>
    <col min="10249" max="10250" width="2.140625" style="2" customWidth="1"/>
    <col min="10251" max="10251" width="3.28515625" style="2" customWidth="1"/>
    <col min="10252" max="10253" width="0" style="2" hidden="1" customWidth="1"/>
    <col min="10254" max="10254" width="2.85546875" style="2" customWidth="1"/>
    <col min="10255" max="10255" width="3.28515625" style="2" customWidth="1"/>
    <col min="10256" max="10256" width="1.5703125" style="2" customWidth="1"/>
    <col min="10257" max="10257" width="0" style="2" hidden="1" customWidth="1"/>
    <col min="10258" max="10258" width="6.85546875" style="2" customWidth="1"/>
    <col min="10259" max="10259" width="0" style="2" hidden="1" customWidth="1"/>
    <col min="10260" max="10261" width="6.28515625" style="2" customWidth="1"/>
    <col min="10262" max="10262" width="13.85546875" style="2" customWidth="1"/>
    <col min="10263" max="10263" width="10.85546875" style="2" customWidth="1"/>
    <col min="10264" max="10264" width="14.7109375" style="2" customWidth="1"/>
    <col min="10265" max="10265" width="0" style="2" hidden="1" customWidth="1"/>
    <col min="10266" max="10266" width="13" style="2" customWidth="1"/>
    <col min="10267" max="10267" width="12.7109375" style="2" customWidth="1"/>
    <col min="10268" max="10268" width="13.140625" style="2" customWidth="1"/>
    <col min="10269" max="10269" width="14" style="2" customWidth="1"/>
    <col min="10270" max="10270" width="8.140625" style="2" customWidth="1"/>
    <col min="10271" max="10271" width="11.5703125" style="2" customWidth="1"/>
    <col min="10272" max="10272" width="24.7109375" style="2" customWidth="1"/>
    <col min="10273" max="10273" width="12" style="2" customWidth="1"/>
    <col min="10274" max="10275" width="0.28515625" style="2" customWidth="1"/>
    <col min="10276" max="10276" width="1.42578125" style="2" customWidth="1"/>
    <col min="10277" max="10277" width="0" style="2" hidden="1" customWidth="1"/>
    <col min="10278" max="10496" width="11.42578125" style="2"/>
    <col min="10497" max="10497" width="8" style="2" customWidth="1"/>
    <col min="10498" max="10498" width="13.42578125" style="2" customWidth="1"/>
    <col min="10499" max="10499" width="4.28515625" style="2" customWidth="1"/>
    <col min="10500" max="10500" width="4" style="2" customWidth="1"/>
    <col min="10501" max="10501" width="17" style="2" customWidth="1"/>
    <col min="10502" max="10502" width="4.140625" style="2" customWidth="1"/>
    <col min="10503" max="10503" width="11.28515625" style="2" customWidth="1"/>
    <col min="10504" max="10504" width="11" style="2" customWidth="1"/>
    <col min="10505" max="10506" width="2.140625" style="2" customWidth="1"/>
    <col min="10507" max="10507" width="3.28515625" style="2" customWidth="1"/>
    <col min="10508" max="10509" width="0" style="2" hidden="1" customWidth="1"/>
    <col min="10510" max="10510" width="2.85546875" style="2" customWidth="1"/>
    <col min="10511" max="10511" width="3.28515625" style="2" customWidth="1"/>
    <col min="10512" max="10512" width="1.5703125" style="2" customWidth="1"/>
    <col min="10513" max="10513" width="0" style="2" hidden="1" customWidth="1"/>
    <col min="10514" max="10514" width="6.85546875" style="2" customWidth="1"/>
    <col min="10515" max="10515" width="0" style="2" hidden="1" customWidth="1"/>
    <col min="10516" max="10517" width="6.28515625" style="2" customWidth="1"/>
    <col min="10518" max="10518" width="13.85546875" style="2" customWidth="1"/>
    <col min="10519" max="10519" width="10.85546875" style="2" customWidth="1"/>
    <col min="10520" max="10520" width="14.7109375" style="2" customWidth="1"/>
    <col min="10521" max="10521" width="0" style="2" hidden="1" customWidth="1"/>
    <col min="10522" max="10522" width="13" style="2" customWidth="1"/>
    <col min="10523" max="10523" width="12.7109375" style="2" customWidth="1"/>
    <col min="10524" max="10524" width="13.140625" style="2" customWidth="1"/>
    <col min="10525" max="10525" width="14" style="2" customWidth="1"/>
    <col min="10526" max="10526" width="8.140625" style="2" customWidth="1"/>
    <col min="10527" max="10527" width="11.5703125" style="2" customWidth="1"/>
    <col min="10528" max="10528" width="24.7109375" style="2" customWidth="1"/>
    <col min="10529" max="10529" width="12" style="2" customWidth="1"/>
    <col min="10530" max="10531" width="0.28515625" style="2" customWidth="1"/>
    <col min="10532" max="10532" width="1.42578125" style="2" customWidth="1"/>
    <col min="10533" max="10533" width="0" style="2" hidden="1" customWidth="1"/>
    <col min="10534" max="10752" width="11.42578125" style="2"/>
    <col min="10753" max="10753" width="8" style="2" customWidth="1"/>
    <col min="10754" max="10754" width="13.42578125" style="2" customWidth="1"/>
    <col min="10755" max="10755" width="4.28515625" style="2" customWidth="1"/>
    <col min="10756" max="10756" width="4" style="2" customWidth="1"/>
    <col min="10757" max="10757" width="17" style="2" customWidth="1"/>
    <col min="10758" max="10758" width="4.140625" style="2" customWidth="1"/>
    <col min="10759" max="10759" width="11.28515625" style="2" customWidth="1"/>
    <col min="10760" max="10760" width="11" style="2" customWidth="1"/>
    <col min="10761" max="10762" width="2.140625" style="2" customWidth="1"/>
    <col min="10763" max="10763" width="3.28515625" style="2" customWidth="1"/>
    <col min="10764" max="10765" width="0" style="2" hidden="1" customWidth="1"/>
    <col min="10766" max="10766" width="2.85546875" style="2" customWidth="1"/>
    <col min="10767" max="10767" width="3.28515625" style="2" customWidth="1"/>
    <col min="10768" max="10768" width="1.5703125" style="2" customWidth="1"/>
    <col min="10769" max="10769" width="0" style="2" hidden="1" customWidth="1"/>
    <col min="10770" max="10770" width="6.85546875" style="2" customWidth="1"/>
    <col min="10771" max="10771" width="0" style="2" hidden="1" customWidth="1"/>
    <col min="10772" max="10773" width="6.28515625" style="2" customWidth="1"/>
    <col min="10774" max="10774" width="13.85546875" style="2" customWidth="1"/>
    <col min="10775" max="10775" width="10.85546875" style="2" customWidth="1"/>
    <col min="10776" max="10776" width="14.7109375" style="2" customWidth="1"/>
    <col min="10777" max="10777" width="0" style="2" hidden="1" customWidth="1"/>
    <col min="10778" max="10778" width="13" style="2" customWidth="1"/>
    <col min="10779" max="10779" width="12.7109375" style="2" customWidth="1"/>
    <col min="10780" max="10780" width="13.140625" style="2" customWidth="1"/>
    <col min="10781" max="10781" width="14" style="2" customWidth="1"/>
    <col min="10782" max="10782" width="8.140625" style="2" customWidth="1"/>
    <col min="10783" max="10783" width="11.5703125" style="2" customWidth="1"/>
    <col min="10784" max="10784" width="24.7109375" style="2" customWidth="1"/>
    <col min="10785" max="10785" width="12" style="2" customWidth="1"/>
    <col min="10786" max="10787" width="0.28515625" style="2" customWidth="1"/>
    <col min="10788" max="10788" width="1.42578125" style="2" customWidth="1"/>
    <col min="10789" max="10789" width="0" style="2" hidden="1" customWidth="1"/>
    <col min="10790" max="11008" width="11.42578125" style="2"/>
    <col min="11009" max="11009" width="8" style="2" customWidth="1"/>
    <col min="11010" max="11010" width="13.42578125" style="2" customWidth="1"/>
    <col min="11011" max="11011" width="4.28515625" style="2" customWidth="1"/>
    <col min="11012" max="11012" width="4" style="2" customWidth="1"/>
    <col min="11013" max="11013" width="17" style="2" customWidth="1"/>
    <col min="11014" max="11014" width="4.140625" style="2" customWidth="1"/>
    <col min="11015" max="11015" width="11.28515625" style="2" customWidth="1"/>
    <col min="11016" max="11016" width="11" style="2" customWidth="1"/>
    <col min="11017" max="11018" width="2.140625" style="2" customWidth="1"/>
    <col min="11019" max="11019" width="3.28515625" style="2" customWidth="1"/>
    <col min="11020" max="11021" width="0" style="2" hidden="1" customWidth="1"/>
    <col min="11022" max="11022" width="2.85546875" style="2" customWidth="1"/>
    <col min="11023" max="11023" width="3.28515625" style="2" customWidth="1"/>
    <col min="11024" max="11024" width="1.5703125" style="2" customWidth="1"/>
    <col min="11025" max="11025" width="0" style="2" hidden="1" customWidth="1"/>
    <col min="11026" max="11026" width="6.85546875" style="2" customWidth="1"/>
    <col min="11027" max="11027" width="0" style="2" hidden="1" customWidth="1"/>
    <col min="11028" max="11029" width="6.28515625" style="2" customWidth="1"/>
    <col min="11030" max="11030" width="13.85546875" style="2" customWidth="1"/>
    <col min="11031" max="11031" width="10.85546875" style="2" customWidth="1"/>
    <col min="11032" max="11032" width="14.7109375" style="2" customWidth="1"/>
    <col min="11033" max="11033" width="0" style="2" hidden="1" customWidth="1"/>
    <col min="11034" max="11034" width="13" style="2" customWidth="1"/>
    <col min="11035" max="11035" width="12.7109375" style="2" customWidth="1"/>
    <col min="11036" max="11036" width="13.140625" style="2" customWidth="1"/>
    <col min="11037" max="11037" width="14" style="2" customWidth="1"/>
    <col min="11038" max="11038" width="8.140625" style="2" customWidth="1"/>
    <col min="11039" max="11039" width="11.5703125" style="2" customWidth="1"/>
    <col min="11040" max="11040" width="24.7109375" style="2" customWidth="1"/>
    <col min="11041" max="11041" width="12" style="2" customWidth="1"/>
    <col min="11042" max="11043" width="0.28515625" style="2" customWidth="1"/>
    <col min="11044" max="11044" width="1.42578125" style="2" customWidth="1"/>
    <col min="11045" max="11045" width="0" style="2" hidden="1" customWidth="1"/>
    <col min="11046" max="11264" width="11.42578125" style="2"/>
    <col min="11265" max="11265" width="8" style="2" customWidth="1"/>
    <col min="11266" max="11266" width="13.42578125" style="2" customWidth="1"/>
    <col min="11267" max="11267" width="4.28515625" style="2" customWidth="1"/>
    <col min="11268" max="11268" width="4" style="2" customWidth="1"/>
    <col min="11269" max="11269" width="17" style="2" customWidth="1"/>
    <col min="11270" max="11270" width="4.140625" style="2" customWidth="1"/>
    <col min="11271" max="11271" width="11.28515625" style="2" customWidth="1"/>
    <col min="11272" max="11272" width="11" style="2" customWidth="1"/>
    <col min="11273" max="11274" width="2.140625" style="2" customWidth="1"/>
    <col min="11275" max="11275" width="3.28515625" style="2" customWidth="1"/>
    <col min="11276" max="11277" width="0" style="2" hidden="1" customWidth="1"/>
    <col min="11278" max="11278" width="2.85546875" style="2" customWidth="1"/>
    <col min="11279" max="11279" width="3.28515625" style="2" customWidth="1"/>
    <col min="11280" max="11280" width="1.5703125" style="2" customWidth="1"/>
    <col min="11281" max="11281" width="0" style="2" hidden="1" customWidth="1"/>
    <col min="11282" max="11282" width="6.85546875" style="2" customWidth="1"/>
    <col min="11283" max="11283" width="0" style="2" hidden="1" customWidth="1"/>
    <col min="11284" max="11285" width="6.28515625" style="2" customWidth="1"/>
    <col min="11286" max="11286" width="13.85546875" style="2" customWidth="1"/>
    <col min="11287" max="11287" width="10.85546875" style="2" customWidth="1"/>
    <col min="11288" max="11288" width="14.7109375" style="2" customWidth="1"/>
    <col min="11289" max="11289" width="0" style="2" hidden="1" customWidth="1"/>
    <col min="11290" max="11290" width="13" style="2" customWidth="1"/>
    <col min="11291" max="11291" width="12.7109375" style="2" customWidth="1"/>
    <col min="11292" max="11292" width="13.140625" style="2" customWidth="1"/>
    <col min="11293" max="11293" width="14" style="2" customWidth="1"/>
    <col min="11294" max="11294" width="8.140625" style="2" customWidth="1"/>
    <col min="11295" max="11295" width="11.5703125" style="2" customWidth="1"/>
    <col min="11296" max="11296" width="24.7109375" style="2" customWidth="1"/>
    <col min="11297" max="11297" width="12" style="2" customWidth="1"/>
    <col min="11298" max="11299" width="0.28515625" style="2" customWidth="1"/>
    <col min="11300" max="11300" width="1.42578125" style="2" customWidth="1"/>
    <col min="11301" max="11301" width="0" style="2" hidden="1" customWidth="1"/>
    <col min="11302" max="11520" width="11.42578125" style="2"/>
    <col min="11521" max="11521" width="8" style="2" customWidth="1"/>
    <col min="11522" max="11522" width="13.42578125" style="2" customWidth="1"/>
    <col min="11523" max="11523" width="4.28515625" style="2" customWidth="1"/>
    <col min="11524" max="11524" width="4" style="2" customWidth="1"/>
    <col min="11525" max="11525" width="17" style="2" customWidth="1"/>
    <col min="11526" max="11526" width="4.140625" style="2" customWidth="1"/>
    <col min="11527" max="11527" width="11.28515625" style="2" customWidth="1"/>
    <col min="11528" max="11528" width="11" style="2" customWidth="1"/>
    <col min="11529" max="11530" width="2.140625" style="2" customWidth="1"/>
    <col min="11531" max="11531" width="3.28515625" style="2" customWidth="1"/>
    <col min="11532" max="11533" width="0" style="2" hidden="1" customWidth="1"/>
    <col min="11534" max="11534" width="2.85546875" style="2" customWidth="1"/>
    <col min="11535" max="11535" width="3.28515625" style="2" customWidth="1"/>
    <col min="11536" max="11536" width="1.5703125" style="2" customWidth="1"/>
    <col min="11537" max="11537" width="0" style="2" hidden="1" customWidth="1"/>
    <col min="11538" max="11538" width="6.85546875" style="2" customWidth="1"/>
    <col min="11539" max="11539" width="0" style="2" hidden="1" customWidth="1"/>
    <col min="11540" max="11541" width="6.28515625" style="2" customWidth="1"/>
    <col min="11542" max="11542" width="13.85546875" style="2" customWidth="1"/>
    <col min="11543" max="11543" width="10.85546875" style="2" customWidth="1"/>
    <col min="11544" max="11544" width="14.7109375" style="2" customWidth="1"/>
    <col min="11545" max="11545" width="0" style="2" hidden="1" customWidth="1"/>
    <col min="11546" max="11546" width="13" style="2" customWidth="1"/>
    <col min="11547" max="11547" width="12.7109375" style="2" customWidth="1"/>
    <col min="11548" max="11548" width="13.140625" style="2" customWidth="1"/>
    <col min="11549" max="11549" width="14" style="2" customWidth="1"/>
    <col min="11550" max="11550" width="8.140625" style="2" customWidth="1"/>
    <col min="11551" max="11551" width="11.5703125" style="2" customWidth="1"/>
    <col min="11552" max="11552" width="24.7109375" style="2" customWidth="1"/>
    <col min="11553" max="11553" width="12" style="2" customWidth="1"/>
    <col min="11554" max="11555" width="0.28515625" style="2" customWidth="1"/>
    <col min="11556" max="11556" width="1.42578125" style="2" customWidth="1"/>
    <col min="11557" max="11557" width="0" style="2" hidden="1" customWidth="1"/>
    <col min="11558" max="11776" width="11.42578125" style="2"/>
    <col min="11777" max="11777" width="8" style="2" customWidth="1"/>
    <col min="11778" max="11778" width="13.42578125" style="2" customWidth="1"/>
    <col min="11779" max="11779" width="4.28515625" style="2" customWidth="1"/>
    <col min="11780" max="11780" width="4" style="2" customWidth="1"/>
    <col min="11781" max="11781" width="17" style="2" customWidth="1"/>
    <col min="11782" max="11782" width="4.140625" style="2" customWidth="1"/>
    <col min="11783" max="11783" width="11.28515625" style="2" customWidth="1"/>
    <col min="11784" max="11784" width="11" style="2" customWidth="1"/>
    <col min="11785" max="11786" width="2.140625" style="2" customWidth="1"/>
    <col min="11787" max="11787" width="3.28515625" style="2" customWidth="1"/>
    <col min="11788" max="11789" width="0" style="2" hidden="1" customWidth="1"/>
    <col min="11790" max="11790" width="2.85546875" style="2" customWidth="1"/>
    <col min="11791" max="11791" width="3.28515625" style="2" customWidth="1"/>
    <col min="11792" max="11792" width="1.5703125" style="2" customWidth="1"/>
    <col min="11793" max="11793" width="0" style="2" hidden="1" customWidth="1"/>
    <col min="11794" max="11794" width="6.85546875" style="2" customWidth="1"/>
    <col min="11795" max="11795" width="0" style="2" hidden="1" customWidth="1"/>
    <col min="11796" max="11797" width="6.28515625" style="2" customWidth="1"/>
    <col min="11798" max="11798" width="13.85546875" style="2" customWidth="1"/>
    <col min="11799" max="11799" width="10.85546875" style="2" customWidth="1"/>
    <col min="11800" max="11800" width="14.7109375" style="2" customWidth="1"/>
    <col min="11801" max="11801" width="0" style="2" hidden="1" customWidth="1"/>
    <col min="11802" max="11802" width="13" style="2" customWidth="1"/>
    <col min="11803" max="11803" width="12.7109375" style="2" customWidth="1"/>
    <col min="11804" max="11804" width="13.140625" style="2" customWidth="1"/>
    <col min="11805" max="11805" width="14" style="2" customWidth="1"/>
    <col min="11806" max="11806" width="8.140625" style="2" customWidth="1"/>
    <col min="11807" max="11807" width="11.5703125" style="2" customWidth="1"/>
    <col min="11808" max="11808" width="24.7109375" style="2" customWidth="1"/>
    <col min="11809" max="11809" width="12" style="2" customWidth="1"/>
    <col min="11810" max="11811" width="0.28515625" style="2" customWidth="1"/>
    <col min="11812" max="11812" width="1.42578125" style="2" customWidth="1"/>
    <col min="11813" max="11813" width="0" style="2" hidden="1" customWidth="1"/>
    <col min="11814" max="12032" width="11.42578125" style="2"/>
    <col min="12033" max="12033" width="8" style="2" customWidth="1"/>
    <col min="12034" max="12034" width="13.42578125" style="2" customWidth="1"/>
    <col min="12035" max="12035" width="4.28515625" style="2" customWidth="1"/>
    <col min="12036" max="12036" width="4" style="2" customWidth="1"/>
    <col min="12037" max="12037" width="17" style="2" customWidth="1"/>
    <col min="12038" max="12038" width="4.140625" style="2" customWidth="1"/>
    <col min="12039" max="12039" width="11.28515625" style="2" customWidth="1"/>
    <col min="12040" max="12040" width="11" style="2" customWidth="1"/>
    <col min="12041" max="12042" width="2.140625" style="2" customWidth="1"/>
    <col min="12043" max="12043" width="3.28515625" style="2" customWidth="1"/>
    <col min="12044" max="12045" width="0" style="2" hidden="1" customWidth="1"/>
    <col min="12046" max="12046" width="2.85546875" style="2" customWidth="1"/>
    <col min="12047" max="12047" width="3.28515625" style="2" customWidth="1"/>
    <col min="12048" max="12048" width="1.5703125" style="2" customWidth="1"/>
    <col min="12049" max="12049" width="0" style="2" hidden="1" customWidth="1"/>
    <col min="12050" max="12050" width="6.85546875" style="2" customWidth="1"/>
    <col min="12051" max="12051" width="0" style="2" hidden="1" customWidth="1"/>
    <col min="12052" max="12053" width="6.28515625" style="2" customWidth="1"/>
    <col min="12054" max="12054" width="13.85546875" style="2" customWidth="1"/>
    <col min="12055" max="12055" width="10.85546875" style="2" customWidth="1"/>
    <col min="12056" max="12056" width="14.7109375" style="2" customWidth="1"/>
    <col min="12057" max="12057" width="0" style="2" hidden="1" customWidth="1"/>
    <col min="12058" max="12058" width="13" style="2" customWidth="1"/>
    <col min="12059" max="12059" width="12.7109375" style="2" customWidth="1"/>
    <col min="12060" max="12060" width="13.140625" style="2" customWidth="1"/>
    <col min="12061" max="12061" width="14" style="2" customWidth="1"/>
    <col min="12062" max="12062" width="8.140625" style="2" customWidth="1"/>
    <col min="12063" max="12063" width="11.5703125" style="2" customWidth="1"/>
    <col min="12064" max="12064" width="24.7109375" style="2" customWidth="1"/>
    <col min="12065" max="12065" width="12" style="2" customWidth="1"/>
    <col min="12066" max="12067" width="0.28515625" style="2" customWidth="1"/>
    <col min="12068" max="12068" width="1.42578125" style="2" customWidth="1"/>
    <col min="12069" max="12069" width="0" style="2" hidden="1" customWidth="1"/>
    <col min="12070" max="12288" width="11.42578125" style="2"/>
    <col min="12289" max="12289" width="8" style="2" customWidth="1"/>
    <col min="12290" max="12290" width="13.42578125" style="2" customWidth="1"/>
    <col min="12291" max="12291" width="4.28515625" style="2" customWidth="1"/>
    <col min="12292" max="12292" width="4" style="2" customWidth="1"/>
    <col min="12293" max="12293" width="17" style="2" customWidth="1"/>
    <col min="12294" max="12294" width="4.140625" style="2" customWidth="1"/>
    <col min="12295" max="12295" width="11.28515625" style="2" customWidth="1"/>
    <col min="12296" max="12296" width="11" style="2" customWidth="1"/>
    <col min="12297" max="12298" width="2.140625" style="2" customWidth="1"/>
    <col min="12299" max="12299" width="3.28515625" style="2" customWidth="1"/>
    <col min="12300" max="12301" width="0" style="2" hidden="1" customWidth="1"/>
    <col min="12302" max="12302" width="2.85546875" style="2" customWidth="1"/>
    <col min="12303" max="12303" width="3.28515625" style="2" customWidth="1"/>
    <col min="12304" max="12304" width="1.5703125" style="2" customWidth="1"/>
    <col min="12305" max="12305" width="0" style="2" hidden="1" customWidth="1"/>
    <col min="12306" max="12306" width="6.85546875" style="2" customWidth="1"/>
    <col min="12307" max="12307" width="0" style="2" hidden="1" customWidth="1"/>
    <col min="12308" max="12309" width="6.28515625" style="2" customWidth="1"/>
    <col min="12310" max="12310" width="13.85546875" style="2" customWidth="1"/>
    <col min="12311" max="12311" width="10.85546875" style="2" customWidth="1"/>
    <col min="12312" max="12312" width="14.7109375" style="2" customWidth="1"/>
    <col min="12313" max="12313" width="0" style="2" hidden="1" customWidth="1"/>
    <col min="12314" max="12314" width="13" style="2" customWidth="1"/>
    <col min="12315" max="12315" width="12.7109375" style="2" customWidth="1"/>
    <col min="12316" max="12316" width="13.140625" style="2" customWidth="1"/>
    <col min="12317" max="12317" width="14" style="2" customWidth="1"/>
    <col min="12318" max="12318" width="8.140625" style="2" customWidth="1"/>
    <col min="12319" max="12319" width="11.5703125" style="2" customWidth="1"/>
    <col min="12320" max="12320" width="24.7109375" style="2" customWidth="1"/>
    <col min="12321" max="12321" width="12" style="2" customWidth="1"/>
    <col min="12322" max="12323" width="0.28515625" style="2" customWidth="1"/>
    <col min="12324" max="12324" width="1.42578125" style="2" customWidth="1"/>
    <col min="12325" max="12325" width="0" style="2" hidden="1" customWidth="1"/>
    <col min="12326" max="12544" width="11.42578125" style="2"/>
    <col min="12545" max="12545" width="8" style="2" customWidth="1"/>
    <col min="12546" max="12546" width="13.42578125" style="2" customWidth="1"/>
    <col min="12547" max="12547" width="4.28515625" style="2" customWidth="1"/>
    <col min="12548" max="12548" width="4" style="2" customWidth="1"/>
    <col min="12549" max="12549" width="17" style="2" customWidth="1"/>
    <col min="12550" max="12550" width="4.140625" style="2" customWidth="1"/>
    <col min="12551" max="12551" width="11.28515625" style="2" customWidth="1"/>
    <col min="12552" max="12552" width="11" style="2" customWidth="1"/>
    <col min="12553" max="12554" width="2.140625" style="2" customWidth="1"/>
    <col min="12555" max="12555" width="3.28515625" style="2" customWidth="1"/>
    <col min="12556" max="12557" width="0" style="2" hidden="1" customWidth="1"/>
    <col min="12558" max="12558" width="2.85546875" style="2" customWidth="1"/>
    <col min="12559" max="12559" width="3.28515625" style="2" customWidth="1"/>
    <col min="12560" max="12560" width="1.5703125" style="2" customWidth="1"/>
    <col min="12561" max="12561" width="0" style="2" hidden="1" customWidth="1"/>
    <col min="12562" max="12562" width="6.85546875" style="2" customWidth="1"/>
    <col min="12563" max="12563" width="0" style="2" hidden="1" customWidth="1"/>
    <col min="12564" max="12565" width="6.28515625" style="2" customWidth="1"/>
    <col min="12566" max="12566" width="13.85546875" style="2" customWidth="1"/>
    <col min="12567" max="12567" width="10.85546875" style="2" customWidth="1"/>
    <col min="12568" max="12568" width="14.7109375" style="2" customWidth="1"/>
    <col min="12569" max="12569" width="0" style="2" hidden="1" customWidth="1"/>
    <col min="12570" max="12570" width="13" style="2" customWidth="1"/>
    <col min="12571" max="12571" width="12.7109375" style="2" customWidth="1"/>
    <col min="12572" max="12572" width="13.140625" style="2" customWidth="1"/>
    <col min="12573" max="12573" width="14" style="2" customWidth="1"/>
    <col min="12574" max="12574" width="8.140625" style="2" customWidth="1"/>
    <col min="12575" max="12575" width="11.5703125" style="2" customWidth="1"/>
    <col min="12576" max="12576" width="24.7109375" style="2" customWidth="1"/>
    <col min="12577" max="12577" width="12" style="2" customWidth="1"/>
    <col min="12578" max="12579" width="0.28515625" style="2" customWidth="1"/>
    <col min="12580" max="12580" width="1.42578125" style="2" customWidth="1"/>
    <col min="12581" max="12581" width="0" style="2" hidden="1" customWidth="1"/>
    <col min="12582" max="12800" width="11.42578125" style="2"/>
    <col min="12801" max="12801" width="8" style="2" customWidth="1"/>
    <col min="12802" max="12802" width="13.42578125" style="2" customWidth="1"/>
    <col min="12803" max="12803" width="4.28515625" style="2" customWidth="1"/>
    <col min="12804" max="12804" width="4" style="2" customWidth="1"/>
    <col min="12805" max="12805" width="17" style="2" customWidth="1"/>
    <col min="12806" max="12806" width="4.140625" style="2" customWidth="1"/>
    <col min="12807" max="12807" width="11.28515625" style="2" customWidth="1"/>
    <col min="12808" max="12808" width="11" style="2" customWidth="1"/>
    <col min="12809" max="12810" width="2.140625" style="2" customWidth="1"/>
    <col min="12811" max="12811" width="3.28515625" style="2" customWidth="1"/>
    <col min="12812" max="12813" width="0" style="2" hidden="1" customWidth="1"/>
    <col min="12814" max="12814" width="2.85546875" style="2" customWidth="1"/>
    <col min="12815" max="12815" width="3.28515625" style="2" customWidth="1"/>
    <col min="12816" max="12816" width="1.5703125" style="2" customWidth="1"/>
    <col min="12817" max="12817" width="0" style="2" hidden="1" customWidth="1"/>
    <col min="12818" max="12818" width="6.85546875" style="2" customWidth="1"/>
    <col min="12819" max="12819" width="0" style="2" hidden="1" customWidth="1"/>
    <col min="12820" max="12821" width="6.28515625" style="2" customWidth="1"/>
    <col min="12822" max="12822" width="13.85546875" style="2" customWidth="1"/>
    <col min="12823" max="12823" width="10.85546875" style="2" customWidth="1"/>
    <col min="12824" max="12824" width="14.7109375" style="2" customWidth="1"/>
    <col min="12825" max="12825" width="0" style="2" hidden="1" customWidth="1"/>
    <col min="12826" max="12826" width="13" style="2" customWidth="1"/>
    <col min="12827" max="12827" width="12.7109375" style="2" customWidth="1"/>
    <col min="12828" max="12828" width="13.140625" style="2" customWidth="1"/>
    <col min="12829" max="12829" width="14" style="2" customWidth="1"/>
    <col min="12830" max="12830" width="8.140625" style="2" customWidth="1"/>
    <col min="12831" max="12831" width="11.5703125" style="2" customWidth="1"/>
    <col min="12832" max="12832" width="24.7109375" style="2" customWidth="1"/>
    <col min="12833" max="12833" width="12" style="2" customWidth="1"/>
    <col min="12834" max="12835" width="0.28515625" style="2" customWidth="1"/>
    <col min="12836" max="12836" width="1.42578125" style="2" customWidth="1"/>
    <col min="12837" max="12837" width="0" style="2" hidden="1" customWidth="1"/>
    <col min="12838" max="13056" width="11.42578125" style="2"/>
    <col min="13057" max="13057" width="8" style="2" customWidth="1"/>
    <col min="13058" max="13058" width="13.42578125" style="2" customWidth="1"/>
    <col min="13059" max="13059" width="4.28515625" style="2" customWidth="1"/>
    <col min="13060" max="13060" width="4" style="2" customWidth="1"/>
    <col min="13061" max="13061" width="17" style="2" customWidth="1"/>
    <col min="13062" max="13062" width="4.140625" style="2" customWidth="1"/>
    <col min="13063" max="13063" width="11.28515625" style="2" customWidth="1"/>
    <col min="13064" max="13064" width="11" style="2" customWidth="1"/>
    <col min="13065" max="13066" width="2.140625" style="2" customWidth="1"/>
    <col min="13067" max="13067" width="3.28515625" style="2" customWidth="1"/>
    <col min="13068" max="13069" width="0" style="2" hidden="1" customWidth="1"/>
    <col min="13070" max="13070" width="2.85546875" style="2" customWidth="1"/>
    <col min="13071" max="13071" width="3.28515625" style="2" customWidth="1"/>
    <col min="13072" max="13072" width="1.5703125" style="2" customWidth="1"/>
    <col min="13073" max="13073" width="0" style="2" hidden="1" customWidth="1"/>
    <col min="13074" max="13074" width="6.85546875" style="2" customWidth="1"/>
    <col min="13075" max="13075" width="0" style="2" hidden="1" customWidth="1"/>
    <col min="13076" max="13077" width="6.28515625" style="2" customWidth="1"/>
    <col min="13078" max="13078" width="13.85546875" style="2" customWidth="1"/>
    <col min="13079" max="13079" width="10.85546875" style="2" customWidth="1"/>
    <col min="13080" max="13080" width="14.7109375" style="2" customWidth="1"/>
    <col min="13081" max="13081" width="0" style="2" hidden="1" customWidth="1"/>
    <col min="13082" max="13082" width="13" style="2" customWidth="1"/>
    <col min="13083" max="13083" width="12.7109375" style="2" customWidth="1"/>
    <col min="13084" max="13084" width="13.140625" style="2" customWidth="1"/>
    <col min="13085" max="13085" width="14" style="2" customWidth="1"/>
    <col min="13086" max="13086" width="8.140625" style="2" customWidth="1"/>
    <col min="13087" max="13087" width="11.5703125" style="2" customWidth="1"/>
    <col min="13088" max="13088" width="24.7109375" style="2" customWidth="1"/>
    <col min="13089" max="13089" width="12" style="2" customWidth="1"/>
    <col min="13090" max="13091" width="0.28515625" style="2" customWidth="1"/>
    <col min="13092" max="13092" width="1.42578125" style="2" customWidth="1"/>
    <col min="13093" max="13093" width="0" style="2" hidden="1" customWidth="1"/>
    <col min="13094" max="13312" width="11.42578125" style="2"/>
    <col min="13313" max="13313" width="8" style="2" customWidth="1"/>
    <col min="13314" max="13314" width="13.42578125" style="2" customWidth="1"/>
    <col min="13315" max="13315" width="4.28515625" style="2" customWidth="1"/>
    <col min="13316" max="13316" width="4" style="2" customWidth="1"/>
    <col min="13317" max="13317" width="17" style="2" customWidth="1"/>
    <col min="13318" max="13318" width="4.140625" style="2" customWidth="1"/>
    <col min="13319" max="13319" width="11.28515625" style="2" customWidth="1"/>
    <col min="13320" max="13320" width="11" style="2" customWidth="1"/>
    <col min="13321" max="13322" width="2.140625" style="2" customWidth="1"/>
    <col min="13323" max="13323" width="3.28515625" style="2" customWidth="1"/>
    <col min="13324" max="13325" width="0" style="2" hidden="1" customWidth="1"/>
    <col min="13326" max="13326" width="2.85546875" style="2" customWidth="1"/>
    <col min="13327" max="13327" width="3.28515625" style="2" customWidth="1"/>
    <col min="13328" max="13328" width="1.5703125" style="2" customWidth="1"/>
    <col min="13329" max="13329" width="0" style="2" hidden="1" customWidth="1"/>
    <col min="13330" max="13330" width="6.85546875" style="2" customWidth="1"/>
    <col min="13331" max="13331" width="0" style="2" hidden="1" customWidth="1"/>
    <col min="13332" max="13333" width="6.28515625" style="2" customWidth="1"/>
    <col min="13334" max="13334" width="13.85546875" style="2" customWidth="1"/>
    <col min="13335" max="13335" width="10.85546875" style="2" customWidth="1"/>
    <col min="13336" max="13336" width="14.7109375" style="2" customWidth="1"/>
    <col min="13337" max="13337" width="0" style="2" hidden="1" customWidth="1"/>
    <col min="13338" max="13338" width="13" style="2" customWidth="1"/>
    <col min="13339" max="13339" width="12.7109375" style="2" customWidth="1"/>
    <col min="13340" max="13340" width="13.140625" style="2" customWidth="1"/>
    <col min="13341" max="13341" width="14" style="2" customWidth="1"/>
    <col min="13342" max="13342" width="8.140625" style="2" customWidth="1"/>
    <col min="13343" max="13343" width="11.5703125" style="2" customWidth="1"/>
    <col min="13344" max="13344" width="24.7109375" style="2" customWidth="1"/>
    <col min="13345" max="13345" width="12" style="2" customWidth="1"/>
    <col min="13346" max="13347" width="0.28515625" style="2" customWidth="1"/>
    <col min="13348" max="13348" width="1.42578125" style="2" customWidth="1"/>
    <col min="13349" max="13349" width="0" style="2" hidden="1" customWidth="1"/>
    <col min="13350" max="13568" width="11.42578125" style="2"/>
    <col min="13569" max="13569" width="8" style="2" customWidth="1"/>
    <col min="13570" max="13570" width="13.42578125" style="2" customWidth="1"/>
    <col min="13571" max="13571" width="4.28515625" style="2" customWidth="1"/>
    <col min="13572" max="13572" width="4" style="2" customWidth="1"/>
    <col min="13573" max="13573" width="17" style="2" customWidth="1"/>
    <col min="13574" max="13574" width="4.140625" style="2" customWidth="1"/>
    <col min="13575" max="13575" width="11.28515625" style="2" customWidth="1"/>
    <col min="13576" max="13576" width="11" style="2" customWidth="1"/>
    <col min="13577" max="13578" width="2.140625" style="2" customWidth="1"/>
    <col min="13579" max="13579" width="3.28515625" style="2" customWidth="1"/>
    <col min="13580" max="13581" width="0" style="2" hidden="1" customWidth="1"/>
    <col min="13582" max="13582" width="2.85546875" style="2" customWidth="1"/>
    <col min="13583" max="13583" width="3.28515625" style="2" customWidth="1"/>
    <col min="13584" max="13584" width="1.5703125" style="2" customWidth="1"/>
    <col min="13585" max="13585" width="0" style="2" hidden="1" customWidth="1"/>
    <col min="13586" max="13586" width="6.85546875" style="2" customWidth="1"/>
    <col min="13587" max="13587" width="0" style="2" hidden="1" customWidth="1"/>
    <col min="13588" max="13589" width="6.28515625" style="2" customWidth="1"/>
    <col min="13590" max="13590" width="13.85546875" style="2" customWidth="1"/>
    <col min="13591" max="13591" width="10.85546875" style="2" customWidth="1"/>
    <col min="13592" max="13592" width="14.7109375" style="2" customWidth="1"/>
    <col min="13593" max="13593" width="0" style="2" hidden="1" customWidth="1"/>
    <col min="13594" max="13594" width="13" style="2" customWidth="1"/>
    <col min="13595" max="13595" width="12.7109375" style="2" customWidth="1"/>
    <col min="13596" max="13596" width="13.140625" style="2" customWidth="1"/>
    <col min="13597" max="13597" width="14" style="2" customWidth="1"/>
    <col min="13598" max="13598" width="8.140625" style="2" customWidth="1"/>
    <col min="13599" max="13599" width="11.5703125" style="2" customWidth="1"/>
    <col min="13600" max="13600" width="24.7109375" style="2" customWidth="1"/>
    <col min="13601" max="13601" width="12" style="2" customWidth="1"/>
    <col min="13602" max="13603" width="0.28515625" style="2" customWidth="1"/>
    <col min="13604" max="13604" width="1.42578125" style="2" customWidth="1"/>
    <col min="13605" max="13605" width="0" style="2" hidden="1" customWidth="1"/>
    <col min="13606" max="13824" width="11.42578125" style="2"/>
    <col min="13825" max="13825" width="8" style="2" customWidth="1"/>
    <col min="13826" max="13826" width="13.42578125" style="2" customWidth="1"/>
    <col min="13827" max="13827" width="4.28515625" style="2" customWidth="1"/>
    <col min="13828" max="13828" width="4" style="2" customWidth="1"/>
    <col min="13829" max="13829" width="17" style="2" customWidth="1"/>
    <col min="13830" max="13830" width="4.140625" style="2" customWidth="1"/>
    <col min="13831" max="13831" width="11.28515625" style="2" customWidth="1"/>
    <col min="13832" max="13832" width="11" style="2" customWidth="1"/>
    <col min="13833" max="13834" width="2.140625" style="2" customWidth="1"/>
    <col min="13835" max="13835" width="3.28515625" style="2" customWidth="1"/>
    <col min="13836" max="13837" width="0" style="2" hidden="1" customWidth="1"/>
    <col min="13838" max="13838" width="2.85546875" style="2" customWidth="1"/>
    <col min="13839" max="13839" width="3.28515625" style="2" customWidth="1"/>
    <col min="13840" max="13840" width="1.5703125" style="2" customWidth="1"/>
    <col min="13841" max="13841" width="0" style="2" hidden="1" customWidth="1"/>
    <col min="13842" max="13842" width="6.85546875" style="2" customWidth="1"/>
    <col min="13843" max="13843" width="0" style="2" hidden="1" customWidth="1"/>
    <col min="13844" max="13845" width="6.28515625" style="2" customWidth="1"/>
    <col min="13846" max="13846" width="13.85546875" style="2" customWidth="1"/>
    <col min="13847" max="13847" width="10.85546875" style="2" customWidth="1"/>
    <col min="13848" max="13848" width="14.7109375" style="2" customWidth="1"/>
    <col min="13849" max="13849" width="0" style="2" hidden="1" customWidth="1"/>
    <col min="13850" max="13850" width="13" style="2" customWidth="1"/>
    <col min="13851" max="13851" width="12.7109375" style="2" customWidth="1"/>
    <col min="13852" max="13852" width="13.140625" style="2" customWidth="1"/>
    <col min="13853" max="13853" width="14" style="2" customWidth="1"/>
    <col min="13854" max="13854" width="8.140625" style="2" customWidth="1"/>
    <col min="13855" max="13855" width="11.5703125" style="2" customWidth="1"/>
    <col min="13856" max="13856" width="24.7109375" style="2" customWidth="1"/>
    <col min="13857" max="13857" width="12" style="2" customWidth="1"/>
    <col min="13858" max="13859" width="0.28515625" style="2" customWidth="1"/>
    <col min="13860" max="13860" width="1.42578125" style="2" customWidth="1"/>
    <col min="13861" max="13861" width="0" style="2" hidden="1" customWidth="1"/>
    <col min="13862" max="14080" width="11.42578125" style="2"/>
    <col min="14081" max="14081" width="8" style="2" customWidth="1"/>
    <col min="14082" max="14082" width="13.42578125" style="2" customWidth="1"/>
    <col min="14083" max="14083" width="4.28515625" style="2" customWidth="1"/>
    <col min="14084" max="14084" width="4" style="2" customWidth="1"/>
    <col min="14085" max="14085" width="17" style="2" customWidth="1"/>
    <col min="14086" max="14086" width="4.140625" style="2" customWidth="1"/>
    <col min="14087" max="14087" width="11.28515625" style="2" customWidth="1"/>
    <col min="14088" max="14088" width="11" style="2" customWidth="1"/>
    <col min="14089" max="14090" width="2.140625" style="2" customWidth="1"/>
    <col min="14091" max="14091" width="3.28515625" style="2" customWidth="1"/>
    <col min="14092" max="14093" width="0" style="2" hidden="1" customWidth="1"/>
    <col min="14094" max="14094" width="2.85546875" style="2" customWidth="1"/>
    <col min="14095" max="14095" width="3.28515625" style="2" customWidth="1"/>
    <col min="14096" max="14096" width="1.5703125" style="2" customWidth="1"/>
    <col min="14097" max="14097" width="0" style="2" hidden="1" customWidth="1"/>
    <col min="14098" max="14098" width="6.85546875" style="2" customWidth="1"/>
    <col min="14099" max="14099" width="0" style="2" hidden="1" customWidth="1"/>
    <col min="14100" max="14101" width="6.28515625" style="2" customWidth="1"/>
    <col min="14102" max="14102" width="13.85546875" style="2" customWidth="1"/>
    <col min="14103" max="14103" width="10.85546875" style="2" customWidth="1"/>
    <col min="14104" max="14104" width="14.7109375" style="2" customWidth="1"/>
    <col min="14105" max="14105" width="0" style="2" hidden="1" customWidth="1"/>
    <col min="14106" max="14106" width="13" style="2" customWidth="1"/>
    <col min="14107" max="14107" width="12.7109375" style="2" customWidth="1"/>
    <col min="14108" max="14108" width="13.140625" style="2" customWidth="1"/>
    <col min="14109" max="14109" width="14" style="2" customWidth="1"/>
    <col min="14110" max="14110" width="8.140625" style="2" customWidth="1"/>
    <col min="14111" max="14111" width="11.5703125" style="2" customWidth="1"/>
    <col min="14112" max="14112" width="24.7109375" style="2" customWidth="1"/>
    <col min="14113" max="14113" width="12" style="2" customWidth="1"/>
    <col min="14114" max="14115" width="0.28515625" style="2" customWidth="1"/>
    <col min="14116" max="14116" width="1.42578125" style="2" customWidth="1"/>
    <col min="14117" max="14117" width="0" style="2" hidden="1" customWidth="1"/>
    <col min="14118" max="14336" width="11.42578125" style="2"/>
    <col min="14337" max="14337" width="8" style="2" customWidth="1"/>
    <col min="14338" max="14338" width="13.42578125" style="2" customWidth="1"/>
    <col min="14339" max="14339" width="4.28515625" style="2" customWidth="1"/>
    <col min="14340" max="14340" width="4" style="2" customWidth="1"/>
    <col min="14341" max="14341" width="17" style="2" customWidth="1"/>
    <col min="14342" max="14342" width="4.140625" style="2" customWidth="1"/>
    <col min="14343" max="14343" width="11.28515625" style="2" customWidth="1"/>
    <col min="14344" max="14344" width="11" style="2" customWidth="1"/>
    <col min="14345" max="14346" width="2.140625" style="2" customWidth="1"/>
    <col min="14347" max="14347" width="3.28515625" style="2" customWidth="1"/>
    <col min="14348" max="14349" width="0" style="2" hidden="1" customWidth="1"/>
    <col min="14350" max="14350" width="2.85546875" style="2" customWidth="1"/>
    <col min="14351" max="14351" width="3.28515625" style="2" customWidth="1"/>
    <col min="14352" max="14352" width="1.5703125" style="2" customWidth="1"/>
    <col min="14353" max="14353" width="0" style="2" hidden="1" customWidth="1"/>
    <col min="14354" max="14354" width="6.85546875" style="2" customWidth="1"/>
    <col min="14355" max="14355" width="0" style="2" hidden="1" customWidth="1"/>
    <col min="14356" max="14357" width="6.28515625" style="2" customWidth="1"/>
    <col min="14358" max="14358" width="13.85546875" style="2" customWidth="1"/>
    <col min="14359" max="14359" width="10.85546875" style="2" customWidth="1"/>
    <col min="14360" max="14360" width="14.7109375" style="2" customWidth="1"/>
    <col min="14361" max="14361" width="0" style="2" hidden="1" customWidth="1"/>
    <col min="14362" max="14362" width="13" style="2" customWidth="1"/>
    <col min="14363" max="14363" width="12.7109375" style="2" customWidth="1"/>
    <col min="14364" max="14364" width="13.140625" style="2" customWidth="1"/>
    <col min="14365" max="14365" width="14" style="2" customWidth="1"/>
    <col min="14366" max="14366" width="8.140625" style="2" customWidth="1"/>
    <col min="14367" max="14367" width="11.5703125" style="2" customWidth="1"/>
    <col min="14368" max="14368" width="24.7109375" style="2" customWidth="1"/>
    <col min="14369" max="14369" width="12" style="2" customWidth="1"/>
    <col min="14370" max="14371" width="0.28515625" style="2" customWidth="1"/>
    <col min="14372" max="14372" width="1.42578125" style="2" customWidth="1"/>
    <col min="14373" max="14373" width="0" style="2" hidden="1" customWidth="1"/>
    <col min="14374" max="14592" width="11.42578125" style="2"/>
    <col min="14593" max="14593" width="8" style="2" customWidth="1"/>
    <col min="14594" max="14594" width="13.42578125" style="2" customWidth="1"/>
    <col min="14595" max="14595" width="4.28515625" style="2" customWidth="1"/>
    <col min="14596" max="14596" width="4" style="2" customWidth="1"/>
    <col min="14597" max="14597" width="17" style="2" customWidth="1"/>
    <col min="14598" max="14598" width="4.140625" style="2" customWidth="1"/>
    <col min="14599" max="14599" width="11.28515625" style="2" customWidth="1"/>
    <col min="14600" max="14600" width="11" style="2" customWidth="1"/>
    <col min="14601" max="14602" width="2.140625" style="2" customWidth="1"/>
    <col min="14603" max="14603" width="3.28515625" style="2" customWidth="1"/>
    <col min="14604" max="14605" width="0" style="2" hidden="1" customWidth="1"/>
    <col min="14606" max="14606" width="2.85546875" style="2" customWidth="1"/>
    <col min="14607" max="14607" width="3.28515625" style="2" customWidth="1"/>
    <col min="14608" max="14608" width="1.5703125" style="2" customWidth="1"/>
    <col min="14609" max="14609" width="0" style="2" hidden="1" customWidth="1"/>
    <col min="14610" max="14610" width="6.85546875" style="2" customWidth="1"/>
    <col min="14611" max="14611" width="0" style="2" hidden="1" customWidth="1"/>
    <col min="14612" max="14613" width="6.28515625" style="2" customWidth="1"/>
    <col min="14614" max="14614" width="13.85546875" style="2" customWidth="1"/>
    <col min="14615" max="14615" width="10.85546875" style="2" customWidth="1"/>
    <col min="14616" max="14616" width="14.7109375" style="2" customWidth="1"/>
    <col min="14617" max="14617" width="0" style="2" hidden="1" customWidth="1"/>
    <col min="14618" max="14618" width="13" style="2" customWidth="1"/>
    <col min="14619" max="14619" width="12.7109375" style="2" customWidth="1"/>
    <col min="14620" max="14620" width="13.140625" style="2" customWidth="1"/>
    <col min="14621" max="14621" width="14" style="2" customWidth="1"/>
    <col min="14622" max="14622" width="8.140625" style="2" customWidth="1"/>
    <col min="14623" max="14623" width="11.5703125" style="2" customWidth="1"/>
    <col min="14624" max="14624" width="24.7109375" style="2" customWidth="1"/>
    <col min="14625" max="14625" width="12" style="2" customWidth="1"/>
    <col min="14626" max="14627" width="0.28515625" style="2" customWidth="1"/>
    <col min="14628" max="14628" width="1.42578125" style="2" customWidth="1"/>
    <col min="14629" max="14629" width="0" style="2" hidden="1" customWidth="1"/>
    <col min="14630" max="14848" width="11.42578125" style="2"/>
    <col min="14849" max="14849" width="8" style="2" customWidth="1"/>
    <col min="14850" max="14850" width="13.42578125" style="2" customWidth="1"/>
    <col min="14851" max="14851" width="4.28515625" style="2" customWidth="1"/>
    <col min="14852" max="14852" width="4" style="2" customWidth="1"/>
    <col min="14853" max="14853" width="17" style="2" customWidth="1"/>
    <col min="14854" max="14854" width="4.140625" style="2" customWidth="1"/>
    <col min="14855" max="14855" width="11.28515625" style="2" customWidth="1"/>
    <col min="14856" max="14856" width="11" style="2" customWidth="1"/>
    <col min="14857" max="14858" width="2.140625" style="2" customWidth="1"/>
    <col min="14859" max="14859" width="3.28515625" style="2" customWidth="1"/>
    <col min="14860" max="14861" width="0" style="2" hidden="1" customWidth="1"/>
    <col min="14862" max="14862" width="2.85546875" style="2" customWidth="1"/>
    <col min="14863" max="14863" width="3.28515625" style="2" customWidth="1"/>
    <col min="14864" max="14864" width="1.5703125" style="2" customWidth="1"/>
    <col min="14865" max="14865" width="0" style="2" hidden="1" customWidth="1"/>
    <col min="14866" max="14866" width="6.85546875" style="2" customWidth="1"/>
    <col min="14867" max="14867" width="0" style="2" hidden="1" customWidth="1"/>
    <col min="14868" max="14869" width="6.28515625" style="2" customWidth="1"/>
    <col min="14870" max="14870" width="13.85546875" style="2" customWidth="1"/>
    <col min="14871" max="14871" width="10.85546875" style="2" customWidth="1"/>
    <col min="14872" max="14872" width="14.7109375" style="2" customWidth="1"/>
    <col min="14873" max="14873" width="0" style="2" hidden="1" customWidth="1"/>
    <col min="14874" max="14874" width="13" style="2" customWidth="1"/>
    <col min="14875" max="14875" width="12.7109375" style="2" customWidth="1"/>
    <col min="14876" max="14876" width="13.140625" style="2" customWidth="1"/>
    <col min="14877" max="14877" width="14" style="2" customWidth="1"/>
    <col min="14878" max="14878" width="8.140625" style="2" customWidth="1"/>
    <col min="14879" max="14879" width="11.5703125" style="2" customWidth="1"/>
    <col min="14880" max="14880" width="24.7109375" style="2" customWidth="1"/>
    <col min="14881" max="14881" width="12" style="2" customWidth="1"/>
    <col min="14882" max="14883" width="0.28515625" style="2" customWidth="1"/>
    <col min="14884" max="14884" width="1.42578125" style="2" customWidth="1"/>
    <col min="14885" max="14885" width="0" style="2" hidden="1" customWidth="1"/>
    <col min="14886" max="15104" width="11.42578125" style="2"/>
    <col min="15105" max="15105" width="8" style="2" customWidth="1"/>
    <col min="15106" max="15106" width="13.42578125" style="2" customWidth="1"/>
    <col min="15107" max="15107" width="4.28515625" style="2" customWidth="1"/>
    <col min="15108" max="15108" width="4" style="2" customWidth="1"/>
    <col min="15109" max="15109" width="17" style="2" customWidth="1"/>
    <col min="15110" max="15110" width="4.140625" style="2" customWidth="1"/>
    <col min="15111" max="15111" width="11.28515625" style="2" customWidth="1"/>
    <col min="15112" max="15112" width="11" style="2" customWidth="1"/>
    <col min="15113" max="15114" width="2.140625" style="2" customWidth="1"/>
    <col min="15115" max="15115" width="3.28515625" style="2" customWidth="1"/>
    <col min="15116" max="15117" width="0" style="2" hidden="1" customWidth="1"/>
    <col min="15118" max="15118" width="2.85546875" style="2" customWidth="1"/>
    <col min="15119" max="15119" width="3.28515625" style="2" customWidth="1"/>
    <col min="15120" max="15120" width="1.5703125" style="2" customWidth="1"/>
    <col min="15121" max="15121" width="0" style="2" hidden="1" customWidth="1"/>
    <col min="15122" max="15122" width="6.85546875" style="2" customWidth="1"/>
    <col min="15123" max="15123" width="0" style="2" hidden="1" customWidth="1"/>
    <col min="15124" max="15125" width="6.28515625" style="2" customWidth="1"/>
    <col min="15126" max="15126" width="13.85546875" style="2" customWidth="1"/>
    <col min="15127" max="15127" width="10.85546875" style="2" customWidth="1"/>
    <col min="15128" max="15128" width="14.7109375" style="2" customWidth="1"/>
    <col min="15129" max="15129" width="0" style="2" hidden="1" customWidth="1"/>
    <col min="15130" max="15130" width="13" style="2" customWidth="1"/>
    <col min="15131" max="15131" width="12.7109375" style="2" customWidth="1"/>
    <col min="15132" max="15132" width="13.140625" style="2" customWidth="1"/>
    <col min="15133" max="15133" width="14" style="2" customWidth="1"/>
    <col min="15134" max="15134" width="8.140625" style="2" customWidth="1"/>
    <col min="15135" max="15135" width="11.5703125" style="2" customWidth="1"/>
    <col min="15136" max="15136" width="24.7109375" style="2" customWidth="1"/>
    <col min="15137" max="15137" width="12" style="2" customWidth="1"/>
    <col min="15138" max="15139" width="0.28515625" style="2" customWidth="1"/>
    <col min="15140" max="15140" width="1.42578125" style="2" customWidth="1"/>
    <col min="15141" max="15141" width="0" style="2" hidden="1" customWidth="1"/>
    <col min="15142" max="15360" width="11.42578125" style="2"/>
    <col min="15361" max="15361" width="8" style="2" customWidth="1"/>
    <col min="15362" max="15362" width="13.42578125" style="2" customWidth="1"/>
    <col min="15363" max="15363" width="4.28515625" style="2" customWidth="1"/>
    <col min="15364" max="15364" width="4" style="2" customWidth="1"/>
    <col min="15365" max="15365" width="17" style="2" customWidth="1"/>
    <col min="15366" max="15366" width="4.140625" style="2" customWidth="1"/>
    <col min="15367" max="15367" width="11.28515625" style="2" customWidth="1"/>
    <col min="15368" max="15368" width="11" style="2" customWidth="1"/>
    <col min="15369" max="15370" width="2.140625" style="2" customWidth="1"/>
    <col min="15371" max="15371" width="3.28515625" style="2" customWidth="1"/>
    <col min="15372" max="15373" width="0" style="2" hidden="1" customWidth="1"/>
    <col min="15374" max="15374" width="2.85546875" style="2" customWidth="1"/>
    <col min="15375" max="15375" width="3.28515625" style="2" customWidth="1"/>
    <col min="15376" max="15376" width="1.5703125" style="2" customWidth="1"/>
    <col min="15377" max="15377" width="0" style="2" hidden="1" customWidth="1"/>
    <col min="15378" max="15378" width="6.85546875" style="2" customWidth="1"/>
    <col min="15379" max="15379" width="0" style="2" hidden="1" customWidth="1"/>
    <col min="15380" max="15381" width="6.28515625" style="2" customWidth="1"/>
    <col min="15382" max="15382" width="13.85546875" style="2" customWidth="1"/>
    <col min="15383" max="15383" width="10.85546875" style="2" customWidth="1"/>
    <col min="15384" max="15384" width="14.7109375" style="2" customWidth="1"/>
    <col min="15385" max="15385" width="0" style="2" hidden="1" customWidth="1"/>
    <col min="15386" max="15386" width="13" style="2" customWidth="1"/>
    <col min="15387" max="15387" width="12.7109375" style="2" customWidth="1"/>
    <col min="15388" max="15388" width="13.140625" style="2" customWidth="1"/>
    <col min="15389" max="15389" width="14" style="2" customWidth="1"/>
    <col min="15390" max="15390" width="8.140625" style="2" customWidth="1"/>
    <col min="15391" max="15391" width="11.5703125" style="2" customWidth="1"/>
    <col min="15392" max="15392" width="24.7109375" style="2" customWidth="1"/>
    <col min="15393" max="15393" width="12" style="2" customWidth="1"/>
    <col min="15394" max="15395" width="0.28515625" style="2" customWidth="1"/>
    <col min="15396" max="15396" width="1.42578125" style="2" customWidth="1"/>
    <col min="15397" max="15397" width="0" style="2" hidden="1" customWidth="1"/>
    <col min="15398" max="15616" width="11.42578125" style="2"/>
    <col min="15617" max="15617" width="8" style="2" customWidth="1"/>
    <col min="15618" max="15618" width="13.42578125" style="2" customWidth="1"/>
    <col min="15619" max="15619" width="4.28515625" style="2" customWidth="1"/>
    <col min="15620" max="15620" width="4" style="2" customWidth="1"/>
    <col min="15621" max="15621" width="17" style="2" customWidth="1"/>
    <col min="15622" max="15622" width="4.140625" style="2" customWidth="1"/>
    <col min="15623" max="15623" width="11.28515625" style="2" customWidth="1"/>
    <col min="15624" max="15624" width="11" style="2" customWidth="1"/>
    <col min="15625" max="15626" width="2.140625" style="2" customWidth="1"/>
    <col min="15627" max="15627" width="3.28515625" style="2" customWidth="1"/>
    <col min="15628" max="15629" width="0" style="2" hidden="1" customWidth="1"/>
    <col min="15630" max="15630" width="2.85546875" style="2" customWidth="1"/>
    <col min="15631" max="15631" width="3.28515625" style="2" customWidth="1"/>
    <col min="15632" max="15632" width="1.5703125" style="2" customWidth="1"/>
    <col min="15633" max="15633" width="0" style="2" hidden="1" customWidth="1"/>
    <col min="15634" max="15634" width="6.85546875" style="2" customWidth="1"/>
    <col min="15635" max="15635" width="0" style="2" hidden="1" customWidth="1"/>
    <col min="15636" max="15637" width="6.28515625" style="2" customWidth="1"/>
    <col min="15638" max="15638" width="13.85546875" style="2" customWidth="1"/>
    <col min="15639" max="15639" width="10.85546875" style="2" customWidth="1"/>
    <col min="15640" max="15640" width="14.7109375" style="2" customWidth="1"/>
    <col min="15641" max="15641" width="0" style="2" hidden="1" customWidth="1"/>
    <col min="15642" max="15642" width="13" style="2" customWidth="1"/>
    <col min="15643" max="15643" width="12.7109375" style="2" customWidth="1"/>
    <col min="15644" max="15644" width="13.140625" style="2" customWidth="1"/>
    <col min="15645" max="15645" width="14" style="2" customWidth="1"/>
    <col min="15646" max="15646" width="8.140625" style="2" customWidth="1"/>
    <col min="15647" max="15647" width="11.5703125" style="2" customWidth="1"/>
    <col min="15648" max="15648" width="24.7109375" style="2" customWidth="1"/>
    <col min="15649" max="15649" width="12" style="2" customWidth="1"/>
    <col min="15650" max="15651" width="0.28515625" style="2" customWidth="1"/>
    <col min="15652" max="15652" width="1.42578125" style="2" customWidth="1"/>
    <col min="15653" max="15653" width="0" style="2" hidden="1" customWidth="1"/>
    <col min="15654" max="15872" width="11.42578125" style="2"/>
    <col min="15873" max="15873" width="8" style="2" customWidth="1"/>
    <col min="15874" max="15874" width="13.42578125" style="2" customWidth="1"/>
    <col min="15875" max="15875" width="4.28515625" style="2" customWidth="1"/>
    <col min="15876" max="15876" width="4" style="2" customWidth="1"/>
    <col min="15877" max="15877" width="17" style="2" customWidth="1"/>
    <col min="15878" max="15878" width="4.140625" style="2" customWidth="1"/>
    <col min="15879" max="15879" width="11.28515625" style="2" customWidth="1"/>
    <col min="15880" max="15880" width="11" style="2" customWidth="1"/>
    <col min="15881" max="15882" width="2.140625" style="2" customWidth="1"/>
    <col min="15883" max="15883" width="3.28515625" style="2" customWidth="1"/>
    <col min="15884" max="15885" width="0" style="2" hidden="1" customWidth="1"/>
    <col min="15886" max="15886" width="2.85546875" style="2" customWidth="1"/>
    <col min="15887" max="15887" width="3.28515625" style="2" customWidth="1"/>
    <col min="15888" max="15888" width="1.5703125" style="2" customWidth="1"/>
    <col min="15889" max="15889" width="0" style="2" hidden="1" customWidth="1"/>
    <col min="15890" max="15890" width="6.85546875" style="2" customWidth="1"/>
    <col min="15891" max="15891" width="0" style="2" hidden="1" customWidth="1"/>
    <col min="15892" max="15893" width="6.28515625" style="2" customWidth="1"/>
    <col min="15894" max="15894" width="13.85546875" style="2" customWidth="1"/>
    <col min="15895" max="15895" width="10.85546875" style="2" customWidth="1"/>
    <col min="15896" max="15896" width="14.7109375" style="2" customWidth="1"/>
    <col min="15897" max="15897" width="0" style="2" hidden="1" customWidth="1"/>
    <col min="15898" max="15898" width="13" style="2" customWidth="1"/>
    <col min="15899" max="15899" width="12.7109375" style="2" customWidth="1"/>
    <col min="15900" max="15900" width="13.140625" style="2" customWidth="1"/>
    <col min="15901" max="15901" width="14" style="2" customWidth="1"/>
    <col min="15902" max="15902" width="8.140625" style="2" customWidth="1"/>
    <col min="15903" max="15903" width="11.5703125" style="2" customWidth="1"/>
    <col min="15904" max="15904" width="24.7109375" style="2" customWidth="1"/>
    <col min="15905" max="15905" width="12" style="2" customWidth="1"/>
    <col min="15906" max="15907" width="0.28515625" style="2" customWidth="1"/>
    <col min="15908" max="15908" width="1.42578125" style="2" customWidth="1"/>
    <col min="15909" max="15909" width="0" style="2" hidden="1" customWidth="1"/>
    <col min="15910" max="16128" width="11.42578125" style="2"/>
    <col min="16129" max="16129" width="8" style="2" customWidth="1"/>
    <col min="16130" max="16130" width="13.42578125" style="2" customWidth="1"/>
    <col min="16131" max="16131" width="4.28515625" style="2" customWidth="1"/>
    <col min="16132" max="16132" width="4" style="2" customWidth="1"/>
    <col min="16133" max="16133" width="17" style="2" customWidth="1"/>
    <col min="16134" max="16134" width="4.140625" style="2" customWidth="1"/>
    <col min="16135" max="16135" width="11.28515625" style="2" customWidth="1"/>
    <col min="16136" max="16136" width="11" style="2" customWidth="1"/>
    <col min="16137" max="16138" width="2.140625" style="2" customWidth="1"/>
    <col min="16139" max="16139" width="3.28515625" style="2" customWidth="1"/>
    <col min="16140" max="16141" width="0" style="2" hidden="1" customWidth="1"/>
    <col min="16142" max="16142" width="2.85546875" style="2" customWidth="1"/>
    <col min="16143" max="16143" width="3.28515625" style="2" customWidth="1"/>
    <col min="16144" max="16144" width="1.5703125" style="2" customWidth="1"/>
    <col min="16145" max="16145" width="0" style="2" hidden="1" customWidth="1"/>
    <col min="16146" max="16146" width="6.85546875" style="2" customWidth="1"/>
    <col min="16147" max="16147" width="0" style="2" hidden="1" customWidth="1"/>
    <col min="16148" max="16149" width="6.28515625" style="2" customWidth="1"/>
    <col min="16150" max="16150" width="13.85546875" style="2" customWidth="1"/>
    <col min="16151" max="16151" width="10.85546875" style="2" customWidth="1"/>
    <col min="16152" max="16152" width="14.7109375" style="2" customWidth="1"/>
    <col min="16153" max="16153" width="0" style="2" hidden="1" customWidth="1"/>
    <col min="16154" max="16154" width="13" style="2" customWidth="1"/>
    <col min="16155" max="16155" width="12.7109375" style="2" customWidth="1"/>
    <col min="16156" max="16156" width="13.140625" style="2" customWidth="1"/>
    <col min="16157" max="16157" width="14" style="2" customWidth="1"/>
    <col min="16158" max="16158" width="8.140625" style="2" customWidth="1"/>
    <col min="16159" max="16159" width="11.5703125" style="2" customWidth="1"/>
    <col min="16160" max="16160" width="24.7109375" style="2" customWidth="1"/>
    <col min="16161" max="16161" width="12" style="2" customWidth="1"/>
    <col min="16162" max="16163" width="0.28515625" style="2" customWidth="1"/>
    <col min="16164" max="16164" width="1.42578125" style="2" customWidth="1"/>
    <col min="16165" max="16165" width="0" style="2" hidden="1" customWidth="1"/>
    <col min="16166" max="16384" width="11.42578125" style="2"/>
  </cols>
  <sheetData>
    <row r="1" spans="1:38" ht="45" customHeight="1">
      <c r="A1" s="600"/>
      <c r="B1" s="600"/>
      <c r="C1" s="601" t="s">
        <v>0</v>
      </c>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2" t="s">
        <v>95</v>
      </c>
      <c r="AH1" s="3" t="s">
        <v>17</v>
      </c>
      <c r="AI1" s="6" t="s">
        <v>23</v>
      </c>
    </row>
    <row r="2" spans="1:38" ht="45" customHeight="1">
      <c r="A2" s="600"/>
      <c r="B2" s="600"/>
      <c r="C2" s="603" t="s">
        <v>37</v>
      </c>
      <c r="D2" s="603"/>
      <c r="E2" s="603"/>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2"/>
      <c r="AH2" s="2" t="s">
        <v>18</v>
      </c>
      <c r="AI2" s="7" t="s">
        <v>24</v>
      </c>
    </row>
    <row r="3" spans="1:38"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H3" s="3" t="s">
        <v>16</v>
      </c>
      <c r="AI3" s="6" t="s">
        <v>25</v>
      </c>
    </row>
    <row r="4" spans="1:38" ht="30.75" customHeight="1">
      <c r="A4" s="597" t="s">
        <v>5</v>
      </c>
      <c r="B4" s="597"/>
      <c r="C4" s="597"/>
      <c r="D4" s="597"/>
      <c r="E4" s="598" t="s">
        <v>315</v>
      </c>
      <c r="F4" s="598"/>
      <c r="G4" s="598"/>
      <c r="H4" s="598"/>
      <c r="I4" s="598"/>
      <c r="J4" s="598"/>
      <c r="K4" s="598"/>
      <c r="L4" s="598"/>
      <c r="M4" s="598"/>
      <c r="N4" s="598"/>
      <c r="O4" s="598"/>
      <c r="P4" s="598"/>
      <c r="Q4" s="598"/>
      <c r="R4" s="598"/>
      <c r="S4" s="598"/>
      <c r="T4" s="598"/>
      <c r="U4" s="598"/>
      <c r="V4" s="599" t="s">
        <v>20</v>
      </c>
      <c r="W4" s="599"/>
      <c r="X4" s="598" t="s">
        <v>316</v>
      </c>
      <c r="Y4" s="598"/>
      <c r="Z4" s="598"/>
      <c r="AA4" s="598"/>
      <c r="AB4" s="598"/>
      <c r="AC4" s="598"/>
      <c r="AD4" s="599" t="s">
        <v>98</v>
      </c>
      <c r="AE4" s="599"/>
      <c r="AF4" s="45" t="s">
        <v>99</v>
      </c>
      <c r="AH4" s="6" t="s">
        <v>19</v>
      </c>
    </row>
    <row r="5" spans="1:38" ht="4.5" customHeight="1" thickBo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row>
    <row r="6" spans="1:38" ht="57" customHeight="1">
      <c r="A6" s="605" t="s">
        <v>39</v>
      </c>
      <c r="B6" s="606"/>
      <c r="C6" s="599" t="s">
        <v>1</v>
      </c>
      <c r="D6" s="599" t="s">
        <v>100</v>
      </c>
      <c r="E6" s="599"/>
      <c r="F6" s="608" t="s">
        <v>6</v>
      </c>
      <c r="G6" s="599" t="s">
        <v>9</v>
      </c>
      <c r="H6" s="599" t="s">
        <v>2</v>
      </c>
      <c r="I6" s="599" t="s">
        <v>21</v>
      </c>
      <c r="J6" s="599"/>
      <c r="K6" s="599"/>
      <c r="L6" s="599"/>
      <c r="M6" s="599"/>
      <c r="N6" s="599"/>
      <c r="O6" s="599"/>
      <c r="P6" s="599"/>
      <c r="Q6" s="599"/>
      <c r="R6" s="599"/>
      <c r="S6" s="599"/>
      <c r="T6" s="599"/>
      <c r="U6" s="599"/>
      <c r="V6" s="599" t="s">
        <v>101</v>
      </c>
      <c r="W6" s="599" t="s">
        <v>3</v>
      </c>
      <c r="X6" s="599"/>
      <c r="Y6" s="599"/>
      <c r="Z6" s="610" t="s">
        <v>102</v>
      </c>
      <c r="AA6" s="610" t="s">
        <v>103</v>
      </c>
      <c r="AB6" s="610" t="s">
        <v>4</v>
      </c>
      <c r="AC6" s="610"/>
      <c r="AD6" s="599" t="s">
        <v>104</v>
      </c>
      <c r="AE6" s="599" t="s">
        <v>105</v>
      </c>
      <c r="AF6" s="599" t="s">
        <v>106</v>
      </c>
    </row>
    <row r="7" spans="1:38" ht="37.5" customHeight="1" thickBot="1">
      <c r="A7" s="97" t="s">
        <v>40</v>
      </c>
      <c r="B7" s="98" t="s">
        <v>41</v>
      </c>
      <c r="C7" s="607"/>
      <c r="D7" s="607"/>
      <c r="E7" s="607"/>
      <c r="F7" s="609"/>
      <c r="G7" s="607"/>
      <c r="H7" s="607"/>
      <c r="I7" s="607" t="s">
        <v>11</v>
      </c>
      <c r="J7" s="607"/>
      <c r="K7" s="607"/>
      <c r="L7" s="607"/>
      <c r="M7" s="607"/>
      <c r="N7" s="607"/>
      <c r="O7" s="615" t="s">
        <v>12</v>
      </c>
      <c r="P7" s="615"/>
      <c r="Q7" s="615"/>
      <c r="R7" s="615"/>
      <c r="S7" s="615"/>
      <c r="T7" s="615" t="s">
        <v>13</v>
      </c>
      <c r="U7" s="615"/>
      <c r="V7" s="607"/>
      <c r="W7" s="607"/>
      <c r="X7" s="607"/>
      <c r="Y7" s="607"/>
      <c r="Z7" s="611"/>
      <c r="AA7" s="611"/>
      <c r="AB7" s="57" t="s">
        <v>14</v>
      </c>
      <c r="AC7" s="55" t="s">
        <v>15</v>
      </c>
      <c r="AD7" s="607"/>
      <c r="AE7" s="607"/>
      <c r="AF7" s="607"/>
    </row>
    <row r="8" spans="1:38" ht="156.75" customHeight="1" thickBot="1">
      <c r="A8" s="147"/>
      <c r="B8" s="148"/>
      <c r="C8" s="148">
        <v>1</v>
      </c>
      <c r="D8" s="1178" t="s">
        <v>317</v>
      </c>
      <c r="E8" s="734"/>
      <c r="F8" s="197" t="s">
        <v>318</v>
      </c>
      <c r="G8" s="150" t="s">
        <v>38</v>
      </c>
      <c r="H8" s="148" t="s">
        <v>25</v>
      </c>
      <c r="I8" s="735" t="s">
        <v>162</v>
      </c>
      <c r="J8" s="735"/>
      <c r="K8" s="735"/>
      <c r="L8" s="735"/>
      <c r="M8" s="735"/>
      <c r="N8" s="735"/>
      <c r="O8" s="735" t="s">
        <v>162</v>
      </c>
      <c r="P8" s="735"/>
      <c r="Q8" s="735"/>
      <c r="R8" s="735"/>
      <c r="S8" s="191"/>
      <c r="T8" s="1179" t="s">
        <v>162</v>
      </c>
      <c r="U8" s="735"/>
      <c r="V8" s="178" t="s">
        <v>319</v>
      </c>
      <c r="W8" s="1173" t="s">
        <v>320</v>
      </c>
      <c r="X8" s="1173"/>
      <c r="Y8" s="1173"/>
      <c r="Z8" s="198">
        <v>1</v>
      </c>
      <c r="AA8" s="199" t="s">
        <v>321</v>
      </c>
      <c r="AB8" s="200">
        <v>43617</v>
      </c>
      <c r="AC8" s="200">
        <v>44195</v>
      </c>
      <c r="AD8" s="201">
        <v>0.72</v>
      </c>
      <c r="AE8" s="148" t="s">
        <v>16</v>
      </c>
      <c r="AF8" s="155" t="s">
        <v>322</v>
      </c>
      <c r="AG8" s="105"/>
      <c r="AH8" s="105"/>
      <c r="AI8" s="92"/>
      <c r="AJ8" s="92"/>
      <c r="AK8" s="92"/>
      <c r="AL8" s="92"/>
    </row>
    <row r="9" spans="1:38" ht="63" customHeight="1">
      <c r="A9" s="1174"/>
      <c r="B9" s="621"/>
      <c r="C9" s="621">
        <v>2</v>
      </c>
      <c r="D9" s="1175" t="s">
        <v>323</v>
      </c>
      <c r="E9" s="1175"/>
      <c r="F9" s="639" t="s">
        <v>324</v>
      </c>
      <c r="G9" s="613" t="s">
        <v>10</v>
      </c>
      <c r="H9" s="621" t="s">
        <v>25</v>
      </c>
      <c r="I9" s="624" t="s">
        <v>162</v>
      </c>
      <c r="J9" s="624"/>
      <c r="K9" s="624"/>
      <c r="L9" s="624"/>
      <c r="M9" s="624"/>
      <c r="N9" s="624"/>
      <c r="O9" s="624" t="s">
        <v>162</v>
      </c>
      <c r="P9" s="624"/>
      <c r="Q9" s="624"/>
      <c r="R9" s="624"/>
      <c r="S9" s="172"/>
      <c r="T9" s="624" t="s">
        <v>162</v>
      </c>
      <c r="U9" s="624"/>
      <c r="V9" s="636" t="s">
        <v>162</v>
      </c>
      <c r="W9" s="1176" t="s">
        <v>325</v>
      </c>
      <c r="X9" s="1176"/>
      <c r="Y9" s="1176"/>
      <c r="Z9" s="202" t="s">
        <v>326</v>
      </c>
      <c r="AA9" s="203" t="s">
        <v>327</v>
      </c>
      <c r="AB9" s="204">
        <v>43497</v>
      </c>
      <c r="AC9" s="204">
        <v>43616</v>
      </c>
      <c r="AD9" s="162">
        <v>1</v>
      </c>
      <c r="AE9" s="52" t="s">
        <v>17</v>
      </c>
      <c r="AF9" s="205" t="s">
        <v>328</v>
      </c>
      <c r="AG9" s="105"/>
      <c r="AH9" s="105"/>
      <c r="AI9" s="92"/>
      <c r="AJ9" s="92"/>
      <c r="AK9" s="92"/>
      <c r="AL9" s="92"/>
    </row>
    <row r="10" spans="1:38" ht="69.75" customHeight="1">
      <c r="A10" s="963"/>
      <c r="B10" s="598"/>
      <c r="C10" s="598"/>
      <c r="D10" s="702"/>
      <c r="E10" s="702"/>
      <c r="F10" s="800"/>
      <c r="G10" s="804"/>
      <c r="H10" s="598"/>
      <c r="I10" s="848"/>
      <c r="J10" s="848"/>
      <c r="K10" s="848"/>
      <c r="L10" s="848"/>
      <c r="M10" s="848"/>
      <c r="N10" s="848"/>
      <c r="O10" s="848"/>
      <c r="P10" s="848"/>
      <c r="Q10" s="848"/>
      <c r="R10" s="848"/>
      <c r="S10" s="106"/>
      <c r="T10" s="848"/>
      <c r="U10" s="848"/>
      <c r="V10" s="846"/>
      <c r="W10" s="618" t="s">
        <v>329</v>
      </c>
      <c r="X10" s="618"/>
      <c r="Y10" s="618"/>
      <c r="Z10" s="207" t="s">
        <v>330</v>
      </c>
      <c r="AA10" s="107" t="s">
        <v>331</v>
      </c>
      <c r="AB10" s="108">
        <v>43617</v>
      </c>
      <c r="AC10" s="108">
        <v>43676</v>
      </c>
      <c r="AD10" s="5">
        <v>1</v>
      </c>
      <c r="AE10" s="53" t="s">
        <v>17</v>
      </c>
      <c r="AF10" s="165" t="s">
        <v>332</v>
      </c>
      <c r="AG10" s="105"/>
      <c r="AH10" s="105"/>
      <c r="AI10" s="92"/>
      <c r="AJ10" s="92"/>
      <c r="AK10" s="92"/>
      <c r="AL10" s="92"/>
    </row>
    <row r="11" spans="1:38" ht="204" customHeight="1">
      <c r="A11" s="963"/>
      <c r="B11" s="598"/>
      <c r="C11" s="598"/>
      <c r="D11" s="702"/>
      <c r="E11" s="702"/>
      <c r="F11" s="800"/>
      <c r="G11" s="804"/>
      <c r="H11" s="598"/>
      <c r="I11" s="848"/>
      <c r="J11" s="848"/>
      <c r="K11" s="848"/>
      <c r="L11" s="848"/>
      <c r="M11" s="848"/>
      <c r="N11" s="848"/>
      <c r="O11" s="848"/>
      <c r="P11" s="848"/>
      <c r="Q11" s="848"/>
      <c r="R11" s="848"/>
      <c r="S11" s="106"/>
      <c r="T11" s="848"/>
      <c r="U11" s="848"/>
      <c r="V11" s="846"/>
      <c r="W11" s="618" t="s">
        <v>333</v>
      </c>
      <c r="X11" s="618"/>
      <c r="Y11" s="618"/>
      <c r="Z11" s="208" t="s">
        <v>334</v>
      </c>
      <c r="AA11" s="107" t="s">
        <v>335</v>
      </c>
      <c r="AB11" s="108">
        <v>43511</v>
      </c>
      <c r="AC11" s="108">
        <v>44165</v>
      </c>
      <c r="AD11" s="5">
        <v>0.15</v>
      </c>
      <c r="AE11" s="53" t="s">
        <v>19</v>
      </c>
      <c r="AF11" s="165" t="s">
        <v>336</v>
      </c>
      <c r="AG11" s="105"/>
      <c r="AH11" s="105"/>
      <c r="AI11" s="92"/>
      <c r="AJ11" s="92"/>
      <c r="AK11" s="92"/>
      <c r="AL11" s="92"/>
    </row>
    <row r="12" spans="1:38" ht="84.75" customHeight="1" thickBot="1">
      <c r="A12" s="964"/>
      <c r="B12" s="622"/>
      <c r="C12" s="622"/>
      <c r="D12" s="708"/>
      <c r="E12" s="708"/>
      <c r="F12" s="640"/>
      <c r="G12" s="614"/>
      <c r="H12" s="622"/>
      <c r="I12" s="625"/>
      <c r="J12" s="625"/>
      <c r="K12" s="625"/>
      <c r="L12" s="625"/>
      <c r="M12" s="625"/>
      <c r="N12" s="625"/>
      <c r="O12" s="625"/>
      <c r="P12" s="625"/>
      <c r="Q12" s="625"/>
      <c r="R12" s="625"/>
      <c r="S12" s="120"/>
      <c r="T12" s="625"/>
      <c r="U12" s="625"/>
      <c r="V12" s="637"/>
      <c r="W12" s="1177" t="s">
        <v>337</v>
      </c>
      <c r="X12" s="1177"/>
      <c r="Y12" s="1177"/>
      <c r="Z12" s="210" t="s">
        <v>338</v>
      </c>
      <c r="AA12" s="112" t="s">
        <v>339</v>
      </c>
      <c r="AB12" s="113">
        <v>43497</v>
      </c>
      <c r="AC12" s="113">
        <v>43829</v>
      </c>
      <c r="AD12" s="114">
        <v>1</v>
      </c>
      <c r="AE12" s="115" t="s">
        <v>17</v>
      </c>
      <c r="AF12" s="196" t="s">
        <v>340</v>
      </c>
      <c r="AG12" s="105"/>
      <c r="AH12" s="105"/>
      <c r="AI12" s="92"/>
      <c r="AJ12" s="92"/>
      <c r="AK12" s="92"/>
      <c r="AL12" s="92"/>
    </row>
    <row r="13" spans="1:38" ht="126.75" customHeight="1" thickBot="1">
      <c r="A13" s="211"/>
      <c r="B13" s="212"/>
      <c r="C13" s="148">
        <v>3</v>
      </c>
      <c r="D13" s="981" t="s">
        <v>341</v>
      </c>
      <c r="E13" s="981"/>
      <c r="F13" s="197" t="s">
        <v>324</v>
      </c>
      <c r="G13" s="213" t="s">
        <v>10</v>
      </c>
      <c r="H13" s="212" t="s">
        <v>25</v>
      </c>
      <c r="I13" s="840" t="s">
        <v>162</v>
      </c>
      <c r="J13" s="841"/>
      <c r="K13" s="841"/>
      <c r="L13" s="841"/>
      <c r="M13" s="841"/>
      <c r="N13" s="842"/>
      <c r="O13" s="840" t="s">
        <v>162</v>
      </c>
      <c r="P13" s="841"/>
      <c r="Q13" s="841"/>
      <c r="R13" s="842"/>
      <c r="S13" s="191"/>
      <c r="T13" s="840" t="s">
        <v>162</v>
      </c>
      <c r="U13" s="842"/>
      <c r="V13" s="178" t="s">
        <v>162</v>
      </c>
      <c r="W13" s="1172" t="s">
        <v>342</v>
      </c>
      <c r="X13" s="1172"/>
      <c r="Y13" s="1172"/>
      <c r="Z13" s="214" t="s">
        <v>343</v>
      </c>
      <c r="AA13" s="215" t="s">
        <v>344</v>
      </c>
      <c r="AB13" s="200">
        <v>43497</v>
      </c>
      <c r="AC13" s="200">
        <v>43646</v>
      </c>
      <c r="AD13" s="216">
        <v>0.7</v>
      </c>
      <c r="AE13" s="148" t="s">
        <v>19</v>
      </c>
      <c r="AF13" s="217" t="s">
        <v>345</v>
      </c>
      <c r="AG13" s="105"/>
      <c r="AH13" s="105"/>
      <c r="AI13" s="92"/>
      <c r="AJ13" s="92"/>
      <c r="AK13" s="92"/>
      <c r="AL13" s="92"/>
    </row>
    <row r="14" spans="1:38" ht="51.75" customHeight="1">
      <c r="A14" s="633"/>
      <c r="B14" s="633"/>
      <c r="C14" s="633">
        <v>4</v>
      </c>
      <c r="D14" s="724" t="s">
        <v>346</v>
      </c>
      <c r="E14" s="725"/>
      <c r="F14" s="729" t="s">
        <v>347</v>
      </c>
      <c r="G14" s="732" t="s">
        <v>28</v>
      </c>
      <c r="H14" s="633" t="s">
        <v>25</v>
      </c>
      <c r="I14" s="739" t="s">
        <v>162</v>
      </c>
      <c r="J14" s="740"/>
      <c r="K14" s="740"/>
      <c r="L14" s="740"/>
      <c r="M14" s="740"/>
      <c r="N14" s="741"/>
      <c r="O14" s="739" t="s">
        <v>162</v>
      </c>
      <c r="P14" s="740"/>
      <c r="Q14" s="740"/>
      <c r="R14" s="741"/>
      <c r="S14" s="172"/>
      <c r="T14" s="739" t="s">
        <v>162</v>
      </c>
      <c r="U14" s="741"/>
      <c r="V14" s="713" t="s">
        <v>162</v>
      </c>
      <c r="W14" s="1166" t="s">
        <v>348</v>
      </c>
      <c r="X14" s="1167"/>
      <c r="Y14" s="1168"/>
      <c r="Z14" s="218" t="s">
        <v>349</v>
      </c>
      <c r="AA14" s="218" t="s">
        <v>350</v>
      </c>
      <c r="AB14" s="219">
        <v>43467</v>
      </c>
      <c r="AC14" s="219">
        <v>44012</v>
      </c>
      <c r="AD14" s="220">
        <v>0.3</v>
      </c>
      <c r="AE14" s="52" t="s">
        <v>16</v>
      </c>
      <c r="AF14" s="221" t="s">
        <v>351</v>
      </c>
    </row>
    <row r="15" spans="1:38" ht="90" customHeight="1">
      <c r="A15" s="633"/>
      <c r="B15" s="633"/>
      <c r="C15" s="633"/>
      <c r="D15" s="724"/>
      <c r="E15" s="725"/>
      <c r="F15" s="729"/>
      <c r="G15" s="732"/>
      <c r="H15" s="633"/>
      <c r="I15" s="739"/>
      <c r="J15" s="740"/>
      <c r="K15" s="740"/>
      <c r="L15" s="740"/>
      <c r="M15" s="740"/>
      <c r="N15" s="741"/>
      <c r="O15" s="739"/>
      <c r="P15" s="740"/>
      <c r="Q15" s="740"/>
      <c r="R15" s="741"/>
      <c r="S15" s="106"/>
      <c r="T15" s="739"/>
      <c r="U15" s="741"/>
      <c r="V15" s="713"/>
      <c r="W15" s="703" t="s">
        <v>352</v>
      </c>
      <c r="X15" s="847"/>
      <c r="Y15" s="704"/>
      <c r="Z15" s="222" t="s">
        <v>353</v>
      </c>
      <c r="AA15" s="222" t="s">
        <v>354</v>
      </c>
      <c r="AB15" s="219">
        <v>43525</v>
      </c>
      <c r="AC15" s="219">
        <v>44134</v>
      </c>
      <c r="AD15" s="5">
        <v>0.3</v>
      </c>
      <c r="AE15" s="53" t="s">
        <v>16</v>
      </c>
      <c r="AF15" s="67" t="s">
        <v>355</v>
      </c>
    </row>
    <row r="16" spans="1:38" ht="75" customHeight="1">
      <c r="A16" s="633"/>
      <c r="B16" s="633"/>
      <c r="C16" s="633"/>
      <c r="D16" s="724"/>
      <c r="E16" s="725"/>
      <c r="F16" s="729"/>
      <c r="G16" s="732"/>
      <c r="H16" s="633"/>
      <c r="I16" s="739"/>
      <c r="J16" s="740"/>
      <c r="K16" s="740"/>
      <c r="L16" s="740"/>
      <c r="M16" s="740"/>
      <c r="N16" s="741"/>
      <c r="O16" s="739"/>
      <c r="P16" s="740"/>
      <c r="Q16" s="740"/>
      <c r="R16" s="741"/>
      <c r="S16" s="106"/>
      <c r="T16" s="739"/>
      <c r="U16" s="741"/>
      <c r="V16" s="713"/>
      <c r="W16" s="703" t="s">
        <v>356</v>
      </c>
      <c r="X16" s="847"/>
      <c r="Y16" s="704"/>
      <c r="Z16" s="223" t="s">
        <v>357</v>
      </c>
      <c r="AA16" s="224" t="s">
        <v>358</v>
      </c>
      <c r="AB16" s="219">
        <v>43497</v>
      </c>
      <c r="AC16" s="219">
        <v>43738</v>
      </c>
      <c r="AD16" s="5">
        <v>1</v>
      </c>
      <c r="AE16" s="53" t="s">
        <v>17</v>
      </c>
      <c r="AF16" s="67" t="s">
        <v>372</v>
      </c>
    </row>
    <row r="17" spans="1:38" ht="69.75" customHeight="1" thickBot="1">
      <c r="A17" s="633"/>
      <c r="B17" s="633"/>
      <c r="C17" s="633"/>
      <c r="D17" s="724"/>
      <c r="E17" s="725"/>
      <c r="F17" s="729"/>
      <c r="G17" s="732"/>
      <c r="H17" s="633"/>
      <c r="I17" s="739"/>
      <c r="J17" s="740"/>
      <c r="K17" s="740"/>
      <c r="L17" s="740"/>
      <c r="M17" s="740"/>
      <c r="N17" s="741"/>
      <c r="O17" s="739"/>
      <c r="P17" s="740"/>
      <c r="Q17" s="740"/>
      <c r="R17" s="741"/>
      <c r="S17" s="173"/>
      <c r="T17" s="739"/>
      <c r="U17" s="741"/>
      <c r="V17" s="713"/>
      <c r="W17" s="849" t="s">
        <v>359</v>
      </c>
      <c r="X17" s="850"/>
      <c r="Y17" s="851"/>
      <c r="Z17" s="225" t="s">
        <v>360</v>
      </c>
      <c r="AA17" s="226" t="s">
        <v>361</v>
      </c>
      <c r="AB17" s="227">
        <v>43525</v>
      </c>
      <c r="AC17" s="227">
        <v>43676</v>
      </c>
      <c r="AD17" s="174">
        <v>1</v>
      </c>
      <c r="AE17" s="133" t="s">
        <v>17</v>
      </c>
      <c r="AF17" s="228" t="s">
        <v>362</v>
      </c>
    </row>
    <row r="18" spans="1:38" ht="119.25" customHeight="1" thickBot="1">
      <c r="A18" s="211"/>
      <c r="B18" s="212"/>
      <c r="C18" s="148">
        <v>5</v>
      </c>
      <c r="D18" s="1169" t="s">
        <v>363</v>
      </c>
      <c r="E18" s="1170"/>
      <c r="F18" s="197" t="s">
        <v>364</v>
      </c>
      <c r="G18" s="213" t="s">
        <v>38</v>
      </c>
      <c r="H18" s="212" t="s">
        <v>25</v>
      </c>
      <c r="I18" s="840" t="s">
        <v>162</v>
      </c>
      <c r="J18" s="841"/>
      <c r="K18" s="841"/>
      <c r="L18" s="841"/>
      <c r="M18" s="841"/>
      <c r="N18" s="842"/>
      <c r="O18" s="840" t="s">
        <v>162</v>
      </c>
      <c r="P18" s="841"/>
      <c r="Q18" s="841"/>
      <c r="R18" s="842"/>
      <c r="S18" s="191"/>
      <c r="T18" s="840" t="s">
        <v>162</v>
      </c>
      <c r="U18" s="842"/>
      <c r="V18" s="229" t="s">
        <v>365</v>
      </c>
      <c r="W18" s="838" t="s">
        <v>366</v>
      </c>
      <c r="X18" s="1171"/>
      <c r="Y18" s="839"/>
      <c r="Z18" s="230" t="s">
        <v>367</v>
      </c>
      <c r="AA18" s="230" t="s">
        <v>368</v>
      </c>
      <c r="AB18" s="200">
        <v>43678</v>
      </c>
      <c r="AC18" s="200">
        <v>44012</v>
      </c>
      <c r="AD18" s="216">
        <v>0</v>
      </c>
      <c r="AE18" s="148"/>
      <c r="AF18" s="155" t="s">
        <v>680</v>
      </c>
      <c r="AG18" s="105"/>
      <c r="AH18" s="105"/>
      <c r="AI18" s="92"/>
      <c r="AJ18" s="92"/>
      <c r="AK18" s="92"/>
      <c r="AL18" s="92"/>
    </row>
    <row r="19" spans="1:38" ht="6" customHeight="1">
      <c r="A19" s="643"/>
      <c r="B19" s="643"/>
      <c r="C19" s="643"/>
      <c r="D19" s="643"/>
      <c r="E19" s="643"/>
      <c r="F19" s="643"/>
      <c r="G19" s="643"/>
      <c r="H19" s="643"/>
      <c r="I19" s="643"/>
      <c r="J19" s="643"/>
      <c r="K19" s="643"/>
      <c r="L19" s="643"/>
      <c r="M19" s="643"/>
      <c r="N19" s="643"/>
      <c r="O19" s="643"/>
      <c r="P19" s="643"/>
      <c r="Q19" s="643"/>
      <c r="R19" s="643"/>
      <c r="S19" s="643"/>
      <c r="T19" s="643"/>
      <c r="U19" s="643"/>
      <c r="V19" s="643"/>
      <c r="W19" s="643"/>
      <c r="X19" s="643"/>
      <c r="Y19" s="643"/>
      <c r="Z19" s="643"/>
      <c r="AA19" s="643"/>
      <c r="AB19" s="643"/>
      <c r="AC19" s="643"/>
      <c r="AD19" s="643"/>
      <c r="AE19" s="643"/>
      <c r="AF19" s="643"/>
    </row>
    <row r="20" spans="1:38" ht="12.75" customHeight="1">
      <c r="A20" s="644" t="s">
        <v>22</v>
      </c>
      <c r="B20" s="644"/>
      <c r="C20" s="644"/>
      <c r="D20" s="644"/>
      <c r="E20" s="644"/>
      <c r="F20" s="644"/>
      <c r="G20" s="644"/>
      <c r="H20" s="644"/>
      <c r="I20" s="644"/>
      <c r="J20" s="644"/>
      <c r="K20" s="644"/>
      <c r="L20" s="4"/>
      <c r="M20" s="4"/>
      <c r="N20" s="645" t="s">
        <v>34</v>
      </c>
      <c r="O20" s="645"/>
      <c r="P20" s="645"/>
      <c r="Q20" s="645"/>
      <c r="R20" s="645"/>
      <c r="S20" s="645"/>
      <c r="T20" s="645"/>
      <c r="U20" s="645"/>
      <c r="V20" s="645"/>
      <c r="W20" s="645"/>
      <c r="X20" s="645"/>
      <c r="Y20" s="645"/>
      <c r="Z20" s="645"/>
      <c r="AA20" s="645"/>
      <c r="AB20" s="645"/>
      <c r="AC20" s="646" t="s">
        <v>35</v>
      </c>
      <c r="AD20" s="646"/>
      <c r="AE20" s="646"/>
      <c r="AF20" s="646"/>
    </row>
    <row r="21" spans="1:38">
      <c r="A21" s="644"/>
      <c r="B21" s="644"/>
      <c r="C21" s="644"/>
      <c r="D21" s="644"/>
      <c r="E21" s="644"/>
      <c r="F21" s="644"/>
      <c r="G21" s="644"/>
      <c r="H21" s="644"/>
      <c r="I21" s="644"/>
      <c r="J21" s="644"/>
      <c r="K21" s="644"/>
      <c r="L21" s="4"/>
      <c r="M21" s="4"/>
      <c r="N21" s="645"/>
      <c r="O21" s="645"/>
      <c r="P21" s="645"/>
      <c r="Q21" s="645"/>
      <c r="R21" s="645"/>
      <c r="S21" s="645"/>
      <c r="T21" s="645"/>
      <c r="U21" s="645"/>
      <c r="V21" s="645"/>
      <c r="W21" s="645"/>
      <c r="X21" s="645"/>
      <c r="Y21" s="645"/>
      <c r="Z21" s="645"/>
      <c r="AA21" s="645"/>
      <c r="AB21" s="645"/>
      <c r="AC21" s="646"/>
      <c r="AD21" s="646"/>
      <c r="AE21" s="646"/>
      <c r="AF21" s="646"/>
    </row>
    <row r="22" spans="1:38" ht="38.25" customHeight="1">
      <c r="A22" s="1164" t="s">
        <v>369</v>
      </c>
      <c r="B22" s="1165"/>
      <c r="C22" s="1165"/>
      <c r="D22" s="1165"/>
      <c r="E22" s="1165"/>
      <c r="F22" s="1165"/>
      <c r="G22" s="1165"/>
      <c r="H22" s="1165"/>
      <c r="I22" s="1165"/>
      <c r="J22" s="1165"/>
      <c r="K22" s="1165"/>
      <c r="L22" s="4"/>
      <c r="M22" s="4"/>
      <c r="N22" s="650" t="s">
        <v>370</v>
      </c>
      <c r="O22" s="650"/>
      <c r="P22" s="650"/>
      <c r="Q22" s="650"/>
      <c r="R22" s="650"/>
      <c r="S22" s="650"/>
      <c r="T22" s="650"/>
      <c r="U22" s="650"/>
      <c r="V22" s="650"/>
      <c r="W22" s="650"/>
      <c r="X22" s="650"/>
      <c r="Y22" s="650"/>
      <c r="Z22" s="650"/>
      <c r="AA22" s="650"/>
      <c r="AB22" s="650"/>
      <c r="AC22" s="651" t="s">
        <v>371</v>
      </c>
      <c r="AD22" s="651"/>
      <c r="AE22" s="651"/>
      <c r="AF22" s="651"/>
    </row>
    <row r="23" spans="1:38" ht="15" customHeight="1">
      <c r="A23" s="641" t="s">
        <v>36</v>
      </c>
      <c r="B23" s="641"/>
      <c r="C23" s="641"/>
      <c r="D23" s="641"/>
      <c r="E23" s="641"/>
      <c r="F23" s="641"/>
      <c r="G23" s="641"/>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8" ht="15.75" customHeight="1">
      <c r="A24" s="642"/>
      <c r="B24" s="642"/>
      <c r="C24" s="642"/>
      <c r="D24" s="642"/>
      <c r="E24" s="642"/>
      <c r="F24" s="642"/>
      <c r="G24" s="642"/>
      <c r="H24" s="642"/>
      <c r="I24" s="642"/>
      <c r="J24" s="642"/>
      <c r="K24" s="642"/>
      <c r="L24" s="642"/>
      <c r="M24" s="642"/>
      <c r="N24" s="642"/>
      <c r="O24" s="642"/>
      <c r="P24" s="642"/>
      <c r="Q24" s="642"/>
      <c r="R24" s="642"/>
      <c r="S24" s="642"/>
      <c r="T24" s="642"/>
      <c r="U24" s="642"/>
      <c r="V24" s="642"/>
      <c r="W24" s="642"/>
      <c r="X24" s="642"/>
      <c r="Y24" s="642"/>
      <c r="Z24" s="642"/>
      <c r="AA24" s="642"/>
      <c r="AB24" s="642"/>
      <c r="AC24" s="642"/>
      <c r="AD24" s="642"/>
      <c r="AE24" s="642"/>
      <c r="AF24" s="642"/>
      <c r="AG24" s="642"/>
    </row>
    <row r="25" spans="1:38" ht="22.5" customHeight="1">
      <c r="A25" s="642"/>
      <c r="B25" s="642"/>
      <c r="C25" s="642"/>
      <c r="D25" s="642"/>
      <c r="E25" s="642"/>
      <c r="F25" s="642"/>
      <c r="G25" s="642"/>
      <c r="H25" s="642"/>
      <c r="I25" s="642"/>
      <c r="J25" s="642"/>
      <c r="K25" s="642"/>
      <c r="L25" s="642"/>
      <c r="M25" s="642"/>
      <c r="N25" s="642"/>
      <c r="O25" s="642"/>
      <c r="P25" s="642"/>
      <c r="Q25" s="642"/>
      <c r="R25" s="642"/>
      <c r="S25" s="642"/>
      <c r="T25" s="642"/>
      <c r="U25" s="642"/>
      <c r="V25" s="642"/>
      <c r="W25" s="642"/>
      <c r="X25" s="642"/>
      <c r="Y25" s="642"/>
      <c r="Z25" s="642"/>
      <c r="AA25" s="642"/>
      <c r="AB25" s="642"/>
      <c r="AC25" s="642"/>
      <c r="AD25" s="642"/>
      <c r="AE25" s="642"/>
      <c r="AF25" s="642"/>
      <c r="AG25" s="8"/>
      <c r="AH25" s="8"/>
    </row>
    <row r="28" spans="1:38" ht="24.75" customHeight="1">
      <c r="AI28" s="6" t="s">
        <v>38</v>
      </c>
    </row>
    <row r="29" spans="1:38" ht="24.75" customHeight="1">
      <c r="AI29" s="6" t="s">
        <v>10</v>
      </c>
    </row>
    <row r="30" spans="1:38" ht="24.75" customHeight="1">
      <c r="AI30" s="6" t="s">
        <v>42</v>
      </c>
    </row>
    <row r="31" spans="1:38" ht="24.75" customHeight="1">
      <c r="AI31" s="6" t="s">
        <v>43</v>
      </c>
    </row>
    <row r="32" spans="1:38" ht="24.75" customHeight="1">
      <c r="AI32" s="6" t="s">
        <v>44</v>
      </c>
    </row>
    <row r="33" spans="35:35" ht="24.75" customHeight="1">
      <c r="AI33" s="6" t="s">
        <v>26</v>
      </c>
    </row>
    <row r="34" spans="35:35" ht="24.75" customHeight="1">
      <c r="AI34" s="6" t="s">
        <v>27</v>
      </c>
    </row>
    <row r="35" spans="35:35" ht="24.75" customHeight="1">
      <c r="AI35" s="6" t="s">
        <v>28</v>
      </c>
    </row>
    <row r="36" spans="35:35" ht="24.75" customHeight="1">
      <c r="AI36" s="6" t="s">
        <v>30</v>
      </c>
    </row>
    <row r="37" spans="35:35" ht="24.75" customHeight="1">
      <c r="AI37" s="6" t="s">
        <v>29</v>
      </c>
    </row>
    <row r="38" spans="35:35" ht="24.75" customHeight="1">
      <c r="AI38" s="6" t="s">
        <v>31</v>
      </c>
    </row>
    <row r="39" spans="35:35" ht="24.75" customHeight="1">
      <c r="AI39" s="6" t="s">
        <v>32</v>
      </c>
    </row>
    <row r="40" spans="35:35" ht="51">
      <c r="AI40" s="6" t="s">
        <v>33</v>
      </c>
    </row>
  </sheetData>
  <mergeCells count="84">
    <mergeCell ref="A4:D4"/>
    <mergeCell ref="E4:U4"/>
    <mergeCell ref="V4:W4"/>
    <mergeCell ref="X4:AC4"/>
    <mergeCell ref="AD4:AE4"/>
    <mergeCell ref="A1:B2"/>
    <mergeCell ref="C1:AE1"/>
    <mergeCell ref="AF1:AF2"/>
    <mergeCell ref="C2:AE2"/>
    <mergeCell ref="A3:AF3"/>
    <mergeCell ref="AF6:AF7"/>
    <mergeCell ref="A5:AF5"/>
    <mergeCell ref="A6:B6"/>
    <mergeCell ref="C6:C7"/>
    <mergeCell ref="D6:E7"/>
    <mergeCell ref="F6:F7"/>
    <mergeCell ref="G6:G7"/>
    <mergeCell ref="H6:H7"/>
    <mergeCell ref="I6:U6"/>
    <mergeCell ref="V6:V7"/>
    <mergeCell ref="W6:Y7"/>
    <mergeCell ref="Z6:Z7"/>
    <mergeCell ref="AA6:AA7"/>
    <mergeCell ref="AB6:AC6"/>
    <mergeCell ref="AD6:AD7"/>
    <mergeCell ref="AE6:AE7"/>
    <mergeCell ref="I7:N7"/>
    <mergeCell ref="O7:S7"/>
    <mergeCell ref="T7:U7"/>
    <mergeCell ref="D8:E8"/>
    <mergeCell ref="I8:N8"/>
    <mergeCell ref="O8:R8"/>
    <mergeCell ref="T8:U8"/>
    <mergeCell ref="W8:Y8"/>
    <mergeCell ref="A9:A12"/>
    <mergeCell ref="B9:B12"/>
    <mergeCell ref="C9:C12"/>
    <mergeCell ref="D9:E12"/>
    <mergeCell ref="F9:F12"/>
    <mergeCell ref="G9:G12"/>
    <mergeCell ref="H9:H12"/>
    <mergeCell ref="I9:N12"/>
    <mergeCell ref="O9:R12"/>
    <mergeCell ref="T9:U12"/>
    <mergeCell ref="V9:V12"/>
    <mergeCell ref="W9:Y9"/>
    <mergeCell ref="W10:Y10"/>
    <mergeCell ref="W11:Y11"/>
    <mergeCell ref="W12:Y12"/>
    <mergeCell ref="A14:A17"/>
    <mergeCell ref="B14:B17"/>
    <mergeCell ref="C14:C17"/>
    <mergeCell ref="D14:E17"/>
    <mergeCell ref="F14:F17"/>
    <mergeCell ref="D13:E13"/>
    <mergeCell ref="I13:N13"/>
    <mergeCell ref="O13:R13"/>
    <mergeCell ref="T13:U13"/>
    <mergeCell ref="W13:Y13"/>
    <mergeCell ref="W14:Y14"/>
    <mergeCell ref="W15:Y15"/>
    <mergeCell ref="W16:Y16"/>
    <mergeCell ref="W17:Y17"/>
    <mergeCell ref="D18:E18"/>
    <mergeCell ref="I18:N18"/>
    <mergeCell ref="O18:R18"/>
    <mergeCell ref="T18:U18"/>
    <mergeCell ref="W18:Y18"/>
    <mergeCell ref="G14:G17"/>
    <mergeCell ref="H14:H17"/>
    <mergeCell ref="I14:N17"/>
    <mergeCell ref="O14:R17"/>
    <mergeCell ref="T14:U17"/>
    <mergeCell ref="V14:V17"/>
    <mergeCell ref="A23:AF23"/>
    <mergeCell ref="A24:AG24"/>
    <mergeCell ref="A25:AF25"/>
    <mergeCell ref="A19:AF19"/>
    <mergeCell ref="A20:K21"/>
    <mergeCell ref="N20:AB21"/>
    <mergeCell ref="AC20:AF21"/>
    <mergeCell ref="A22:K22"/>
    <mergeCell ref="N22:AB22"/>
    <mergeCell ref="AC22:AF22"/>
  </mergeCells>
  <conditionalFormatting sqref="AD8:AD13">
    <cfRule type="cellIs" dxfId="85" priority="19" operator="between">
      <formula>0.001</formula>
      <formula>0.99</formula>
    </cfRule>
    <cfRule type="cellIs" dxfId="84" priority="20" operator="equal">
      <formula>1</formula>
    </cfRule>
    <cfRule type="cellIs" dxfId="83" priority="21" operator="equal">
      <formula>0</formula>
    </cfRule>
  </conditionalFormatting>
  <conditionalFormatting sqref="AD8:AD13">
    <cfRule type="cellIs" dxfId="82" priority="22" operator="between">
      <formula>0.01</formula>
      <formula>0.99</formula>
    </cfRule>
    <cfRule type="cellIs" dxfId="81" priority="23" operator="equal">
      <formula>1</formula>
    </cfRule>
    <cfRule type="cellIs" dxfId="80" priority="24" operator="equal">
      <formula>0</formula>
    </cfRule>
  </conditionalFormatting>
  <conditionalFormatting sqref="AA8:AA13">
    <cfRule type="cellIs" dxfId="79" priority="17" stopIfTrue="1" operator="greaterThan">
      <formula>#REF!</formula>
    </cfRule>
    <cfRule type="cellIs" dxfId="78" priority="18" stopIfTrue="1" operator="lessThan">
      <formula>#REF!</formula>
    </cfRule>
  </conditionalFormatting>
  <conditionalFormatting sqref="AD14:AD17">
    <cfRule type="cellIs" dxfId="77" priority="11" operator="between">
      <formula>0.001</formula>
      <formula>0.99</formula>
    </cfRule>
    <cfRule type="cellIs" dxfId="76" priority="12" operator="equal">
      <formula>1</formula>
    </cfRule>
    <cfRule type="cellIs" dxfId="75" priority="13" operator="equal">
      <formula>0</formula>
    </cfRule>
  </conditionalFormatting>
  <conditionalFormatting sqref="AD14:AD17">
    <cfRule type="cellIs" dxfId="74" priority="14" operator="between">
      <formula>0.01</formula>
      <formula>0.99</formula>
    </cfRule>
    <cfRule type="cellIs" dxfId="73" priority="15" operator="equal">
      <formula>1</formula>
    </cfRule>
    <cfRule type="cellIs" dxfId="72" priority="16" operator="equal">
      <formula>0</formula>
    </cfRule>
  </conditionalFormatting>
  <conditionalFormatting sqref="AA14:AA17">
    <cfRule type="cellIs" dxfId="71" priority="9" stopIfTrue="1" operator="greaterThan">
      <formula>#REF!</formula>
    </cfRule>
    <cfRule type="cellIs" dxfId="70" priority="10" stopIfTrue="1" operator="lessThan">
      <formula>#REF!</formula>
    </cfRule>
  </conditionalFormatting>
  <conditionalFormatting sqref="AD18">
    <cfRule type="cellIs" dxfId="69" priority="3" operator="between">
      <formula>0.001</formula>
      <formula>0.99</formula>
    </cfRule>
    <cfRule type="cellIs" dxfId="68" priority="4" operator="equal">
      <formula>1</formula>
    </cfRule>
    <cfRule type="cellIs" dxfId="67" priority="5" operator="equal">
      <formula>0</formula>
    </cfRule>
  </conditionalFormatting>
  <conditionalFormatting sqref="AD18">
    <cfRule type="cellIs" dxfId="66" priority="6" operator="between">
      <formula>0.01</formula>
      <formula>0.99</formula>
    </cfRule>
    <cfRule type="cellIs" dxfId="65" priority="7" operator="equal">
      <formula>1</formula>
    </cfRule>
    <cfRule type="cellIs" dxfId="64" priority="8" operator="equal">
      <formula>0</formula>
    </cfRule>
  </conditionalFormatting>
  <conditionalFormatting sqref="AA18">
    <cfRule type="cellIs" dxfId="63" priority="1" stopIfTrue="1" operator="greaterThan">
      <formula>#REF!</formula>
    </cfRule>
    <cfRule type="cellIs" dxfId="62" priority="2" stopIfTrue="1" operator="lessThan">
      <formula>#REF!</formula>
    </cfRule>
  </conditionalFormatting>
  <dataValidations count="6">
    <dataValidation showInputMessage="1" showErrorMessage="1" error="Debe Digitar una Fecha Valida o Verificar la Fecha Inicial" sqref="AD8"/>
    <dataValidation type="date" showInputMessage="1" showErrorMessage="1" error="Debe Digitar una Fecha Valida o Verificar la Fecha Inicial" sqref="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AC65550:AC65554 JY65550:JY65554 TU65550:TU65554 ADQ65550:ADQ65554 ANM65550:ANM65554 AXI65550:AXI65554 BHE65550:BHE65554 BRA65550:BRA65554 CAW65550:CAW65554 CKS65550:CKS65554 CUO65550:CUO65554 DEK65550:DEK65554 DOG65550:DOG65554 DYC65550:DYC65554 EHY65550:EHY65554 ERU65550:ERU65554 FBQ65550:FBQ65554 FLM65550:FLM65554 FVI65550:FVI65554 GFE65550:GFE65554 GPA65550:GPA65554 GYW65550:GYW65554 HIS65550:HIS65554 HSO65550:HSO65554 ICK65550:ICK65554 IMG65550:IMG65554 IWC65550:IWC65554 JFY65550:JFY65554 JPU65550:JPU65554 JZQ65550:JZQ65554 KJM65550:KJM65554 KTI65550:KTI65554 LDE65550:LDE65554 LNA65550:LNA65554 LWW65550:LWW65554 MGS65550:MGS65554 MQO65550:MQO65554 NAK65550:NAK65554 NKG65550:NKG65554 NUC65550:NUC65554 ODY65550:ODY65554 ONU65550:ONU65554 OXQ65550:OXQ65554 PHM65550:PHM65554 PRI65550:PRI65554 QBE65550:QBE65554 QLA65550:QLA65554 QUW65550:QUW65554 RES65550:RES65554 ROO65550:ROO65554 RYK65550:RYK65554 SIG65550:SIG65554 SSC65550:SSC65554 TBY65550:TBY65554 TLU65550:TLU65554 TVQ65550:TVQ65554 UFM65550:UFM65554 UPI65550:UPI65554 UZE65550:UZE65554 VJA65550:VJA65554 VSW65550:VSW65554 WCS65550:WCS65554 WMO65550:WMO65554 WWK65550:WWK65554 AC131086:AC131090 JY131086:JY131090 TU131086:TU131090 ADQ131086:ADQ131090 ANM131086:ANM131090 AXI131086:AXI131090 BHE131086:BHE131090 BRA131086:BRA131090 CAW131086:CAW131090 CKS131086:CKS131090 CUO131086:CUO131090 DEK131086:DEK131090 DOG131086:DOG131090 DYC131086:DYC131090 EHY131086:EHY131090 ERU131086:ERU131090 FBQ131086:FBQ131090 FLM131086:FLM131090 FVI131086:FVI131090 GFE131086:GFE131090 GPA131086:GPA131090 GYW131086:GYW131090 HIS131086:HIS131090 HSO131086:HSO131090 ICK131086:ICK131090 IMG131086:IMG131090 IWC131086:IWC131090 JFY131086:JFY131090 JPU131086:JPU131090 JZQ131086:JZQ131090 KJM131086:KJM131090 KTI131086:KTI131090 LDE131086:LDE131090 LNA131086:LNA131090 LWW131086:LWW131090 MGS131086:MGS131090 MQO131086:MQO131090 NAK131086:NAK131090 NKG131086:NKG131090 NUC131086:NUC131090 ODY131086:ODY131090 ONU131086:ONU131090 OXQ131086:OXQ131090 PHM131086:PHM131090 PRI131086:PRI131090 QBE131086:QBE131090 QLA131086:QLA131090 QUW131086:QUW131090 RES131086:RES131090 ROO131086:ROO131090 RYK131086:RYK131090 SIG131086:SIG131090 SSC131086:SSC131090 TBY131086:TBY131090 TLU131086:TLU131090 TVQ131086:TVQ131090 UFM131086:UFM131090 UPI131086:UPI131090 UZE131086:UZE131090 VJA131086:VJA131090 VSW131086:VSW131090 WCS131086:WCS131090 WMO131086:WMO131090 WWK131086:WWK131090 AC196622:AC196626 JY196622:JY196626 TU196622:TU196626 ADQ196622:ADQ196626 ANM196622:ANM196626 AXI196622:AXI196626 BHE196622:BHE196626 BRA196622:BRA196626 CAW196622:CAW196626 CKS196622:CKS196626 CUO196622:CUO196626 DEK196622:DEK196626 DOG196622:DOG196626 DYC196622:DYC196626 EHY196622:EHY196626 ERU196622:ERU196626 FBQ196622:FBQ196626 FLM196622:FLM196626 FVI196622:FVI196626 GFE196622:GFE196626 GPA196622:GPA196626 GYW196622:GYW196626 HIS196622:HIS196626 HSO196622:HSO196626 ICK196622:ICK196626 IMG196622:IMG196626 IWC196622:IWC196626 JFY196622:JFY196626 JPU196622:JPU196626 JZQ196622:JZQ196626 KJM196622:KJM196626 KTI196622:KTI196626 LDE196622:LDE196626 LNA196622:LNA196626 LWW196622:LWW196626 MGS196622:MGS196626 MQO196622:MQO196626 NAK196622:NAK196626 NKG196622:NKG196626 NUC196622:NUC196626 ODY196622:ODY196626 ONU196622:ONU196626 OXQ196622:OXQ196626 PHM196622:PHM196626 PRI196622:PRI196626 QBE196622:QBE196626 QLA196622:QLA196626 QUW196622:QUW196626 RES196622:RES196626 ROO196622:ROO196626 RYK196622:RYK196626 SIG196622:SIG196626 SSC196622:SSC196626 TBY196622:TBY196626 TLU196622:TLU196626 TVQ196622:TVQ196626 UFM196622:UFM196626 UPI196622:UPI196626 UZE196622:UZE196626 VJA196622:VJA196626 VSW196622:VSW196626 WCS196622:WCS196626 WMO196622:WMO196626 WWK196622:WWK196626 AC262158:AC262162 JY262158:JY262162 TU262158:TU262162 ADQ262158:ADQ262162 ANM262158:ANM262162 AXI262158:AXI262162 BHE262158:BHE262162 BRA262158:BRA262162 CAW262158:CAW262162 CKS262158:CKS262162 CUO262158:CUO262162 DEK262158:DEK262162 DOG262158:DOG262162 DYC262158:DYC262162 EHY262158:EHY262162 ERU262158:ERU262162 FBQ262158:FBQ262162 FLM262158:FLM262162 FVI262158:FVI262162 GFE262158:GFE262162 GPA262158:GPA262162 GYW262158:GYW262162 HIS262158:HIS262162 HSO262158:HSO262162 ICK262158:ICK262162 IMG262158:IMG262162 IWC262158:IWC262162 JFY262158:JFY262162 JPU262158:JPU262162 JZQ262158:JZQ262162 KJM262158:KJM262162 KTI262158:KTI262162 LDE262158:LDE262162 LNA262158:LNA262162 LWW262158:LWW262162 MGS262158:MGS262162 MQO262158:MQO262162 NAK262158:NAK262162 NKG262158:NKG262162 NUC262158:NUC262162 ODY262158:ODY262162 ONU262158:ONU262162 OXQ262158:OXQ262162 PHM262158:PHM262162 PRI262158:PRI262162 QBE262158:QBE262162 QLA262158:QLA262162 QUW262158:QUW262162 RES262158:RES262162 ROO262158:ROO262162 RYK262158:RYK262162 SIG262158:SIG262162 SSC262158:SSC262162 TBY262158:TBY262162 TLU262158:TLU262162 TVQ262158:TVQ262162 UFM262158:UFM262162 UPI262158:UPI262162 UZE262158:UZE262162 VJA262158:VJA262162 VSW262158:VSW262162 WCS262158:WCS262162 WMO262158:WMO262162 WWK262158:WWK262162 AC327694:AC327698 JY327694:JY327698 TU327694:TU327698 ADQ327694:ADQ327698 ANM327694:ANM327698 AXI327694:AXI327698 BHE327694:BHE327698 BRA327694:BRA327698 CAW327694:CAW327698 CKS327694:CKS327698 CUO327694:CUO327698 DEK327694:DEK327698 DOG327694:DOG327698 DYC327694:DYC327698 EHY327694:EHY327698 ERU327694:ERU327698 FBQ327694:FBQ327698 FLM327694:FLM327698 FVI327694:FVI327698 GFE327694:GFE327698 GPA327694:GPA327698 GYW327694:GYW327698 HIS327694:HIS327698 HSO327694:HSO327698 ICK327694:ICK327698 IMG327694:IMG327698 IWC327694:IWC327698 JFY327694:JFY327698 JPU327694:JPU327698 JZQ327694:JZQ327698 KJM327694:KJM327698 KTI327694:KTI327698 LDE327694:LDE327698 LNA327694:LNA327698 LWW327694:LWW327698 MGS327694:MGS327698 MQO327694:MQO327698 NAK327694:NAK327698 NKG327694:NKG327698 NUC327694:NUC327698 ODY327694:ODY327698 ONU327694:ONU327698 OXQ327694:OXQ327698 PHM327694:PHM327698 PRI327694:PRI327698 QBE327694:QBE327698 QLA327694:QLA327698 QUW327694:QUW327698 RES327694:RES327698 ROO327694:ROO327698 RYK327694:RYK327698 SIG327694:SIG327698 SSC327694:SSC327698 TBY327694:TBY327698 TLU327694:TLU327698 TVQ327694:TVQ327698 UFM327694:UFM327698 UPI327694:UPI327698 UZE327694:UZE327698 VJA327694:VJA327698 VSW327694:VSW327698 WCS327694:WCS327698 WMO327694:WMO327698 WWK327694:WWK327698 AC393230:AC393234 JY393230:JY393234 TU393230:TU393234 ADQ393230:ADQ393234 ANM393230:ANM393234 AXI393230:AXI393234 BHE393230:BHE393234 BRA393230:BRA393234 CAW393230:CAW393234 CKS393230:CKS393234 CUO393230:CUO393234 DEK393230:DEK393234 DOG393230:DOG393234 DYC393230:DYC393234 EHY393230:EHY393234 ERU393230:ERU393234 FBQ393230:FBQ393234 FLM393230:FLM393234 FVI393230:FVI393234 GFE393230:GFE393234 GPA393230:GPA393234 GYW393230:GYW393234 HIS393230:HIS393234 HSO393230:HSO393234 ICK393230:ICK393234 IMG393230:IMG393234 IWC393230:IWC393234 JFY393230:JFY393234 JPU393230:JPU393234 JZQ393230:JZQ393234 KJM393230:KJM393234 KTI393230:KTI393234 LDE393230:LDE393234 LNA393230:LNA393234 LWW393230:LWW393234 MGS393230:MGS393234 MQO393230:MQO393234 NAK393230:NAK393234 NKG393230:NKG393234 NUC393230:NUC393234 ODY393230:ODY393234 ONU393230:ONU393234 OXQ393230:OXQ393234 PHM393230:PHM393234 PRI393230:PRI393234 QBE393230:QBE393234 QLA393230:QLA393234 QUW393230:QUW393234 RES393230:RES393234 ROO393230:ROO393234 RYK393230:RYK393234 SIG393230:SIG393234 SSC393230:SSC393234 TBY393230:TBY393234 TLU393230:TLU393234 TVQ393230:TVQ393234 UFM393230:UFM393234 UPI393230:UPI393234 UZE393230:UZE393234 VJA393230:VJA393234 VSW393230:VSW393234 WCS393230:WCS393234 WMO393230:WMO393234 WWK393230:WWK393234 AC458766:AC458770 JY458766:JY458770 TU458766:TU458770 ADQ458766:ADQ458770 ANM458766:ANM458770 AXI458766:AXI458770 BHE458766:BHE458770 BRA458766:BRA458770 CAW458766:CAW458770 CKS458766:CKS458770 CUO458766:CUO458770 DEK458766:DEK458770 DOG458766:DOG458770 DYC458766:DYC458770 EHY458766:EHY458770 ERU458766:ERU458770 FBQ458766:FBQ458770 FLM458766:FLM458770 FVI458766:FVI458770 GFE458766:GFE458770 GPA458766:GPA458770 GYW458766:GYW458770 HIS458766:HIS458770 HSO458766:HSO458770 ICK458766:ICK458770 IMG458766:IMG458770 IWC458766:IWC458770 JFY458766:JFY458770 JPU458766:JPU458770 JZQ458766:JZQ458770 KJM458766:KJM458770 KTI458766:KTI458770 LDE458766:LDE458770 LNA458766:LNA458770 LWW458766:LWW458770 MGS458766:MGS458770 MQO458766:MQO458770 NAK458766:NAK458770 NKG458766:NKG458770 NUC458766:NUC458770 ODY458766:ODY458770 ONU458766:ONU458770 OXQ458766:OXQ458770 PHM458766:PHM458770 PRI458766:PRI458770 QBE458766:QBE458770 QLA458766:QLA458770 QUW458766:QUW458770 RES458766:RES458770 ROO458766:ROO458770 RYK458766:RYK458770 SIG458766:SIG458770 SSC458766:SSC458770 TBY458766:TBY458770 TLU458766:TLU458770 TVQ458766:TVQ458770 UFM458766:UFM458770 UPI458766:UPI458770 UZE458766:UZE458770 VJA458766:VJA458770 VSW458766:VSW458770 WCS458766:WCS458770 WMO458766:WMO458770 WWK458766:WWK458770 AC524302:AC524306 JY524302:JY524306 TU524302:TU524306 ADQ524302:ADQ524306 ANM524302:ANM524306 AXI524302:AXI524306 BHE524302:BHE524306 BRA524302:BRA524306 CAW524302:CAW524306 CKS524302:CKS524306 CUO524302:CUO524306 DEK524302:DEK524306 DOG524302:DOG524306 DYC524302:DYC524306 EHY524302:EHY524306 ERU524302:ERU524306 FBQ524302:FBQ524306 FLM524302:FLM524306 FVI524302:FVI524306 GFE524302:GFE524306 GPA524302:GPA524306 GYW524302:GYW524306 HIS524302:HIS524306 HSO524302:HSO524306 ICK524302:ICK524306 IMG524302:IMG524306 IWC524302:IWC524306 JFY524302:JFY524306 JPU524302:JPU524306 JZQ524302:JZQ524306 KJM524302:KJM524306 KTI524302:KTI524306 LDE524302:LDE524306 LNA524302:LNA524306 LWW524302:LWW524306 MGS524302:MGS524306 MQO524302:MQO524306 NAK524302:NAK524306 NKG524302:NKG524306 NUC524302:NUC524306 ODY524302:ODY524306 ONU524302:ONU524306 OXQ524302:OXQ524306 PHM524302:PHM524306 PRI524302:PRI524306 QBE524302:QBE524306 QLA524302:QLA524306 QUW524302:QUW524306 RES524302:RES524306 ROO524302:ROO524306 RYK524302:RYK524306 SIG524302:SIG524306 SSC524302:SSC524306 TBY524302:TBY524306 TLU524302:TLU524306 TVQ524302:TVQ524306 UFM524302:UFM524306 UPI524302:UPI524306 UZE524302:UZE524306 VJA524302:VJA524306 VSW524302:VSW524306 WCS524302:WCS524306 WMO524302:WMO524306 WWK524302:WWK524306 AC589838:AC589842 JY589838:JY589842 TU589838:TU589842 ADQ589838:ADQ589842 ANM589838:ANM589842 AXI589838:AXI589842 BHE589838:BHE589842 BRA589838:BRA589842 CAW589838:CAW589842 CKS589838:CKS589842 CUO589838:CUO589842 DEK589838:DEK589842 DOG589838:DOG589842 DYC589838:DYC589842 EHY589838:EHY589842 ERU589838:ERU589842 FBQ589838:FBQ589842 FLM589838:FLM589842 FVI589838:FVI589842 GFE589838:GFE589842 GPA589838:GPA589842 GYW589838:GYW589842 HIS589838:HIS589842 HSO589838:HSO589842 ICK589838:ICK589842 IMG589838:IMG589842 IWC589838:IWC589842 JFY589838:JFY589842 JPU589838:JPU589842 JZQ589838:JZQ589842 KJM589838:KJM589842 KTI589838:KTI589842 LDE589838:LDE589842 LNA589838:LNA589842 LWW589838:LWW589842 MGS589838:MGS589842 MQO589838:MQO589842 NAK589838:NAK589842 NKG589838:NKG589842 NUC589838:NUC589842 ODY589838:ODY589842 ONU589838:ONU589842 OXQ589838:OXQ589842 PHM589838:PHM589842 PRI589838:PRI589842 QBE589838:QBE589842 QLA589838:QLA589842 QUW589838:QUW589842 RES589838:RES589842 ROO589838:ROO589842 RYK589838:RYK589842 SIG589838:SIG589842 SSC589838:SSC589842 TBY589838:TBY589842 TLU589838:TLU589842 TVQ589838:TVQ589842 UFM589838:UFM589842 UPI589838:UPI589842 UZE589838:UZE589842 VJA589838:VJA589842 VSW589838:VSW589842 WCS589838:WCS589842 WMO589838:WMO589842 WWK589838:WWK589842 AC655374:AC655378 JY655374:JY655378 TU655374:TU655378 ADQ655374:ADQ655378 ANM655374:ANM655378 AXI655374:AXI655378 BHE655374:BHE655378 BRA655374:BRA655378 CAW655374:CAW655378 CKS655374:CKS655378 CUO655374:CUO655378 DEK655374:DEK655378 DOG655374:DOG655378 DYC655374:DYC655378 EHY655374:EHY655378 ERU655374:ERU655378 FBQ655374:FBQ655378 FLM655374:FLM655378 FVI655374:FVI655378 GFE655374:GFE655378 GPA655374:GPA655378 GYW655374:GYW655378 HIS655374:HIS655378 HSO655374:HSO655378 ICK655374:ICK655378 IMG655374:IMG655378 IWC655374:IWC655378 JFY655374:JFY655378 JPU655374:JPU655378 JZQ655374:JZQ655378 KJM655374:KJM655378 KTI655374:KTI655378 LDE655374:LDE655378 LNA655374:LNA655378 LWW655374:LWW655378 MGS655374:MGS655378 MQO655374:MQO655378 NAK655374:NAK655378 NKG655374:NKG655378 NUC655374:NUC655378 ODY655374:ODY655378 ONU655374:ONU655378 OXQ655374:OXQ655378 PHM655374:PHM655378 PRI655374:PRI655378 QBE655374:QBE655378 QLA655374:QLA655378 QUW655374:QUW655378 RES655374:RES655378 ROO655374:ROO655378 RYK655374:RYK655378 SIG655374:SIG655378 SSC655374:SSC655378 TBY655374:TBY655378 TLU655374:TLU655378 TVQ655374:TVQ655378 UFM655374:UFM655378 UPI655374:UPI655378 UZE655374:UZE655378 VJA655374:VJA655378 VSW655374:VSW655378 WCS655374:WCS655378 WMO655374:WMO655378 WWK655374:WWK655378 AC720910:AC720914 JY720910:JY720914 TU720910:TU720914 ADQ720910:ADQ720914 ANM720910:ANM720914 AXI720910:AXI720914 BHE720910:BHE720914 BRA720910:BRA720914 CAW720910:CAW720914 CKS720910:CKS720914 CUO720910:CUO720914 DEK720910:DEK720914 DOG720910:DOG720914 DYC720910:DYC720914 EHY720910:EHY720914 ERU720910:ERU720914 FBQ720910:FBQ720914 FLM720910:FLM720914 FVI720910:FVI720914 GFE720910:GFE720914 GPA720910:GPA720914 GYW720910:GYW720914 HIS720910:HIS720914 HSO720910:HSO720914 ICK720910:ICK720914 IMG720910:IMG720914 IWC720910:IWC720914 JFY720910:JFY720914 JPU720910:JPU720914 JZQ720910:JZQ720914 KJM720910:KJM720914 KTI720910:KTI720914 LDE720910:LDE720914 LNA720910:LNA720914 LWW720910:LWW720914 MGS720910:MGS720914 MQO720910:MQO720914 NAK720910:NAK720914 NKG720910:NKG720914 NUC720910:NUC720914 ODY720910:ODY720914 ONU720910:ONU720914 OXQ720910:OXQ720914 PHM720910:PHM720914 PRI720910:PRI720914 QBE720910:QBE720914 QLA720910:QLA720914 QUW720910:QUW720914 RES720910:RES720914 ROO720910:ROO720914 RYK720910:RYK720914 SIG720910:SIG720914 SSC720910:SSC720914 TBY720910:TBY720914 TLU720910:TLU720914 TVQ720910:TVQ720914 UFM720910:UFM720914 UPI720910:UPI720914 UZE720910:UZE720914 VJA720910:VJA720914 VSW720910:VSW720914 WCS720910:WCS720914 WMO720910:WMO720914 WWK720910:WWK720914 AC786446:AC786450 JY786446:JY786450 TU786446:TU786450 ADQ786446:ADQ786450 ANM786446:ANM786450 AXI786446:AXI786450 BHE786446:BHE786450 BRA786446:BRA786450 CAW786446:CAW786450 CKS786446:CKS786450 CUO786446:CUO786450 DEK786446:DEK786450 DOG786446:DOG786450 DYC786446:DYC786450 EHY786446:EHY786450 ERU786446:ERU786450 FBQ786446:FBQ786450 FLM786446:FLM786450 FVI786446:FVI786450 GFE786446:GFE786450 GPA786446:GPA786450 GYW786446:GYW786450 HIS786446:HIS786450 HSO786446:HSO786450 ICK786446:ICK786450 IMG786446:IMG786450 IWC786446:IWC786450 JFY786446:JFY786450 JPU786446:JPU786450 JZQ786446:JZQ786450 KJM786446:KJM786450 KTI786446:KTI786450 LDE786446:LDE786450 LNA786446:LNA786450 LWW786446:LWW786450 MGS786446:MGS786450 MQO786446:MQO786450 NAK786446:NAK786450 NKG786446:NKG786450 NUC786446:NUC786450 ODY786446:ODY786450 ONU786446:ONU786450 OXQ786446:OXQ786450 PHM786446:PHM786450 PRI786446:PRI786450 QBE786446:QBE786450 QLA786446:QLA786450 QUW786446:QUW786450 RES786446:RES786450 ROO786446:ROO786450 RYK786446:RYK786450 SIG786446:SIG786450 SSC786446:SSC786450 TBY786446:TBY786450 TLU786446:TLU786450 TVQ786446:TVQ786450 UFM786446:UFM786450 UPI786446:UPI786450 UZE786446:UZE786450 VJA786446:VJA786450 VSW786446:VSW786450 WCS786446:WCS786450 WMO786446:WMO786450 WWK786446:WWK786450 AC851982:AC851986 JY851982:JY851986 TU851982:TU851986 ADQ851982:ADQ851986 ANM851982:ANM851986 AXI851982:AXI851986 BHE851982:BHE851986 BRA851982:BRA851986 CAW851982:CAW851986 CKS851982:CKS851986 CUO851982:CUO851986 DEK851982:DEK851986 DOG851982:DOG851986 DYC851982:DYC851986 EHY851982:EHY851986 ERU851982:ERU851986 FBQ851982:FBQ851986 FLM851982:FLM851986 FVI851982:FVI851986 GFE851982:GFE851986 GPA851982:GPA851986 GYW851982:GYW851986 HIS851982:HIS851986 HSO851982:HSO851986 ICK851982:ICK851986 IMG851982:IMG851986 IWC851982:IWC851986 JFY851982:JFY851986 JPU851982:JPU851986 JZQ851982:JZQ851986 KJM851982:KJM851986 KTI851982:KTI851986 LDE851982:LDE851986 LNA851982:LNA851986 LWW851982:LWW851986 MGS851982:MGS851986 MQO851982:MQO851986 NAK851982:NAK851986 NKG851982:NKG851986 NUC851982:NUC851986 ODY851982:ODY851986 ONU851982:ONU851986 OXQ851982:OXQ851986 PHM851982:PHM851986 PRI851982:PRI851986 QBE851982:QBE851986 QLA851982:QLA851986 QUW851982:QUW851986 RES851982:RES851986 ROO851982:ROO851986 RYK851982:RYK851986 SIG851982:SIG851986 SSC851982:SSC851986 TBY851982:TBY851986 TLU851982:TLU851986 TVQ851982:TVQ851986 UFM851982:UFM851986 UPI851982:UPI851986 UZE851982:UZE851986 VJA851982:VJA851986 VSW851982:VSW851986 WCS851982:WCS851986 WMO851982:WMO851986 WWK851982:WWK851986 AC917518:AC917522 JY917518:JY917522 TU917518:TU917522 ADQ917518:ADQ917522 ANM917518:ANM917522 AXI917518:AXI917522 BHE917518:BHE917522 BRA917518:BRA917522 CAW917518:CAW917522 CKS917518:CKS917522 CUO917518:CUO917522 DEK917518:DEK917522 DOG917518:DOG917522 DYC917518:DYC917522 EHY917518:EHY917522 ERU917518:ERU917522 FBQ917518:FBQ917522 FLM917518:FLM917522 FVI917518:FVI917522 GFE917518:GFE917522 GPA917518:GPA917522 GYW917518:GYW917522 HIS917518:HIS917522 HSO917518:HSO917522 ICK917518:ICK917522 IMG917518:IMG917522 IWC917518:IWC917522 JFY917518:JFY917522 JPU917518:JPU917522 JZQ917518:JZQ917522 KJM917518:KJM917522 KTI917518:KTI917522 LDE917518:LDE917522 LNA917518:LNA917522 LWW917518:LWW917522 MGS917518:MGS917522 MQO917518:MQO917522 NAK917518:NAK917522 NKG917518:NKG917522 NUC917518:NUC917522 ODY917518:ODY917522 ONU917518:ONU917522 OXQ917518:OXQ917522 PHM917518:PHM917522 PRI917518:PRI917522 QBE917518:QBE917522 QLA917518:QLA917522 QUW917518:QUW917522 RES917518:RES917522 ROO917518:ROO917522 RYK917518:RYK917522 SIG917518:SIG917522 SSC917518:SSC917522 TBY917518:TBY917522 TLU917518:TLU917522 TVQ917518:TVQ917522 UFM917518:UFM917522 UPI917518:UPI917522 UZE917518:UZE917522 VJA917518:VJA917522 VSW917518:VSW917522 WCS917518:WCS917522 WMO917518:WMO917522 WWK917518:WWK917522 AC983054:AC983058 JY983054:JY983058 TU983054:TU983058 ADQ983054:ADQ983058 ANM983054:ANM983058 AXI983054:AXI983058 BHE983054:BHE983058 BRA983054:BRA983058 CAW983054:CAW983058 CKS983054:CKS983058 CUO983054:CUO983058 DEK983054:DEK983058 DOG983054:DOG983058 DYC983054:DYC983058 EHY983054:EHY983058 ERU983054:ERU983058 FBQ983054:FBQ983058 FLM983054:FLM983058 FVI983054:FVI983058 GFE983054:GFE983058 GPA983054:GPA983058 GYW983054:GYW983058 HIS983054:HIS983058 HSO983054:HSO983058 ICK983054:ICK983058 IMG983054:IMG983058 IWC983054:IWC983058 JFY983054:JFY983058 JPU983054:JPU983058 JZQ983054:JZQ983058 KJM983054:KJM983058 KTI983054:KTI983058 LDE983054:LDE983058 LNA983054:LNA983058 LWW983054:LWW983058 MGS983054:MGS983058 MQO983054:MQO983058 NAK983054:NAK983058 NKG983054:NKG983058 NUC983054:NUC983058 ODY983054:ODY983058 ONU983054:ONU983058 OXQ983054:OXQ983058 PHM983054:PHM983058 PRI983054:PRI983058 QBE983054:QBE983058 QLA983054:QLA983058 QUW983054:QUW983058 RES983054:RES983058 ROO983054:ROO983058 RYK983054:RYK983058 SIG983054:SIG983058 SSC983054:SSC983058 TBY983054:TBY983058 TLU983054:TLU983058 TVQ983054:TVQ983058 UFM983054:UFM983058 UPI983054:UPI983058 UZE983054:UZE983058 VJA983054:VJA983058 VSW983054:VSW983058 WCS983054:WCS983058 WMO983054:WMO983058 WWK983054:WWK983058 AC18 VJA8:VJA13 VSW8:VSW13 WCS8:WCS13 WMO8:WMO13 WWK8:WWK13 JY8:JY13 TU8:TU13 ADQ8:ADQ13 ANM8:ANM13 AXI8:AXI13 BHE8:BHE13 BRA8:BRA13 CAW8:CAW13 CKS8:CKS13 CUO8:CUO13 DEK8:DEK13 DOG8:DOG13 DYC8:DYC13 EHY8:EHY13 ERU8:ERU13 FBQ8:FBQ13 FLM8:FLM13 FVI8:FVI13 GFE8:GFE13 GPA8:GPA13 GYW8:GYW13 HIS8:HIS13 HSO8:HSO13 ICK8:ICK13 IMG8:IMG13 IWC8:IWC13 JFY8:JFY13 JPU8:JPU13 JZQ8:JZQ13 KJM8:KJM13 KTI8:KTI13 LDE8:LDE13 LNA8:LNA13 LWW8:LWW13 MGS8:MGS13 MQO8:MQO13 NAK8:NAK13 NKG8:NKG13 NUC8:NUC13 ODY8:ODY13 ONU8:ONU13 OXQ8:OXQ13 PHM8:PHM13 PRI8:PRI13 QBE8:QBE13 QLA8:QLA13 QUW8:QUW13 RES8:RES13 ROO8:ROO13 RYK8:RYK13 SIG8:SIG13 SSC8:SSC13 TBY8:TBY13 TLU8:TLU13 TVQ8:TVQ13 UFM8:UFM13 UPI8:UPI13 UZE8:UZE13 UZE18 VJA18 VSW18 WCS18 WMO18 WWK18 JY18 TU18 ADQ18 ANM18 AXI18 BHE18 BRA18 CAW18 CKS18 CUO18 DEK18 DOG18 DYC18 EHY18 ERU18 FBQ18 FLM18 FVI18 GFE18 GPA18 GYW18 HIS18 HSO18 ICK18 IMG18 IWC18 JFY18 JPU18 JZQ18 KJM18 KTI18 LDE18 LNA18 LWW18 MGS18 MQO18 NAK18 NKG18 NUC18 ODY18 ONU18 OXQ18 PHM18 PRI18 QBE18 QLA18 QUW18 RES18 ROO18 RYK18 SIG18 SSC18 TBY18 TLU18 TVQ18 UFM18 UPI18">
      <formula1>AB8</formula1>
      <formula2>IF(AB8&lt;&gt;0,IF(AC8-AB8&gt;=0,AC8,),)</formula2>
    </dataValidation>
    <dataValidation type="list" allowBlank="1" showInputMessage="1" showErrorMessage="1" sqref="AE65548:AE65554 KA65548:KA65554 TW65548:TW65554 ADS65548:ADS65554 ANO65548:ANO65554 AXK65548:AXK65554 BHG65548:BHG65554 BRC65548:BRC65554 CAY65548:CAY65554 CKU65548:CKU65554 CUQ65548:CUQ65554 DEM65548:DEM65554 DOI65548:DOI65554 DYE65548:DYE65554 EIA65548:EIA65554 ERW65548:ERW65554 FBS65548:FBS65554 FLO65548:FLO65554 FVK65548:FVK65554 GFG65548:GFG65554 GPC65548:GPC65554 GYY65548:GYY65554 HIU65548:HIU65554 HSQ65548:HSQ65554 ICM65548:ICM65554 IMI65548:IMI65554 IWE65548:IWE65554 JGA65548:JGA65554 JPW65548:JPW65554 JZS65548:JZS65554 KJO65548:KJO65554 KTK65548:KTK65554 LDG65548:LDG65554 LNC65548:LNC65554 LWY65548:LWY65554 MGU65548:MGU65554 MQQ65548:MQQ65554 NAM65548:NAM65554 NKI65548:NKI65554 NUE65548:NUE65554 OEA65548:OEA65554 ONW65548:ONW65554 OXS65548:OXS65554 PHO65548:PHO65554 PRK65548:PRK65554 QBG65548:QBG65554 QLC65548:QLC65554 QUY65548:QUY65554 REU65548:REU65554 ROQ65548:ROQ65554 RYM65548:RYM65554 SII65548:SII65554 SSE65548:SSE65554 TCA65548:TCA65554 TLW65548:TLW65554 TVS65548:TVS65554 UFO65548:UFO65554 UPK65548:UPK65554 UZG65548:UZG65554 VJC65548:VJC65554 VSY65548:VSY65554 WCU65548:WCU65554 WMQ65548:WMQ65554 WWM65548:WWM65554 AE131084:AE131090 KA131084:KA131090 TW131084:TW131090 ADS131084:ADS131090 ANO131084:ANO131090 AXK131084:AXK131090 BHG131084:BHG131090 BRC131084:BRC131090 CAY131084:CAY131090 CKU131084:CKU131090 CUQ131084:CUQ131090 DEM131084:DEM131090 DOI131084:DOI131090 DYE131084:DYE131090 EIA131084:EIA131090 ERW131084:ERW131090 FBS131084:FBS131090 FLO131084:FLO131090 FVK131084:FVK131090 GFG131084:GFG131090 GPC131084:GPC131090 GYY131084:GYY131090 HIU131084:HIU131090 HSQ131084:HSQ131090 ICM131084:ICM131090 IMI131084:IMI131090 IWE131084:IWE131090 JGA131084:JGA131090 JPW131084:JPW131090 JZS131084:JZS131090 KJO131084:KJO131090 KTK131084:KTK131090 LDG131084:LDG131090 LNC131084:LNC131090 LWY131084:LWY131090 MGU131084:MGU131090 MQQ131084:MQQ131090 NAM131084:NAM131090 NKI131084:NKI131090 NUE131084:NUE131090 OEA131084:OEA131090 ONW131084:ONW131090 OXS131084:OXS131090 PHO131084:PHO131090 PRK131084:PRK131090 QBG131084:QBG131090 QLC131084:QLC131090 QUY131084:QUY131090 REU131084:REU131090 ROQ131084:ROQ131090 RYM131084:RYM131090 SII131084:SII131090 SSE131084:SSE131090 TCA131084:TCA131090 TLW131084:TLW131090 TVS131084:TVS131090 UFO131084:UFO131090 UPK131084:UPK131090 UZG131084:UZG131090 VJC131084:VJC131090 VSY131084:VSY131090 WCU131084:WCU131090 WMQ131084:WMQ131090 WWM131084:WWM131090 AE196620:AE196626 KA196620:KA196626 TW196620:TW196626 ADS196620:ADS196626 ANO196620:ANO196626 AXK196620:AXK196626 BHG196620:BHG196626 BRC196620:BRC196626 CAY196620:CAY196626 CKU196620:CKU196626 CUQ196620:CUQ196626 DEM196620:DEM196626 DOI196620:DOI196626 DYE196620:DYE196626 EIA196620:EIA196626 ERW196620:ERW196626 FBS196620:FBS196626 FLO196620:FLO196626 FVK196620:FVK196626 GFG196620:GFG196626 GPC196620:GPC196626 GYY196620:GYY196626 HIU196620:HIU196626 HSQ196620:HSQ196626 ICM196620:ICM196626 IMI196620:IMI196626 IWE196620:IWE196626 JGA196620:JGA196626 JPW196620:JPW196626 JZS196620:JZS196626 KJO196620:KJO196626 KTK196620:KTK196626 LDG196620:LDG196626 LNC196620:LNC196626 LWY196620:LWY196626 MGU196620:MGU196626 MQQ196620:MQQ196626 NAM196620:NAM196626 NKI196620:NKI196626 NUE196620:NUE196626 OEA196620:OEA196626 ONW196620:ONW196626 OXS196620:OXS196626 PHO196620:PHO196626 PRK196620:PRK196626 QBG196620:QBG196626 QLC196620:QLC196626 QUY196620:QUY196626 REU196620:REU196626 ROQ196620:ROQ196626 RYM196620:RYM196626 SII196620:SII196626 SSE196620:SSE196626 TCA196620:TCA196626 TLW196620:TLW196626 TVS196620:TVS196626 UFO196620:UFO196626 UPK196620:UPK196626 UZG196620:UZG196626 VJC196620:VJC196626 VSY196620:VSY196626 WCU196620:WCU196626 WMQ196620:WMQ196626 WWM196620:WWM196626 AE262156:AE262162 KA262156:KA262162 TW262156:TW262162 ADS262156:ADS262162 ANO262156:ANO262162 AXK262156:AXK262162 BHG262156:BHG262162 BRC262156:BRC262162 CAY262156:CAY262162 CKU262156:CKU262162 CUQ262156:CUQ262162 DEM262156:DEM262162 DOI262156:DOI262162 DYE262156:DYE262162 EIA262156:EIA262162 ERW262156:ERW262162 FBS262156:FBS262162 FLO262156:FLO262162 FVK262156:FVK262162 GFG262156:GFG262162 GPC262156:GPC262162 GYY262156:GYY262162 HIU262156:HIU262162 HSQ262156:HSQ262162 ICM262156:ICM262162 IMI262156:IMI262162 IWE262156:IWE262162 JGA262156:JGA262162 JPW262156:JPW262162 JZS262156:JZS262162 KJO262156:KJO262162 KTK262156:KTK262162 LDG262156:LDG262162 LNC262156:LNC262162 LWY262156:LWY262162 MGU262156:MGU262162 MQQ262156:MQQ262162 NAM262156:NAM262162 NKI262156:NKI262162 NUE262156:NUE262162 OEA262156:OEA262162 ONW262156:ONW262162 OXS262156:OXS262162 PHO262156:PHO262162 PRK262156:PRK262162 QBG262156:QBG262162 QLC262156:QLC262162 QUY262156:QUY262162 REU262156:REU262162 ROQ262156:ROQ262162 RYM262156:RYM262162 SII262156:SII262162 SSE262156:SSE262162 TCA262156:TCA262162 TLW262156:TLW262162 TVS262156:TVS262162 UFO262156:UFO262162 UPK262156:UPK262162 UZG262156:UZG262162 VJC262156:VJC262162 VSY262156:VSY262162 WCU262156:WCU262162 WMQ262156:WMQ262162 WWM262156:WWM262162 AE327692:AE327698 KA327692:KA327698 TW327692:TW327698 ADS327692:ADS327698 ANO327692:ANO327698 AXK327692:AXK327698 BHG327692:BHG327698 BRC327692:BRC327698 CAY327692:CAY327698 CKU327692:CKU327698 CUQ327692:CUQ327698 DEM327692:DEM327698 DOI327692:DOI327698 DYE327692:DYE327698 EIA327692:EIA327698 ERW327692:ERW327698 FBS327692:FBS327698 FLO327692:FLO327698 FVK327692:FVK327698 GFG327692:GFG327698 GPC327692:GPC327698 GYY327692:GYY327698 HIU327692:HIU327698 HSQ327692:HSQ327698 ICM327692:ICM327698 IMI327692:IMI327698 IWE327692:IWE327698 JGA327692:JGA327698 JPW327692:JPW327698 JZS327692:JZS327698 KJO327692:KJO327698 KTK327692:KTK327698 LDG327692:LDG327698 LNC327692:LNC327698 LWY327692:LWY327698 MGU327692:MGU327698 MQQ327692:MQQ327698 NAM327692:NAM327698 NKI327692:NKI327698 NUE327692:NUE327698 OEA327692:OEA327698 ONW327692:ONW327698 OXS327692:OXS327698 PHO327692:PHO327698 PRK327692:PRK327698 QBG327692:QBG327698 QLC327692:QLC327698 QUY327692:QUY327698 REU327692:REU327698 ROQ327692:ROQ327698 RYM327692:RYM327698 SII327692:SII327698 SSE327692:SSE327698 TCA327692:TCA327698 TLW327692:TLW327698 TVS327692:TVS327698 UFO327692:UFO327698 UPK327692:UPK327698 UZG327692:UZG327698 VJC327692:VJC327698 VSY327692:VSY327698 WCU327692:WCU327698 WMQ327692:WMQ327698 WWM327692:WWM327698 AE393228:AE393234 KA393228:KA393234 TW393228:TW393234 ADS393228:ADS393234 ANO393228:ANO393234 AXK393228:AXK393234 BHG393228:BHG393234 BRC393228:BRC393234 CAY393228:CAY393234 CKU393228:CKU393234 CUQ393228:CUQ393234 DEM393228:DEM393234 DOI393228:DOI393234 DYE393228:DYE393234 EIA393228:EIA393234 ERW393228:ERW393234 FBS393228:FBS393234 FLO393228:FLO393234 FVK393228:FVK393234 GFG393228:GFG393234 GPC393228:GPC393234 GYY393228:GYY393234 HIU393228:HIU393234 HSQ393228:HSQ393234 ICM393228:ICM393234 IMI393228:IMI393234 IWE393228:IWE393234 JGA393228:JGA393234 JPW393228:JPW393234 JZS393228:JZS393234 KJO393228:KJO393234 KTK393228:KTK393234 LDG393228:LDG393234 LNC393228:LNC393234 LWY393228:LWY393234 MGU393228:MGU393234 MQQ393228:MQQ393234 NAM393228:NAM393234 NKI393228:NKI393234 NUE393228:NUE393234 OEA393228:OEA393234 ONW393228:ONW393234 OXS393228:OXS393234 PHO393228:PHO393234 PRK393228:PRK393234 QBG393228:QBG393234 QLC393228:QLC393234 QUY393228:QUY393234 REU393228:REU393234 ROQ393228:ROQ393234 RYM393228:RYM393234 SII393228:SII393234 SSE393228:SSE393234 TCA393228:TCA393234 TLW393228:TLW393234 TVS393228:TVS393234 UFO393228:UFO393234 UPK393228:UPK393234 UZG393228:UZG393234 VJC393228:VJC393234 VSY393228:VSY393234 WCU393228:WCU393234 WMQ393228:WMQ393234 WWM393228:WWM393234 AE458764:AE458770 KA458764:KA458770 TW458764:TW458770 ADS458764:ADS458770 ANO458764:ANO458770 AXK458764:AXK458770 BHG458764:BHG458770 BRC458764:BRC458770 CAY458764:CAY458770 CKU458764:CKU458770 CUQ458764:CUQ458770 DEM458764:DEM458770 DOI458764:DOI458770 DYE458764:DYE458770 EIA458764:EIA458770 ERW458764:ERW458770 FBS458764:FBS458770 FLO458764:FLO458770 FVK458764:FVK458770 GFG458764:GFG458770 GPC458764:GPC458770 GYY458764:GYY458770 HIU458764:HIU458770 HSQ458764:HSQ458770 ICM458764:ICM458770 IMI458764:IMI458770 IWE458764:IWE458770 JGA458764:JGA458770 JPW458764:JPW458770 JZS458764:JZS458770 KJO458764:KJO458770 KTK458764:KTK458770 LDG458764:LDG458770 LNC458764:LNC458770 LWY458764:LWY458770 MGU458764:MGU458770 MQQ458764:MQQ458770 NAM458764:NAM458770 NKI458764:NKI458770 NUE458764:NUE458770 OEA458764:OEA458770 ONW458764:ONW458770 OXS458764:OXS458770 PHO458764:PHO458770 PRK458764:PRK458770 QBG458764:QBG458770 QLC458764:QLC458770 QUY458764:QUY458770 REU458764:REU458770 ROQ458764:ROQ458770 RYM458764:RYM458770 SII458764:SII458770 SSE458764:SSE458770 TCA458764:TCA458770 TLW458764:TLW458770 TVS458764:TVS458770 UFO458764:UFO458770 UPK458764:UPK458770 UZG458764:UZG458770 VJC458764:VJC458770 VSY458764:VSY458770 WCU458764:WCU458770 WMQ458764:WMQ458770 WWM458764:WWM458770 AE524300:AE524306 KA524300:KA524306 TW524300:TW524306 ADS524300:ADS524306 ANO524300:ANO524306 AXK524300:AXK524306 BHG524300:BHG524306 BRC524300:BRC524306 CAY524300:CAY524306 CKU524300:CKU524306 CUQ524300:CUQ524306 DEM524300:DEM524306 DOI524300:DOI524306 DYE524300:DYE524306 EIA524300:EIA524306 ERW524300:ERW524306 FBS524300:FBS524306 FLO524300:FLO524306 FVK524300:FVK524306 GFG524300:GFG524306 GPC524300:GPC524306 GYY524300:GYY524306 HIU524300:HIU524306 HSQ524300:HSQ524306 ICM524300:ICM524306 IMI524300:IMI524306 IWE524300:IWE524306 JGA524300:JGA524306 JPW524300:JPW524306 JZS524300:JZS524306 KJO524300:KJO524306 KTK524300:KTK524306 LDG524300:LDG524306 LNC524300:LNC524306 LWY524300:LWY524306 MGU524300:MGU524306 MQQ524300:MQQ524306 NAM524300:NAM524306 NKI524300:NKI524306 NUE524300:NUE524306 OEA524300:OEA524306 ONW524300:ONW524306 OXS524300:OXS524306 PHO524300:PHO524306 PRK524300:PRK524306 QBG524300:QBG524306 QLC524300:QLC524306 QUY524300:QUY524306 REU524300:REU524306 ROQ524300:ROQ524306 RYM524300:RYM524306 SII524300:SII524306 SSE524300:SSE524306 TCA524300:TCA524306 TLW524300:TLW524306 TVS524300:TVS524306 UFO524300:UFO524306 UPK524300:UPK524306 UZG524300:UZG524306 VJC524300:VJC524306 VSY524300:VSY524306 WCU524300:WCU524306 WMQ524300:WMQ524306 WWM524300:WWM524306 AE589836:AE589842 KA589836:KA589842 TW589836:TW589842 ADS589836:ADS589842 ANO589836:ANO589842 AXK589836:AXK589842 BHG589836:BHG589842 BRC589836:BRC589842 CAY589836:CAY589842 CKU589836:CKU589842 CUQ589836:CUQ589842 DEM589836:DEM589842 DOI589836:DOI589842 DYE589836:DYE589842 EIA589836:EIA589842 ERW589836:ERW589842 FBS589836:FBS589842 FLO589836:FLO589842 FVK589836:FVK589842 GFG589836:GFG589842 GPC589836:GPC589842 GYY589836:GYY589842 HIU589836:HIU589842 HSQ589836:HSQ589842 ICM589836:ICM589842 IMI589836:IMI589842 IWE589836:IWE589842 JGA589836:JGA589842 JPW589836:JPW589842 JZS589836:JZS589842 KJO589836:KJO589842 KTK589836:KTK589842 LDG589836:LDG589842 LNC589836:LNC589842 LWY589836:LWY589842 MGU589836:MGU589842 MQQ589836:MQQ589842 NAM589836:NAM589842 NKI589836:NKI589842 NUE589836:NUE589842 OEA589836:OEA589842 ONW589836:ONW589842 OXS589836:OXS589842 PHO589836:PHO589842 PRK589836:PRK589842 QBG589836:QBG589842 QLC589836:QLC589842 QUY589836:QUY589842 REU589836:REU589842 ROQ589836:ROQ589842 RYM589836:RYM589842 SII589836:SII589842 SSE589836:SSE589842 TCA589836:TCA589842 TLW589836:TLW589842 TVS589836:TVS589842 UFO589836:UFO589842 UPK589836:UPK589842 UZG589836:UZG589842 VJC589836:VJC589842 VSY589836:VSY589842 WCU589836:WCU589842 WMQ589836:WMQ589842 WWM589836:WWM589842 AE655372:AE655378 KA655372:KA655378 TW655372:TW655378 ADS655372:ADS655378 ANO655372:ANO655378 AXK655372:AXK655378 BHG655372:BHG655378 BRC655372:BRC655378 CAY655372:CAY655378 CKU655372:CKU655378 CUQ655372:CUQ655378 DEM655372:DEM655378 DOI655372:DOI655378 DYE655372:DYE655378 EIA655372:EIA655378 ERW655372:ERW655378 FBS655372:FBS655378 FLO655372:FLO655378 FVK655372:FVK655378 GFG655372:GFG655378 GPC655372:GPC655378 GYY655372:GYY655378 HIU655372:HIU655378 HSQ655372:HSQ655378 ICM655372:ICM655378 IMI655372:IMI655378 IWE655372:IWE655378 JGA655372:JGA655378 JPW655372:JPW655378 JZS655372:JZS655378 KJO655372:KJO655378 KTK655372:KTK655378 LDG655372:LDG655378 LNC655372:LNC655378 LWY655372:LWY655378 MGU655372:MGU655378 MQQ655372:MQQ655378 NAM655372:NAM655378 NKI655372:NKI655378 NUE655372:NUE655378 OEA655372:OEA655378 ONW655372:ONW655378 OXS655372:OXS655378 PHO655372:PHO655378 PRK655372:PRK655378 QBG655372:QBG655378 QLC655372:QLC655378 QUY655372:QUY655378 REU655372:REU655378 ROQ655372:ROQ655378 RYM655372:RYM655378 SII655372:SII655378 SSE655372:SSE655378 TCA655372:TCA655378 TLW655372:TLW655378 TVS655372:TVS655378 UFO655372:UFO655378 UPK655372:UPK655378 UZG655372:UZG655378 VJC655372:VJC655378 VSY655372:VSY655378 WCU655372:WCU655378 WMQ655372:WMQ655378 WWM655372:WWM655378 AE720908:AE720914 KA720908:KA720914 TW720908:TW720914 ADS720908:ADS720914 ANO720908:ANO720914 AXK720908:AXK720914 BHG720908:BHG720914 BRC720908:BRC720914 CAY720908:CAY720914 CKU720908:CKU720914 CUQ720908:CUQ720914 DEM720908:DEM720914 DOI720908:DOI720914 DYE720908:DYE720914 EIA720908:EIA720914 ERW720908:ERW720914 FBS720908:FBS720914 FLO720908:FLO720914 FVK720908:FVK720914 GFG720908:GFG720914 GPC720908:GPC720914 GYY720908:GYY720914 HIU720908:HIU720914 HSQ720908:HSQ720914 ICM720908:ICM720914 IMI720908:IMI720914 IWE720908:IWE720914 JGA720908:JGA720914 JPW720908:JPW720914 JZS720908:JZS720914 KJO720908:KJO720914 KTK720908:KTK720914 LDG720908:LDG720914 LNC720908:LNC720914 LWY720908:LWY720914 MGU720908:MGU720914 MQQ720908:MQQ720914 NAM720908:NAM720914 NKI720908:NKI720914 NUE720908:NUE720914 OEA720908:OEA720914 ONW720908:ONW720914 OXS720908:OXS720914 PHO720908:PHO720914 PRK720908:PRK720914 QBG720908:QBG720914 QLC720908:QLC720914 QUY720908:QUY720914 REU720908:REU720914 ROQ720908:ROQ720914 RYM720908:RYM720914 SII720908:SII720914 SSE720908:SSE720914 TCA720908:TCA720914 TLW720908:TLW720914 TVS720908:TVS720914 UFO720908:UFO720914 UPK720908:UPK720914 UZG720908:UZG720914 VJC720908:VJC720914 VSY720908:VSY720914 WCU720908:WCU720914 WMQ720908:WMQ720914 WWM720908:WWM720914 AE786444:AE786450 KA786444:KA786450 TW786444:TW786450 ADS786444:ADS786450 ANO786444:ANO786450 AXK786444:AXK786450 BHG786444:BHG786450 BRC786444:BRC786450 CAY786444:CAY786450 CKU786444:CKU786450 CUQ786444:CUQ786450 DEM786444:DEM786450 DOI786444:DOI786450 DYE786444:DYE786450 EIA786444:EIA786450 ERW786444:ERW786450 FBS786444:FBS786450 FLO786444:FLO786450 FVK786444:FVK786450 GFG786444:GFG786450 GPC786444:GPC786450 GYY786444:GYY786450 HIU786444:HIU786450 HSQ786444:HSQ786450 ICM786444:ICM786450 IMI786444:IMI786450 IWE786444:IWE786450 JGA786444:JGA786450 JPW786444:JPW786450 JZS786444:JZS786450 KJO786444:KJO786450 KTK786444:KTK786450 LDG786444:LDG786450 LNC786444:LNC786450 LWY786444:LWY786450 MGU786444:MGU786450 MQQ786444:MQQ786450 NAM786444:NAM786450 NKI786444:NKI786450 NUE786444:NUE786450 OEA786444:OEA786450 ONW786444:ONW786450 OXS786444:OXS786450 PHO786444:PHO786450 PRK786444:PRK786450 QBG786444:QBG786450 QLC786444:QLC786450 QUY786444:QUY786450 REU786444:REU786450 ROQ786444:ROQ786450 RYM786444:RYM786450 SII786444:SII786450 SSE786444:SSE786450 TCA786444:TCA786450 TLW786444:TLW786450 TVS786444:TVS786450 UFO786444:UFO786450 UPK786444:UPK786450 UZG786444:UZG786450 VJC786444:VJC786450 VSY786444:VSY786450 WCU786444:WCU786450 WMQ786444:WMQ786450 WWM786444:WWM786450 AE851980:AE851986 KA851980:KA851986 TW851980:TW851986 ADS851980:ADS851986 ANO851980:ANO851986 AXK851980:AXK851986 BHG851980:BHG851986 BRC851980:BRC851986 CAY851980:CAY851986 CKU851980:CKU851986 CUQ851980:CUQ851986 DEM851980:DEM851986 DOI851980:DOI851986 DYE851980:DYE851986 EIA851980:EIA851986 ERW851980:ERW851986 FBS851980:FBS851986 FLO851980:FLO851986 FVK851980:FVK851986 GFG851980:GFG851986 GPC851980:GPC851986 GYY851980:GYY851986 HIU851980:HIU851986 HSQ851980:HSQ851986 ICM851980:ICM851986 IMI851980:IMI851986 IWE851980:IWE851986 JGA851980:JGA851986 JPW851980:JPW851986 JZS851980:JZS851986 KJO851980:KJO851986 KTK851980:KTK851986 LDG851980:LDG851986 LNC851980:LNC851986 LWY851980:LWY851986 MGU851980:MGU851986 MQQ851980:MQQ851986 NAM851980:NAM851986 NKI851980:NKI851986 NUE851980:NUE851986 OEA851980:OEA851986 ONW851980:ONW851986 OXS851980:OXS851986 PHO851980:PHO851986 PRK851980:PRK851986 QBG851980:QBG851986 QLC851980:QLC851986 QUY851980:QUY851986 REU851980:REU851986 ROQ851980:ROQ851986 RYM851980:RYM851986 SII851980:SII851986 SSE851980:SSE851986 TCA851980:TCA851986 TLW851980:TLW851986 TVS851980:TVS851986 UFO851980:UFO851986 UPK851980:UPK851986 UZG851980:UZG851986 VJC851980:VJC851986 VSY851980:VSY851986 WCU851980:WCU851986 WMQ851980:WMQ851986 WWM851980:WWM851986 AE917516:AE917522 KA917516:KA917522 TW917516:TW917522 ADS917516:ADS917522 ANO917516:ANO917522 AXK917516:AXK917522 BHG917516:BHG917522 BRC917516:BRC917522 CAY917516:CAY917522 CKU917516:CKU917522 CUQ917516:CUQ917522 DEM917516:DEM917522 DOI917516:DOI917522 DYE917516:DYE917522 EIA917516:EIA917522 ERW917516:ERW917522 FBS917516:FBS917522 FLO917516:FLO917522 FVK917516:FVK917522 GFG917516:GFG917522 GPC917516:GPC917522 GYY917516:GYY917522 HIU917516:HIU917522 HSQ917516:HSQ917522 ICM917516:ICM917522 IMI917516:IMI917522 IWE917516:IWE917522 JGA917516:JGA917522 JPW917516:JPW917522 JZS917516:JZS917522 KJO917516:KJO917522 KTK917516:KTK917522 LDG917516:LDG917522 LNC917516:LNC917522 LWY917516:LWY917522 MGU917516:MGU917522 MQQ917516:MQQ917522 NAM917516:NAM917522 NKI917516:NKI917522 NUE917516:NUE917522 OEA917516:OEA917522 ONW917516:ONW917522 OXS917516:OXS917522 PHO917516:PHO917522 PRK917516:PRK917522 QBG917516:QBG917522 QLC917516:QLC917522 QUY917516:QUY917522 REU917516:REU917522 ROQ917516:ROQ917522 RYM917516:RYM917522 SII917516:SII917522 SSE917516:SSE917522 TCA917516:TCA917522 TLW917516:TLW917522 TVS917516:TVS917522 UFO917516:UFO917522 UPK917516:UPK917522 UZG917516:UZG917522 VJC917516:VJC917522 VSY917516:VSY917522 WCU917516:WCU917522 WMQ917516:WMQ917522 WWM917516:WWM917522 AE983052:AE983058 KA983052:KA983058 TW983052:TW983058 ADS983052:ADS983058 ANO983052:ANO983058 AXK983052:AXK983058 BHG983052:BHG983058 BRC983052:BRC983058 CAY983052:CAY983058 CKU983052:CKU983058 CUQ983052:CUQ983058 DEM983052:DEM983058 DOI983052:DOI983058 DYE983052:DYE983058 EIA983052:EIA983058 ERW983052:ERW983058 FBS983052:FBS983058 FLO983052:FLO983058 FVK983052:FVK983058 GFG983052:GFG983058 GPC983052:GPC983058 GYY983052:GYY983058 HIU983052:HIU983058 HSQ983052:HSQ983058 ICM983052:ICM983058 IMI983052:IMI983058 IWE983052:IWE983058 JGA983052:JGA983058 JPW983052:JPW983058 JZS983052:JZS983058 KJO983052:KJO983058 KTK983052:KTK983058 LDG983052:LDG983058 LNC983052:LNC983058 LWY983052:LWY983058 MGU983052:MGU983058 MQQ983052:MQQ983058 NAM983052:NAM983058 NKI983052:NKI983058 NUE983052:NUE983058 OEA983052:OEA983058 ONW983052:ONW983058 OXS983052:OXS983058 PHO983052:PHO983058 PRK983052:PRK983058 QBG983052:QBG983058 QLC983052:QLC983058 QUY983052:QUY983058 REU983052:REU983058 ROQ983052:ROQ983058 RYM983052:RYM983058 SII983052:SII983058 SSE983052:SSE983058 TCA983052:TCA983058 TLW983052:TLW983058 TVS983052:TVS983058 UFO983052:UFO983058 UPK983052:UPK983058 UZG983052:UZG983058 VJC983052:VJC983058 VSY983052:VSY983058 WCU983052:WCU983058 WMQ983052:WMQ983058 WWM983052:WWM983058 VSY8:VSY18 WCU8:WCU18 WMQ8:WMQ18 WWM8:WWM18 AE8:AE18 KA8:KA18 TW8:TW18 ADS8:ADS18 ANO8:ANO18 AXK8:AXK18 BHG8:BHG18 BRC8:BRC18 CAY8:CAY18 CKU8:CKU18 CUQ8:CUQ18 DEM8:DEM18 DOI8:DOI18 DYE8:DYE18 EIA8:EIA18 ERW8:ERW18 FBS8:FBS18 FLO8:FLO18 FVK8:FVK18 GFG8:GFG18 GPC8:GPC18 GYY8:GYY18 HIU8:HIU18 HSQ8:HSQ18 ICM8:ICM18 IMI8:IMI18 IWE8:IWE18 JGA8:JGA18 JPW8:JPW18 JZS8:JZS18 KJO8:KJO18 KTK8:KTK18 LDG8:LDG18 LNC8:LNC18 LWY8:LWY18 MGU8:MGU18 MQQ8:MQQ18 NAM8:NAM18 NKI8:NKI18 NUE8:NUE18 OEA8:OEA18 ONW8:ONW18 OXS8:OXS18 PHO8:PHO18 PRK8:PRK18 QBG8:QBG18 QLC8:QLC18 QUY8:QUY18 REU8:REU18 ROQ8:ROQ18 RYM8:RYM18 SII8:SII18 SSE8:SSE18 TCA8:TCA18 TLW8:TLW18 TVS8:TVS18 UFO8:UFO18 UPK8:UPK18 UZG8:UZG18 VJC8:VJC18">
      <formula1>$AH$1:$AH$4</formula1>
    </dataValidation>
    <dataValidation type="list" allowBlank="1" showInputMessage="1" showErrorMessage="1" sqref="H65548:H65554 JD65548:JD65554 SZ65548:SZ65554 ACV65548:ACV65554 AMR65548:AMR65554 AWN65548:AWN65554 BGJ65548:BGJ65554 BQF65548:BQF65554 CAB65548:CAB65554 CJX65548:CJX65554 CTT65548:CTT65554 DDP65548:DDP65554 DNL65548:DNL65554 DXH65548:DXH65554 EHD65548:EHD65554 EQZ65548:EQZ65554 FAV65548:FAV65554 FKR65548:FKR65554 FUN65548:FUN65554 GEJ65548:GEJ65554 GOF65548:GOF65554 GYB65548:GYB65554 HHX65548:HHX65554 HRT65548:HRT65554 IBP65548:IBP65554 ILL65548:ILL65554 IVH65548:IVH65554 JFD65548:JFD65554 JOZ65548:JOZ65554 JYV65548:JYV65554 KIR65548:KIR65554 KSN65548:KSN65554 LCJ65548:LCJ65554 LMF65548:LMF65554 LWB65548:LWB65554 MFX65548:MFX65554 MPT65548:MPT65554 MZP65548:MZP65554 NJL65548:NJL65554 NTH65548:NTH65554 ODD65548:ODD65554 OMZ65548:OMZ65554 OWV65548:OWV65554 PGR65548:PGR65554 PQN65548:PQN65554 QAJ65548:QAJ65554 QKF65548:QKF65554 QUB65548:QUB65554 RDX65548:RDX65554 RNT65548:RNT65554 RXP65548:RXP65554 SHL65548:SHL65554 SRH65548:SRH65554 TBD65548:TBD65554 TKZ65548:TKZ65554 TUV65548:TUV65554 UER65548:UER65554 UON65548:UON65554 UYJ65548:UYJ65554 VIF65548:VIF65554 VSB65548:VSB65554 WBX65548:WBX65554 WLT65548:WLT65554 WVP65548:WVP65554 H131084:H131090 JD131084:JD131090 SZ131084:SZ131090 ACV131084:ACV131090 AMR131084:AMR131090 AWN131084:AWN131090 BGJ131084:BGJ131090 BQF131084:BQF131090 CAB131084:CAB131090 CJX131084:CJX131090 CTT131084:CTT131090 DDP131084:DDP131090 DNL131084:DNL131090 DXH131084:DXH131090 EHD131084:EHD131090 EQZ131084:EQZ131090 FAV131084:FAV131090 FKR131084:FKR131090 FUN131084:FUN131090 GEJ131084:GEJ131090 GOF131084:GOF131090 GYB131084:GYB131090 HHX131084:HHX131090 HRT131084:HRT131090 IBP131084:IBP131090 ILL131084:ILL131090 IVH131084:IVH131090 JFD131084:JFD131090 JOZ131084:JOZ131090 JYV131084:JYV131090 KIR131084:KIR131090 KSN131084:KSN131090 LCJ131084:LCJ131090 LMF131084:LMF131090 LWB131084:LWB131090 MFX131084:MFX131090 MPT131084:MPT131090 MZP131084:MZP131090 NJL131084:NJL131090 NTH131084:NTH131090 ODD131084:ODD131090 OMZ131084:OMZ131090 OWV131084:OWV131090 PGR131084:PGR131090 PQN131084:PQN131090 QAJ131084:QAJ131090 QKF131084:QKF131090 QUB131084:QUB131090 RDX131084:RDX131090 RNT131084:RNT131090 RXP131084:RXP131090 SHL131084:SHL131090 SRH131084:SRH131090 TBD131084:TBD131090 TKZ131084:TKZ131090 TUV131084:TUV131090 UER131084:UER131090 UON131084:UON131090 UYJ131084:UYJ131090 VIF131084:VIF131090 VSB131084:VSB131090 WBX131084:WBX131090 WLT131084:WLT131090 WVP131084:WVP131090 H196620:H196626 JD196620:JD196626 SZ196620:SZ196626 ACV196620:ACV196626 AMR196620:AMR196626 AWN196620:AWN196626 BGJ196620:BGJ196626 BQF196620:BQF196626 CAB196620:CAB196626 CJX196620:CJX196626 CTT196620:CTT196626 DDP196620:DDP196626 DNL196620:DNL196626 DXH196620:DXH196626 EHD196620:EHD196626 EQZ196620:EQZ196626 FAV196620:FAV196626 FKR196620:FKR196626 FUN196620:FUN196626 GEJ196620:GEJ196626 GOF196620:GOF196626 GYB196620:GYB196626 HHX196620:HHX196626 HRT196620:HRT196626 IBP196620:IBP196626 ILL196620:ILL196626 IVH196620:IVH196626 JFD196620:JFD196626 JOZ196620:JOZ196626 JYV196620:JYV196626 KIR196620:KIR196626 KSN196620:KSN196626 LCJ196620:LCJ196626 LMF196620:LMF196626 LWB196620:LWB196626 MFX196620:MFX196626 MPT196620:MPT196626 MZP196620:MZP196626 NJL196620:NJL196626 NTH196620:NTH196626 ODD196620:ODD196626 OMZ196620:OMZ196626 OWV196620:OWV196626 PGR196620:PGR196626 PQN196620:PQN196626 QAJ196620:QAJ196626 QKF196620:QKF196626 QUB196620:QUB196626 RDX196620:RDX196626 RNT196620:RNT196626 RXP196620:RXP196626 SHL196620:SHL196626 SRH196620:SRH196626 TBD196620:TBD196626 TKZ196620:TKZ196626 TUV196620:TUV196626 UER196620:UER196626 UON196620:UON196626 UYJ196620:UYJ196626 VIF196620:VIF196626 VSB196620:VSB196626 WBX196620:WBX196626 WLT196620:WLT196626 WVP196620:WVP196626 H262156:H262162 JD262156:JD262162 SZ262156:SZ262162 ACV262156:ACV262162 AMR262156:AMR262162 AWN262156:AWN262162 BGJ262156:BGJ262162 BQF262156:BQF262162 CAB262156:CAB262162 CJX262156:CJX262162 CTT262156:CTT262162 DDP262156:DDP262162 DNL262156:DNL262162 DXH262156:DXH262162 EHD262156:EHD262162 EQZ262156:EQZ262162 FAV262156:FAV262162 FKR262156:FKR262162 FUN262156:FUN262162 GEJ262156:GEJ262162 GOF262156:GOF262162 GYB262156:GYB262162 HHX262156:HHX262162 HRT262156:HRT262162 IBP262156:IBP262162 ILL262156:ILL262162 IVH262156:IVH262162 JFD262156:JFD262162 JOZ262156:JOZ262162 JYV262156:JYV262162 KIR262156:KIR262162 KSN262156:KSN262162 LCJ262156:LCJ262162 LMF262156:LMF262162 LWB262156:LWB262162 MFX262156:MFX262162 MPT262156:MPT262162 MZP262156:MZP262162 NJL262156:NJL262162 NTH262156:NTH262162 ODD262156:ODD262162 OMZ262156:OMZ262162 OWV262156:OWV262162 PGR262156:PGR262162 PQN262156:PQN262162 QAJ262156:QAJ262162 QKF262156:QKF262162 QUB262156:QUB262162 RDX262156:RDX262162 RNT262156:RNT262162 RXP262156:RXP262162 SHL262156:SHL262162 SRH262156:SRH262162 TBD262156:TBD262162 TKZ262156:TKZ262162 TUV262156:TUV262162 UER262156:UER262162 UON262156:UON262162 UYJ262156:UYJ262162 VIF262156:VIF262162 VSB262156:VSB262162 WBX262156:WBX262162 WLT262156:WLT262162 WVP262156:WVP262162 H327692:H327698 JD327692:JD327698 SZ327692:SZ327698 ACV327692:ACV327698 AMR327692:AMR327698 AWN327692:AWN327698 BGJ327692:BGJ327698 BQF327692:BQF327698 CAB327692:CAB327698 CJX327692:CJX327698 CTT327692:CTT327698 DDP327692:DDP327698 DNL327692:DNL327698 DXH327692:DXH327698 EHD327692:EHD327698 EQZ327692:EQZ327698 FAV327692:FAV327698 FKR327692:FKR327698 FUN327692:FUN327698 GEJ327692:GEJ327698 GOF327692:GOF327698 GYB327692:GYB327698 HHX327692:HHX327698 HRT327692:HRT327698 IBP327692:IBP327698 ILL327692:ILL327698 IVH327692:IVH327698 JFD327692:JFD327698 JOZ327692:JOZ327698 JYV327692:JYV327698 KIR327692:KIR327698 KSN327692:KSN327698 LCJ327692:LCJ327698 LMF327692:LMF327698 LWB327692:LWB327698 MFX327692:MFX327698 MPT327692:MPT327698 MZP327692:MZP327698 NJL327692:NJL327698 NTH327692:NTH327698 ODD327692:ODD327698 OMZ327692:OMZ327698 OWV327692:OWV327698 PGR327692:PGR327698 PQN327692:PQN327698 QAJ327692:QAJ327698 QKF327692:QKF327698 QUB327692:QUB327698 RDX327692:RDX327698 RNT327692:RNT327698 RXP327692:RXP327698 SHL327692:SHL327698 SRH327692:SRH327698 TBD327692:TBD327698 TKZ327692:TKZ327698 TUV327692:TUV327698 UER327692:UER327698 UON327692:UON327698 UYJ327692:UYJ327698 VIF327692:VIF327698 VSB327692:VSB327698 WBX327692:WBX327698 WLT327692:WLT327698 WVP327692:WVP327698 H393228:H393234 JD393228:JD393234 SZ393228:SZ393234 ACV393228:ACV393234 AMR393228:AMR393234 AWN393228:AWN393234 BGJ393228:BGJ393234 BQF393228:BQF393234 CAB393228:CAB393234 CJX393228:CJX393234 CTT393228:CTT393234 DDP393228:DDP393234 DNL393228:DNL393234 DXH393228:DXH393234 EHD393228:EHD393234 EQZ393228:EQZ393234 FAV393228:FAV393234 FKR393228:FKR393234 FUN393228:FUN393234 GEJ393228:GEJ393234 GOF393228:GOF393234 GYB393228:GYB393234 HHX393228:HHX393234 HRT393228:HRT393234 IBP393228:IBP393234 ILL393228:ILL393234 IVH393228:IVH393234 JFD393228:JFD393234 JOZ393228:JOZ393234 JYV393228:JYV393234 KIR393228:KIR393234 KSN393228:KSN393234 LCJ393228:LCJ393234 LMF393228:LMF393234 LWB393228:LWB393234 MFX393228:MFX393234 MPT393228:MPT393234 MZP393228:MZP393234 NJL393228:NJL393234 NTH393228:NTH393234 ODD393228:ODD393234 OMZ393228:OMZ393234 OWV393228:OWV393234 PGR393228:PGR393234 PQN393228:PQN393234 QAJ393228:QAJ393234 QKF393228:QKF393234 QUB393228:QUB393234 RDX393228:RDX393234 RNT393228:RNT393234 RXP393228:RXP393234 SHL393228:SHL393234 SRH393228:SRH393234 TBD393228:TBD393234 TKZ393228:TKZ393234 TUV393228:TUV393234 UER393228:UER393234 UON393228:UON393234 UYJ393228:UYJ393234 VIF393228:VIF393234 VSB393228:VSB393234 WBX393228:WBX393234 WLT393228:WLT393234 WVP393228:WVP393234 H458764:H458770 JD458764:JD458770 SZ458764:SZ458770 ACV458764:ACV458770 AMR458764:AMR458770 AWN458764:AWN458770 BGJ458764:BGJ458770 BQF458764:BQF458770 CAB458764:CAB458770 CJX458764:CJX458770 CTT458764:CTT458770 DDP458764:DDP458770 DNL458764:DNL458770 DXH458764:DXH458770 EHD458764:EHD458770 EQZ458764:EQZ458770 FAV458764:FAV458770 FKR458764:FKR458770 FUN458764:FUN458770 GEJ458764:GEJ458770 GOF458764:GOF458770 GYB458764:GYB458770 HHX458764:HHX458770 HRT458764:HRT458770 IBP458764:IBP458770 ILL458764:ILL458770 IVH458764:IVH458770 JFD458764:JFD458770 JOZ458764:JOZ458770 JYV458764:JYV458770 KIR458764:KIR458770 KSN458764:KSN458770 LCJ458764:LCJ458770 LMF458764:LMF458770 LWB458764:LWB458770 MFX458764:MFX458770 MPT458764:MPT458770 MZP458764:MZP458770 NJL458764:NJL458770 NTH458764:NTH458770 ODD458764:ODD458770 OMZ458764:OMZ458770 OWV458764:OWV458770 PGR458764:PGR458770 PQN458764:PQN458770 QAJ458764:QAJ458770 QKF458764:QKF458770 QUB458764:QUB458770 RDX458764:RDX458770 RNT458764:RNT458770 RXP458764:RXP458770 SHL458764:SHL458770 SRH458764:SRH458770 TBD458764:TBD458770 TKZ458764:TKZ458770 TUV458764:TUV458770 UER458764:UER458770 UON458764:UON458770 UYJ458764:UYJ458770 VIF458764:VIF458770 VSB458764:VSB458770 WBX458764:WBX458770 WLT458764:WLT458770 WVP458764:WVP458770 H524300:H524306 JD524300:JD524306 SZ524300:SZ524306 ACV524300:ACV524306 AMR524300:AMR524306 AWN524300:AWN524306 BGJ524300:BGJ524306 BQF524300:BQF524306 CAB524300:CAB524306 CJX524300:CJX524306 CTT524300:CTT524306 DDP524300:DDP524306 DNL524300:DNL524306 DXH524300:DXH524306 EHD524300:EHD524306 EQZ524300:EQZ524306 FAV524300:FAV524306 FKR524300:FKR524306 FUN524300:FUN524306 GEJ524300:GEJ524306 GOF524300:GOF524306 GYB524300:GYB524306 HHX524300:HHX524306 HRT524300:HRT524306 IBP524300:IBP524306 ILL524300:ILL524306 IVH524300:IVH524306 JFD524300:JFD524306 JOZ524300:JOZ524306 JYV524300:JYV524306 KIR524300:KIR524306 KSN524300:KSN524306 LCJ524300:LCJ524306 LMF524300:LMF524306 LWB524300:LWB524306 MFX524300:MFX524306 MPT524300:MPT524306 MZP524300:MZP524306 NJL524300:NJL524306 NTH524300:NTH524306 ODD524300:ODD524306 OMZ524300:OMZ524306 OWV524300:OWV524306 PGR524300:PGR524306 PQN524300:PQN524306 QAJ524300:QAJ524306 QKF524300:QKF524306 QUB524300:QUB524306 RDX524300:RDX524306 RNT524300:RNT524306 RXP524300:RXP524306 SHL524300:SHL524306 SRH524300:SRH524306 TBD524300:TBD524306 TKZ524300:TKZ524306 TUV524300:TUV524306 UER524300:UER524306 UON524300:UON524306 UYJ524300:UYJ524306 VIF524300:VIF524306 VSB524300:VSB524306 WBX524300:WBX524306 WLT524300:WLT524306 WVP524300:WVP524306 H589836:H589842 JD589836:JD589842 SZ589836:SZ589842 ACV589836:ACV589842 AMR589836:AMR589842 AWN589836:AWN589842 BGJ589836:BGJ589842 BQF589836:BQF589842 CAB589836:CAB589842 CJX589836:CJX589842 CTT589836:CTT589842 DDP589836:DDP589842 DNL589836:DNL589842 DXH589836:DXH589842 EHD589836:EHD589842 EQZ589836:EQZ589842 FAV589836:FAV589842 FKR589836:FKR589842 FUN589836:FUN589842 GEJ589836:GEJ589842 GOF589836:GOF589842 GYB589836:GYB589842 HHX589836:HHX589842 HRT589836:HRT589842 IBP589836:IBP589842 ILL589836:ILL589842 IVH589836:IVH589842 JFD589836:JFD589842 JOZ589836:JOZ589842 JYV589836:JYV589842 KIR589836:KIR589842 KSN589836:KSN589842 LCJ589836:LCJ589842 LMF589836:LMF589842 LWB589836:LWB589842 MFX589836:MFX589842 MPT589836:MPT589842 MZP589836:MZP589842 NJL589836:NJL589842 NTH589836:NTH589842 ODD589836:ODD589842 OMZ589836:OMZ589842 OWV589836:OWV589842 PGR589836:PGR589842 PQN589836:PQN589842 QAJ589836:QAJ589842 QKF589836:QKF589842 QUB589836:QUB589842 RDX589836:RDX589842 RNT589836:RNT589842 RXP589836:RXP589842 SHL589836:SHL589842 SRH589836:SRH589842 TBD589836:TBD589842 TKZ589836:TKZ589842 TUV589836:TUV589842 UER589836:UER589842 UON589836:UON589842 UYJ589836:UYJ589842 VIF589836:VIF589842 VSB589836:VSB589842 WBX589836:WBX589842 WLT589836:WLT589842 WVP589836:WVP589842 H655372:H655378 JD655372:JD655378 SZ655372:SZ655378 ACV655372:ACV655378 AMR655372:AMR655378 AWN655372:AWN655378 BGJ655372:BGJ655378 BQF655372:BQF655378 CAB655372:CAB655378 CJX655372:CJX655378 CTT655372:CTT655378 DDP655372:DDP655378 DNL655372:DNL655378 DXH655372:DXH655378 EHD655372:EHD655378 EQZ655372:EQZ655378 FAV655372:FAV655378 FKR655372:FKR655378 FUN655372:FUN655378 GEJ655372:GEJ655378 GOF655372:GOF655378 GYB655372:GYB655378 HHX655372:HHX655378 HRT655372:HRT655378 IBP655372:IBP655378 ILL655372:ILL655378 IVH655372:IVH655378 JFD655372:JFD655378 JOZ655372:JOZ655378 JYV655372:JYV655378 KIR655372:KIR655378 KSN655372:KSN655378 LCJ655372:LCJ655378 LMF655372:LMF655378 LWB655372:LWB655378 MFX655372:MFX655378 MPT655372:MPT655378 MZP655372:MZP655378 NJL655372:NJL655378 NTH655372:NTH655378 ODD655372:ODD655378 OMZ655372:OMZ655378 OWV655372:OWV655378 PGR655372:PGR655378 PQN655372:PQN655378 QAJ655372:QAJ655378 QKF655372:QKF655378 QUB655372:QUB655378 RDX655372:RDX655378 RNT655372:RNT655378 RXP655372:RXP655378 SHL655372:SHL655378 SRH655372:SRH655378 TBD655372:TBD655378 TKZ655372:TKZ655378 TUV655372:TUV655378 UER655372:UER655378 UON655372:UON655378 UYJ655372:UYJ655378 VIF655372:VIF655378 VSB655372:VSB655378 WBX655372:WBX655378 WLT655372:WLT655378 WVP655372:WVP655378 H720908:H720914 JD720908:JD720914 SZ720908:SZ720914 ACV720908:ACV720914 AMR720908:AMR720914 AWN720908:AWN720914 BGJ720908:BGJ720914 BQF720908:BQF720914 CAB720908:CAB720914 CJX720908:CJX720914 CTT720908:CTT720914 DDP720908:DDP720914 DNL720908:DNL720914 DXH720908:DXH720914 EHD720908:EHD720914 EQZ720908:EQZ720914 FAV720908:FAV720914 FKR720908:FKR720914 FUN720908:FUN720914 GEJ720908:GEJ720914 GOF720908:GOF720914 GYB720908:GYB720914 HHX720908:HHX720914 HRT720908:HRT720914 IBP720908:IBP720914 ILL720908:ILL720914 IVH720908:IVH720914 JFD720908:JFD720914 JOZ720908:JOZ720914 JYV720908:JYV720914 KIR720908:KIR720914 KSN720908:KSN720914 LCJ720908:LCJ720914 LMF720908:LMF720914 LWB720908:LWB720914 MFX720908:MFX720914 MPT720908:MPT720914 MZP720908:MZP720914 NJL720908:NJL720914 NTH720908:NTH720914 ODD720908:ODD720914 OMZ720908:OMZ720914 OWV720908:OWV720914 PGR720908:PGR720914 PQN720908:PQN720914 QAJ720908:QAJ720914 QKF720908:QKF720914 QUB720908:QUB720914 RDX720908:RDX720914 RNT720908:RNT720914 RXP720908:RXP720914 SHL720908:SHL720914 SRH720908:SRH720914 TBD720908:TBD720914 TKZ720908:TKZ720914 TUV720908:TUV720914 UER720908:UER720914 UON720908:UON720914 UYJ720908:UYJ720914 VIF720908:VIF720914 VSB720908:VSB720914 WBX720908:WBX720914 WLT720908:WLT720914 WVP720908:WVP720914 H786444:H786450 JD786444:JD786450 SZ786444:SZ786450 ACV786444:ACV786450 AMR786444:AMR786450 AWN786444:AWN786450 BGJ786444:BGJ786450 BQF786444:BQF786450 CAB786444:CAB786450 CJX786444:CJX786450 CTT786444:CTT786450 DDP786444:DDP786450 DNL786444:DNL786450 DXH786444:DXH786450 EHD786444:EHD786450 EQZ786444:EQZ786450 FAV786444:FAV786450 FKR786444:FKR786450 FUN786444:FUN786450 GEJ786444:GEJ786450 GOF786444:GOF786450 GYB786444:GYB786450 HHX786444:HHX786450 HRT786444:HRT786450 IBP786444:IBP786450 ILL786444:ILL786450 IVH786444:IVH786450 JFD786444:JFD786450 JOZ786444:JOZ786450 JYV786444:JYV786450 KIR786444:KIR786450 KSN786444:KSN786450 LCJ786444:LCJ786450 LMF786444:LMF786450 LWB786444:LWB786450 MFX786444:MFX786450 MPT786444:MPT786450 MZP786444:MZP786450 NJL786444:NJL786450 NTH786444:NTH786450 ODD786444:ODD786450 OMZ786444:OMZ786450 OWV786444:OWV786450 PGR786444:PGR786450 PQN786444:PQN786450 QAJ786444:QAJ786450 QKF786444:QKF786450 QUB786444:QUB786450 RDX786444:RDX786450 RNT786444:RNT786450 RXP786444:RXP786450 SHL786444:SHL786450 SRH786444:SRH786450 TBD786444:TBD786450 TKZ786444:TKZ786450 TUV786444:TUV786450 UER786444:UER786450 UON786444:UON786450 UYJ786444:UYJ786450 VIF786444:VIF786450 VSB786444:VSB786450 WBX786444:WBX786450 WLT786444:WLT786450 WVP786444:WVP786450 H851980:H851986 JD851980:JD851986 SZ851980:SZ851986 ACV851980:ACV851986 AMR851980:AMR851986 AWN851980:AWN851986 BGJ851980:BGJ851986 BQF851980:BQF851986 CAB851980:CAB851986 CJX851980:CJX851986 CTT851980:CTT851986 DDP851980:DDP851986 DNL851980:DNL851986 DXH851980:DXH851986 EHD851980:EHD851986 EQZ851980:EQZ851986 FAV851980:FAV851986 FKR851980:FKR851986 FUN851980:FUN851986 GEJ851980:GEJ851986 GOF851980:GOF851986 GYB851980:GYB851986 HHX851980:HHX851986 HRT851980:HRT851986 IBP851980:IBP851986 ILL851980:ILL851986 IVH851980:IVH851986 JFD851980:JFD851986 JOZ851980:JOZ851986 JYV851980:JYV851986 KIR851980:KIR851986 KSN851980:KSN851986 LCJ851980:LCJ851986 LMF851980:LMF851986 LWB851980:LWB851986 MFX851980:MFX851986 MPT851980:MPT851986 MZP851980:MZP851986 NJL851980:NJL851986 NTH851980:NTH851986 ODD851980:ODD851986 OMZ851980:OMZ851986 OWV851980:OWV851986 PGR851980:PGR851986 PQN851980:PQN851986 QAJ851980:QAJ851986 QKF851980:QKF851986 QUB851980:QUB851986 RDX851980:RDX851986 RNT851980:RNT851986 RXP851980:RXP851986 SHL851980:SHL851986 SRH851980:SRH851986 TBD851980:TBD851986 TKZ851980:TKZ851986 TUV851980:TUV851986 UER851980:UER851986 UON851980:UON851986 UYJ851980:UYJ851986 VIF851980:VIF851986 VSB851980:VSB851986 WBX851980:WBX851986 WLT851980:WLT851986 WVP851980:WVP851986 H917516:H917522 JD917516:JD917522 SZ917516:SZ917522 ACV917516:ACV917522 AMR917516:AMR917522 AWN917516:AWN917522 BGJ917516:BGJ917522 BQF917516:BQF917522 CAB917516:CAB917522 CJX917516:CJX917522 CTT917516:CTT917522 DDP917516:DDP917522 DNL917516:DNL917522 DXH917516:DXH917522 EHD917516:EHD917522 EQZ917516:EQZ917522 FAV917516:FAV917522 FKR917516:FKR917522 FUN917516:FUN917522 GEJ917516:GEJ917522 GOF917516:GOF917522 GYB917516:GYB917522 HHX917516:HHX917522 HRT917516:HRT917522 IBP917516:IBP917522 ILL917516:ILL917522 IVH917516:IVH917522 JFD917516:JFD917522 JOZ917516:JOZ917522 JYV917516:JYV917522 KIR917516:KIR917522 KSN917516:KSN917522 LCJ917516:LCJ917522 LMF917516:LMF917522 LWB917516:LWB917522 MFX917516:MFX917522 MPT917516:MPT917522 MZP917516:MZP917522 NJL917516:NJL917522 NTH917516:NTH917522 ODD917516:ODD917522 OMZ917516:OMZ917522 OWV917516:OWV917522 PGR917516:PGR917522 PQN917516:PQN917522 QAJ917516:QAJ917522 QKF917516:QKF917522 QUB917516:QUB917522 RDX917516:RDX917522 RNT917516:RNT917522 RXP917516:RXP917522 SHL917516:SHL917522 SRH917516:SRH917522 TBD917516:TBD917522 TKZ917516:TKZ917522 TUV917516:TUV917522 UER917516:UER917522 UON917516:UON917522 UYJ917516:UYJ917522 VIF917516:VIF917522 VSB917516:VSB917522 WBX917516:WBX917522 WLT917516:WLT917522 WVP917516:WVP917522 H983052:H983058 JD983052:JD983058 SZ983052:SZ983058 ACV983052:ACV983058 AMR983052:AMR983058 AWN983052:AWN983058 BGJ983052:BGJ983058 BQF983052:BQF983058 CAB983052:CAB983058 CJX983052:CJX983058 CTT983052:CTT983058 DDP983052:DDP983058 DNL983052:DNL983058 DXH983052:DXH983058 EHD983052:EHD983058 EQZ983052:EQZ983058 FAV983052:FAV983058 FKR983052:FKR983058 FUN983052:FUN983058 GEJ983052:GEJ983058 GOF983052:GOF983058 GYB983052:GYB983058 HHX983052:HHX983058 HRT983052:HRT983058 IBP983052:IBP983058 ILL983052:ILL983058 IVH983052:IVH983058 JFD983052:JFD983058 JOZ983052:JOZ983058 JYV983052:JYV983058 KIR983052:KIR983058 KSN983052:KSN983058 LCJ983052:LCJ983058 LMF983052:LMF983058 LWB983052:LWB983058 MFX983052:MFX983058 MPT983052:MPT983058 MZP983052:MZP983058 NJL983052:NJL983058 NTH983052:NTH983058 ODD983052:ODD983058 OMZ983052:OMZ983058 OWV983052:OWV983058 PGR983052:PGR983058 PQN983052:PQN983058 QAJ983052:QAJ983058 QKF983052:QKF983058 QUB983052:QUB983058 RDX983052:RDX983058 RNT983052:RNT983058 RXP983052:RXP983058 SHL983052:SHL983058 SRH983052:SRH983058 TBD983052:TBD983058 TKZ983052:TKZ983058 TUV983052:TUV983058 UER983052:UER983058 UON983052:UON983058 UYJ983052:UYJ983058 VIF983052:VIF983058 VSB983052:VSB983058 WBX983052:WBX983058 WLT983052:WLT983058 WVP983052:WVP983058 H8:H9 H13:H14 WLT8:WLT14 WVP8:WVP14 JD8:JD14 SZ8:SZ14 ACV8:ACV14 AMR8:AMR14 AWN8:AWN14 BGJ8:BGJ14 BQF8:BQF14 CAB8:CAB14 CJX8:CJX14 CTT8:CTT14 DDP8:DDP14 DNL8:DNL14 DXH8:DXH14 EHD8:EHD14 EQZ8:EQZ14 FAV8:FAV14 FKR8:FKR14 FUN8:FUN14 GEJ8:GEJ14 GOF8:GOF14 GYB8:GYB14 HHX8:HHX14 HRT8:HRT14 IBP8:IBP14 ILL8:ILL14 IVH8:IVH14 JFD8:JFD14 JOZ8:JOZ14 JYV8:JYV14 KIR8:KIR14 KSN8:KSN14 LCJ8:LCJ14 LMF8:LMF14 LWB8:LWB14 MFX8:MFX14 MPT8:MPT14 MZP8:MZP14 NJL8:NJL14 NTH8:NTH14 ODD8:ODD14 OMZ8:OMZ14 OWV8:OWV14 PGR8:PGR14 PQN8:PQN14 QAJ8:QAJ14 QKF8:QKF14 QUB8:QUB14 RDX8:RDX14 RNT8:RNT14 RXP8:RXP14 SHL8:SHL14 SRH8:SRH14 TBD8:TBD14 TKZ8:TKZ14 TUV8:TUV14 UER8:UER14 UON8:UON14 UYJ8:UYJ14 VIF8:VIF14 VSB8:VSB14 WBX8:WBX14 WBX18 VSB18 VIF18 UYJ18 UON18 UER18 TUV18 TKZ18 TBD18 SRH18 SHL18 RXP18 RNT18 RDX18 QUB18 QKF18 QAJ18 PQN18 PGR18 OWV18 OMZ18 ODD18 NTH18 NJL18 MZP18 MPT18 MFX18 LWB18 LMF18 LCJ18 KSN18 KIR18 JYV18 JOZ18 JFD18 IVH18 ILL18 IBP18 HRT18 HHX18 GYB18 GOF18 GEJ18 FUN18 FKR18 FAV18 EQZ18 EHD18 DXH18 DNL18 DDP18 CTT18 CJX18 CAB18 BQF18 BGJ18 AWN18 AMR18 ACV18 SZ18 JD18 WVP18 WLT18 H18">
      <formula1>$AI$1:$AI$3</formula1>
    </dataValidation>
    <dataValidation type="list" allowBlank="1" showInputMessage="1" showErrorMessage="1" sqref="G65548:G65554 SY18 WVO18 WLS18 WBW18 VSA18 VIE18 UYI18 UOM18 UEQ18 TUU18 TKY18 TBC18 SRG18 SHK18 RXO18 RNS18 RDW18 QUA18 QKE18 QAI18 PQM18 PGQ18 OWU18 OMY18 ODC18 NTG18 NJK18 MZO18 MPS18 MFW18 LWA18 LME18 LCI18 KSM18 KIQ18 JYU18 JOY18 JFC18 IVG18 ILK18 IBO18 HRS18 HHW18 GYA18 GOE18 GEI18 FUM18 FKQ18 FAU18 EQY18 EHC18 DXG18 DNK18 DDO18 CTS18 CJW18 CAA18 BQE18 BGI18 AWM18 AMQ18 ACU18 ACU8:ACU13 G8:G9 WVO983052:WVO983058 JC65548:JC65554 SY65548:SY65554 ACU65548:ACU65554 AMQ65548:AMQ65554 AWM65548:AWM65554 BGI65548:BGI65554 BQE65548:BQE65554 CAA65548:CAA65554 CJW65548:CJW65554 CTS65548:CTS65554 DDO65548:DDO65554 DNK65548:DNK65554 DXG65548:DXG65554 EHC65548:EHC65554 EQY65548:EQY65554 FAU65548:FAU65554 FKQ65548:FKQ65554 FUM65548:FUM65554 GEI65548:GEI65554 GOE65548:GOE65554 GYA65548:GYA65554 HHW65548:HHW65554 HRS65548:HRS65554 IBO65548:IBO65554 ILK65548:ILK65554 IVG65548:IVG65554 JFC65548:JFC65554 JOY65548:JOY65554 JYU65548:JYU65554 KIQ65548:KIQ65554 KSM65548:KSM65554 LCI65548:LCI65554 LME65548:LME65554 LWA65548:LWA65554 MFW65548:MFW65554 MPS65548:MPS65554 MZO65548:MZO65554 NJK65548:NJK65554 NTG65548:NTG65554 ODC65548:ODC65554 OMY65548:OMY65554 OWU65548:OWU65554 PGQ65548:PGQ65554 PQM65548:PQM65554 QAI65548:QAI65554 QKE65548:QKE65554 QUA65548:QUA65554 RDW65548:RDW65554 RNS65548:RNS65554 RXO65548:RXO65554 SHK65548:SHK65554 SRG65548:SRG65554 TBC65548:TBC65554 TKY65548:TKY65554 TUU65548:TUU65554 UEQ65548:UEQ65554 UOM65548:UOM65554 UYI65548:UYI65554 VIE65548:VIE65554 VSA65548:VSA65554 WBW65548:WBW65554 WLS65548:WLS65554 WVO65548:WVO65554 G131084:G131090 JC131084:JC131090 SY131084:SY131090 ACU131084:ACU131090 AMQ131084:AMQ131090 AWM131084:AWM131090 BGI131084:BGI131090 BQE131084:BQE131090 CAA131084:CAA131090 CJW131084:CJW131090 CTS131084:CTS131090 DDO131084:DDO131090 DNK131084:DNK131090 DXG131084:DXG131090 EHC131084:EHC131090 EQY131084:EQY131090 FAU131084:FAU131090 FKQ131084:FKQ131090 FUM131084:FUM131090 GEI131084:GEI131090 GOE131084:GOE131090 GYA131084:GYA131090 HHW131084:HHW131090 HRS131084:HRS131090 IBO131084:IBO131090 ILK131084:ILK131090 IVG131084:IVG131090 JFC131084:JFC131090 JOY131084:JOY131090 JYU131084:JYU131090 KIQ131084:KIQ131090 KSM131084:KSM131090 LCI131084:LCI131090 LME131084:LME131090 LWA131084:LWA131090 MFW131084:MFW131090 MPS131084:MPS131090 MZO131084:MZO131090 NJK131084:NJK131090 NTG131084:NTG131090 ODC131084:ODC131090 OMY131084:OMY131090 OWU131084:OWU131090 PGQ131084:PGQ131090 PQM131084:PQM131090 QAI131084:QAI131090 QKE131084:QKE131090 QUA131084:QUA131090 RDW131084:RDW131090 RNS131084:RNS131090 RXO131084:RXO131090 SHK131084:SHK131090 SRG131084:SRG131090 TBC131084:TBC131090 TKY131084:TKY131090 TUU131084:TUU131090 UEQ131084:UEQ131090 UOM131084:UOM131090 UYI131084:UYI131090 VIE131084:VIE131090 VSA131084:VSA131090 WBW131084:WBW131090 WLS131084:WLS131090 WVO131084:WVO131090 G196620:G196626 JC196620:JC196626 SY196620:SY196626 ACU196620:ACU196626 AMQ196620:AMQ196626 AWM196620:AWM196626 BGI196620:BGI196626 BQE196620:BQE196626 CAA196620:CAA196626 CJW196620:CJW196626 CTS196620:CTS196626 DDO196620:DDO196626 DNK196620:DNK196626 DXG196620:DXG196626 EHC196620:EHC196626 EQY196620:EQY196626 FAU196620:FAU196626 FKQ196620:FKQ196626 FUM196620:FUM196626 GEI196620:GEI196626 GOE196620:GOE196626 GYA196620:GYA196626 HHW196620:HHW196626 HRS196620:HRS196626 IBO196620:IBO196626 ILK196620:ILK196626 IVG196620:IVG196626 JFC196620:JFC196626 JOY196620:JOY196626 JYU196620:JYU196626 KIQ196620:KIQ196626 KSM196620:KSM196626 LCI196620:LCI196626 LME196620:LME196626 LWA196620:LWA196626 MFW196620:MFW196626 MPS196620:MPS196626 MZO196620:MZO196626 NJK196620:NJK196626 NTG196620:NTG196626 ODC196620:ODC196626 OMY196620:OMY196626 OWU196620:OWU196626 PGQ196620:PGQ196626 PQM196620:PQM196626 QAI196620:QAI196626 QKE196620:QKE196626 QUA196620:QUA196626 RDW196620:RDW196626 RNS196620:RNS196626 RXO196620:RXO196626 SHK196620:SHK196626 SRG196620:SRG196626 TBC196620:TBC196626 TKY196620:TKY196626 TUU196620:TUU196626 UEQ196620:UEQ196626 UOM196620:UOM196626 UYI196620:UYI196626 VIE196620:VIE196626 VSA196620:VSA196626 WBW196620:WBW196626 WLS196620:WLS196626 WVO196620:WVO196626 G262156:G262162 JC262156:JC262162 SY262156:SY262162 ACU262156:ACU262162 AMQ262156:AMQ262162 AWM262156:AWM262162 BGI262156:BGI262162 BQE262156:BQE262162 CAA262156:CAA262162 CJW262156:CJW262162 CTS262156:CTS262162 DDO262156:DDO262162 DNK262156:DNK262162 DXG262156:DXG262162 EHC262156:EHC262162 EQY262156:EQY262162 FAU262156:FAU262162 FKQ262156:FKQ262162 FUM262156:FUM262162 GEI262156:GEI262162 GOE262156:GOE262162 GYA262156:GYA262162 HHW262156:HHW262162 HRS262156:HRS262162 IBO262156:IBO262162 ILK262156:ILK262162 IVG262156:IVG262162 JFC262156:JFC262162 JOY262156:JOY262162 JYU262156:JYU262162 KIQ262156:KIQ262162 KSM262156:KSM262162 LCI262156:LCI262162 LME262156:LME262162 LWA262156:LWA262162 MFW262156:MFW262162 MPS262156:MPS262162 MZO262156:MZO262162 NJK262156:NJK262162 NTG262156:NTG262162 ODC262156:ODC262162 OMY262156:OMY262162 OWU262156:OWU262162 PGQ262156:PGQ262162 PQM262156:PQM262162 QAI262156:QAI262162 QKE262156:QKE262162 QUA262156:QUA262162 RDW262156:RDW262162 RNS262156:RNS262162 RXO262156:RXO262162 SHK262156:SHK262162 SRG262156:SRG262162 TBC262156:TBC262162 TKY262156:TKY262162 TUU262156:TUU262162 UEQ262156:UEQ262162 UOM262156:UOM262162 UYI262156:UYI262162 VIE262156:VIE262162 VSA262156:VSA262162 WBW262156:WBW262162 WLS262156:WLS262162 WVO262156:WVO262162 G327692:G327698 JC327692:JC327698 SY327692:SY327698 ACU327692:ACU327698 AMQ327692:AMQ327698 AWM327692:AWM327698 BGI327692:BGI327698 BQE327692:BQE327698 CAA327692:CAA327698 CJW327692:CJW327698 CTS327692:CTS327698 DDO327692:DDO327698 DNK327692:DNK327698 DXG327692:DXG327698 EHC327692:EHC327698 EQY327692:EQY327698 FAU327692:FAU327698 FKQ327692:FKQ327698 FUM327692:FUM327698 GEI327692:GEI327698 GOE327692:GOE327698 GYA327692:GYA327698 HHW327692:HHW327698 HRS327692:HRS327698 IBO327692:IBO327698 ILK327692:ILK327698 IVG327692:IVG327698 JFC327692:JFC327698 JOY327692:JOY327698 JYU327692:JYU327698 KIQ327692:KIQ327698 KSM327692:KSM327698 LCI327692:LCI327698 LME327692:LME327698 LWA327692:LWA327698 MFW327692:MFW327698 MPS327692:MPS327698 MZO327692:MZO327698 NJK327692:NJK327698 NTG327692:NTG327698 ODC327692:ODC327698 OMY327692:OMY327698 OWU327692:OWU327698 PGQ327692:PGQ327698 PQM327692:PQM327698 QAI327692:QAI327698 QKE327692:QKE327698 QUA327692:QUA327698 RDW327692:RDW327698 RNS327692:RNS327698 RXO327692:RXO327698 SHK327692:SHK327698 SRG327692:SRG327698 TBC327692:TBC327698 TKY327692:TKY327698 TUU327692:TUU327698 UEQ327692:UEQ327698 UOM327692:UOM327698 UYI327692:UYI327698 VIE327692:VIE327698 VSA327692:VSA327698 WBW327692:WBW327698 WLS327692:WLS327698 WVO327692:WVO327698 G393228:G393234 JC393228:JC393234 SY393228:SY393234 ACU393228:ACU393234 AMQ393228:AMQ393234 AWM393228:AWM393234 BGI393228:BGI393234 BQE393228:BQE393234 CAA393228:CAA393234 CJW393228:CJW393234 CTS393228:CTS393234 DDO393228:DDO393234 DNK393228:DNK393234 DXG393228:DXG393234 EHC393228:EHC393234 EQY393228:EQY393234 FAU393228:FAU393234 FKQ393228:FKQ393234 FUM393228:FUM393234 GEI393228:GEI393234 GOE393228:GOE393234 GYA393228:GYA393234 HHW393228:HHW393234 HRS393228:HRS393234 IBO393228:IBO393234 ILK393228:ILK393234 IVG393228:IVG393234 JFC393228:JFC393234 JOY393228:JOY393234 JYU393228:JYU393234 KIQ393228:KIQ393234 KSM393228:KSM393234 LCI393228:LCI393234 LME393228:LME393234 LWA393228:LWA393234 MFW393228:MFW393234 MPS393228:MPS393234 MZO393228:MZO393234 NJK393228:NJK393234 NTG393228:NTG393234 ODC393228:ODC393234 OMY393228:OMY393234 OWU393228:OWU393234 PGQ393228:PGQ393234 PQM393228:PQM393234 QAI393228:QAI393234 QKE393228:QKE393234 QUA393228:QUA393234 RDW393228:RDW393234 RNS393228:RNS393234 RXO393228:RXO393234 SHK393228:SHK393234 SRG393228:SRG393234 TBC393228:TBC393234 TKY393228:TKY393234 TUU393228:TUU393234 UEQ393228:UEQ393234 UOM393228:UOM393234 UYI393228:UYI393234 VIE393228:VIE393234 VSA393228:VSA393234 WBW393228:WBW393234 WLS393228:WLS393234 WVO393228:WVO393234 G458764:G458770 JC458764:JC458770 SY458764:SY458770 ACU458764:ACU458770 AMQ458764:AMQ458770 AWM458764:AWM458770 BGI458764:BGI458770 BQE458764:BQE458770 CAA458764:CAA458770 CJW458764:CJW458770 CTS458764:CTS458770 DDO458764:DDO458770 DNK458764:DNK458770 DXG458764:DXG458770 EHC458764:EHC458770 EQY458764:EQY458770 FAU458764:FAU458770 FKQ458764:FKQ458770 FUM458764:FUM458770 GEI458764:GEI458770 GOE458764:GOE458770 GYA458764:GYA458770 HHW458764:HHW458770 HRS458764:HRS458770 IBO458764:IBO458770 ILK458764:ILK458770 IVG458764:IVG458770 JFC458764:JFC458770 JOY458764:JOY458770 JYU458764:JYU458770 KIQ458764:KIQ458770 KSM458764:KSM458770 LCI458764:LCI458770 LME458764:LME458770 LWA458764:LWA458770 MFW458764:MFW458770 MPS458764:MPS458770 MZO458764:MZO458770 NJK458764:NJK458770 NTG458764:NTG458770 ODC458764:ODC458770 OMY458764:OMY458770 OWU458764:OWU458770 PGQ458764:PGQ458770 PQM458764:PQM458770 QAI458764:QAI458770 QKE458764:QKE458770 QUA458764:QUA458770 RDW458764:RDW458770 RNS458764:RNS458770 RXO458764:RXO458770 SHK458764:SHK458770 SRG458764:SRG458770 TBC458764:TBC458770 TKY458764:TKY458770 TUU458764:TUU458770 UEQ458764:UEQ458770 UOM458764:UOM458770 UYI458764:UYI458770 VIE458764:VIE458770 VSA458764:VSA458770 WBW458764:WBW458770 WLS458764:WLS458770 WVO458764:WVO458770 G524300:G524306 JC524300:JC524306 SY524300:SY524306 ACU524300:ACU524306 AMQ524300:AMQ524306 AWM524300:AWM524306 BGI524300:BGI524306 BQE524300:BQE524306 CAA524300:CAA524306 CJW524300:CJW524306 CTS524300:CTS524306 DDO524300:DDO524306 DNK524300:DNK524306 DXG524300:DXG524306 EHC524300:EHC524306 EQY524300:EQY524306 FAU524300:FAU524306 FKQ524300:FKQ524306 FUM524300:FUM524306 GEI524300:GEI524306 GOE524300:GOE524306 GYA524300:GYA524306 HHW524300:HHW524306 HRS524300:HRS524306 IBO524300:IBO524306 ILK524300:ILK524306 IVG524300:IVG524306 JFC524300:JFC524306 JOY524300:JOY524306 JYU524300:JYU524306 KIQ524300:KIQ524306 KSM524300:KSM524306 LCI524300:LCI524306 LME524300:LME524306 LWA524300:LWA524306 MFW524300:MFW524306 MPS524300:MPS524306 MZO524300:MZO524306 NJK524300:NJK524306 NTG524300:NTG524306 ODC524300:ODC524306 OMY524300:OMY524306 OWU524300:OWU524306 PGQ524300:PGQ524306 PQM524300:PQM524306 QAI524300:QAI524306 QKE524300:QKE524306 QUA524300:QUA524306 RDW524300:RDW524306 RNS524300:RNS524306 RXO524300:RXO524306 SHK524300:SHK524306 SRG524300:SRG524306 TBC524300:TBC524306 TKY524300:TKY524306 TUU524300:TUU524306 UEQ524300:UEQ524306 UOM524300:UOM524306 UYI524300:UYI524306 VIE524300:VIE524306 VSA524300:VSA524306 WBW524300:WBW524306 WLS524300:WLS524306 WVO524300:WVO524306 G589836:G589842 JC589836:JC589842 SY589836:SY589842 ACU589836:ACU589842 AMQ589836:AMQ589842 AWM589836:AWM589842 BGI589836:BGI589842 BQE589836:BQE589842 CAA589836:CAA589842 CJW589836:CJW589842 CTS589836:CTS589842 DDO589836:DDO589842 DNK589836:DNK589842 DXG589836:DXG589842 EHC589836:EHC589842 EQY589836:EQY589842 FAU589836:FAU589842 FKQ589836:FKQ589842 FUM589836:FUM589842 GEI589836:GEI589842 GOE589836:GOE589842 GYA589836:GYA589842 HHW589836:HHW589842 HRS589836:HRS589842 IBO589836:IBO589842 ILK589836:ILK589842 IVG589836:IVG589842 JFC589836:JFC589842 JOY589836:JOY589842 JYU589836:JYU589842 KIQ589836:KIQ589842 KSM589836:KSM589842 LCI589836:LCI589842 LME589836:LME589842 LWA589836:LWA589842 MFW589836:MFW589842 MPS589836:MPS589842 MZO589836:MZO589842 NJK589836:NJK589842 NTG589836:NTG589842 ODC589836:ODC589842 OMY589836:OMY589842 OWU589836:OWU589842 PGQ589836:PGQ589842 PQM589836:PQM589842 QAI589836:QAI589842 QKE589836:QKE589842 QUA589836:QUA589842 RDW589836:RDW589842 RNS589836:RNS589842 RXO589836:RXO589842 SHK589836:SHK589842 SRG589836:SRG589842 TBC589836:TBC589842 TKY589836:TKY589842 TUU589836:TUU589842 UEQ589836:UEQ589842 UOM589836:UOM589842 UYI589836:UYI589842 VIE589836:VIE589842 VSA589836:VSA589842 WBW589836:WBW589842 WLS589836:WLS589842 WVO589836:WVO589842 G655372:G655378 JC655372:JC655378 SY655372:SY655378 ACU655372:ACU655378 AMQ655372:AMQ655378 AWM655372:AWM655378 BGI655372:BGI655378 BQE655372:BQE655378 CAA655372:CAA655378 CJW655372:CJW655378 CTS655372:CTS655378 DDO655372:DDO655378 DNK655372:DNK655378 DXG655372:DXG655378 EHC655372:EHC655378 EQY655372:EQY655378 FAU655372:FAU655378 FKQ655372:FKQ655378 FUM655372:FUM655378 GEI655372:GEI655378 GOE655372:GOE655378 GYA655372:GYA655378 HHW655372:HHW655378 HRS655372:HRS655378 IBO655372:IBO655378 ILK655372:ILK655378 IVG655372:IVG655378 JFC655372:JFC655378 JOY655372:JOY655378 JYU655372:JYU655378 KIQ655372:KIQ655378 KSM655372:KSM655378 LCI655372:LCI655378 LME655372:LME655378 LWA655372:LWA655378 MFW655372:MFW655378 MPS655372:MPS655378 MZO655372:MZO655378 NJK655372:NJK655378 NTG655372:NTG655378 ODC655372:ODC655378 OMY655372:OMY655378 OWU655372:OWU655378 PGQ655372:PGQ655378 PQM655372:PQM655378 QAI655372:QAI655378 QKE655372:QKE655378 QUA655372:QUA655378 RDW655372:RDW655378 RNS655372:RNS655378 RXO655372:RXO655378 SHK655372:SHK655378 SRG655372:SRG655378 TBC655372:TBC655378 TKY655372:TKY655378 TUU655372:TUU655378 UEQ655372:UEQ655378 UOM655372:UOM655378 UYI655372:UYI655378 VIE655372:VIE655378 VSA655372:VSA655378 WBW655372:WBW655378 WLS655372:WLS655378 WVO655372:WVO655378 G720908:G720914 JC720908:JC720914 SY720908:SY720914 ACU720908:ACU720914 AMQ720908:AMQ720914 AWM720908:AWM720914 BGI720908:BGI720914 BQE720908:BQE720914 CAA720908:CAA720914 CJW720908:CJW720914 CTS720908:CTS720914 DDO720908:DDO720914 DNK720908:DNK720914 DXG720908:DXG720914 EHC720908:EHC720914 EQY720908:EQY720914 FAU720908:FAU720914 FKQ720908:FKQ720914 FUM720908:FUM720914 GEI720908:GEI720914 GOE720908:GOE720914 GYA720908:GYA720914 HHW720908:HHW720914 HRS720908:HRS720914 IBO720908:IBO720914 ILK720908:ILK720914 IVG720908:IVG720914 JFC720908:JFC720914 JOY720908:JOY720914 JYU720908:JYU720914 KIQ720908:KIQ720914 KSM720908:KSM720914 LCI720908:LCI720914 LME720908:LME720914 LWA720908:LWA720914 MFW720908:MFW720914 MPS720908:MPS720914 MZO720908:MZO720914 NJK720908:NJK720914 NTG720908:NTG720914 ODC720908:ODC720914 OMY720908:OMY720914 OWU720908:OWU720914 PGQ720908:PGQ720914 PQM720908:PQM720914 QAI720908:QAI720914 QKE720908:QKE720914 QUA720908:QUA720914 RDW720908:RDW720914 RNS720908:RNS720914 RXO720908:RXO720914 SHK720908:SHK720914 SRG720908:SRG720914 TBC720908:TBC720914 TKY720908:TKY720914 TUU720908:TUU720914 UEQ720908:UEQ720914 UOM720908:UOM720914 UYI720908:UYI720914 VIE720908:VIE720914 VSA720908:VSA720914 WBW720908:WBW720914 WLS720908:WLS720914 WVO720908:WVO720914 G786444:G786450 JC786444:JC786450 SY786444:SY786450 ACU786444:ACU786450 AMQ786444:AMQ786450 AWM786444:AWM786450 BGI786444:BGI786450 BQE786444:BQE786450 CAA786444:CAA786450 CJW786444:CJW786450 CTS786444:CTS786450 DDO786444:DDO786450 DNK786444:DNK786450 DXG786444:DXG786450 EHC786444:EHC786450 EQY786444:EQY786450 FAU786444:FAU786450 FKQ786444:FKQ786450 FUM786444:FUM786450 GEI786444:GEI786450 GOE786444:GOE786450 GYA786444:GYA786450 HHW786444:HHW786450 HRS786444:HRS786450 IBO786444:IBO786450 ILK786444:ILK786450 IVG786444:IVG786450 JFC786444:JFC786450 JOY786444:JOY786450 JYU786444:JYU786450 KIQ786444:KIQ786450 KSM786444:KSM786450 LCI786444:LCI786450 LME786444:LME786450 LWA786444:LWA786450 MFW786444:MFW786450 MPS786444:MPS786450 MZO786444:MZO786450 NJK786444:NJK786450 NTG786444:NTG786450 ODC786444:ODC786450 OMY786444:OMY786450 OWU786444:OWU786450 PGQ786444:PGQ786450 PQM786444:PQM786450 QAI786444:QAI786450 QKE786444:QKE786450 QUA786444:QUA786450 RDW786444:RDW786450 RNS786444:RNS786450 RXO786444:RXO786450 SHK786444:SHK786450 SRG786444:SRG786450 TBC786444:TBC786450 TKY786444:TKY786450 TUU786444:TUU786450 UEQ786444:UEQ786450 UOM786444:UOM786450 UYI786444:UYI786450 VIE786444:VIE786450 VSA786444:VSA786450 WBW786444:WBW786450 WLS786444:WLS786450 WVO786444:WVO786450 G851980:G851986 JC851980:JC851986 SY851980:SY851986 ACU851980:ACU851986 AMQ851980:AMQ851986 AWM851980:AWM851986 BGI851980:BGI851986 BQE851980:BQE851986 CAA851980:CAA851986 CJW851980:CJW851986 CTS851980:CTS851986 DDO851980:DDO851986 DNK851980:DNK851986 DXG851980:DXG851986 EHC851980:EHC851986 EQY851980:EQY851986 FAU851980:FAU851986 FKQ851980:FKQ851986 FUM851980:FUM851986 GEI851980:GEI851986 GOE851980:GOE851986 GYA851980:GYA851986 HHW851980:HHW851986 HRS851980:HRS851986 IBO851980:IBO851986 ILK851980:ILK851986 IVG851980:IVG851986 JFC851980:JFC851986 JOY851980:JOY851986 JYU851980:JYU851986 KIQ851980:KIQ851986 KSM851980:KSM851986 LCI851980:LCI851986 LME851980:LME851986 LWA851980:LWA851986 MFW851980:MFW851986 MPS851980:MPS851986 MZO851980:MZO851986 NJK851980:NJK851986 NTG851980:NTG851986 ODC851980:ODC851986 OMY851980:OMY851986 OWU851980:OWU851986 PGQ851980:PGQ851986 PQM851980:PQM851986 QAI851980:QAI851986 QKE851980:QKE851986 QUA851980:QUA851986 RDW851980:RDW851986 RNS851980:RNS851986 RXO851980:RXO851986 SHK851980:SHK851986 SRG851980:SRG851986 TBC851980:TBC851986 TKY851980:TKY851986 TUU851980:TUU851986 UEQ851980:UEQ851986 UOM851980:UOM851986 UYI851980:UYI851986 VIE851980:VIE851986 VSA851980:VSA851986 WBW851980:WBW851986 WLS851980:WLS851986 WVO851980:WVO851986 G917516:G917522 JC917516:JC917522 SY917516:SY917522 ACU917516:ACU917522 AMQ917516:AMQ917522 AWM917516:AWM917522 BGI917516:BGI917522 BQE917516:BQE917522 CAA917516:CAA917522 CJW917516:CJW917522 CTS917516:CTS917522 DDO917516:DDO917522 DNK917516:DNK917522 DXG917516:DXG917522 EHC917516:EHC917522 EQY917516:EQY917522 FAU917516:FAU917522 FKQ917516:FKQ917522 FUM917516:FUM917522 GEI917516:GEI917522 GOE917516:GOE917522 GYA917516:GYA917522 HHW917516:HHW917522 HRS917516:HRS917522 IBO917516:IBO917522 ILK917516:ILK917522 IVG917516:IVG917522 JFC917516:JFC917522 JOY917516:JOY917522 JYU917516:JYU917522 KIQ917516:KIQ917522 KSM917516:KSM917522 LCI917516:LCI917522 LME917516:LME917522 LWA917516:LWA917522 MFW917516:MFW917522 MPS917516:MPS917522 MZO917516:MZO917522 NJK917516:NJK917522 NTG917516:NTG917522 ODC917516:ODC917522 OMY917516:OMY917522 OWU917516:OWU917522 PGQ917516:PGQ917522 PQM917516:PQM917522 QAI917516:QAI917522 QKE917516:QKE917522 QUA917516:QUA917522 RDW917516:RDW917522 RNS917516:RNS917522 RXO917516:RXO917522 SHK917516:SHK917522 SRG917516:SRG917522 TBC917516:TBC917522 TKY917516:TKY917522 TUU917516:TUU917522 UEQ917516:UEQ917522 UOM917516:UOM917522 UYI917516:UYI917522 VIE917516:VIE917522 VSA917516:VSA917522 WBW917516:WBW917522 WLS917516:WLS917522 WVO917516:WVO917522 G983052:G983058 JC983052:JC983058 SY983052:SY983058 ACU983052:ACU983058 AMQ983052:AMQ983058 AWM983052:AWM983058 BGI983052:BGI983058 BQE983052:BQE983058 CAA983052:CAA983058 CJW983052:CJW983058 CTS983052:CTS983058 DDO983052:DDO983058 DNK983052:DNK983058 DXG983052:DXG983058 EHC983052:EHC983058 EQY983052:EQY983058 FAU983052:FAU983058 FKQ983052:FKQ983058 FUM983052:FUM983058 GEI983052:GEI983058 GOE983052:GOE983058 GYA983052:GYA983058 HHW983052:HHW983058 HRS983052:HRS983058 IBO983052:IBO983058 ILK983052:ILK983058 IVG983052:IVG983058 JFC983052:JFC983058 JOY983052:JOY983058 JYU983052:JYU983058 KIQ983052:KIQ983058 KSM983052:KSM983058 LCI983052:LCI983058 LME983052:LME983058 LWA983052:LWA983058 MFW983052:MFW983058 MPS983052:MPS983058 MZO983052:MZO983058 NJK983052:NJK983058 NTG983052:NTG983058 ODC983052:ODC983058 OMY983052:OMY983058 OWU983052:OWU983058 PGQ983052:PGQ983058 PQM983052:PQM983058 QAI983052:QAI983058 QKE983052:QKE983058 QUA983052:QUA983058 RDW983052:RDW983058 RNS983052:RNS983058 RXO983052:RXO983058 SHK983052:SHK983058 SRG983052:SRG983058 TBC983052:TBC983058 TKY983052:TKY983058 TUU983052:TUU983058 UEQ983052:UEQ983058 UOM983052:UOM983058 UYI983052:UYI983058 VIE983052:VIE983058 VSA983052:VSA983058 WBW983052:WBW983058 WLS983052:WLS983058 SY8:SY13 JC8:JC13 WVO8:WVO13 WLS8:WLS13 WBW8:WBW13 VSA8:VSA13 VIE8:VIE13 UYI8:UYI13 UOM8:UOM13 UEQ8:UEQ13 TUU8:TUU13 TKY8:TKY13 TBC8:TBC13 SRG8:SRG13 SHK8:SHK13 RXO8:RXO13 RNS8:RNS13 RDW8:RDW13 QUA8:QUA13 QKE8:QKE13 QAI8:QAI13 PQM8:PQM13 PGQ8:PGQ13 OWU8:OWU13 OMY8:OMY13 ODC8:ODC13 NTG8:NTG13 NJK8:NJK13 MZO8:MZO13 MPS8:MPS13 MFW8:MFW13 LWA8:LWA13 LME8:LME13 LCI8:LCI13 KSM8:KSM13 KIQ8:KIQ13 JYU8:JYU13 JOY8:JOY13 JFC8:JFC13 IVG8:IVG13 ILK8:ILK13 IBO8:IBO13 HRS8:HRS13 HHW8:HHW13 GYA8:GYA13 GOE8:GOE13 GEI8:GEI13 FUM8:FUM13 FKQ8:FKQ13 FAU8:FAU13 EQY8:EQY13 EHC8:EHC13 DXG8:DXG13 DNK8:DNK13 DDO8:DDO13 CTS8:CTS13 CJW8:CJW13 CAA8:CAA13 BQE8:BQE13 BGI8:BGI13 AWM8:AWM13 AMQ8:AMQ13 G13 JC18 G18">
      <formula1>$AI$28:$AI$40</formula1>
    </dataValidation>
    <dataValidation type="list" allowBlank="1" showInputMessage="1" showErrorMessage="1" sqref="G14 JC14 SY14 ACU14 AMQ14 AWM14 BGI14 BQE14 CAA14 CJW14 CTS14 DDO14 DNK14 DXG14 EHC14 EQY14 FAU14 FKQ14 FUM14 GEI14 GOE14 GYA14 HHW14 HRS14 IBO14 ILK14 IVG14 JFC14 JOY14 JYU14 KIQ14 KSM14 LCI14 LME14 LWA14 MFW14 MPS14 MZO14 NJK14 NTG14 ODC14 OMY14 OWU14 PGQ14 PQM14 QAI14 QKE14 QUA14 RDW14 RNS14 RXO14 SHK14 SRG14 TBC14 TKY14 TUU14 UEQ14 UOM14 UYI14 VIE14 VSA14 WBW14 WLS14 WVO14">
      <formula1>$AI$21:$AI$33</formula1>
    </dataValidation>
  </dataValidations>
  <printOptions horizontalCentered="1"/>
  <pageMargins left="0" right="0.19685039370078741" top="0.59055118110236227" bottom="0.59055118110236227" header="0.31496062992125984" footer="0.31496062992125984"/>
  <pageSetup paperSize="5" scale="57" orientation="landscape" horizontalDpi="4294967293" r:id="rId1"/>
  <headerFooter>
    <oddFooter>&amp;C&amp;"Tahoma,Cursiva"&amp;K365F91Si usted ha accedido a este formato a través de un medio diferente al sitio http://www.unicordoba.edu.co/index.php/documentossigec/documentos-calidad asegúrese que ésta es la versión vigente</oddFooter>
  </headerFooter>
  <rowBreaks count="2" manualBreakCount="2">
    <brk id="13" max="31" man="1"/>
    <brk id="24" max="31"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AM45"/>
  <sheetViews>
    <sheetView topLeftCell="F16" zoomScale="80" zoomScaleNormal="80" zoomScaleSheetLayoutView="100" zoomScalePageLayoutView="60" workbookViewId="0">
      <selection activeCell="AG19" sqref="AG19"/>
    </sheetView>
  </sheetViews>
  <sheetFormatPr baseColWidth="10" defaultRowHeight="12.75"/>
  <cols>
    <col min="1" max="1" width="10.28515625" style="2" customWidth="1"/>
    <col min="2" max="2" width="13.42578125" style="2" customWidth="1"/>
    <col min="3" max="3" width="4.28515625" style="2" customWidth="1"/>
    <col min="4" max="4" width="4" style="2" customWidth="1"/>
    <col min="5" max="5" width="20.85546875" style="2" customWidth="1"/>
    <col min="6" max="6" width="4.140625" style="2" customWidth="1"/>
    <col min="7" max="7" width="11.28515625" style="2" customWidth="1"/>
    <col min="8" max="8" width="16.140625" style="2" customWidth="1"/>
    <col min="9" max="9" width="11" style="2" customWidth="1"/>
    <col min="10" max="11" width="2.140625" style="2" customWidth="1"/>
    <col min="12" max="12" width="3.28515625" style="2" customWidth="1"/>
    <col min="13" max="13" width="0.28515625" style="2" hidden="1" customWidth="1"/>
    <col min="14" max="14" width="0.42578125" style="2" hidden="1" customWidth="1"/>
    <col min="15" max="15" width="2.85546875" style="2" customWidth="1"/>
    <col min="16" max="16" width="3.28515625" style="2" customWidth="1"/>
    <col min="17" max="17" width="1.42578125" style="2" customWidth="1"/>
    <col min="18" max="18" width="1.85546875" style="2" hidden="1" customWidth="1"/>
    <col min="19" max="19" width="6.85546875" style="2" customWidth="1"/>
    <col min="20" max="20" width="3" style="2" hidden="1" customWidth="1"/>
    <col min="21" max="22" width="6.28515625" style="2" customWidth="1"/>
    <col min="23" max="23" width="20.42578125" style="2" customWidth="1"/>
    <col min="24" max="24" width="13.85546875" style="2" customWidth="1"/>
    <col min="25" max="25" width="10.85546875" style="2" customWidth="1"/>
    <col min="26" max="26" width="18.7109375" style="2" customWidth="1"/>
    <col min="27" max="27" width="0.42578125" style="2" hidden="1" customWidth="1"/>
    <col min="28" max="28" width="13" style="2" customWidth="1"/>
    <col min="29" max="29" width="13.140625" style="2" customWidth="1"/>
    <col min="30" max="31" width="14" style="2" customWidth="1"/>
    <col min="32" max="32" width="11.42578125" style="2" customWidth="1"/>
    <col min="33" max="33" width="15.85546875" style="2" customWidth="1"/>
    <col min="34" max="34" width="27.7109375" style="2" customWidth="1"/>
    <col min="35" max="35" width="12" style="2" customWidth="1"/>
    <col min="36" max="37" width="0.28515625" style="2" customWidth="1"/>
    <col min="38" max="38" width="1.42578125" style="2" customWidth="1"/>
    <col min="39" max="39" width="1.28515625" style="2" hidden="1" customWidth="1"/>
    <col min="40" max="256" width="11.42578125" style="2"/>
    <col min="257" max="257" width="10.28515625" style="2" customWidth="1"/>
    <col min="258" max="258" width="13.42578125" style="2" customWidth="1"/>
    <col min="259" max="259" width="4.28515625" style="2" customWidth="1"/>
    <col min="260" max="260" width="4" style="2" customWidth="1"/>
    <col min="261" max="261" width="20.85546875" style="2" customWidth="1"/>
    <col min="262" max="262" width="4.140625" style="2" customWidth="1"/>
    <col min="263" max="263" width="11.28515625" style="2" customWidth="1"/>
    <col min="264" max="264" width="16.140625" style="2" customWidth="1"/>
    <col min="265" max="265" width="11" style="2" customWidth="1"/>
    <col min="266" max="267" width="2.140625" style="2" customWidth="1"/>
    <col min="268" max="268" width="3.28515625" style="2" customWidth="1"/>
    <col min="269" max="270" width="0" style="2" hidden="1" customWidth="1"/>
    <col min="271" max="271" width="2.85546875" style="2" customWidth="1"/>
    <col min="272" max="272" width="3.28515625" style="2" customWidth="1"/>
    <col min="273" max="273" width="1.42578125" style="2" customWidth="1"/>
    <col min="274" max="274" width="0" style="2" hidden="1" customWidth="1"/>
    <col min="275" max="275" width="6.85546875" style="2" customWidth="1"/>
    <col min="276" max="276" width="0" style="2" hidden="1" customWidth="1"/>
    <col min="277" max="278" width="6.28515625" style="2" customWidth="1"/>
    <col min="279" max="279" width="20.42578125" style="2" customWidth="1"/>
    <col min="280" max="280" width="13.85546875" style="2" customWidth="1"/>
    <col min="281" max="281" width="10.85546875" style="2" customWidth="1"/>
    <col min="282" max="282" width="18.7109375" style="2" customWidth="1"/>
    <col min="283" max="283" width="0" style="2" hidden="1" customWidth="1"/>
    <col min="284" max="284" width="13" style="2" customWidth="1"/>
    <col min="285" max="285" width="13.140625" style="2" customWidth="1"/>
    <col min="286" max="287" width="14" style="2" customWidth="1"/>
    <col min="288" max="288" width="11.42578125" style="2" customWidth="1"/>
    <col min="289" max="289" width="15.85546875" style="2" customWidth="1"/>
    <col min="290" max="290" width="23.7109375" style="2" customWidth="1"/>
    <col min="291" max="291" width="12" style="2" customWidth="1"/>
    <col min="292" max="293" width="0.28515625" style="2" customWidth="1"/>
    <col min="294" max="294" width="1.42578125" style="2" customWidth="1"/>
    <col min="295" max="295" width="0" style="2" hidden="1" customWidth="1"/>
    <col min="296" max="512" width="11.42578125" style="2"/>
    <col min="513" max="513" width="10.28515625" style="2" customWidth="1"/>
    <col min="514" max="514" width="13.42578125" style="2" customWidth="1"/>
    <col min="515" max="515" width="4.28515625" style="2" customWidth="1"/>
    <col min="516" max="516" width="4" style="2" customWidth="1"/>
    <col min="517" max="517" width="20.85546875" style="2" customWidth="1"/>
    <col min="518" max="518" width="4.140625" style="2" customWidth="1"/>
    <col min="519" max="519" width="11.28515625" style="2" customWidth="1"/>
    <col min="520" max="520" width="16.140625" style="2" customWidth="1"/>
    <col min="521" max="521" width="11" style="2" customWidth="1"/>
    <col min="522" max="523" width="2.140625" style="2" customWidth="1"/>
    <col min="524" max="524" width="3.28515625" style="2" customWidth="1"/>
    <col min="525" max="526" width="0" style="2" hidden="1" customWidth="1"/>
    <col min="527" max="527" width="2.85546875" style="2" customWidth="1"/>
    <col min="528" max="528" width="3.28515625" style="2" customWidth="1"/>
    <col min="529" max="529" width="1.42578125" style="2" customWidth="1"/>
    <col min="530" max="530" width="0" style="2" hidden="1" customWidth="1"/>
    <col min="531" max="531" width="6.85546875" style="2" customWidth="1"/>
    <col min="532" max="532" width="0" style="2" hidden="1" customWidth="1"/>
    <col min="533" max="534" width="6.28515625" style="2" customWidth="1"/>
    <col min="535" max="535" width="20.42578125" style="2" customWidth="1"/>
    <col min="536" max="536" width="13.85546875" style="2" customWidth="1"/>
    <col min="537" max="537" width="10.85546875" style="2" customWidth="1"/>
    <col min="538" max="538" width="18.7109375" style="2" customWidth="1"/>
    <col min="539" max="539" width="0" style="2" hidden="1" customWidth="1"/>
    <col min="540" max="540" width="13" style="2" customWidth="1"/>
    <col min="541" max="541" width="13.140625" style="2" customWidth="1"/>
    <col min="542" max="543" width="14" style="2" customWidth="1"/>
    <col min="544" max="544" width="11.42578125" style="2" customWidth="1"/>
    <col min="545" max="545" width="15.85546875" style="2" customWidth="1"/>
    <col min="546" max="546" width="23.7109375" style="2" customWidth="1"/>
    <col min="547" max="547" width="12" style="2" customWidth="1"/>
    <col min="548" max="549" width="0.28515625" style="2" customWidth="1"/>
    <col min="550" max="550" width="1.42578125" style="2" customWidth="1"/>
    <col min="551" max="551" width="0" style="2" hidden="1" customWidth="1"/>
    <col min="552" max="768" width="11.42578125" style="2"/>
    <col min="769" max="769" width="10.28515625" style="2" customWidth="1"/>
    <col min="770" max="770" width="13.42578125" style="2" customWidth="1"/>
    <col min="771" max="771" width="4.28515625" style="2" customWidth="1"/>
    <col min="772" max="772" width="4" style="2" customWidth="1"/>
    <col min="773" max="773" width="20.85546875" style="2" customWidth="1"/>
    <col min="774" max="774" width="4.140625" style="2" customWidth="1"/>
    <col min="775" max="775" width="11.28515625" style="2" customWidth="1"/>
    <col min="776" max="776" width="16.140625" style="2" customWidth="1"/>
    <col min="777" max="777" width="11" style="2" customWidth="1"/>
    <col min="778" max="779" width="2.140625" style="2" customWidth="1"/>
    <col min="780" max="780" width="3.28515625" style="2" customWidth="1"/>
    <col min="781" max="782" width="0" style="2" hidden="1" customWidth="1"/>
    <col min="783" max="783" width="2.85546875" style="2" customWidth="1"/>
    <col min="784" max="784" width="3.28515625" style="2" customWidth="1"/>
    <col min="785" max="785" width="1.42578125" style="2" customWidth="1"/>
    <col min="786" max="786" width="0" style="2" hidden="1" customWidth="1"/>
    <col min="787" max="787" width="6.85546875" style="2" customWidth="1"/>
    <col min="788" max="788" width="0" style="2" hidden="1" customWidth="1"/>
    <col min="789" max="790" width="6.28515625" style="2" customWidth="1"/>
    <col min="791" max="791" width="20.42578125" style="2" customWidth="1"/>
    <col min="792" max="792" width="13.85546875" style="2" customWidth="1"/>
    <col min="793" max="793" width="10.85546875" style="2" customWidth="1"/>
    <col min="794" max="794" width="18.7109375" style="2" customWidth="1"/>
    <col min="795" max="795" width="0" style="2" hidden="1" customWidth="1"/>
    <col min="796" max="796" width="13" style="2" customWidth="1"/>
    <col min="797" max="797" width="13.140625" style="2" customWidth="1"/>
    <col min="798" max="799" width="14" style="2" customWidth="1"/>
    <col min="800" max="800" width="11.42578125" style="2" customWidth="1"/>
    <col min="801" max="801" width="15.85546875" style="2" customWidth="1"/>
    <col min="802" max="802" width="23.7109375" style="2" customWidth="1"/>
    <col min="803" max="803" width="12" style="2" customWidth="1"/>
    <col min="804" max="805" width="0.28515625" style="2" customWidth="1"/>
    <col min="806" max="806" width="1.42578125" style="2" customWidth="1"/>
    <col min="807" max="807" width="0" style="2" hidden="1" customWidth="1"/>
    <col min="808" max="1024" width="11.42578125" style="2"/>
    <col min="1025" max="1025" width="10.28515625" style="2" customWidth="1"/>
    <col min="1026" max="1026" width="13.42578125" style="2" customWidth="1"/>
    <col min="1027" max="1027" width="4.28515625" style="2" customWidth="1"/>
    <col min="1028" max="1028" width="4" style="2" customWidth="1"/>
    <col min="1029" max="1029" width="20.85546875" style="2" customWidth="1"/>
    <col min="1030" max="1030" width="4.140625" style="2" customWidth="1"/>
    <col min="1031" max="1031" width="11.28515625" style="2" customWidth="1"/>
    <col min="1032" max="1032" width="16.140625" style="2" customWidth="1"/>
    <col min="1033" max="1033" width="11" style="2" customWidth="1"/>
    <col min="1034" max="1035" width="2.140625" style="2" customWidth="1"/>
    <col min="1036" max="1036" width="3.28515625" style="2" customWidth="1"/>
    <col min="1037" max="1038" width="0" style="2" hidden="1" customWidth="1"/>
    <col min="1039" max="1039" width="2.85546875" style="2" customWidth="1"/>
    <col min="1040" max="1040" width="3.28515625" style="2" customWidth="1"/>
    <col min="1041" max="1041" width="1.42578125" style="2" customWidth="1"/>
    <col min="1042" max="1042" width="0" style="2" hidden="1" customWidth="1"/>
    <col min="1043" max="1043" width="6.85546875" style="2" customWidth="1"/>
    <col min="1044" max="1044" width="0" style="2" hidden="1" customWidth="1"/>
    <col min="1045" max="1046" width="6.28515625" style="2" customWidth="1"/>
    <col min="1047" max="1047" width="20.42578125" style="2" customWidth="1"/>
    <col min="1048" max="1048" width="13.85546875" style="2" customWidth="1"/>
    <col min="1049" max="1049" width="10.85546875" style="2" customWidth="1"/>
    <col min="1050" max="1050" width="18.7109375" style="2" customWidth="1"/>
    <col min="1051" max="1051" width="0" style="2" hidden="1" customWidth="1"/>
    <col min="1052" max="1052" width="13" style="2" customWidth="1"/>
    <col min="1053" max="1053" width="13.140625" style="2" customWidth="1"/>
    <col min="1054" max="1055" width="14" style="2" customWidth="1"/>
    <col min="1056" max="1056" width="11.42578125" style="2" customWidth="1"/>
    <col min="1057" max="1057" width="15.85546875" style="2" customWidth="1"/>
    <col min="1058" max="1058" width="23.7109375" style="2" customWidth="1"/>
    <col min="1059" max="1059" width="12" style="2" customWidth="1"/>
    <col min="1060" max="1061" width="0.28515625" style="2" customWidth="1"/>
    <col min="1062" max="1062" width="1.42578125" style="2" customWidth="1"/>
    <col min="1063" max="1063" width="0" style="2" hidden="1" customWidth="1"/>
    <col min="1064" max="1280" width="11.42578125" style="2"/>
    <col min="1281" max="1281" width="10.28515625" style="2" customWidth="1"/>
    <col min="1282" max="1282" width="13.42578125" style="2" customWidth="1"/>
    <col min="1283" max="1283" width="4.28515625" style="2" customWidth="1"/>
    <col min="1284" max="1284" width="4" style="2" customWidth="1"/>
    <col min="1285" max="1285" width="20.85546875" style="2" customWidth="1"/>
    <col min="1286" max="1286" width="4.140625" style="2" customWidth="1"/>
    <col min="1287" max="1287" width="11.28515625" style="2" customWidth="1"/>
    <col min="1288" max="1288" width="16.140625" style="2" customWidth="1"/>
    <col min="1289" max="1289" width="11" style="2" customWidth="1"/>
    <col min="1290" max="1291" width="2.140625" style="2" customWidth="1"/>
    <col min="1292" max="1292" width="3.28515625" style="2" customWidth="1"/>
    <col min="1293" max="1294" width="0" style="2" hidden="1" customWidth="1"/>
    <col min="1295" max="1295" width="2.85546875" style="2" customWidth="1"/>
    <col min="1296" max="1296" width="3.28515625" style="2" customWidth="1"/>
    <col min="1297" max="1297" width="1.42578125" style="2" customWidth="1"/>
    <col min="1298" max="1298" width="0" style="2" hidden="1" customWidth="1"/>
    <col min="1299" max="1299" width="6.85546875" style="2" customWidth="1"/>
    <col min="1300" max="1300" width="0" style="2" hidden="1" customWidth="1"/>
    <col min="1301" max="1302" width="6.28515625" style="2" customWidth="1"/>
    <col min="1303" max="1303" width="20.42578125" style="2" customWidth="1"/>
    <col min="1304" max="1304" width="13.85546875" style="2" customWidth="1"/>
    <col min="1305" max="1305" width="10.85546875" style="2" customWidth="1"/>
    <col min="1306" max="1306" width="18.7109375" style="2" customWidth="1"/>
    <col min="1307" max="1307" width="0" style="2" hidden="1" customWidth="1"/>
    <col min="1308" max="1308" width="13" style="2" customWidth="1"/>
    <col min="1309" max="1309" width="13.140625" style="2" customWidth="1"/>
    <col min="1310" max="1311" width="14" style="2" customWidth="1"/>
    <col min="1312" max="1312" width="11.42578125" style="2" customWidth="1"/>
    <col min="1313" max="1313" width="15.85546875" style="2" customWidth="1"/>
    <col min="1314" max="1314" width="23.7109375" style="2" customWidth="1"/>
    <col min="1315" max="1315" width="12" style="2" customWidth="1"/>
    <col min="1316" max="1317" width="0.28515625" style="2" customWidth="1"/>
    <col min="1318" max="1318" width="1.42578125" style="2" customWidth="1"/>
    <col min="1319" max="1319" width="0" style="2" hidden="1" customWidth="1"/>
    <col min="1320" max="1536" width="11.42578125" style="2"/>
    <col min="1537" max="1537" width="10.28515625" style="2" customWidth="1"/>
    <col min="1538" max="1538" width="13.42578125" style="2" customWidth="1"/>
    <col min="1539" max="1539" width="4.28515625" style="2" customWidth="1"/>
    <col min="1540" max="1540" width="4" style="2" customWidth="1"/>
    <col min="1541" max="1541" width="20.85546875" style="2" customWidth="1"/>
    <col min="1542" max="1542" width="4.140625" style="2" customWidth="1"/>
    <col min="1543" max="1543" width="11.28515625" style="2" customWidth="1"/>
    <col min="1544" max="1544" width="16.140625" style="2" customWidth="1"/>
    <col min="1545" max="1545" width="11" style="2" customWidth="1"/>
    <col min="1546" max="1547" width="2.140625" style="2" customWidth="1"/>
    <col min="1548" max="1548" width="3.28515625" style="2" customWidth="1"/>
    <col min="1549" max="1550" width="0" style="2" hidden="1" customWidth="1"/>
    <col min="1551" max="1551" width="2.85546875" style="2" customWidth="1"/>
    <col min="1552" max="1552" width="3.28515625" style="2" customWidth="1"/>
    <col min="1553" max="1553" width="1.42578125" style="2" customWidth="1"/>
    <col min="1554" max="1554" width="0" style="2" hidden="1" customWidth="1"/>
    <col min="1555" max="1555" width="6.85546875" style="2" customWidth="1"/>
    <col min="1556" max="1556" width="0" style="2" hidden="1" customWidth="1"/>
    <col min="1557" max="1558" width="6.28515625" style="2" customWidth="1"/>
    <col min="1559" max="1559" width="20.42578125" style="2" customWidth="1"/>
    <col min="1560" max="1560" width="13.85546875" style="2" customWidth="1"/>
    <col min="1561" max="1561" width="10.85546875" style="2" customWidth="1"/>
    <col min="1562" max="1562" width="18.7109375" style="2" customWidth="1"/>
    <col min="1563" max="1563" width="0" style="2" hidden="1" customWidth="1"/>
    <col min="1564" max="1564" width="13" style="2" customWidth="1"/>
    <col min="1565" max="1565" width="13.140625" style="2" customWidth="1"/>
    <col min="1566" max="1567" width="14" style="2" customWidth="1"/>
    <col min="1568" max="1568" width="11.42578125" style="2" customWidth="1"/>
    <col min="1569" max="1569" width="15.85546875" style="2" customWidth="1"/>
    <col min="1570" max="1570" width="23.7109375" style="2" customWidth="1"/>
    <col min="1571" max="1571" width="12" style="2" customWidth="1"/>
    <col min="1572" max="1573" width="0.28515625" style="2" customWidth="1"/>
    <col min="1574" max="1574" width="1.42578125" style="2" customWidth="1"/>
    <col min="1575" max="1575" width="0" style="2" hidden="1" customWidth="1"/>
    <col min="1576" max="1792" width="11.42578125" style="2"/>
    <col min="1793" max="1793" width="10.28515625" style="2" customWidth="1"/>
    <col min="1794" max="1794" width="13.42578125" style="2" customWidth="1"/>
    <col min="1795" max="1795" width="4.28515625" style="2" customWidth="1"/>
    <col min="1796" max="1796" width="4" style="2" customWidth="1"/>
    <col min="1797" max="1797" width="20.85546875" style="2" customWidth="1"/>
    <col min="1798" max="1798" width="4.140625" style="2" customWidth="1"/>
    <col min="1799" max="1799" width="11.28515625" style="2" customWidth="1"/>
    <col min="1800" max="1800" width="16.140625" style="2" customWidth="1"/>
    <col min="1801" max="1801" width="11" style="2" customWidth="1"/>
    <col min="1802" max="1803" width="2.140625" style="2" customWidth="1"/>
    <col min="1804" max="1804" width="3.28515625" style="2" customWidth="1"/>
    <col min="1805" max="1806" width="0" style="2" hidden="1" customWidth="1"/>
    <col min="1807" max="1807" width="2.85546875" style="2" customWidth="1"/>
    <col min="1808" max="1808" width="3.28515625" style="2" customWidth="1"/>
    <col min="1809" max="1809" width="1.42578125" style="2" customWidth="1"/>
    <col min="1810" max="1810" width="0" style="2" hidden="1" customWidth="1"/>
    <col min="1811" max="1811" width="6.85546875" style="2" customWidth="1"/>
    <col min="1812" max="1812" width="0" style="2" hidden="1" customWidth="1"/>
    <col min="1813" max="1814" width="6.28515625" style="2" customWidth="1"/>
    <col min="1815" max="1815" width="20.42578125" style="2" customWidth="1"/>
    <col min="1816" max="1816" width="13.85546875" style="2" customWidth="1"/>
    <col min="1817" max="1817" width="10.85546875" style="2" customWidth="1"/>
    <col min="1818" max="1818" width="18.7109375" style="2" customWidth="1"/>
    <col min="1819" max="1819" width="0" style="2" hidden="1" customWidth="1"/>
    <col min="1820" max="1820" width="13" style="2" customWidth="1"/>
    <col min="1821" max="1821" width="13.140625" style="2" customWidth="1"/>
    <col min="1822" max="1823" width="14" style="2" customWidth="1"/>
    <col min="1824" max="1824" width="11.42578125" style="2" customWidth="1"/>
    <col min="1825" max="1825" width="15.85546875" style="2" customWidth="1"/>
    <col min="1826" max="1826" width="23.7109375" style="2" customWidth="1"/>
    <col min="1827" max="1827" width="12" style="2" customWidth="1"/>
    <col min="1828" max="1829" width="0.28515625" style="2" customWidth="1"/>
    <col min="1830" max="1830" width="1.42578125" style="2" customWidth="1"/>
    <col min="1831" max="1831" width="0" style="2" hidden="1" customWidth="1"/>
    <col min="1832" max="2048" width="11.42578125" style="2"/>
    <col min="2049" max="2049" width="10.28515625" style="2" customWidth="1"/>
    <col min="2050" max="2050" width="13.42578125" style="2" customWidth="1"/>
    <col min="2051" max="2051" width="4.28515625" style="2" customWidth="1"/>
    <col min="2052" max="2052" width="4" style="2" customWidth="1"/>
    <col min="2053" max="2053" width="20.85546875" style="2" customWidth="1"/>
    <col min="2054" max="2054" width="4.140625" style="2" customWidth="1"/>
    <col min="2055" max="2055" width="11.28515625" style="2" customWidth="1"/>
    <col min="2056" max="2056" width="16.140625" style="2" customWidth="1"/>
    <col min="2057" max="2057" width="11" style="2" customWidth="1"/>
    <col min="2058" max="2059" width="2.140625" style="2" customWidth="1"/>
    <col min="2060" max="2060" width="3.28515625" style="2" customWidth="1"/>
    <col min="2061" max="2062" width="0" style="2" hidden="1" customWidth="1"/>
    <col min="2063" max="2063" width="2.85546875" style="2" customWidth="1"/>
    <col min="2064" max="2064" width="3.28515625" style="2" customWidth="1"/>
    <col min="2065" max="2065" width="1.42578125" style="2" customWidth="1"/>
    <col min="2066" max="2066" width="0" style="2" hidden="1" customWidth="1"/>
    <col min="2067" max="2067" width="6.85546875" style="2" customWidth="1"/>
    <col min="2068" max="2068" width="0" style="2" hidden="1" customWidth="1"/>
    <col min="2069" max="2070" width="6.28515625" style="2" customWidth="1"/>
    <col min="2071" max="2071" width="20.42578125" style="2" customWidth="1"/>
    <col min="2072" max="2072" width="13.85546875" style="2" customWidth="1"/>
    <col min="2073" max="2073" width="10.85546875" style="2" customWidth="1"/>
    <col min="2074" max="2074" width="18.7109375" style="2" customWidth="1"/>
    <col min="2075" max="2075" width="0" style="2" hidden="1" customWidth="1"/>
    <col min="2076" max="2076" width="13" style="2" customWidth="1"/>
    <col min="2077" max="2077" width="13.140625" style="2" customWidth="1"/>
    <col min="2078" max="2079" width="14" style="2" customWidth="1"/>
    <col min="2080" max="2080" width="11.42578125" style="2" customWidth="1"/>
    <col min="2081" max="2081" width="15.85546875" style="2" customWidth="1"/>
    <col min="2082" max="2082" width="23.7109375" style="2" customWidth="1"/>
    <col min="2083" max="2083" width="12" style="2" customWidth="1"/>
    <col min="2084" max="2085" width="0.28515625" style="2" customWidth="1"/>
    <col min="2086" max="2086" width="1.42578125" style="2" customWidth="1"/>
    <col min="2087" max="2087" width="0" style="2" hidden="1" customWidth="1"/>
    <col min="2088" max="2304" width="11.42578125" style="2"/>
    <col min="2305" max="2305" width="10.28515625" style="2" customWidth="1"/>
    <col min="2306" max="2306" width="13.42578125" style="2" customWidth="1"/>
    <col min="2307" max="2307" width="4.28515625" style="2" customWidth="1"/>
    <col min="2308" max="2308" width="4" style="2" customWidth="1"/>
    <col min="2309" max="2309" width="20.85546875" style="2" customWidth="1"/>
    <col min="2310" max="2310" width="4.140625" style="2" customWidth="1"/>
    <col min="2311" max="2311" width="11.28515625" style="2" customWidth="1"/>
    <col min="2312" max="2312" width="16.140625" style="2" customWidth="1"/>
    <col min="2313" max="2313" width="11" style="2" customWidth="1"/>
    <col min="2314" max="2315" width="2.140625" style="2" customWidth="1"/>
    <col min="2316" max="2316" width="3.28515625" style="2" customWidth="1"/>
    <col min="2317" max="2318" width="0" style="2" hidden="1" customWidth="1"/>
    <col min="2319" max="2319" width="2.85546875" style="2" customWidth="1"/>
    <col min="2320" max="2320" width="3.28515625" style="2" customWidth="1"/>
    <col min="2321" max="2321" width="1.42578125" style="2" customWidth="1"/>
    <col min="2322" max="2322" width="0" style="2" hidden="1" customWidth="1"/>
    <col min="2323" max="2323" width="6.85546875" style="2" customWidth="1"/>
    <col min="2324" max="2324" width="0" style="2" hidden="1" customWidth="1"/>
    <col min="2325" max="2326" width="6.28515625" style="2" customWidth="1"/>
    <col min="2327" max="2327" width="20.42578125" style="2" customWidth="1"/>
    <col min="2328" max="2328" width="13.85546875" style="2" customWidth="1"/>
    <col min="2329" max="2329" width="10.85546875" style="2" customWidth="1"/>
    <col min="2330" max="2330" width="18.7109375" style="2" customWidth="1"/>
    <col min="2331" max="2331" width="0" style="2" hidden="1" customWidth="1"/>
    <col min="2332" max="2332" width="13" style="2" customWidth="1"/>
    <col min="2333" max="2333" width="13.140625" style="2" customWidth="1"/>
    <col min="2334" max="2335" width="14" style="2" customWidth="1"/>
    <col min="2336" max="2336" width="11.42578125" style="2" customWidth="1"/>
    <col min="2337" max="2337" width="15.85546875" style="2" customWidth="1"/>
    <col min="2338" max="2338" width="23.7109375" style="2" customWidth="1"/>
    <col min="2339" max="2339" width="12" style="2" customWidth="1"/>
    <col min="2340" max="2341" width="0.28515625" style="2" customWidth="1"/>
    <col min="2342" max="2342" width="1.42578125" style="2" customWidth="1"/>
    <col min="2343" max="2343" width="0" style="2" hidden="1" customWidth="1"/>
    <col min="2344" max="2560" width="11.42578125" style="2"/>
    <col min="2561" max="2561" width="10.28515625" style="2" customWidth="1"/>
    <col min="2562" max="2562" width="13.42578125" style="2" customWidth="1"/>
    <col min="2563" max="2563" width="4.28515625" style="2" customWidth="1"/>
    <col min="2564" max="2564" width="4" style="2" customWidth="1"/>
    <col min="2565" max="2565" width="20.85546875" style="2" customWidth="1"/>
    <col min="2566" max="2566" width="4.140625" style="2" customWidth="1"/>
    <col min="2567" max="2567" width="11.28515625" style="2" customWidth="1"/>
    <col min="2568" max="2568" width="16.140625" style="2" customWidth="1"/>
    <col min="2569" max="2569" width="11" style="2" customWidth="1"/>
    <col min="2570" max="2571" width="2.140625" style="2" customWidth="1"/>
    <col min="2572" max="2572" width="3.28515625" style="2" customWidth="1"/>
    <col min="2573" max="2574" width="0" style="2" hidden="1" customWidth="1"/>
    <col min="2575" max="2575" width="2.85546875" style="2" customWidth="1"/>
    <col min="2576" max="2576" width="3.28515625" style="2" customWidth="1"/>
    <col min="2577" max="2577" width="1.42578125" style="2" customWidth="1"/>
    <col min="2578" max="2578" width="0" style="2" hidden="1" customWidth="1"/>
    <col min="2579" max="2579" width="6.85546875" style="2" customWidth="1"/>
    <col min="2580" max="2580" width="0" style="2" hidden="1" customWidth="1"/>
    <col min="2581" max="2582" width="6.28515625" style="2" customWidth="1"/>
    <col min="2583" max="2583" width="20.42578125" style="2" customWidth="1"/>
    <col min="2584" max="2584" width="13.85546875" style="2" customWidth="1"/>
    <col min="2585" max="2585" width="10.85546875" style="2" customWidth="1"/>
    <col min="2586" max="2586" width="18.7109375" style="2" customWidth="1"/>
    <col min="2587" max="2587" width="0" style="2" hidden="1" customWidth="1"/>
    <col min="2588" max="2588" width="13" style="2" customWidth="1"/>
    <col min="2589" max="2589" width="13.140625" style="2" customWidth="1"/>
    <col min="2590" max="2591" width="14" style="2" customWidth="1"/>
    <col min="2592" max="2592" width="11.42578125" style="2" customWidth="1"/>
    <col min="2593" max="2593" width="15.85546875" style="2" customWidth="1"/>
    <col min="2594" max="2594" width="23.7109375" style="2" customWidth="1"/>
    <col min="2595" max="2595" width="12" style="2" customWidth="1"/>
    <col min="2596" max="2597" width="0.28515625" style="2" customWidth="1"/>
    <col min="2598" max="2598" width="1.42578125" style="2" customWidth="1"/>
    <col min="2599" max="2599" width="0" style="2" hidden="1" customWidth="1"/>
    <col min="2600" max="2816" width="11.42578125" style="2"/>
    <col min="2817" max="2817" width="10.28515625" style="2" customWidth="1"/>
    <col min="2818" max="2818" width="13.42578125" style="2" customWidth="1"/>
    <col min="2819" max="2819" width="4.28515625" style="2" customWidth="1"/>
    <col min="2820" max="2820" width="4" style="2" customWidth="1"/>
    <col min="2821" max="2821" width="20.85546875" style="2" customWidth="1"/>
    <col min="2822" max="2822" width="4.140625" style="2" customWidth="1"/>
    <col min="2823" max="2823" width="11.28515625" style="2" customWidth="1"/>
    <col min="2824" max="2824" width="16.140625" style="2" customWidth="1"/>
    <col min="2825" max="2825" width="11" style="2" customWidth="1"/>
    <col min="2826" max="2827" width="2.140625" style="2" customWidth="1"/>
    <col min="2828" max="2828" width="3.28515625" style="2" customWidth="1"/>
    <col min="2829" max="2830" width="0" style="2" hidden="1" customWidth="1"/>
    <col min="2831" max="2831" width="2.85546875" style="2" customWidth="1"/>
    <col min="2832" max="2832" width="3.28515625" style="2" customWidth="1"/>
    <col min="2833" max="2833" width="1.42578125" style="2" customWidth="1"/>
    <col min="2834" max="2834" width="0" style="2" hidden="1" customWidth="1"/>
    <col min="2835" max="2835" width="6.85546875" style="2" customWidth="1"/>
    <col min="2836" max="2836" width="0" style="2" hidden="1" customWidth="1"/>
    <col min="2837" max="2838" width="6.28515625" style="2" customWidth="1"/>
    <col min="2839" max="2839" width="20.42578125" style="2" customWidth="1"/>
    <col min="2840" max="2840" width="13.85546875" style="2" customWidth="1"/>
    <col min="2841" max="2841" width="10.85546875" style="2" customWidth="1"/>
    <col min="2842" max="2842" width="18.7109375" style="2" customWidth="1"/>
    <col min="2843" max="2843" width="0" style="2" hidden="1" customWidth="1"/>
    <col min="2844" max="2844" width="13" style="2" customWidth="1"/>
    <col min="2845" max="2845" width="13.140625" style="2" customWidth="1"/>
    <col min="2846" max="2847" width="14" style="2" customWidth="1"/>
    <col min="2848" max="2848" width="11.42578125" style="2" customWidth="1"/>
    <col min="2849" max="2849" width="15.85546875" style="2" customWidth="1"/>
    <col min="2850" max="2850" width="23.7109375" style="2" customWidth="1"/>
    <col min="2851" max="2851" width="12" style="2" customWidth="1"/>
    <col min="2852" max="2853" width="0.28515625" style="2" customWidth="1"/>
    <col min="2854" max="2854" width="1.42578125" style="2" customWidth="1"/>
    <col min="2855" max="2855" width="0" style="2" hidden="1" customWidth="1"/>
    <col min="2856" max="3072" width="11.42578125" style="2"/>
    <col min="3073" max="3073" width="10.28515625" style="2" customWidth="1"/>
    <col min="3074" max="3074" width="13.42578125" style="2" customWidth="1"/>
    <col min="3075" max="3075" width="4.28515625" style="2" customWidth="1"/>
    <col min="3076" max="3076" width="4" style="2" customWidth="1"/>
    <col min="3077" max="3077" width="20.85546875" style="2" customWidth="1"/>
    <col min="3078" max="3078" width="4.140625" style="2" customWidth="1"/>
    <col min="3079" max="3079" width="11.28515625" style="2" customWidth="1"/>
    <col min="3080" max="3080" width="16.140625" style="2" customWidth="1"/>
    <col min="3081" max="3081" width="11" style="2" customWidth="1"/>
    <col min="3082" max="3083" width="2.140625" style="2" customWidth="1"/>
    <col min="3084" max="3084" width="3.28515625" style="2" customWidth="1"/>
    <col min="3085" max="3086" width="0" style="2" hidden="1" customWidth="1"/>
    <col min="3087" max="3087" width="2.85546875" style="2" customWidth="1"/>
    <col min="3088" max="3088" width="3.28515625" style="2" customWidth="1"/>
    <col min="3089" max="3089" width="1.42578125" style="2" customWidth="1"/>
    <col min="3090" max="3090" width="0" style="2" hidden="1" customWidth="1"/>
    <col min="3091" max="3091" width="6.85546875" style="2" customWidth="1"/>
    <col min="3092" max="3092" width="0" style="2" hidden="1" customWidth="1"/>
    <col min="3093" max="3094" width="6.28515625" style="2" customWidth="1"/>
    <col min="3095" max="3095" width="20.42578125" style="2" customWidth="1"/>
    <col min="3096" max="3096" width="13.85546875" style="2" customWidth="1"/>
    <col min="3097" max="3097" width="10.85546875" style="2" customWidth="1"/>
    <col min="3098" max="3098" width="18.7109375" style="2" customWidth="1"/>
    <col min="3099" max="3099" width="0" style="2" hidden="1" customWidth="1"/>
    <col min="3100" max="3100" width="13" style="2" customWidth="1"/>
    <col min="3101" max="3101" width="13.140625" style="2" customWidth="1"/>
    <col min="3102" max="3103" width="14" style="2" customWidth="1"/>
    <col min="3104" max="3104" width="11.42578125" style="2" customWidth="1"/>
    <col min="3105" max="3105" width="15.85546875" style="2" customWidth="1"/>
    <col min="3106" max="3106" width="23.7109375" style="2" customWidth="1"/>
    <col min="3107" max="3107" width="12" style="2" customWidth="1"/>
    <col min="3108" max="3109" width="0.28515625" style="2" customWidth="1"/>
    <col min="3110" max="3110" width="1.42578125" style="2" customWidth="1"/>
    <col min="3111" max="3111" width="0" style="2" hidden="1" customWidth="1"/>
    <col min="3112" max="3328" width="11.42578125" style="2"/>
    <col min="3329" max="3329" width="10.28515625" style="2" customWidth="1"/>
    <col min="3330" max="3330" width="13.42578125" style="2" customWidth="1"/>
    <col min="3331" max="3331" width="4.28515625" style="2" customWidth="1"/>
    <col min="3332" max="3332" width="4" style="2" customWidth="1"/>
    <col min="3333" max="3333" width="20.85546875" style="2" customWidth="1"/>
    <col min="3334" max="3334" width="4.140625" style="2" customWidth="1"/>
    <col min="3335" max="3335" width="11.28515625" style="2" customWidth="1"/>
    <col min="3336" max="3336" width="16.140625" style="2" customWidth="1"/>
    <col min="3337" max="3337" width="11" style="2" customWidth="1"/>
    <col min="3338" max="3339" width="2.140625" style="2" customWidth="1"/>
    <col min="3340" max="3340" width="3.28515625" style="2" customWidth="1"/>
    <col min="3341" max="3342" width="0" style="2" hidden="1" customWidth="1"/>
    <col min="3343" max="3343" width="2.85546875" style="2" customWidth="1"/>
    <col min="3344" max="3344" width="3.28515625" style="2" customWidth="1"/>
    <col min="3345" max="3345" width="1.42578125" style="2" customWidth="1"/>
    <col min="3346" max="3346" width="0" style="2" hidden="1" customWidth="1"/>
    <col min="3347" max="3347" width="6.85546875" style="2" customWidth="1"/>
    <col min="3348" max="3348" width="0" style="2" hidden="1" customWidth="1"/>
    <col min="3349" max="3350" width="6.28515625" style="2" customWidth="1"/>
    <col min="3351" max="3351" width="20.42578125" style="2" customWidth="1"/>
    <col min="3352" max="3352" width="13.85546875" style="2" customWidth="1"/>
    <col min="3353" max="3353" width="10.85546875" style="2" customWidth="1"/>
    <col min="3354" max="3354" width="18.7109375" style="2" customWidth="1"/>
    <col min="3355" max="3355" width="0" style="2" hidden="1" customWidth="1"/>
    <col min="3356" max="3356" width="13" style="2" customWidth="1"/>
    <col min="3357" max="3357" width="13.140625" style="2" customWidth="1"/>
    <col min="3358" max="3359" width="14" style="2" customWidth="1"/>
    <col min="3360" max="3360" width="11.42578125" style="2" customWidth="1"/>
    <col min="3361" max="3361" width="15.85546875" style="2" customWidth="1"/>
    <col min="3362" max="3362" width="23.7109375" style="2" customWidth="1"/>
    <col min="3363" max="3363" width="12" style="2" customWidth="1"/>
    <col min="3364" max="3365" width="0.28515625" style="2" customWidth="1"/>
    <col min="3366" max="3366" width="1.42578125" style="2" customWidth="1"/>
    <col min="3367" max="3367" width="0" style="2" hidden="1" customWidth="1"/>
    <col min="3368" max="3584" width="11.42578125" style="2"/>
    <col min="3585" max="3585" width="10.28515625" style="2" customWidth="1"/>
    <col min="3586" max="3586" width="13.42578125" style="2" customWidth="1"/>
    <col min="3587" max="3587" width="4.28515625" style="2" customWidth="1"/>
    <col min="3588" max="3588" width="4" style="2" customWidth="1"/>
    <col min="3589" max="3589" width="20.85546875" style="2" customWidth="1"/>
    <col min="3590" max="3590" width="4.140625" style="2" customWidth="1"/>
    <col min="3591" max="3591" width="11.28515625" style="2" customWidth="1"/>
    <col min="3592" max="3592" width="16.140625" style="2" customWidth="1"/>
    <col min="3593" max="3593" width="11" style="2" customWidth="1"/>
    <col min="3594" max="3595" width="2.140625" style="2" customWidth="1"/>
    <col min="3596" max="3596" width="3.28515625" style="2" customWidth="1"/>
    <col min="3597" max="3598" width="0" style="2" hidden="1" customWidth="1"/>
    <col min="3599" max="3599" width="2.85546875" style="2" customWidth="1"/>
    <col min="3600" max="3600" width="3.28515625" style="2" customWidth="1"/>
    <col min="3601" max="3601" width="1.42578125" style="2" customWidth="1"/>
    <col min="3602" max="3602" width="0" style="2" hidden="1" customWidth="1"/>
    <col min="3603" max="3603" width="6.85546875" style="2" customWidth="1"/>
    <col min="3604" max="3604" width="0" style="2" hidden="1" customWidth="1"/>
    <col min="3605" max="3606" width="6.28515625" style="2" customWidth="1"/>
    <col min="3607" max="3607" width="20.42578125" style="2" customWidth="1"/>
    <col min="3608" max="3608" width="13.85546875" style="2" customWidth="1"/>
    <col min="3609" max="3609" width="10.85546875" style="2" customWidth="1"/>
    <col min="3610" max="3610" width="18.7109375" style="2" customWidth="1"/>
    <col min="3611" max="3611" width="0" style="2" hidden="1" customWidth="1"/>
    <col min="3612" max="3612" width="13" style="2" customWidth="1"/>
    <col min="3613" max="3613" width="13.140625" style="2" customWidth="1"/>
    <col min="3614" max="3615" width="14" style="2" customWidth="1"/>
    <col min="3616" max="3616" width="11.42578125" style="2" customWidth="1"/>
    <col min="3617" max="3617" width="15.85546875" style="2" customWidth="1"/>
    <col min="3618" max="3618" width="23.7109375" style="2" customWidth="1"/>
    <col min="3619" max="3619" width="12" style="2" customWidth="1"/>
    <col min="3620" max="3621" width="0.28515625" style="2" customWidth="1"/>
    <col min="3622" max="3622" width="1.42578125" style="2" customWidth="1"/>
    <col min="3623" max="3623" width="0" style="2" hidden="1" customWidth="1"/>
    <col min="3624" max="3840" width="11.42578125" style="2"/>
    <col min="3841" max="3841" width="10.28515625" style="2" customWidth="1"/>
    <col min="3842" max="3842" width="13.42578125" style="2" customWidth="1"/>
    <col min="3843" max="3843" width="4.28515625" style="2" customWidth="1"/>
    <col min="3844" max="3844" width="4" style="2" customWidth="1"/>
    <col min="3845" max="3845" width="20.85546875" style="2" customWidth="1"/>
    <col min="3846" max="3846" width="4.140625" style="2" customWidth="1"/>
    <col min="3847" max="3847" width="11.28515625" style="2" customWidth="1"/>
    <col min="3848" max="3848" width="16.140625" style="2" customWidth="1"/>
    <col min="3849" max="3849" width="11" style="2" customWidth="1"/>
    <col min="3850" max="3851" width="2.140625" style="2" customWidth="1"/>
    <col min="3852" max="3852" width="3.28515625" style="2" customWidth="1"/>
    <col min="3853" max="3854" width="0" style="2" hidden="1" customWidth="1"/>
    <col min="3855" max="3855" width="2.85546875" style="2" customWidth="1"/>
    <col min="3856" max="3856" width="3.28515625" style="2" customWidth="1"/>
    <col min="3857" max="3857" width="1.42578125" style="2" customWidth="1"/>
    <col min="3858" max="3858" width="0" style="2" hidden="1" customWidth="1"/>
    <col min="3859" max="3859" width="6.85546875" style="2" customWidth="1"/>
    <col min="3860" max="3860" width="0" style="2" hidden="1" customWidth="1"/>
    <col min="3861" max="3862" width="6.28515625" style="2" customWidth="1"/>
    <col min="3863" max="3863" width="20.42578125" style="2" customWidth="1"/>
    <col min="3864" max="3864" width="13.85546875" style="2" customWidth="1"/>
    <col min="3865" max="3865" width="10.85546875" style="2" customWidth="1"/>
    <col min="3866" max="3866" width="18.7109375" style="2" customWidth="1"/>
    <col min="3867" max="3867" width="0" style="2" hidden="1" customWidth="1"/>
    <col min="3868" max="3868" width="13" style="2" customWidth="1"/>
    <col min="3869" max="3869" width="13.140625" style="2" customWidth="1"/>
    <col min="3870" max="3871" width="14" style="2" customWidth="1"/>
    <col min="3872" max="3872" width="11.42578125" style="2" customWidth="1"/>
    <col min="3873" max="3873" width="15.85546875" style="2" customWidth="1"/>
    <col min="3874" max="3874" width="23.7109375" style="2" customWidth="1"/>
    <col min="3875" max="3875" width="12" style="2" customWidth="1"/>
    <col min="3876" max="3877" width="0.28515625" style="2" customWidth="1"/>
    <col min="3878" max="3878" width="1.42578125" style="2" customWidth="1"/>
    <col min="3879" max="3879" width="0" style="2" hidden="1" customWidth="1"/>
    <col min="3880" max="4096" width="11.42578125" style="2"/>
    <col min="4097" max="4097" width="10.28515625" style="2" customWidth="1"/>
    <col min="4098" max="4098" width="13.42578125" style="2" customWidth="1"/>
    <col min="4099" max="4099" width="4.28515625" style="2" customWidth="1"/>
    <col min="4100" max="4100" width="4" style="2" customWidth="1"/>
    <col min="4101" max="4101" width="20.85546875" style="2" customWidth="1"/>
    <col min="4102" max="4102" width="4.140625" style="2" customWidth="1"/>
    <col min="4103" max="4103" width="11.28515625" style="2" customWidth="1"/>
    <col min="4104" max="4104" width="16.140625" style="2" customWidth="1"/>
    <col min="4105" max="4105" width="11" style="2" customWidth="1"/>
    <col min="4106" max="4107" width="2.140625" style="2" customWidth="1"/>
    <col min="4108" max="4108" width="3.28515625" style="2" customWidth="1"/>
    <col min="4109" max="4110" width="0" style="2" hidden="1" customWidth="1"/>
    <col min="4111" max="4111" width="2.85546875" style="2" customWidth="1"/>
    <col min="4112" max="4112" width="3.28515625" style="2" customWidth="1"/>
    <col min="4113" max="4113" width="1.42578125" style="2" customWidth="1"/>
    <col min="4114" max="4114" width="0" style="2" hidden="1" customWidth="1"/>
    <col min="4115" max="4115" width="6.85546875" style="2" customWidth="1"/>
    <col min="4116" max="4116" width="0" style="2" hidden="1" customWidth="1"/>
    <col min="4117" max="4118" width="6.28515625" style="2" customWidth="1"/>
    <col min="4119" max="4119" width="20.42578125" style="2" customWidth="1"/>
    <col min="4120" max="4120" width="13.85546875" style="2" customWidth="1"/>
    <col min="4121" max="4121" width="10.85546875" style="2" customWidth="1"/>
    <col min="4122" max="4122" width="18.7109375" style="2" customWidth="1"/>
    <col min="4123" max="4123" width="0" style="2" hidden="1" customWidth="1"/>
    <col min="4124" max="4124" width="13" style="2" customWidth="1"/>
    <col min="4125" max="4125" width="13.140625" style="2" customWidth="1"/>
    <col min="4126" max="4127" width="14" style="2" customWidth="1"/>
    <col min="4128" max="4128" width="11.42578125" style="2" customWidth="1"/>
    <col min="4129" max="4129" width="15.85546875" style="2" customWidth="1"/>
    <col min="4130" max="4130" width="23.7109375" style="2" customWidth="1"/>
    <col min="4131" max="4131" width="12" style="2" customWidth="1"/>
    <col min="4132" max="4133" width="0.28515625" style="2" customWidth="1"/>
    <col min="4134" max="4134" width="1.42578125" style="2" customWidth="1"/>
    <col min="4135" max="4135" width="0" style="2" hidden="1" customWidth="1"/>
    <col min="4136" max="4352" width="11.42578125" style="2"/>
    <col min="4353" max="4353" width="10.28515625" style="2" customWidth="1"/>
    <col min="4354" max="4354" width="13.42578125" style="2" customWidth="1"/>
    <col min="4355" max="4355" width="4.28515625" style="2" customWidth="1"/>
    <col min="4356" max="4356" width="4" style="2" customWidth="1"/>
    <col min="4357" max="4357" width="20.85546875" style="2" customWidth="1"/>
    <col min="4358" max="4358" width="4.140625" style="2" customWidth="1"/>
    <col min="4359" max="4359" width="11.28515625" style="2" customWidth="1"/>
    <col min="4360" max="4360" width="16.140625" style="2" customWidth="1"/>
    <col min="4361" max="4361" width="11" style="2" customWidth="1"/>
    <col min="4362" max="4363" width="2.140625" style="2" customWidth="1"/>
    <col min="4364" max="4364" width="3.28515625" style="2" customWidth="1"/>
    <col min="4365" max="4366" width="0" style="2" hidden="1" customWidth="1"/>
    <col min="4367" max="4367" width="2.85546875" style="2" customWidth="1"/>
    <col min="4368" max="4368" width="3.28515625" style="2" customWidth="1"/>
    <col min="4369" max="4369" width="1.42578125" style="2" customWidth="1"/>
    <col min="4370" max="4370" width="0" style="2" hidden="1" customWidth="1"/>
    <col min="4371" max="4371" width="6.85546875" style="2" customWidth="1"/>
    <col min="4372" max="4372" width="0" style="2" hidden="1" customWidth="1"/>
    <col min="4373" max="4374" width="6.28515625" style="2" customWidth="1"/>
    <col min="4375" max="4375" width="20.42578125" style="2" customWidth="1"/>
    <col min="4376" max="4376" width="13.85546875" style="2" customWidth="1"/>
    <col min="4377" max="4377" width="10.85546875" style="2" customWidth="1"/>
    <col min="4378" max="4378" width="18.7109375" style="2" customWidth="1"/>
    <col min="4379" max="4379" width="0" style="2" hidden="1" customWidth="1"/>
    <col min="4380" max="4380" width="13" style="2" customWidth="1"/>
    <col min="4381" max="4381" width="13.140625" style="2" customWidth="1"/>
    <col min="4382" max="4383" width="14" style="2" customWidth="1"/>
    <col min="4384" max="4384" width="11.42578125" style="2" customWidth="1"/>
    <col min="4385" max="4385" width="15.85546875" style="2" customWidth="1"/>
    <col min="4386" max="4386" width="23.7109375" style="2" customWidth="1"/>
    <col min="4387" max="4387" width="12" style="2" customWidth="1"/>
    <col min="4388" max="4389" width="0.28515625" style="2" customWidth="1"/>
    <col min="4390" max="4390" width="1.42578125" style="2" customWidth="1"/>
    <col min="4391" max="4391" width="0" style="2" hidden="1" customWidth="1"/>
    <col min="4392" max="4608" width="11.42578125" style="2"/>
    <col min="4609" max="4609" width="10.28515625" style="2" customWidth="1"/>
    <col min="4610" max="4610" width="13.42578125" style="2" customWidth="1"/>
    <col min="4611" max="4611" width="4.28515625" style="2" customWidth="1"/>
    <col min="4612" max="4612" width="4" style="2" customWidth="1"/>
    <col min="4613" max="4613" width="20.85546875" style="2" customWidth="1"/>
    <col min="4614" max="4614" width="4.140625" style="2" customWidth="1"/>
    <col min="4615" max="4615" width="11.28515625" style="2" customWidth="1"/>
    <col min="4616" max="4616" width="16.140625" style="2" customWidth="1"/>
    <col min="4617" max="4617" width="11" style="2" customWidth="1"/>
    <col min="4618" max="4619" width="2.140625" style="2" customWidth="1"/>
    <col min="4620" max="4620" width="3.28515625" style="2" customWidth="1"/>
    <col min="4621" max="4622" width="0" style="2" hidden="1" customWidth="1"/>
    <col min="4623" max="4623" width="2.85546875" style="2" customWidth="1"/>
    <col min="4624" max="4624" width="3.28515625" style="2" customWidth="1"/>
    <col min="4625" max="4625" width="1.42578125" style="2" customWidth="1"/>
    <col min="4626" max="4626" width="0" style="2" hidden="1" customWidth="1"/>
    <col min="4627" max="4627" width="6.85546875" style="2" customWidth="1"/>
    <col min="4628" max="4628" width="0" style="2" hidden="1" customWidth="1"/>
    <col min="4629" max="4630" width="6.28515625" style="2" customWidth="1"/>
    <col min="4631" max="4631" width="20.42578125" style="2" customWidth="1"/>
    <col min="4632" max="4632" width="13.85546875" style="2" customWidth="1"/>
    <col min="4633" max="4633" width="10.85546875" style="2" customWidth="1"/>
    <col min="4634" max="4634" width="18.7109375" style="2" customWidth="1"/>
    <col min="4635" max="4635" width="0" style="2" hidden="1" customWidth="1"/>
    <col min="4636" max="4636" width="13" style="2" customWidth="1"/>
    <col min="4637" max="4637" width="13.140625" style="2" customWidth="1"/>
    <col min="4638" max="4639" width="14" style="2" customWidth="1"/>
    <col min="4640" max="4640" width="11.42578125" style="2" customWidth="1"/>
    <col min="4641" max="4641" width="15.85546875" style="2" customWidth="1"/>
    <col min="4642" max="4642" width="23.7109375" style="2" customWidth="1"/>
    <col min="4643" max="4643" width="12" style="2" customWidth="1"/>
    <col min="4644" max="4645" width="0.28515625" style="2" customWidth="1"/>
    <col min="4646" max="4646" width="1.42578125" style="2" customWidth="1"/>
    <col min="4647" max="4647" width="0" style="2" hidden="1" customWidth="1"/>
    <col min="4648" max="4864" width="11.42578125" style="2"/>
    <col min="4865" max="4865" width="10.28515625" style="2" customWidth="1"/>
    <col min="4866" max="4866" width="13.42578125" style="2" customWidth="1"/>
    <col min="4867" max="4867" width="4.28515625" style="2" customWidth="1"/>
    <col min="4868" max="4868" width="4" style="2" customWidth="1"/>
    <col min="4869" max="4869" width="20.85546875" style="2" customWidth="1"/>
    <col min="4870" max="4870" width="4.140625" style="2" customWidth="1"/>
    <col min="4871" max="4871" width="11.28515625" style="2" customWidth="1"/>
    <col min="4872" max="4872" width="16.140625" style="2" customWidth="1"/>
    <col min="4873" max="4873" width="11" style="2" customWidth="1"/>
    <col min="4874" max="4875" width="2.140625" style="2" customWidth="1"/>
    <col min="4876" max="4876" width="3.28515625" style="2" customWidth="1"/>
    <col min="4877" max="4878" width="0" style="2" hidden="1" customWidth="1"/>
    <col min="4879" max="4879" width="2.85546875" style="2" customWidth="1"/>
    <col min="4880" max="4880" width="3.28515625" style="2" customWidth="1"/>
    <col min="4881" max="4881" width="1.42578125" style="2" customWidth="1"/>
    <col min="4882" max="4882" width="0" style="2" hidden="1" customWidth="1"/>
    <col min="4883" max="4883" width="6.85546875" style="2" customWidth="1"/>
    <col min="4884" max="4884" width="0" style="2" hidden="1" customWidth="1"/>
    <col min="4885" max="4886" width="6.28515625" style="2" customWidth="1"/>
    <col min="4887" max="4887" width="20.42578125" style="2" customWidth="1"/>
    <col min="4888" max="4888" width="13.85546875" style="2" customWidth="1"/>
    <col min="4889" max="4889" width="10.85546875" style="2" customWidth="1"/>
    <col min="4890" max="4890" width="18.7109375" style="2" customWidth="1"/>
    <col min="4891" max="4891" width="0" style="2" hidden="1" customWidth="1"/>
    <col min="4892" max="4892" width="13" style="2" customWidth="1"/>
    <col min="4893" max="4893" width="13.140625" style="2" customWidth="1"/>
    <col min="4894" max="4895" width="14" style="2" customWidth="1"/>
    <col min="4896" max="4896" width="11.42578125" style="2" customWidth="1"/>
    <col min="4897" max="4897" width="15.85546875" style="2" customWidth="1"/>
    <col min="4898" max="4898" width="23.7109375" style="2" customWidth="1"/>
    <col min="4899" max="4899" width="12" style="2" customWidth="1"/>
    <col min="4900" max="4901" width="0.28515625" style="2" customWidth="1"/>
    <col min="4902" max="4902" width="1.42578125" style="2" customWidth="1"/>
    <col min="4903" max="4903" width="0" style="2" hidden="1" customWidth="1"/>
    <col min="4904" max="5120" width="11.42578125" style="2"/>
    <col min="5121" max="5121" width="10.28515625" style="2" customWidth="1"/>
    <col min="5122" max="5122" width="13.42578125" style="2" customWidth="1"/>
    <col min="5123" max="5123" width="4.28515625" style="2" customWidth="1"/>
    <col min="5124" max="5124" width="4" style="2" customWidth="1"/>
    <col min="5125" max="5125" width="20.85546875" style="2" customWidth="1"/>
    <col min="5126" max="5126" width="4.140625" style="2" customWidth="1"/>
    <col min="5127" max="5127" width="11.28515625" style="2" customWidth="1"/>
    <col min="5128" max="5128" width="16.140625" style="2" customWidth="1"/>
    <col min="5129" max="5129" width="11" style="2" customWidth="1"/>
    <col min="5130" max="5131" width="2.140625" style="2" customWidth="1"/>
    <col min="5132" max="5132" width="3.28515625" style="2" customWidth="1"/>
    <col min="5133" max="5134" width="0" style="2" hidden="1" customWidth="1"/>
    <col min="5135" max="5135" width="2.85546875" style="2" customWidth="1"/>
    <col min="5136" max="5136" width="3.28515625" style="2" customWidth="1"/>
    <col min="5137" max="5137" width="1.42578125" style="2" customWidth="1"/>
    <col min="5138" max="5138" width="0" style="2" hidden="1" customWidth="1"/>
    <col min="5139" max="5139" width="6.85546875" style="2" customWidth="1"/>
    <col min="5140" max="5140" width="0" style="2" hidden="1" customWidth="1"/>
    <col min="5141" max="5142" width="6.28515625" style="2" customWidth="1"/>
    <col min="5143" max="5143" width="20.42578125" style="2" customWidth="1"/>
    <col min="5144" max="5144" width="13.85546875" style="2" customWidth="1"/>
    <col min="5145" max="5145" width="10.85546875" style="2" customWidth="1"/>
    <col min="5146" max="5146" width="18.7109375" style="2" customWidth="1"/>
    <col min="5147" max="5147" width="0" style="2" hidden="1" customWidth="1"/>
    <col min="5148" max="5148" width="13" style="2" customWidth="1"/>
    <col min="5149" max="5149" width="13.140625" style="2" customWidth="1"/>
    <col min="5150" max="5151" width="14" style="2" customWidth="1"/>
    <col min="5152" max="5152" width="11.42578125" style="2" customWidth="1"/>
    <col min="5153" max="5153" width="15.85546875" style="2" customWidth="1"/>
    <col min="5154" max="5154" width="23.7109375" style="2" customWidth="1"/>
    <col min="5155" max="5155" width="12" style="2" customWidth="1"/>
    <col min="5156" max="5157" width="0.28515625" style="2" customWidth="1"/>
    <col min="5158" max="5158" width="1.42578125" style="2" customWidth="1"/>
    <col min="5159" max="5159" width="0" style="2" hidden="1" customWidth="1"/>
    <col min="5160" max="5376" width="11.42578125" style="2"/>
    <col min="5377" max="5377" width="10.28515625" style="2" customWidth="1"/>
    <col min="5378" max="5378" width="13.42578125" style="2" customWidth="1"/>
    <col min="5379" max="5379" width="4.28515625" style="2" customWidth="1"/>
    <col min="5380" max="5380" width="4" style="2" customWidth="1"/>
    <col min="5381" max="5381" width="20.85546875" style="2" customWidth="1"/>
    <col min="5382" max="5382" width="4.140625" style="2" customWidth="1"/>
    <col min="5383" max="5383" width="11.28515625" style="2" customWidth="1"/>
    <col min="5384" max="5384" width="16.140625" style="2" customWidth="1"/>
    <col min="5385" max="5385" width="11" style="2" customWidth="1"/>
    <col min="5386" max="5387" width="2.140625" style="2" customWidth="1"/>
    <col min="5388" max="5388" width="3.28515625" style="2" customWidth="1"/>
    <col min="5389" max="5390" width="0" style="2" hidden="1" customWidth="1"/>
    <col min="5391" max="5391" width="2.85546875" style="2" customWidth="1"/>
    <col min="5392" max="5392" width="3.28515625" style="2" customWidth="1"/>
    <col min="5393" max="5393" width="1.42578125" style="2" customWidth="1"/>
    <col min="5394" max="5394" width="0" style="2" hidden="1" customWidth="1"/>
    <col min="5395" max="5395" width="6.85546875" style="2" customWidth="1"/>
    <col min="5396" max="5396" width="0" style="2" hidden="1" customWidth="1"/>
    <col min="5397" max="5398" width="6.28515625" style="2" customWidth="1"/>
    <col min="5399" max="5399" width="20.42578125" style="2" customWidth="1"/>
    <col min="5400" max="5400" width="13.85546875" style="2" customWidth="1"/>
    <col min="5401" max="5401" width="10.85546875" style="2" customWidth="1"/>
    <col min="5402" max="5402" width="18.7109375" style="2" customWidth="1"/>
    <col min="5403" max="5403" width="0" style="2" hidden="1" customWidth="1"/>
    <col min="5404" max="5404" width="13" style="2" customWidth="1"/>
    <col min="5405" max="5405" width="13.140625" style="2" customWidth="1"/>
    <col min="5406" max="5407" width="14" style="2" customWidth="1"/>
    <col min="5408" max="5408" width="11.42578125" style="2" customWidth="1"/>
    <col min="5409" max="5409" width="15.85546875" style="2" customWidth="1"/>
    <col min="5410" max="5410" width="23.7109375" style="2" customWidth="1"/>
    <col min="5411" max="5411" width="12" style="2" customWidth="1"/>
    <col min="5412" max="5413" width="0.28515625" style="2" customWidth="1"/>
    <col min="5414" max="5414" width="1.42578125" style="2" customWidth="1"/>
    <col min="5415" max="5415" width="0" style="2" hidden="1" customWidth="1"/>
    <col min="5416" max="5632" width="11.42578125" style="2"/>
    <col min="5633" max="5633" width="10.28515625" style="2" customWidth="1"/>
    <col min="5634" max="5634" width="13.42578125" style="2" customWidth="1"/>
    <col min="5635" max="5635" width="4.28515625" style="2" customWidth="1"/>
    <col min="5636" max="5636" width="4" style="2" customWidth="1"/>
    <col min="5637" max="5637" width="20.85546875" style="2" customWidth="1"/>
    <col min="5638" max="5638" width="4.140625" style="2" customWidth="1"/>
    <col min="5639" max="5639" width="11.28515625" style="2" customWidth="1"/>
    <col min="5640" max="5640" width="16.140625" style="2" customWidth="1"/>
    <col min="5641" max="5641" width="11" style="2" customWidth="1"/>
    <col min="5642" max="5643" width="2.140625" style="2" customWidth="1"/>
    <col min="5644" max="5644" width="3.28515625" style="2" customWidth="1"/>
    <col min="5645" max="5646" width="0" style="2" hidden="1" customWidth="1"/>
    <col min="5647" max="5647" width="2.85546875" style="2" customWidth="1"/>
    <col min="5648" max="5648" width="3.28515625" style="2" customWidth="1"/>
    <col min="5649" max="5649" width="1.42578125" style="2" customWidth="1"/>
    <col min="5650" max="5650" width="0" style="2" hidden="1" customWidth="1"/>
    <col min="5651" max="5651" width="6.85546875" style="2" customWidth="1"/>
    <col min="5652" max="5652" width="0" style="2" hidden="1" customWidth="1"/>
    <col min="5653" max="5654" width="6.28515625" style="2" customWidth="1"/>
    <col min="5655" max="5655" width="20.42578125" style="2" customWidth="1"/>
    <col min="5656" max="5656" width="13.85546875" style="2" customWidth="1"/>
    <col min="5657" max="5657" width="10.85546875" style="2" customWidth="1"/>
    <col min="5658" max="5658" width="18.7109375" style="2" customWidth="1"/>
    <col min="5659" max="5659" width="0" style="2" hidden="1" customWidth="1"/>
    <col min="5660" max="5660" width="13" style="2" customWidth="1"/>
    <col min="5661" max="5661" width="13.140625" style="2" customWidth="1"/>
    <col min="5662" max="5663" width="14" style="2" customWidth="1"/>
    <col min="5664" max="5664" width="11.42578125" style="2" customWidth="1"/>
    <col min="5665" max="5665" width="15.85546875" style="2" customWidth="1"/>
    <col min="5666" max="5666" width="23.7109375" style="2" customWidth="1"/>
    <col min="5667" max="5667" width="12" style="2" customWidth="1"/>
    <col min="5668" max="5669" width="0.28515625" style="2" customWidth="1"/>
    <col min="5670" max="5670" width="1.42578125" style="2" customWidth="1"/>
    <col min="5671" max="5671" width="0" style="2" hidden="1" customWidth="1"/>
    <col min="5672" max="5888" width="11.42578125" style="2"/>
    <col min="5889" max="5889" width="10.28515625" style="2" customWidth="1"/>
    <col min="5890" max="5890" width="13.42578125" style="2" customWidth="1"/>
    <col min="5891" max="5891" width="4.28515625" style="2" customWidth="1"/>
    <col min="5892" max="5892" width="4" style="2" customWidth="1"/>
    <col min="5893" max="5893" width="20.85546875" style="2" customWidth="1"/>
    <col min="5894" max="5894" width="4.140625" style="2" customWidth="1"/>
    <col min="5895" max="5895" width="11.28515625" style="2" customWidth="1"/>
    <col min="5896" max="5896" width="16.140625" style="2" customWidth="1"/>
    <col min="5897" max="5897" width="11" style="2" customWidth="1"/>
    <col min="5898" max="5899" width="2.140625" style="2" customWidth="1"/>
    <col min="5900" max="5900" width="3.28515625" style="2" customWidth="1"/>
    <col min="5901" max="5902" width="0" style="2" hidden="1" customWidth="1"/>
    <col min="5903" max="5903" width="2.85546875" style="2" customWidth="1"/>
    <col min="5904" max="5904" width="3.28515625" style="2" customWidth="1"/>
    <col min="5905" max="5905" width="1.42578125" style="2" customWidth="1"/>
    <col min="5906" max="5906" width="0" style="2" hidden="1" customWidth="1"/>
    <col min="5907" max="5907" width="6.85546875" style="2" customWidth="1"/>
    <col min="5908" max="5908" width="0" style="2" hidden="1" customWidth="1"/>
    <col min="5909" max="5910" width="6.28515625" style="2" customWidth="1"/>
    <col min="5911" max="5911" width="20.42578125" style="2" customWidth="1"/>
    <col min="5912" max="5912" width="13.85546875" style="2" customWidth="1"/>
    <col min="5913" max="5913" width="10.85546875" style="2" customWidth="1"/>
    <col min="5914" max="5914" width="18.7109375" style="2" customWidth="1"/>
    <col min="5915" max="5915" width="0" style="2" hidden="1" customWidth="1"/>
    <col min="5916" max="5916" width="13" style="2" customWidth="1"/>
    <col min="5917" max="5917" width="13.140625" style="2" customWidth="1"/>
    <col min="5918" max="5919" width="14" style="2" customWidth="1"/>
    <col min="5920" max="5920" width="11.42578125" style="2" customWidth="1"/>
    <col min="5921" max="5921" width="15.85546875" style="2" customWidth="1"/>
    <col min="5922" max="5922" width="23.7109375" style="2" customWidth="1"/>
    <col min="5923" max="5923" width="12" style="2" customWidth="1"/>
    <col min="5924" max="5925" width="0.28515625" style="2" customWidth="1"/>
    <col min="5926" max="5926" width="1.42578125" style="2" customWidth="1"/>
    <col min="5927" max="5927" width="0" style="2" hidden="1" customWidth="1"/>
    <col min="5928" max="6144" width="11.42578125" style="2"/>
    <col min="6145" max="6145" width="10.28515625" style="2" customWidth="1"/>
    <col min="6146" max="6146" width="13.42578125" style="2" customWidth="1"/>
    <col min="6147" max="6147" width="4.28515625" style="2" customWidth="1"/>
    <col min="6148" max="6148" width="4" style="2" customWidth="1"/>
    <col min="6149" max="6149" width="20.85546875" style="2" customWidth="1"/>
    <col min="6150" max="6150" width="4.140625" style="2" customWidth="1"/>
    <col min="6151" max="6151" width="11.28515625" style="2" customWidth="1"/>
    <col min="6152" max="6152" width="16.140625" style="2" customWidth="1"/>
    <col min="6153" max="6153" width="11" style="2" customWidth="1"/>
    <col min="6154" max="6155" width="2.140625" style="2" customWidth="1"/>
    <col min="6156" max="6156" width="3.28515625" style="2" customWidth="1"/>
    <col min="6157" max="6158" width="0" style="2" hidden="1" customWidth="1"/>
    <col min="6159" max="6159" width="2.85546875" style="2" customWidth="1"/>
    <col min="6160" max="6160" width="3.28515625" style="2" customWidth="1"/>
    <col min="6161" max="6161" width="1.42578125" style="2" customWidth="1"/>
    <col min="6162" max="6162" width="0" style="2" hidden="1" customWidth="1"/>
    <col min="6163" max="6163" width="6.85546875" style="2" customWidth="1"/>
    <col min="6164" max="6164" width="0" style="2" hidden="1" customWidth="1"/>
    <col min="6165" max="6166" width="6.28515625" style="2" customWidth="1"/>
    <col min="6167" max="6167" width="20.42578125" style="2" customWidth="1"/>
    <col min="6168" max="6168" width="13.85546875" style="2" customWidth="1"/>
    <col min="6169" max="6169" width="10.85546875" style="2" customWidth="1"/>
    <col min="6170" max="6170" width="18.7109375" style="2" customWidth="1"/>
    <col min="6171" max="6171" width="0" style="2" hidden="1" customWidth="1"/>
    <col min="6172" max="6172" width="13" style="2" customWidth="1"/>
    <col min="6173" max="6173" width="13.140625" style="2" customWidth="1"/>
    <col min="6174" max="6175" width="14" style="2" customWidth="1"/>
    <col min="6176" max="6176" width="11.42578125" style="2" customWidth="1"/>
    <col min="6177" max="6177" width="15.85546875" style="2" customWidth="1"/>
    <col min="6178" max="6178" width="23.7109375" style="2" customWidth="1"/>
    <col min="6179" max="6179" width="12" style="2" customWidth="1"/>
    <col min="6180" max="6181" width="0.28515625" style="2" customWidth="1"/>
    <col min="6182" max="6182" width="1.42578125" style="2" customWidth="1"/>
    <col min="6183" max="6183" width="0" style="2" hidden="1" customWidth="1"/>
    <col min="6184" max="6400" width="11.42578125" style="2"/>
    <col min="6401" max="6401" width="10.28515625" style="2" customWidth="1"/>
    <col min="6402" max="6402" width="13.42578125" style="2" customWidth="1"/>
    <col min="6403" max="6403" width="4.28515625" style="2" customWidth="1"/>
    <col min="6404" max="6404" width="4" style="2" customWidth="1"/>
    <col min="6405" max="6405" width="20.85546875" style="2" customWidth="1"/>
    <col min="6406" max="6406" width="4.140625" style="2" customWidth="1"/>
    <col min="6407" max="6407" width="11.28515625" style="2" customWidth="1"/>
    <col min="6408" max="6408" width="16.140625" style="2" customWidth="1"/>
    <col min="6409" max="6409" width="11" style="2" customWidth="1"/>
    <col min="6410" max="6411" width="2.140625" style="2" customWidth="1"/>
    <col min="6412" max="6412" width="3.28515625" style="2" customWidth="1"/>
    <col min="6413" max="6414" width="0" style="2" hidden="1" customWidth="1"/>
    <col min="6415" max="6415" width="2.85546875" style="2" customWidth="1"/>
    <col min="6416" max="6416" width="3.28515625" style="2" customWidth="1"/>
    <col min="6417" max="6417" width="1.42578125" style="2" customWidth="1"/>
    <col min="6418" max="6418" width="0" style="2" hidden="1" customWidth="1"/>
    <col min="6419" max="6419" width="6.85546875" style="2" customWidth="1"/>
    <col min="6420" max="6420" width="0" style="2" hidden="1" customWidth="1"/>
    <col min="6421" max="6422" width="6.28515625" style="2" customWidth="1"/>
    <col min="6423" max="6423" width="20.42578125" style="2" customWidth="1"/>
    <col min="6424" max="6424" width="13.85546875" style="2" customWidth="1"/>
    <col min="6425" max="6425" width="10.85546875" style="2" customWidth="1"/>
    <col min="6426" max="6426" width="18.7109375" style="2" customWidth="1"/>
    <col min="6427" max="6427" width="0" style="2" hidden="1" customWidth="1"/>
    <col min="6428" max="6428" width="13" style="2" customWidth="1"/>
    <col min="6429" max="6429" width="13.140625" style="2" customWidth="1"/>
    <col min="6430" max="6431" width="14" style="2" customWidth="1"/>
    <col min="6432" max="6432" width="11.42578125" style="2" customWidth="1"/>
    <col min="6433" max="6433" width="15.85546875" style="2" customWidth="1"/>
    <col min="6434" max="6434" width="23.7109375" style="2" customWidth="1"/>
    <col min="6435" max="6435" width="12" style="2" customWidth="1"/>
    <col min="6436" max="6437" width="0.28515625" style="2" customWidth="1"/>
    <col min="6438" max="6438" width="1.42578125" style="2" customWidth="1"/>
    <col min="6439" max="6439" width="0" style="2" hidden="1" customWidth="1"/>
    <col min="6440" max="6656" width="11.42578125" style="2"/>
    <col min="6657" max="6657" width="10.28515625" style="2" customWidth="1"/>
    <col min="6658" max="6658" width="13.42578125" style="2" customWidth="1"/>
    <col min="6659" max="6659" width="4.28515625" style="2" customWidth="1"/>
    <col min="6660" max="6660" width="4" style="2" customWidth="1"/>
    <col min="6661" max="6661" width="20.85546875" style="2" customWidth="1"/>
    <col min="6662" max="6662" width="4.140625" style="2" customWidth="1"/>
    <col min="6663" max="6663" width="11.28515625" style="2" customWidth="1"/>
    <col min="6664" max="6664" width="16.140625" style="2" customWidth="1"/>
    <col min="6665" max="6665" width="11" style="2" customWidth="1"/>
    <col min="6666" max="6667" width="2.140625" style="2" customWidth="1"/>
    <col min="6668" max="6668" width="3.28515625" style="2" customWidth="1"/>
    <col min="6669" max="6670" width="0" style="2" hidden="1" customWidth="1"/>
    <col min="6671" max="6671" width="2.85546875" style="2" customWidth="1"/>
    <col min="6672" max="6672" width="3.28515625" style="2" customWidth="1"/>
    <col min="6673" max="6673" width="1.42578125" style="2" customWidth="1"/>
    <col min="6674" max="6674" width="0" style="2" hidden="1" customWidth="1"/>
    <col min="6675" max="6675" width="6.85546875" style="2" customWidth="1"/>
    <col min="6676" max="6676" width="0" style="2" hidden="1" customWidth="1"/>
    <col min="6677" max="6678" width="6.28515625" style="2" customWidth="1"/>
    <col min="6679" max="6679" width="20.42578125" style="2" customWidth="1"/>
    <col min="6680" max="6680" width="13.85546875" style="2" customWidth="1"/>
    <col min="6681" max="6681" width="10.85546875" style="2" customWidth="1"/>
    <col min="6682" max="6682" width="18.7109375" style="2" customWidth="1"/>
    <col min="6683" max="6683" width="0" style="2" hidden="1" customWidth="1"/>
    <col min="6684" max="6684" width="13" style="2" customWidth="1"/>
    <col min="6685" max="6685" width="13.140625" style="2" customWidth="1"/>
    <col min="6686" max="6687" width="14" style="2" customWidth="1"/>
    <col min="6688" max="6688" width="11.42578125" style="2" customWidth="1"/>
    <col min="6689" max="6689" width="15.85546875" style="2" customWidth="1"/>
    <col min="6690" max="6690" width="23.7109375" style="2" customWidth="1"/>
    <col min="6691" max="6691" width="12" style="2" customWidth="1"/>
    <col min="6692" max="6693" width="0.28515625" style="2" customWidth="1"/>
    <col min="6694" max="6694" width="1.42578125" style="2" customWidth="1"/>
    <col min="6695" max="6695" width="0" style="2" hidden="1" customWidth="1"/>
    <col min="6696" max="6912" width="11.42578125" style="2"/>
    <col min="6913" max="6913" width="10.28515625" style="2" customWidth="1"/>
    <col min="6914" max="6914" width="13.42578125" style="2" customWidth="1"/>
    <col min="6915" max="6915" width="4.28515625" style="2" customWidth="1"/>
    <col min="6916" max="6916" width="4" style="2" customWidth="1"/>
    <col min="6917" max="6917" width="20.85546875" style="2" customWidth="1"/>
    <col min="6918" max="6918" width="4.140625" style="2" customWidth="1"/>
    <col min="6919" max="6919" width="11.28515625" style="2" customWidth="1"/>
    <col min="6920" max="6920" width="16.140625" style="2" customWidth="1"/>
    <col min="6921" max="6921" width="11" style="2" customWidth="1"/>
    <col min="6922" max="6923" width="2.140625" style="2" customWidth="1"/>
    <col min="6924" max="6924" width="3.28515625" style="2" customWidth="1"/>
    <col min="6925" max="6926" width="0" style="2" hidden="1" customWidth="1"/>
    <col min="6927" max="6927" width="2.85546875" style="2" customWidth="1"/>
    <col min="6928" max="6928" width="3.28515625" style="2" customWidth="1"/>
    <col min="6929" max="6929" width="1.42578125" style="2" customWidth="1"/>
    <col min="6930" max="6930" width="0" style="2" hidden="1" customWidth="1"/>
    <col min="6931" max="6931" width="6.85546875" style="2" customWidth="1"/>
    <col min="6932" max="6932" width="0" style="2" hidden="1" customWidth="1"/>
    <col min="6933" max="6934" width="6.28515625" style="2" customWidth="1"/>
    <col min="6935" max="6935" width="20.42578125" style="2" customWidth="1"/>
    <col min="6936" max="6936" width="13.85546875" style="2" customWidth="1"/>
    <col min="6937" max="6937" width="10.85546875" style="2" customWidth="1"/>
    <col min="6938" max="6938" width="18.7109375" style="2" customWidth="1"/>
    <col min="6939" max="6939" width="0" style="2" hidden="1" customWidth="1"/>
    <col min="6940" max="6940" width="13" style="2" customWidth="1"/>
    <col min="6941" max="6941" width="13.140625" style="2" customWidth="1"/>
    <col min="6942" max="6943" width="14" style="2" customWidth="1"/>
    <col min="6944" max="6944" width="11.42578125" style="2" customWidth="1"/>
    <col min="6945" max="6945" width="15.85546875" style="2" customWidth="1"/>
    <col min="6946" max="6946" width="23.7109375" style="2" customWidth="1"/>
    <col min="6947" max="6947" width="12" style="2" customWidth="1"/>
    <col min="6948" max="6949" width="0.28515625" style="2" customWidth="1"/>
    <col min="6950" max="6950" width="1.42578125" style="2" customWidth="1"/>
    <col min="6951" max="6951" width="0" style="2" hidden="1" customWidth="1"/>
    <col min="6952" max="7168" width="11.42578125" style="2"/>
    <col min="7169" max="7169" width="10.28515625" style="2" customWidth="1"/>
    <col min="7170" max="7170" width="13.42578125" style="2" customWidth="1"/>
    <col min="7171" max="7171" width="4.28515625" style="2" customWidth="1"/>
    <col min="7172" max="7172" width="4" style="2" customWidth="1"/>
    <col min="7173" max="7173" width="20.85546875" style="2" customWidth="1"/>
    <col min="7174" max="7174" width="4.140625" style="2" customWidth="1"/>
    <col min="7175" max="7175" width="11.28515625" style="2" customWidth="1"/>
    <col min="7176" max="7176" width="16.140625" style="2" customWidth="1"/>
    <col min="7177" max="7177" width="11" style="2" customWidth="1"/>
    <col min="7178" max="7179" width="2.140625" style="2" customWidth="1"/>
    <col min="7180" max="7180" width="3.28515625" style="2" customWidth="1"/>
    <col min="7181" max="7182" width="0" style="2" hidden="1" customWidth="1"/>
    <col min="7183" max="7183" width="2.85546875" style="2" customWidth="1"/>
    <col min="7184" max="7184" width="3.28515625" style="2" customWidth="1"/>
    <col min="7185" max="7185" width="1.42578125" style="2" customWidth="1"/>
    <col min="7186" max="7186" width="0" style="2" hidden="1" customWidth="1"/>
    <col min="7187" max="7187" width="6.85546875" style="2" customWidth="1"/>
    <col min="7188" max="7188" width="0" style="2" hidden="1" customWidth="1"/>
    <col min="7189" max="7190" width="6.28515625" style="2" customWidth="1"/>
    <col min="7191" max="7191" width="20.42578125" style="2" customWidth="1"/>
    <col min="7192" max="7192" width="13.85546875" style="2" customWidth="1"/>
    <col min="7193" max="7193" width="10.85546875" style="2" customWidth="1"/>
    <col min="7194" max="7194" width="18.7109375" style="2" customWidth="1"/>
    <col min="7195" max="7195" width="0" style="2" hidden="1" customWidth="1"/>
    <col min="7196" max="7196" width="13" style="2" customWidth="1"/>
    <col min="7197" max="7197" width="13.140625" style="2" customWidth="1"/>
    <col min="7198" max="7199" width="14" style="2" customWidth="1"/>
    <col min="7200" max="7200" width="11.42578125" style="2" customWidth="1"/>
    <col min="7201" max="7201" width="15.85546875" style="2" customWidth="1"/>
    <col min="7202" max="7202" width="23.7109375" style="2" customWidth="1"/>
    <col min="7203" max="7203" width="12" style="2" customWidth="1"/>
    <col min="7204" max="7205" width="0.28515625" style="2" customWidth="1"/>
    <col min="7206" max="7206" width="1.42578125" style="2" customWidth="1"/>
    <col min="7207" max="7207" width="0" style="2" hidden="1" customWidth="1"/>
    <col min="7208" max="7424" width="11.42578125" style="2"/>
    <col min="7425" max="7425" width="10.28515625" style="2" customWidth="1"/>
    <col min="7426" max="7426" width="13.42578125" style="2" customWidth="1"/>
    <col min="7427" max="7427" width="4.28515625" style="2" customWidth="1"/>
    <col min="7428" max="7428" width="4" style="2" customWidth="1"/>
    <col min="7429" max="7429" width="20.85546875" style="2" customWidth="1"/>
    <col min="7430" max="7430" width="4.140625" style="2" customWidth="1"/>
    <col min="7431" max="7431" width="11.28515625" style="2" customWidth="1"/>
    <col min="7432" max="7432" width="16.140625" style="2" customWidth="1"/>
    <col min="7433" max="7433" width="11" style="2" customWidth="1"/>
    <col min="7434" max="7435" width="2.140625" style="2" customWidth="1"/>
    <col min="7436" max="7436" width="3.28515625" style="2" customWidth="1"/>
    <col min="7437" max="7438" width="0" style="2" hidden="1" customWidth="1"/>
    <col min="7439" max="7439" width="2.85546875" style="2" customWidth="1"/>
    <col min="7440" max="7440" width="3.28515625" style="2" customWidth="1"/>
    <col min="7441" max="7441" width="1.42578125" style="2" customWidth="1"/>
    <col min="7442" max="7442" width="0" style="2" hidden="1" customWidth="1"/>
    <col min="7443" max="7443" width="6.85546875" style="2" customWidth="1"/>
    <col min="7444" max="7444" width="0" style="2" hidden="1" customWidth="1"/>
    <col min="7445" max="7446" width="6.28515625" style="2" customWidth="1"/>
    <col min="7447" max="7447" width="20.42578125" style="2" customWidth="1"/>
    <col min="7448" max="7448" width="13.85546875" style="2" customWidth="1"/>
    <col min="7449" max="7449" width="10.85546875" style="2" customWidth="1"/>
    <col min="7450" max="7450" width="18.7109375" style="2" customWidth="1"/>
    <col min="7451" max="7451" width="0" style="2" hidden="1" customWidth="1"/>
    <col min="7452" max="7452" width="13" style="2" customWidth="1"/>
    <col min="7453" max="7453" width="13.140625" style="2" customWidth="1"/>
    <col min="7454" max="7455" width="14" style="2" customWidth="1"/>
    <col min="7456" max="7456" width="11.42578125" style="2" customWidth="1"/>
    <col min="7457" max="7457" width="15.85546875" style="2" customWidth="1"/>
    <col min="7458" max="7458" width="23.7109375" style="2" customWidth="1"/>
    <col min="7459" max="7459" width="12" style="2" customWidth="1"/>
    <col min="7460" max="7461" width="0.28515625" style="2" customWidth="1"/>
    <col min="7462" max="7462" width="1.42578125" style="2" customWidth="1"/>
    <col min="7463" max="7463" width="0" style="2" hidden="1" customWidth="1"/>
    <col min="7464" max="7680" width="11.42578125" style="2"/>
    <col min="7681" max="7681" width="10.28515625" style="2" customWidth="1"/>
    <col min="7682" max="7682" width="13.42578125" style="2" customWidth="1"/>
    <col min="7683" max="7683" width="4.28515625" style="2" customWidth="1"/>
    <col min="7684" max="7684" width="4" style="2" customWidth="1"/>
    <col min="7685" max="7685" width="20.85546875" style="2" customWidth="1"/>
    <col min="7686" max="7686" width="4.140625" style="2" customWidth="1"/>
    <col min="7687" max="7687" width="11.28515625" style="2" customWidth="1"/>
    <col min="7688" max="7688" width="16.140625" style="2" customWidth="1"/>
    <col min="7689" max="7689" width="11" style="2" customWidth="1"/>
    <col min="7690" max="7691" width="2.140625" style="2" customWidth="1"/>
    <col min="7692" max="7692" width="3.28515625" style="2" customWidth="1"/>
    <col min="7693" max="7694" width="0" style="2" hidden="1" customWidth="1"/>
    <col min="7695" max="7695" width="2.85546875" style="2" customWidth="1"/>
    <col min="7696" max="7696" width="3.28515625" style="2" customWidth="1"/>
    <col min="7697" max="7697" width="1.42578125" style="2" customWidth="1"/>
    <col min="7698" max="7698" width="0" style="2" hidden="1" customWidth="1"/>
    <col min="7699" max="7699" width="6.85546875" style="2" customWidth="1"/>
    <col min="7700" max="7700" width="0" style="2" hidden="1" customWidth="1"/>
    <col min="7701" max="7702" width="6.28515625" style="2" customWidth="1"/>
    <col min="7703" max="7703" width="20.42578125" style="2" customWidth="1"/>
    <col min="7704" max="7704" width="13.85546875" style="2" customWidth="1"/>
    <col min="7705" max="7705" width="10.85546875" style="2" customWidth="1"/>
    <col min="7706" max="7706" width="18.7109375" style="2" customWidth="1"/>
    <col min="7707" max="7707" width="0" style="2" hidden="1" customWidth="1"/>
    <col min="7708" max="7708" width="13" style="2" customWidth="1"/>
    <col min="7709" max="7709" width="13.140625" style="2" customWidth="1"/>
    <col min="7710" max="7711" width="14" style="2" customWidth="1"/>
    <col min="7712" max="7712" width="11.42578125" style="2" customWidth="1"/>
    <col min="7713" max="7713" width="15.85546875" style="2" customWidth="1"/>
    <col min="7714" max="7714" width="23.7109375" style="2" customWidth="1"/>
    <col min="7715" max="7715" width="12" style="2" customWidth="1"/>
    <col min="7716" max="7717" width="0.28515625" style="2" customWidth="1"/>
    <col min="7718" max="7718" width="1.42578125" style="2" customWidth="1"/>
    <col min="7719" max="7719" width="0" style="2" hidden="1" customWidth="1"/>
    <col min="7720" max="7936" width="11.42578125" style="2"/>
    <col min="7937" max="7937" width="10.28515625" style="2" customWidth="1"/>
    <col min="7938" max="7938" width="13.42578125" style="2" customWidth="1"/>
    <col min="7939" max="7939" width="4.28515625" style="2" customWidth="1"/>
    <col min="7940" max="7940" width="4" style="2" customWidth="1"/>
    <col min="7941" max="7941" width="20.85546875" style="2" customWidth="1"/>
    <col min="7942" max="7942" width="4.140625" style="2" customWidth="1"/>
    <col min="7943" max="7943" width="11.28515625" style="2" customWidth="1"/>
    <col min="7944" max="7944" width="16.140625" style="2" customWidth="1"/>
    <col min="7945" max="7945" width="11" style="2" customWidth="1"/>
    <col min="7946" max="7947" width="2.140625" style="2" customWidth="1"/>
    <col min="7948" max="7948" width="3.28515625" style="2" customWidth="1"/>
    <col min="7949" max="7950" width="0" style="2" hidden="1" customWidth="1"/>
    <col min="7951" max="7951" width="2.85546875" style="2" customWidth="1"/>
    <col min="7952" max="7952" width="3.28515625" style="2" customWidth="1"/>
    <col min="7953" max="7953" width="1.42578125" style="2" customWidth="1"/>
    <col min="7954" max="7954" width="0" style="2" hidden="1" customWidth="1"/>
    <col min="7955" max="7955" width="6.85546875" style="2" customWidth="1"/>
    <col min="7956" max="7956" width="0" style="2" hidden="1" customWidth="1"/>
    <col min="7957" max="7958" width="6.28515625" style="2" customWidth="1"/>
    <col min="7959" max="7959" width="20.42578125" style="2" customWidth="1"/>
    <col min="7960" max="7960" width="13.85546875" style="2" customWidth="1"/>
    <col min="7961" max="7961" width="10.85546875" style="2" customWidth="1"/>
    <col min="7962" max="7962" width="18.7109375" style="2" customWidth="1"/>
    <col min="7963" max="7963" width="0" style="2" hidden="1" customWidth="1"/>
    <col min="7964" max="7964" width="13" style="2" customWidth="1"/>
    <col min="7965" max="7965" width="13.140625" style="2" customWidth="1"/>
    <col min="7966" max="7967" width="14" style="2" customWidth="1"/>
    <col min="7968" max="7968" width="11.42578125" style="2" customWidth="1"/>
    <col min="7969" max="7969" width="15.85546875" style="2" customWidth="1"/>
    <col min="7970" max="7970" width="23.7109375" style="2" customWidth="1"/>
    <col min="7971" max="7971" width="12" style="2" customWidth="1"/>
    <col min="7972" max="7973" width="0.28515625" style="2" customWidth="1"/>
    <col min="7974" max="7974" width="1.42578125" style="2" customWidth="1"/>
    <col min="7975" max="7975" width="0" style="2" hidden="1" customWidth="1"/>
    <col min="7976" max="8192" width="11.42578125" style="2"/>
    <col min="8193" max="8193" width="10.28515625" style="2" customWidth="1"/>
    <col min="8194" max="8194" width="13.42578125" style="2" customWidth="1"/>
    <col min="8195" max="8195" width="4.28515625" style="2" customWidth="1"/>
    <col min="8196" max="8196" width="4" style="2" customWidth="1"/>
    <col min="8197" max="8197" width="20.85546875" style="2" customWidth="1"/>
    <col min="8198" max="8198" width="4.140625" style="2" customWidth="1"/>
    <col min="8199" max="8199" width="11.28515625" style="2" customWidth="1"/>
    <col min="8200" max="8200" width="16.140625" style="2" customWidth="1"/>
    <col min="8201" max="8201" width="11" style="2" customWidth="1"/>
    <col min="8202" max="8203" width="2.140625" style="2" customWidth="1"/>
    <col min="8204" max="8204" width="3.28515625" style="2" customWidth="1"/>
    <col min="8205" max="8206" width="0" style="2" hidden="1" customWidth="1"/>
    <col min="8207" max="8207" width="2.85546875" style="2" customWidth="1"/>
    <col min="8208" max="8208" width="3.28515625" style="2" customWidth="1"/>
    <col min="8209" max="8209" width="1.42578125" style="2" customWidth="1"/>
    <col min="8210" max="8210" width="0" style="2" hidden="1" customWidth="1"/>
    <col min="8211" max="8211" width="6.85546875" style="2" customWidth="1"/>
    <col min="8212" max="8212" width="0" style="2" hidden="1" customWidth="1"/>
    <col min="8213" max="8214" width="6.28515625" style="2" customWidth="1"/>
    <col min="8215" max="8215" width="20.42578125" style="2" customWidth="1"/>
    <col min="8216" max="8216" width="13.85546875" style="2" customWidth="1"/>
    <col min="8217" max="8217" width="10.85546875" style="2" customWidth="1"/>
    <col min="8218" max="8218" width="18.7109375" style="2" customWidth="1"/>
    <col min="8219" max="8219" width="0" style="2" hidden="1" customWidth="1"/>
    <col min="8220" max="8220" width="13" style="2" customWidth="1"/>
    <col min="8221" max="8221" width="13.140625" style="2" customWidth="1"/>
    <col min="8222" max="8223" width="14" style="2" customWidth="1"/>
    <col min="8224" max="8224" width="11.42578125" style="2" customWidth="1"/>
    <col min="8225" max="8225" width="15.85546875" style="2" customWidth="1"/>
    <col min="8226" max="8226" width="23.7109375" style="2" customWidth="1"/>
    <col min="8227" max="8227" width="12" style="2" customWidth="1"/>
    <col min="8228" max="8229" width="0.28515625" style="2" customWidth="1"/>
    <col min="8230" max="8230" width="1.42578125" style="2" customWidth="1"/>
    <col min="8231" max="8231" width="0" style="2" hidden="1" customWidth="1"/>
    <col min="8232" max="8448" width="11.42578125" style="2"/>
    <col min="8449" max="8449" width="10.28515625" style="2" customWidth="1"/>
    <col min="8450" max="8450" width="13.42578125" style="2" customWidth="1"/>
    <col min="8451" max="8451" width="4.28515625" style="2" customWidth="1"/>
    <col min="8452" max="8452" width="4" style="2" customWidth="1"/>
    <col min="8453" max="8453" width="20.85546875" style="2" customWidth="1"/>
    <col min="8454" max="8454" width="4.140625" style="2" customWidth="1"/>
    <col min="8455" max="8455" width="11.28515625" style="2" customWidth="1"/>
    <col min="8456" max="8456" width="16.140625" style="2" customWidth="1"/>
    <col min="8457" max="8457" width="11" style="2" customWidth="1"/>
    <col min="8458" max="8459" width="2.140625" style="2" customWidth="1"/>
    <col min="8460" max="8460" width="3.28515625" style="2" customWidth="1"/>
    <col min="8461" max="8462" width="0" style="2" hidden="1" customWidth="1"/>
    <col min="8463" max="8463" width="2.85546875" style="2" customWidth="1"/>
    <col min="8464" max="8464" width="3.28515625" style="2" customWidth="1"/>
    <col min="8465" max="8465" width="1.42578125" style="2" customWidth="1"/>
    <col min="8466" max="8466" width="0" style="2" hidden="1" customWidth="1"/>
    <col min="8467" max="8467" width="6.85546875" style="2" customWidth="1"/>
    <col min="8468" max="8468" width="0" style="2" hidden="1" customWidth="1"/>
    <col min="8469" max="8470" width="6.28515625" style="2" customWidth="1"/>
    <col min="8471" max="8471" width="20.42578125" style="2" customWidth="1"/>
    <col min="8472" max="8472" width="13.85546875" style="2" customWidth="1"/>
    <col min="8473" max="8473" width="10.85546875" style="2" customWidth="1"/>
    <col min="8474" max="8474" width="18.7109375" style="2" customWidth="1"/>
    <col min="8475" max="8475" width="0" style="2" hidden="1" customWidth="1"/>
    <col min="8476" max="8476" width="13" style="2" customWidth="1"/>
    <col min="8477" max="8477" width="13.140625" style="2" customWidth="1"/>
    <col min="8478" max="8479" width="14" style="2" customWidth="1"/>
    <col min="8480" max="8480" width="11.42578125" style="2" customWidth="1"/>
    <col min="8481" max="8481" width="15.85546875" style="2" customWidth="1"/>
    <col min="8482" max="8482" width="23.7109375" style="2" customWidth="1"/>
    <col min="8483" max="8483" width="12" style="2" customWidth="1"/>
    <col min="8484" max="8485" width="0.28515625" style="2" customWidth="1"/>
    <col min="8486" max="8486" width="1.42578125" style="2" customWidth="1"/>
    <col min="8487" max="8487" width="0" style="2" hidden="1" customWidth="1"/>
    <col min="8488" max="8704" width="11.42578125" style="2"/>
    <col min="8705" max="8705" width="10.28515625" style="2" customWidth="1"/>
    <col min="8706" max="8706" width="13.42578125" style="2" customWidth="1"/>
    <col min="8707" max="8707" width="4.28515625" style="2" customWidth="1"/>
    <col min="8708" max="8708" width="4" style="2" customWidth="1"/>
    <col min="8709" max="8709" width="20.85546875" style="2" customWidth="1"/>
    <col min="8710" max="8710" width="4.140625" style="2" customWidth="1"/>
    <col min="8711" max="8711" width="11.28515625" style="2" customWidth="1"/>
    <col min="8712" max="8712" width="16.140625" style="2" customWidth="1"/>
    <col min="8713" max="8713" width="11" style="2" customWidth="1"/>
    <col min="8714" max="8715" width="2.140625" style="2" customWidth="1"/>
    <col min="8716" max="8716" width="3.28515625" style="2" customWidth="1"/>
    <col min="8717" max="8718" width="0" style="2" hidden="1" customWidth="1"/>
    <col min="8719" max="8719" width="2.85546875" style="2" customWidth="1"/>
    <col min="8720" max="8720" width="3.28515625" style="2" customWidth="1"/>
    <col min="8721" max="8721" width="1.42578125" style="2" customWidth="1"/>
    <col min="8722" max="8722" width="0" style="2" hidden="1" customWidth="1"/>
    <col min="8723" max="8723" width="6.85546875" style="2" customWidth="1"/>
    <col min="8724" max="8724" width="0" style="2" hidden="1" customWidth="1"/>
    <col min="8725" max="8726" width="6.28515625" style="2" customWidth="1"/>
    <col min="8727" max="8727" width="20.42578125" style="2" customWidth="1"/>
    <col min="8728" max="8728" width="13.85546875" style="2" customWidth="1"/>
    <col min="8729" max="8729" width="10.85546875" style="2" customWidth="1"/>
    <col min="8730" max="8730" width="18.7109375" style="2" customWidth="1"/>
    <col min="8731" max="8731" width="0" style="2" hidden="1" customWidth="1"/>
    <col min="8732" max="8732" width="13" style="2" customWidth="1"/>
    <col min="8733" max="8733" width="13.140625" style="2" customWidth="1"/>
    <col min="8734" max="8735" width="14" style="2" customWidth="1"/>
    <col min="8736" max="8736" width="11.42578125" style="2" customWidth="1"/>
    <col min="8737" max="8737" width="15.85546875" style="2" customWidth="1"/>
    <col min="8738" max="8738" width="23.7109375" style="2" customWidth="1"/>
    <col min="8739" max="8739" width="12" style="2" customWidth="1"/>
    <col min="8740" max="8741" width="0.28515625" style="2" customWidth="1"/>
    <col min="8742" max="8742" width="1.42578125" style="2" customWidth="1"/>
    <col min="8743" max="8743" width="0" style="2" hidden="1" customWidth="1"/>
    <col min="8744" max="8960" width="11.42578125" style="2"/>
    <col min="8961" max="8961" width="10.28515625" style="2" customWidth="1"/>
    <col min="8962" max="8962" width="13.42578125" style="2" customWidth="1"/>
    <col min="8963" max="8963" width="4.28515625" style="2" customWidth="1"/>
    <col min="8964" max="8964" width="4" style="2" customWidth="1"/>
    <col min="8965" max="8965" width="20.85546875" style="2" customWidth="1"/>
    <col min="8966" max="8966" width="4.140625" style="2" customWidth="1"/>
    <col min="8967" max="8967" width="11.28515625" style="2" customWidth="1"/>
    <col min="8968" max="8968" width="16.140625" style="2" customWidth="1"/>
    <col min="8969" max="8969" width="11" style="2" customWidth="1"/>
    <col min="8970" max="8971" width="2.140625" style="2" customWidth="1"/>
    <col min="8972" max="8972" width="3.28515625" style="2" customWidth="1"/>
    <col min="8973" max="8974" width="0" style="2" hidden="1" customWidth="1"/>
    <col min="8975" max="8975" width="2.85546875" style="2" customWidth="1"/>
    <col min="8976" max="8976" width="3.28515625" style="2" customWidth="1"/>
    <col min="8977" max="8977" width="1.42578125" style="2" customWidth="1"/>
    <col min="8978" max="8978" width="0" style="2" hidden="1" customWidth="1"/>
    <col min="8979" max="8979" width="6.85546875" style="2" customWidth="1"/>
    <col min="8980" max="8980" width="0" style="2" hidden="1" customWidth="1"/>
    <col min="8981" max="8982" width="6.28515625" style="2" customWidth="1"/>
    <col min="8983" max="8983" width="20.42578125" style="2" customWidth="1"/>
    <col min="8984" max="8984" width="13.85546875" style="2" customWidth="1"/>
    <col min="8985" max="8985" width="10.85546875" style="2" customWidth="1"/>
    <col min="8986" max="8986" width="18.7109375" style="2" customWidth="1"/>
    <col min="8987" max="8987" width="0" style="2" hidden="1" customWidth="1"/>
    <col min="8988" max="8988" width="13" style="2" customWidth="1"/>
    <col min="8989" max="8989" width="13.140625" style="2" customWidth="1"/>
    <col min="8990" max="8991" width="14" style="2" customWidth="1"/>
    <col min="8992" max="8992" width="11.42578125" style="2" customWidth="1"/>
    <col min="8993" max="8993" width="15.85546875" style="2" customWidth="1"/>
    <col min="8994" max="8994" width="23.7109375" style="2" customWidth="1"/>
    <col min="8995" max="8995" width="12" style="2" customWidth="1"/>
    <col min="8996" max="8997" width="0.28515625" style="2" customWidth="1"/>
    <col min="8998" max="8998" width="1.42578125" style="2" customWidth="1"/>
    <col min="8999" max="8999" width="0" style="2" hidden="1" customWidth="1"/>
    <col min="9000" max="9216" width="11.42578125" style="2"/>
    <col min="9217" max="9217" width="10.28515625" style="2" customWidth="1"/>
    <col min="9218" max="9218" width="13.42578125" style="2" customWidth="1"/>
    <col min="9219" max="9219" width="4.28515625" style="2" customWidth="1"/>
    <col min="9220" max="9220" width="4" style="2" customWidth="1"/>
    <col min="9221" max="9221" width="20.85546875" style="2" customWidth="1"/>
    <col min="9222" max="9222" width="4.140625" style="2" customWidth="1"/>
    <col min="9223" max="9223" width="11.28515625" style="2" customWidth="1"/>
    <col min="9224" max="9224" width="16.140625" style="2" customWidth="1"/>
    <col min="9225" max="9225" width="11" style="2" customWidth="1"/>
    <col min="9226" max="9227" width="2.140625" style="2" customWidth="1"/>
    <col min="9228" max="9228" width="3.28515625" style="2" customWidth="1"/>
    <col min="9229" max="9230" width="0" style="2" hidden="1" customWidth="1"/>
    <col min="9231" max="9231" width="2.85546875" style="2" customWidth="1"/>
    <col min="9232" max="9232" width="3.28515625" style="2" customWidth="1"/>
    <col min="9233" max="9233" width="1.42578125" style="2" customWidth="1"/>
    <col min="9234" max="9234" width="0" style="2" hidden="1" customWidth="1"/>
    <col min="9235" max="9235" width="6.85546875" style="2" customWidth="1"/>
    <col min="9236" max="9236" width="0" style="2" hidden="1" customWidth="1"/>
    <col min="9237" max="9238" width="6.28515625" style="2" customWidth="1"/>
    <col min="9239" max="9239" width="20.42578125" style="2" customWidth="1"/>
    <col min="9240" max="9240" width="13.85546875" style="2" customWidth="1"/>
    <col min="9241" max="9241" width="10.85546875" style="2" customWidth="1"/>
    <col min="9242" max="9242" width="18.7109375" style="2" customWidth="1"/>
    <col min="9243" max="9243" width="0" style="2" hidden="1" customWidth="1"/>
    <col min="9244" max="9244" width="13" style="2" customWidth="1"/>
    <col min="9245" max="9245" width="13.140625" style="2" customWidth="1"/>
    <col min="9246" max="9247" width="14" style="2" customWidth="1"/>
    <col min="9248" max="9248" width="11.42578125" style="2" customWidth="1"/>
    <col min="9249" max="9249" width="15.85546875" style="2" customWidth="1"/>
    <col min="9250" max="9250" width="23.7109375" style="2" customWidth="1"/>
    <col min="9251" max="9251" width="12" style="2" customWidth="1"/>
    <col min="9252" max="9253" width="0.28515625" style="2" customWidth="1"/>
    <col min="9254" max="9254" width="1.42578125" style="2" customWidth="1"/>
    <col min="9255" max="9255" width="0" style="2" hidden="1" customWidth="1"/>
    <col min="9256" max="9472" width="11.42578125" style="2"/>
    <col min="9473" max="9473" width="10.28515625" style="2" customWidth="1"/>
    <col min="9474" max="9474" width="13.42578125" style="2" customWidth="1"/>
    <col min="9475" max="9475" width="4.28515625" style="2" customWidth="1"/>
    <col min="9476" max="9476" width="4" style="2" customWidth="1"/>
    <col min="9477" max="9477" width="20.85546875" style="2" customWidth="1"/>
    <col min="9478" max="9478" width="4.140625" style="2" customWidth="1"/>
    <col min="9479" max="9479" width="11.28515625" style="2" customWidth="1"/>
    <col min="9480" max="9480" width="16.140625" style="2" customWidth="1"/>
    <col min="9481" max="9481" width="11" style="2" customWidth="1"/>
    <col min="9482" max="9483" width="2.140625" style="2" customWidth="1"/>
    <col min="9484" max="9484" width="3.28515625" style="2" customWidth="1"/>
    <col min="9485" max="9486" width="0" style="2" hidden="1" customWidth="1"/>
    <col min="9487" max="9487" width="2.85546875" style="2" customWidth="1"/>
    <col min="9488" max="9488" width="3.28515625" style="2" customWidth="1"/>
    <col min="9489" max="9489" width="1.42578125" style="2" customWidth="1"/>
    <col min="9490" max="9490" width="0" style="2" hidden="1" customWidth="1"/>
    <col min="9491" max="9491" width="6.85546875" style="2" customWidth="1"/>
    <col min="9492" max="9492" width="0" style="2" hidden="1" customWidth="1"/>
    <col min="9493" max="9494" width="6.28515625" style="2" customWidth="1"/>
    <col min="9495" max="9495" width="20.42578125" style="2" customWidth="1"/>
    <col min="9496" max="9496" width="13.85546875" style="2" customWidth="1"/>
    <col min="9497" max="9497" width="10.85546875" style="2" customWidth="1"/>
    <col min="9498" max="9498" width="18.7109375" style="2" customWidth="1"/>
    <col min="9499" max="9499" width="0" style="2" hidden="1" customWidth="1"/>
    <col min="9500" max="9500" width="13" style="2" customWidth="1"/>
    <col min="9501" max="9501" width="13.140625" style="2" customWidth="1"/>
    <col min="9502" max="9503" width="14" style="2" customWidth="1"/>
    <col min="9504" max="9504" width="11.42578125" style="2" customWidth="1"/>
    <col min="9505" max="9505" width="15.85546875" style="2" customWidth="1"/>
    <col min="9506" max="9506" width="23.7109375" style="2" customWidth="1"/>
    <col min="9507" max="9507" width="12" style="2" customWidth="1"/>
    <col min="9508" max="9509" width="0.28515625" style="2" customWidth="1"/>
    <col min="9510" max="9510" width="1.42578125" style="2" customWidth="1"/>
    <col min="9511" max="9511" width="0" style="2" hidden="1" customWidth="1"/>
    <col min="9512" max="9728" width="11.42578125" style="2"/>
    <col min="9729" max="9729" width="10.28515625" style="2" customWidth="1"/>
    <col min="9730" max="9730" width="13.42578125" style="2" customWidth="1"/>
    <col min="9731" max="9731" width="4.28515625" style="2" customWidth="1"/>
    <col min="9732" max="9732" width="4" style="2" customWidth="1"/>
    <col min="9733" max="9733" width="20.85546875" style="2" customWidth="1"/>
    <col min="9734" max="9734" width="4.140625" style="2" customWidth="1"/>
    <col min="9735" max="9735" width="11.28515625" style="2" customWidth="1"/>
    <col min="9736" max="9736" width="16.140625" style="2" customWidth="1"/>
    <col min="9737" max="9737" width="11" style="2" customWidth="1"/>
    <col min="9738" max="9739" width="2.140625" style="2" customWidth="1"/>
    <col min="9740" max="9740" width="3.28515625" style="2" customWidth="1"/>
    <col min="9741" max="9742" width="0" style="2" hidden="1" customWidth="1"/>
    <col min="9743" max="9743" width="2.85546875" style="2" customWidth="1"/>
    <col min="9744" max="9744" width="3.28515625" style="2" customWidth="1"/>
    <col min="9745" max="9745" width="1.42578125" style="2" customWidth="1"/>
    <col min="9746" max="9746" width="0" style="2" hidden="1" customWidth="1"/>
    <col min="9747" max="9747" width="6.85546875" style="2" customWidth="1"/>
    <col min="9748" max="9748" width="0" style="2" hidden="1" customWidth="1"/>
    <col min="9749" max="9750" width="6.28515625" style="2" customWidth="1"/>
    <col min="9751" max="9751" width="20.42578125" style="2" customWidth="1"/>
    <col min="9752" max="9752" width="13.85546875" style="2" customWidth="1"/>
    <col min="9753" max="9753" width="10.85546875" style="2" customWidth="1"/>
    <col min="9754" max="9754" width="18.7109375" style="2" customWidth="1"/>
    <col min="9755" max="9755" width="0" style="2" hidden="1" customWidth="1"/>
    <col min="9756" max="9756" width="13" style="2" customWidth="1"/>
    <col min="9757" max="9757" width="13.140625" style="2" customWidth="1"/>
    <col min="9758" max="9759" width="14" style="2" customWidth="1"/>
    <col min="9760" max="9760" width="11.42578125" style="2" customWidth="1"/>
    <col min="9761" max="9761" width="15.85546875" style="2" customWidth="1"/>
    <col min="9762" max="9762" width="23.7109375" style="2" customWidth="1"/>
    <col min="9763" max="9763" width="12" style="2" customWidth="1"/>
    <col min="9764" max="9765" width="0.28515625" style="2" customWidth="1"/>
    <col min="9766" max="9766" width="1.42578125" style="2" customWidth="1"/>
    <col min="9767" max="9767" width="0" style="2" hidden="1" customWidth="1"/>
    <col min="9768" max="9984" width="11.42578125" style="2"/>
    <col min="9985" max="9985" width="10.28515625" style="2" customWidth="1"/>
    <col min="9986" max="9986" width="13.42578125" style="2" customWidth="1"/>
    <col min="9987" max="9987" width="4.28515625" style="2" customWidth="1"/>
    <col min="9988" max="9988" width="4" style="2" customWidth="1"/>
    <col min="9989" max="9989" width="20.85546875" style="2" customWidth="1"/>
    <col min="9990" max="9990" width="4.140625" style="2" customWidth="1"/>
    <col min="9991" max="9991" width="11.28515625" style="2" customWidth="1"/>
    <col min="9992" max="9992" width="16.140625" style="2" customWidth="1"/>
    <col min="9993" max="9993" width="11" style="2" customWidth="1"/>
    <col min="9994" max="9995" width="2.140625" style="2" customWidth="1"/>
    <col min="9996" max="9996" width="3.28515625" style="2" customWidth="1"/>
    <col min="9997" max="9998" width="0" style="2" hidden="1" customWidth="1"/>
    <col min="9999" max="9999" width="2.85546875" style="2" customWidth="1"/>
    <col min="10000" max="10000" width="3.28515625" style="2" customWidth="1"/>
    <col min="10001" max="10001" width="1.42578125" style="2" customWidth="1"/>
    <col min="10002" max="10002" width="0" style="2" hidden="1" customWidth="1"/>
    <col min="10003" max="10003" width="6.85546875" style="2" customWidth="1"/>
    <col min="10004" max="10004" width="0" style="2" hidden="1" customWidth="1"/>
    <col min="10005" max="10006" width="6.28515625" style="2" customWidth="1"/>
    <col min="10007" max="10007" width="20.42578125" style="2" customWidth="1"/>
    <col min="10008" max="10008" width="13.85546875" style="2" customWidth="1"/>
    <col min="10009" max="10009" width="10.85546875" style="2" customWidth="1"/>
    <col min="10010" max="10010" width="18.7109375" style="2" customWidth="1"/>
    <col min="10011" max="10011" width="0" style="2" hidden="1" customWidth="1"/>
    <col min="10012" max="10012" width="13" style="2" customWidth="1"/>
    <col min="10013" max="10013" width="13.140625" style="2" customWidth="1"/>
    <col min="10014" max="10015" width="14" style="2" customWidth="1"/>
    <col min="10016" max="10016" width="11.42578125" style="2" customWidth="1"/>
    <col min="10017" max="10017" width="15.85546875" style="2" customWidth="1"/>
    <col min="10018" max="10018" width="23.7109375" style="2" customWidth="1"/>
    <col min="10019" max="10019" width="12" style="2" customWidth="1"/>
    <col min="10020" max="10021" width="0.28515625" style="2" customWidth="1"/>
    <col min="10022" max="10022" width="1.42578125" style="2" customWidth="1"/>
    <col min="10023" max="10023" width="0" style="2" hidden="1" customWidth="1"/>
    <col min="10024" max="10240" width="11.42578125" style="2"/>
    <col min="10241" max="10241" width="10.28515625" style="2" customWidth="1"/>
    <col min="10242" max="10242" width="13.42578125" style="2" customWidth="1"/>
    <col min="10243" max="10243" width="4.28515625" style="2" customWidth="1"/>
    <col min="10244" max="10244" width="4" style="2" customWidth="1"/>
    <col min="10245" max="10245" width="20.85546875" style="2" customWidth="1"/>
    <col min="10246" max="10246" width="4.140625" style="2" customWidth="1"/>
    <col min="10247" max="10247" width="11.28515625" style="2" customWidth="1"/>
    <col min="10248" max="10248" width="16.140625" style="2" customWidth="1"/>
    <col min="10249" max="10249" width="11" style="2" customWidth="1"/>
    <col min="10250" max="10251" width="2.140625" style="2" customWidth="1"/>
    <col min="10252" max="10252" width="3.28515625" style="2" customWidth="1"/>
    <col min="10253" max="10254" width="0" style="2" hidden="1" customWidth="1"/>
    <col min="10255" max="10255" width="2.85546875" style="2" customWidth="1"/>
    <col min="10256" max="10256" width="3.28515625" style="2" customWidth="1"/>
    <col min="10257" max="10257" width="1.42578125" style="2" customWidth="1"/>
    <col min="10258" max="10258" width="0" style="2" hidden="1" customWidth="1"/>
    <col min="10259" max="10259" width="6.85546875" style="2" customWidth="1"/>
    <col min="10260" max="10260" width="0" style="2" hidden="1" customWidth="1"/>
    <col min="10261" max="10262" width="6.28515625" style="2" customWidth="1"/>
    <col min="10263" max="10263" width="20.42578125" style="2" customWidth="1"/>
    <col min="10264" max="10264" width="13.85546875" style="2" customWidth="1"/>
    <col min="10265" max="10265" width="10.85546875" style="2" customWidth="1"/>
    <col min="10266" max="10266" width="18.7109375" style="2" customWidth="1"/>
    <col min="10267" max="10267" width="0" style="2" hidden="1" customWidth="1"/>
    <col min="10268" max="10268" width="13" style="2" customWidth="1"/>
    <col min="10269" max="10269" width="13.140625" style="2" customWidth="1"/>
    <col min="10270" max="10271" width="14" style="2" customWidth="1"/>
    <col min="10272" max="10272" width="11.42578125" style="2" customWidth="1"/>
    <col min="10273" max="10273" width="15.85546875" style="2" customWidth="1"/>
    <col min="10274" max="10274" width="23.7109375" style="2" customWidth="1"/>
    <col min="10275" max="10275" width="12" style="2" customWidth="1"/>
    <col min="10276" max="10277" width="0.28515625" style="2" customWidth="1"/>
    <col min="10278" max="10278" width="1.42578125" style="2" customWidth="1"/>
    <col min="10279" max="10279" width="0" style="2" hidden="1" customWidth="1"/>
    <col min="10280" max="10496" width="11.42578125" style="2"/>
    <col min="10497" max="10497" width="10.28515625" style="2" customWidth="1"/>
    <col min="10498" max="10498" width="13.42578125" style="2" customWidth="1"/>
    <col min="10499" max="10499" width="4.28515625" style="2" customWidth="1"/>
    <col min="10500" max="10500" width="4" style="2" customWidth="1"/>
    <col min="10501" max="10501" width="20.85546875" style="2" customWidth="1"/>
    <col min="10502" max="10502" width="4.140625" style="2" customWidth="1"/>
    <col min="10503" max="10503" width="11.28515625" style="2" customWidth="1"/>
    <col min="10504" max="10504" width="16.140625" style="2" customWidth="1"/>
    <col min="10505" max="10505" width="11" style="2" customWidth="1"/>
    <col min="10506" max="10507" width="2.140625" style="2" customWidth="1"/>
    <col min="10508" max="10508" width="3.28515625" style="2" customWidth="1"/>
    <col min="10509" max="10510" width="0" style="2" hidden="1" customWidth="1"/>
    <col min="10511" max="10511" width="2.85546875" style="2" customWidth="1"/>
    <col min="10512" max="10512" width="3.28515625" style="2" customWidth="1"/>
    <col min="10513" max="10513" width="1.42578125" style="2" customWidth="1"/>
    <col min="10514" max="10514" width="0" style="2" hidden="1" customWidth="1"/>
    <col min="10515" max="10515" width="6.85546875" style="2" customWidth="1"/>
    <col min="10516" max="10516" width="0" style="2" hidden="1" customWidth="1"/>
    <col min="10517" max="10518" width="6.28515625" style="2" customWidth="1"/>
    <col min="10519" max="10519" width="20.42578125" style="2" customWidth="1"/>
    <col min="10520" max="10520" width="13.85546875" style="2" customWidth="1"/>
    <col min="10521" max="10521" width="10.85546875" style="2" customWidth="1"/>
    <col min="10522" max="10522" width="18.7109375" style="2" customWidth="1"/>
    <col min="10523" max="10523" width="0" style="2" hidden="1" customWidth="1"/>
    <col min="10524" max="10524" width="13" style="2" customWidth="1"/>
    <col min="10525" max="10525" width="13.140625" style="2" customWidth="1"/>
    <col min="10526" max="10527" width="14" style="2" customWidth="1"/>
    <col min="10528" max="10528" width="11.42578125" style="2" customWidth="1"/>
    <col min="10529" max="10529" width="15.85546875" style="2" customWidth="1"/>
    <col min="10530" max="10530" width="23.7109375" style="2" customWidth="1"/>
    <col min="10531" max="10531" width="12" style="2" customWidth="1"/>
    <col min="10532" max="10533" width="0.28515625" style="2" customWidth="1"/>
    <col min="10534" max="10534" width="1.42578125" style="2" customWidth="1"/>
    <col min="10535" max="10535" width="0" style="2" hidden="1" customWidth="1"/>
    <col min="10536" max="10752" width="11.42578125" style="2"/>
    <col min="10753" max="10753" width="10.28515625" style="2" customWidth="1"/>
    <col min="10754" max="10754" width="13.42578125" style="2" customWidth="1"/>
    <col min="10755" max="10755" width="4.28515625" style="2" customWidth="1"/>
    <col min="10756" max="10756" width="4" style="2" customWidth="1"/>
    <col min="10757" max="10757" width="20.85546875" style="2" customWidth="1"/>
    <col min="10758" max="10758" width="4.140625" style="2" customWidth="1"/>
    <col min="10759" max="10759" width="11.28515625" style="2" customWidth="1"/>
    <col min="10760" max="10760" width="16.140625" style="2" customWidth="1"/>
    <col min="10761" max="10761" width="11" style="2" customWidth="1"/>
    <col min="10762" max="10763" width="2.140625" style="2" customWidth="1"/>
    <col min="10764" max="10764" width="3.28515625" style="2" customWidth="1"/>
    <col min="10765" max="10766" width="0" style="2" hidden="1" customWidth="1"/>
    <col min="10767" max="10767" width="2.85546875" style="2" customWidth="1"/>
    <col min="10768" max="10768" width="3.28515625" style="2" customWidth="1"/>
    <col min="10769" max="10769" width="1.42578125" style="2" customWidth="1"/>
    <col min="10770" max="10770" width="0" style="2" hidden="1" customWidth="1"/>
    <col min="10771" max="10771" width="6.85546875" style="2" customWidth="1"/>
    <col min="10772" max="10772" width="0" style="2" hidden="1" customWidth="1"/>
    <col min="10773" max="10774" width="6.28515625" style="2" customWidth="1"/>
    <col min="10775" max="10775" width="20.42578125" style="2" customWidth="1"/>
    <col min="10776" max="10776" width="13.85546875" style="2" customWidth="1"/>
    <col min="10777" max="10777" width="10.85546875" style="2" customWidth="1"/>
    <col min="10778" max="10778" width="18.7109375" style="2" customWidth="1"/>
    <col min="10779" max="10779" width="0" style="2" hidden="1" customWidth="1"/>
    <col min="10780" max="10780" width="13" style="2" customWidth="1"/>
    <col min="10781" max="10781" width="13.140625" style="2" customWidth="1"/>
    <col min="10782" max="10783" width="14" style="2" customWidth="1"/>
    <col min="10784" max="10784" width="11.42578125" style="2" customWidth="1"/>
    <col min="10785" max="10785" width="15.85546875" style="2" customWidth="1"/>
    <col min="10786" max="10786" width="23.7109375" style="2" customWidth="1"/>
    <col min="10787" max="10787" width="12" style="2" customWidth="1"/>
    <col min="10788" max="10789" width="0.28515625" style="2" customWidth="1"/>
    <col min="10790" max="10790" width="1.42578125" style="2" customWidth="1"/>
    <col min="10791" max="10791" width="0" style="2" hidden="1" customWidth="1"/>
    <col min="10792" max="11008" width="11.42578125" style="2"/>
    <col min="11009" max="11009" width="10.28515625" style="2" customWidth="1"/>
    <col min="11010" max="11010" width="13.42578125" style="2" customWidth="1"/>
    <col min="11011" max="11011" width="4.28515625" style="2" customWidth="1"/>
    <col min="11012" max="11012" width="4" style="2" customWidth="1"/>
    <col min="11013" max="11013" width="20.85546875" style="2" customWidth="1"/>
    <col min="11014" max="11014" width="4.140625" style="2" customWidth="1"/>
    <col min="11015" max="11015" width="11.28515625" style="2" customWidth="1"/>
    <col min="11016" max="11016" width="16.140625" style="2" customWidth="1"/>
    <col min="11017" max="11017" width="11" style="2" customWidth="1"/>
    <col min="11018" max="11019" width="2.140625" style="2" customWidth="1"/>
    <col min="11020" max="11020" width="3.28515625" style="2" customWidth="1"/>
    <col min="11021" max="11022" width="0" style="2" hidden="1" customWidth="1"/>
    <col min="11023" max="11023" width="2.85546875" style="2" customWidth="1"/>
    <col min="11024" max="11024" width="3.28515625" style="2" customWidth="1"/>
    <col min="11025" max="11025" width="1.42578125" style="2" customWidth="1"/>
    <col min="11026" max="11026" width="0" style="2" hidden="1" customWidth="1"/>
    <col min="11027" max="11027" width="6.85546875" style="2" customWidth="1"/>
    <col min="11028" max="11028" width="0" style="2" hidden="1" customWidth="1"/>
    <col min="11029" max="11030" width="6.28515625" style="2" customWidth="1"/>
    <col min="11031" max="11031" width="20.42578125" style="2" customWidth="1"/>
    <col min="11032" max="11032" width="13.85546875" style="2" customWidth="1"/>
    <col min="11033" max="11033" width="10.85546875" style="2" customWidth="1"/>
    <col min="11034" max="11034" width="18.7109375" style="2" customWidth="1"/>
    <col min="11035" max="11035" width="0" style="2" hidden="1" customWidth="1"/>
    <col min="11036" max="11036" width="13" style="2" customWidth="1"/>
    <col min="11037" max="11037" width="13.140625" style="2" customWidth="1"/>
    <col min="11038" max="11039" width="14" style="2" customWidth="1"/>
    <col min="11040" max="11040" width="11.42578125" style="2" customWidth="1"/>
    <col min="11041" max="11041" width="15.85546875" style="2" customWidth="1"/>
    <col min="11042" max="11042" width="23.7109375" style="2" customWidth="1"/>
    <col min="11043" max="11043" width="12" style="2" customWidth="1"/>
    <col min="11044" max="11045" width="0.28515625" style="2" customWidth="1"/>
    <col min="11046" max="11046" width="1.42578125" style="2" customWidth="1"/>
    <col min="11047" max="11047" width="0" style="2" hidden="1" customWidth="1"/>
    <col min="11048" max="11264" width="11.42578125" style="2"/>
    <col min="11265" max="11265" width="10.28515625" style="2" customWidth="1"/>
    <col min="11266" max="11266" width="13.42578125" style="2" customWidth="1"/>
    <col min="11267" max="11267" width="4.28515625" style="2" customWidth="1"/>
    <col min="11268" max="11268" width="4" style="2" customWidth="1"/>
    <col min="11269" max="11269" width="20.85546875" style="2" customWidth="1"/>
    <col min="11270" max="11270" width="4.140625" style="2" customWidth="1"/>
    <col min="11271" max="11271" width="11.28515625" style="2" customWidth="1"/>
    <col min="11272" max="11272" width="16.140625" style="2" customWidth="1"/>
    <col min="11273" max="11273" width="11" style="2" customWidth="1"/>
    <col min="11274" max="11275" width="2.140625" style="2" customWidth="1"/>
    <col min="11276" max="11276" width="3.28515625" style="2" customWidth="1"/>
    <col min="11277" max="11278" width="0" style="2" hidden="1" customWidth="1"/>
    <col min="11279" max="11279" width="2.85546875" style="2" customWidth="1"/>
    <col min="11280" max="11280" width="3.28515625" style="2" customWidth="1"/>
    <col min="11281" max="11281" width="1.42578125" style="2" customWidth="1"/>
    <col min="11282" max="11282" width="0" style="2" hidden="1" customWidth="1"/>
    <col min="11283" max="11283" width="6.85546875" style="2" customWidth="1"/>
    <col min="11284" max="11284" width="0" style="2" hidden="1" customWidth="1"/>
    <col min="11285" max="11286" width="6.28515625" style="2" customWidth="1"/>
    <col min="11287" max="11287" width="20.42578125" style="2" customWidth="1"/>
    <col min="11288" max="11288" width="13.85546875" style="2" customWidth="1"/>
    <col min="11289" max="11289" width="10.85546875" style="2" customWidth="1"/>
    <col min="11290" max="11290" width="18.7109375" style="2" customWidth="1"/>
    <col min="11291" max="11291" width="0" style="2" hidden="1" customWidth="1"/>
    <col min="11292" max="11292" width="13" style="2" customWidth="1"/>
    <col min="11293" max="11293" width="13.140625" style="2" customWidth="1"/>
    <col min="11294" max="11295" width="14" style="2" customWidth="1"/>
    <col min="11296" max="11296" width="11.42578125" style="2" customWidth="1"/>
    <col min="11297" max="11297" width="15.85546875" style="2" customWidth="1"/>
    <col min="11298" max="11298" width="23.7109375" style="2" customWidth="1"/>
    <col min="11299" max="11299" width="12" style="2" customWidth="1"/>
    <col min="11300" max="11301" width="0.28515625" style="2" customWidth="1"/>
    <col min="11302" max="11302" width="1.42578125" style="2" customWidth="1"/>
    <col min="11303" max="11303" width="0" style="2" hidden="1" customWidth="1"/>
    <col min="11304" max="11520" width="11.42578125" style="2"/>
    <col min="11521" max="11521" width="10.28515625" style="2" customWidth="1"/>
    <col min="11522" max="11522" width="13.42578125" style="2" customWidth="1"/>
    <col min="11523" max="11523" width="4.28515625" style="2" customWidth="1"/>
    <col min="11524" max="11524" width="4" style="2" customWidth="1"/>
    <col min="11525" max="11525" width="20.85546875" style="2" customWidth="1"/>
    <col min="11526" max="11526" width="4.140625" style="2" customWidth="1"/>
    <col min="11527" max="11527" width="11.28515625" style="2" customWidth="1"/>
    <col min="11528" max="11528" width="16.140625" style="2" customWidth="1"/>
    <col min="11529" max="11529" width="11" style="2" customWidth="1"/>
    <col min="11530" max="11531" width="2.140625" style="2" customWidth="1"/>
    <col min="11532" max="11532" width="3.28515625" style="2" customWidth="1"/>
    <col min="11533" max="11534" width="0" style="2" hidden="1" customWidth="1"/>
    <col min="11535" max="11535" width="2.85546875" style="2" customWidth="1"/>
    <col min="11536" max="11536" width="3.28515625" style="2" customWidth="1"/>
    <col min="11537" max="11537" width="1.42578125" style="2" customWidth="1"/>
    <col min="11538" max="11538" width="0" style="2" hidden="1" customWidth="1"/>
    <col min="11539" max="11539" width="6.85546875" style="2" customWidth="1"/>
    <col min="11540" max="11540" width="0" style="2" hidden="1" customWidth="1"/>
    <col min="11541" max="11542" width="6.28515625" style="2" customWidth="1"/>
    <col min="11543" max="11543" width="20.42578125" style="2" customWidth="1"/>
    <col min="11544" max="11544" width="13.85546875" style="2" customWidth="1"/>
    <col min="11545" max="11545" width="10.85546875" style="2" customWidth="1"/>
    <col min="11546" max="11546" width="18.7109375" style="2" customWidth="1"/>
    <col min="11547" max="11547" width="0" style="2" hidden="1" customWidth="1"/>
    <col min="11548" max="11548" width="13" style="2" customWidth="1"/>
    <col min="11549" max="11549" width="13.140625" style="2" customWidth="1"/>
    <col min="11550" max="11551" width="14" style="2" customWidth="1"/>
    <col min="11552" max="11552" width="11.42578125" style="2" customWidth="1"/>
    <col min="11553" max="11553" width="15.85546875" style="2" customWidth="1"/>
    <col min="11554" max="11554" width="23.7109375" style="2" customWidth="1"/>
    <col min="11555" max="11555" width="12" style="2" customWidth="1"/>
    <col min="11556" max="11557" width="0.28515625" style="2" customWidth="1"/>
    <col min="11558" max="11558" width="1.42578125" style="2" customWidth="1"/>
    <col min="11559" max="11559" width="0" style="2" hidden="1" customWidth="1"/>
    <col min="11560" max="11776" width="11.42578125" style="2"/>
    <col min="11777" max="11777" width="10.28515625" style="2" customWidth="1"/>
    <col min="11778" max="11778" width="13.42578125" style="2" customWidth="1"/>
    <col min="11779" max="11779" width="4.28515625" style="2" customWidth="1"/>
    <col min="11780" max="11780" width="4" style="2" customWidth="1"/>
    <col min="11781" max="11781" width="20.85546875" style="2" customWidth="1"/>
    <col min="11782" max="11782" width="4.140625" style="2" customWidth="1"/>
    <col min="11783" max="11783" width="11.28515625" style="2" customWidth="1"/>
    <col min="11784" max="11784" width="16.140625" style="2" customWidth="1"/>
    <col min="11785" max="11785" width="11" style="2" customWidth="1"/>
    <col min="11786" max="11787" width="2.140625" style="2" customWidth="1"/>
    <col min="11788" max="11788" width="3.28515625" style="2" customWidth="1"/>
    <col min="11789" max="11790" width="0" style="2" hidden="1" customWidth="1"/>
    <col min="11791" max="11791" width="2.85546875" style="2" customWidth="1"/>
    <col min="11792" max="11792" width="3.28515625" style="2" customWidth="1"/>
    <col min="11793" max="11793" width="1.42578125" style="2" customWidth="1"/>
    <col min="11794" max="11794" width="0" style="2" hidden="1" customWidth="1"/>
    <col min="11795" max="11795" width="6.85546875" style="2" customWidth="1"/>
    <col min="11796" max="11796" width="0" style="2" hidden="1" customWidth="1"/>
    <col min="11797" max="11798" width="6.28515625" style="2" customWidth="1"/>
    <col min="11799" max="11799" width="20.42578125" style="2" customWidth="1"/>
    <col min="11800" max="11800" width="13.85546875" style="2" customWidth="1"/>
    <col min="11801" max="11801" width="10.85546875" style="2" customWidth="1"/>
    <col min="11802" max="11802" width="18.7109375" style="2" customWidth="1"/>
    <col min="11803" max="11803" width="0" style="2" hidden="1" customWidth="1"/>
    <col min="11804" max="11804" width="13" style="2" customWidth="1"/>
    <col min="11805" max="11805" width="13.140625" style="2" customWidth="1"/>
    <col min="11806" max="11807" width="14" style="2" customWidth="1"/>
    <col min="11808" max="11808" width="11.42578125" style="2" customWidth="1"/>
    <col min="11809" max="11809" width="15.85546875" style="2" customWidth="1"/>
    <col min="11810" max="11810" width="23.7109375" style="2" customWidth="1"/>
    <col min="11811" max="11811" width="12" style="2" customWidth="1"/>
    <col min="11812" max="11813" width="0.28515625" style="2" customWidth="1"/>
    <col min="11814" max="11814" width="1.42578125" style="2" customWidth="1"/>
    <col min="11815" max="11815" width="0" style="2" hidden="1" customWidth="1"/>
    <col min="11816" max="12032" width="11.42578125" style="2"/>
    <col min="12033" max="12033" width="10.28515625" style="2" customWidth="1"/>
    <col min="12034" max="12034" width="13.42578125" style="2" customWidth="1"/>
    <col min="12035" max="12035" width="4.28515625" style="2" customWidth="1"/>
    <col min="12036" max="12036" width="4" style="2" customWidth="1"/>
    <col min="12037" max="12037" width="20.85546875" style="2" customWidth="1"/>
    <col min="12038" max="12038" width="4.140625" style="2" customWidth="1"/>
    <col min="12039" max="12039" width="11.28515625" style="2" customWidth="1"/>
    <col min="12040" max="12040" width="16.140625" style="2" customWidth="1"/>
    <col min="12041" max="12041" width="11" style="2" customWidth="1"/>
    <col min="12042" max="12043" width="2.140625" style="2" customWidth="1"/>
    <col min="12044" max="12044" width="3.28515625" style="2" customWidth="1"/>
    <col min="12045" max="12046" width="0" style="2" hidden="1" customWidth="1"/>
    <col min="12047" max="12047" width="2.85546875" style="2" customWidth="1"/>
    <col min="12048" max="12048" width="3.28515625" style="2" customWidth="1"/>
    <col min="12049" max="12049" width="1.42578125" style="2" customWidth="1"/>
    <col min="12050" max="12050" width="0" style="2" hidden="1" customWidth="1"/>
    <col min="12051" max="12051" width="6.85546875" style="2" customWidth="1"/>
    <col min="12052" max="12052" width="0" style="2" hidden="1" customWidth="1"/>
    <col min="12053" max="12054" width="6.28515625" style="2" customWidth="1"/>
    <col min="12055" max="12055" width="20.42578125" style="2" customWidth="1"/>
    <col min="12056" max="12056" width="13.85546875" style="2" customWidth="1"/>
    <col min="12057" max="12057" width="10.85546875" style="2" customWidth="1"/>
    <col min="12058" max="12058" width="18.7109375" style="2" customWidth="1"/>
    <col min="12059" max="12059" width="0" style="2" hidden="1" customWidth="1"/>
    <col min="12060" max="12060" width="13" style="2" customWidth="1"/>
    <col min="12061" max="12061" width="13.140625" style="2" customWidth="1"/>
    <col min="12062" max="12063" width="14" style="2" customWidth="1"/>
    <col min="12064" max="12064" width="11.42578125" style="2" customWidth="1"/>
    <col min="12065" max="12065" width="15.85546875" style="2" customWidth="1"/>
    <col min="12066" max="12066" width="23.7109375" style="2" customWidth="1"/>
    <col min="12067" max="12067" width="12" style="2" customWidth="1"/>
    <col min="12068" max="12069" width="0.28515625" style="2" customWidth="1"/>
    <col min="12070" max="12070" width="1.42578125" style="2" customWidth="1"/>
    <col min="12071" max="12071" width="0" style="2" hidden="1" customWidth="1"/>
    <col min="12072" max="12288" width="11.42578125" style="2"/>
    <col min="12289" max="12289" width="10.28515625" style="2" customWidth="1"/>
    <col min="12290" max="12290" width="13.42578125" style="2" customWidth="1"/>
    <col min="12291" max="12291" width="4.28515625" style="2" customWidth="1"/>
    <col min="12292" max="12292" width="4" style="2" customWidth="1"/>
    <col min="12293" max="12293" width="20.85546875" style="2" customWidth="1"/>
    <col min="12294" max="12294" width="4.140625" style="2" customWidth="1"/>
    <col min="12295" max="12295" width="11.28515625" style="2" customWidth="1"/>
    <col min="12296" max="12296" width="16.140625" style="2" customWidth="1"/>
    <col min="12297" max="12297" width="11" style="2" customWidth="1"/>
    <col min="12298" max="12299" width="2.140625" style="2" customWidth="1"/>
    <col min="12300" max="12300" width="3.28515625" style="2" customWidth="1"/>
    <col min="12301" max="12302" width="0" style="2" hidden="1" customWidth="1"/>
    <col min="12303" max="12303" width="2.85546875" style="2" customWidth="1"/>
    <col min="12304" max="12304" width="3.28515625" style="2" customWidth="1"/>
    <col min="12305" max="12305" width="1.42578125" style="2" customWidth="1"/>
    <col min="12306" max="12306" width="0" style="2" hidden="1" customWidth="1"/>
    <col min="12307" max="12307" width="6.85546875" style="2" customWidth="1"/>
    <col min="12308" max="12308" width="0" style="2" hidden="1" customWidth="1"/>
    <col min="12309" max="12310" width="6.28515625" style="2" customWidth="1"/>
    <col min="12311" max="12311" width="20.42578125" style="2" customWidth="1"/>
    <col min="12312" max="12312" width="13.85546875" style="2" customWidth="1"/>
    <col min="12313" max="12313" width="10.85546875" style="2" customWidth="1"/>
    <col min="12314" max="12314" width="18.7109375" style="2" customWidth="1"/>
    <col min="12315" max="12315" width="0" style="2" hidden="1" customWidth="1"/>
    <col min="12316" max="12316" width="13" style="2" customWidth="1"/>
    <col min="12317" max="12317" width="13.140625" style="2" customWidth="1"/>
    <col min="12318" max="12319" width="14" style="2" customWidth="1"/>
    <col min="12320" max="12320" width="11.42578125" style="2" customWidth="1"/>
    <col min="12321" max="12321" width="15.85546875" style="2" customWidth="1"/>
    <col min="12322" max="12322" width="23.7109375" style="2" customWidth="1"/>
    <col min="12323" max="12323" width="12" style="2" customWidth="1"/>
    <col min="12324" max="12325" width="0.28515625" style="2" customWidth="1"/>
    <col min="12326" max="12326" width="1.42578125" style="2" customWidth="1"/>
    <col min="12327" max="12327" width="0" style="2" hidden="1" customWidth="1"/>
    <col min="12328" max="12544" width="11.42578125" style="2"/>
    <col min="12545" max="12545" width="10.28515625" style="2" customWidth="1"/>
    <col min="12546" max="12546" width="13.42578125" style="2" customWidth="1"/>
    <col min="12547" max="12547" width="4.28515625" style="2" customWidth="1"/>
    <col min="12548" max="12548" width="4" style="2" customWidth="1"/>
    <col min="12549" max="12549" width="20.85546875" style="2" customWidth="1"/>
    <col min="12550" max="12550" width="4.140625" style="2" customWidth="1"/>
    <col min="12551" max="12551" width="11.28515625" style="2" customWidth="1"/>
    <col min="12552" max="12552" width="16.140625" style="2" customWidth="1"/>
    <col min="12553" max="12553" width="11" style="2" customWidth="1"/>
    <col min="12554" max="12555" width="2.140625" style="2" customWidth="1"/>
    <col min="12556" max="12556" width="3.28515625" style="2" customWidth="1"/>
    <col min="12557" max="12558" width="0" style="2" hidden="1" customWidth="1"/>
    <col min="12559" max="12559" width="2.85546875" style="2" customWidth="1"/>
    <col min="12560" max="12560" width="3.28515625" style="2" customWidth="1"/>
    <col min="12561" max="12561" width="1.42578125" style="2" customWidth="1"/>
    <col min="12562" max="12562" width="0" style="2" hidden="1" customWidth="1"/>
    <col min="12563" max="12563" width="6.85546875" style="2" customWidth="1"/>
    <col min="12564" max="12564" width="0" style="2" hidden="1" customWidth="1"/>
    <col min="12565" max="12566" width="6.28515625" style="2" customWidth="1"/>
    <col min="12567" max="12567" width="20.42578125" style="2" customWidth="1"/>
    <col min="12568" max="12568" width="13.85546875" style="2" customWidth="1"/>
    <col min="12569" max="12569" width="10.85546875" style="2" customWidth="1"/>
    <col min="12570" max="12570" width="18.7109375" style="2" customWidth="1"/>
    <col min="12571" max="12571" width="0" style="2" hidden="1" customWidth="1"/>
    <col min="12572" max="12572" width="13" style="2" customWidth="1"/>
    <col min="12573" max="12573" width="13.140625" style="2" customWidth="1"/>
    <col min="12574" max="12575" width="14" style="2" customWidth="1"/>
    <col min="12576" max="12576" width="11.42578125" style="2" customWidth="1"/>
    <col min="12577" max="12577" width="15.85546875" style="2" customWidth="1"/>
    <col min="12578" max="12578" width="23.7109375" style="2" customWidth="1"/>
    <col min="12579" max="12579" width="12" style="2" customWidth="1"/>
    <col min="12580" max="12581" width="0.28515625" style="2" customWidth="1"/>
    <col min="12582" max="12582" width="1.42578125" style="2" customWidth="1"/>
    <col min="12583" max="12583" width="0" style="2" hidden="1" customWidth="1"/>
    <col min="12584" max="12800" width="11.42578125" style="2"/>
    <col min="12801" max="12801" width="10.28515625" style="2" customWidth="1"/>
    <col min="12802" max="12802" width="13.42578125" style="2" customWidth="1"/>
    <col min="12803" max="12803" width="4.28515625" style="2" customWidth="1"/>
    <col min="12804" max="12804" width="4" style="2" customWidth="1"/>
    <col min="12805" max="12805" width="20.85546875" style="2" customWidth="1"/>
    <col min="12806" max="12806" width="4.140625" style="2" customWidth="1"/>
    <col min="12807" max="12807" width="11.28515625" style="2" customWidth="1"/>
    <col min="12808" max="12808" width="16.140625" style="2" customWidth="1"/>
    <col min="12809" max="12809" width="11" style="2" customWidth="1"/>
    <col min="12810" max="12811" width="2.140625" style="2" customWidth="1"/>
    <col min="12812" max="12812" width="3.28515625" style="2" customWidth="1"/>
    <col min="12813" max="12814" width="0" style="2" hidden="1" customWidth="1"/>
    <col min="12815" max="12815" width="2.85546875" style="2" customWidth="1"/>
    <col min="12816" max="12816" width="3.28515625" style="2" customWidth="1"/>
    <col min="12817" max="12817" width="1.42578125" style="2" customWidth="1"/>
    <col min="12818" max="12818" width="0" style="2" hidden="1" customWidth="1"/>
    <col min="12819" max="12819" width="6.85546875" style="2" customWidth="1"/>
    <col min="12820" max="12820" width="0" style="2" hidden="1" customWidth="1"/>
    <col min="12821" max="12822" width="6.28515625" style="2" customWidth="1"/>
    <col min="12823" max="12823" width="20.42578125" style="2" customWidth="1"/>
    <col min="12824" max="12824" width="13.85546875" style="2" customWidth="1"/>
    <col min="12825" max="12825" width="10.85546875" style="2" customWidth="1"/>
    <col min="12826" max="12826" width="18.7109375" style="2" customWidth="1"/>
    <col min="12827" max="12827" width="0" style="2" hidden="1" customWidth="1"/>
    <col min="12828" max="12828" width="13" style="2" customWidth="1"/>
    <col min="12829" max="12829" width="13.140625" style="2" customWidth="1"/>
    <col min="12830" max="12831" width="14" style="2" customWidth="1"/>
    <col min="12832" max="12832" width="11.42578125" style="2" customWidth="1"/>
    <col min="12833" max="12833" width="15.85546875" style="2" customWidth="1"/>
    <col min="12834" max="12834" width="23.7109375" style="2" customWidth="1"/>
    <col min="12835" max="12835" width="12" style="2" customWidth="1"/>
    <col min="12836" max="12837" width="0.28515625" style="2" customWidth="1"/>
    <col min="12838" max="12838" width="1.42578125" style="2" customWidth="1"/>
    <col min="12839" max="12839" width="0" style="2" hidden="1" customWidth="1"/>
    <col min="12840" max="13056" width="11.42578125" style="2"/>
    <col min="13057" max="13057" width="10.28515625" style="2" customWidth="1"/>
    <col min="13058" max="13058" width="13.42578125" style="2" customWidth="1"/>
    <col min="13059" max="13059" width="4.28515625" style="2" customWidth="1"/>
    <col min="13060" max="13060" width="4" style="2" customWidth="1"/>
    <col min="13061" max="13061" width="20.85546875" style="2" customWidth="1"/>
    <col min="13062" max="13062" width="4.140625" style="2" customWidth="1"/>
    <col min="13063" max="13063" width="11.28515625" style="2" customWidth="1"/>
    <col min="13064" max="13064" width="16.140625" style="2" customWidth="1"/>
    <col min="13065" max="13065" width="11" style="2" customWidth="1"/>
    <col min="13066" max="13067" width="2.140625" style="2" customWidth="1"/>
    <col min="13068" max="13068" width="3.28515625" style="2" customWidth="1"/>
    <col min="13069" max="13070" width="0" style="2" hidden="1" customWidth="1"/>
    <col min="13071" max="13071" width="2.85546875" style="2" customWidth="1"/>
    <col min="13072" max="13072" width="3.28515625" style="2" customWidth="1"/>
    <col min="13073" max="13073" width="1.42578125" style="2" customWidth="1"/>
    <col min="13074" max="13074" width="0" style="2" hidden="1" customWidth="1"/>
    <col min="13075" max="13075" width="6.85546875" style="2" customWidth="1"/>
    <col min="13076" max="13076" width="0" style="2" hidden="1" customWidth="1"/>
    <col min="13077" max="13078" width="6.28515625" style="2" customWidth="1"/>
    <col min="13079" max="13079" width="20.42578125" style="2" customWidth="1"/>
    <col min="13080" max="13080" width="13.85546875" style="2" customWidth="1"/>
    <col min="13081" max="13081" width="10.85546875" style="2" customWidth="1"/>
    <col min="13082" max="13082" width="18.7109375" style="2" customWidth="1"/>
    <col min="13083" max="13083" width="0" style="2" hidden="1" customWidth="1"/>
    <col min="13084" max="13084" width="13" style="2" customWidth="1"/>
    <col min="13085" max="13085" width="13.140625" style="2" customWidth="1"/>
    <col min="13086" max="13087" width="14" style="2" customWidth="1"/>
    <col min="13088" max="13088" width="11.42578125" style="2" customWidth="1"/>
    <col min="13089" max="13089" width="15.85546875" style="2" customWidth="1"/>
    <col min="13090" max="13090" width="23.7109375" style="2" customWidth="1"/>
    <col min="13091" max="13091" width="12" style="2" customWidth="1"/>
    <col min="13092" max="13093" width="0.28515625" style="2" customWidth="1"/>
    <col min="13094" max="13094" width="1.42578125" style="2" customWidth="1"/>
    <col min="13095" max="13095" width="0" style="2" hidden="1" customWidth="1"/>
    <col min="13096" max="13312" width="11.42578125" style="2"/>
    <col min="13313" max="13313" width="10.28515625" style="2" customWidth="1"/>
    <col min="13314" max="13314" width="13.42578125" style="2" customWidth="1"/>
    <col min="13315" max="13315" width="4.28515625" style="2" customWidth="1"/>
    <col min="13316" max="13316" width="4" style="2" customWidth="1"/>
    <col min="13317" max="13317" width="20.85546875" style="2" customWidth="1"/>
    <col min="13318" max="13318" width="4.140625" style="2" customWidth="1"/>
    <col min="13319" max="13319" width="11.28515625" style="2" customWidth="1"/>
    <col min="13320" max="13320" width="16.140625" style="2" customWidth="1"/>
    <col min="13321" max="13321" width="11" style="2" customWidth="1"/>
    <col min="13322" max="13323" width="2.140625" style="2" customWidth="1"/>
    <col min="13324" max="13324" width="3.28515625" style="2" customWidth="1"/>
    <col min="13325" max="13326" width="0" style="2" hidden="1" customWidth="1"/>
    <col min="13327" max="13327" width="2.85546875" style="2" customWidth="1"/>
    <col min="13328" max="13328" width="3.28515625" style="2" customWidth="1"/>
    <col min="13329" max="13329" width="1.42578125" style="2" customWidth="1"/>
    <col min="13330" max="13330" width="0" style="2" hidden="1" customWidth="1"/>
    <col min="13331" max="13331" width="6.85546875" style="2" customWidth="1"/>
    <col min="13332" max="13332" width="0" style="2" hidden="1" customWidth="1"/>
    <col min="13333" max="13334" width="6.28515625" style="2" customWidth="1"/>
    <col min="13335" max="13335" width="20.42578125" style="2" customWidth="1"/>
    <col min="13336" max="13336" width="13.85546875" style="2" customWidth="1"/>
    <col min="13337" max="13337" width="10.85546875" style="2" customWidth="1"/>
    <col min="13338" max="13338" width="18.7109375" style="2" customWidth="1"/>
    <col min="13339" max="13339" width="0" style="2" hidden="1" customWidth="1"/>
    <col min="13340" max="13340" width="13" style="2" customWidth="1"/>
    <col min="13341" max="13341" width="13.140625" style="2" customWidth="1"/>
    <col min="13342" max="13343" width="14" style="2" customWidth="1"/>
    <col min="13344" max="13344" width="11.42578125" style="2" customWidth="1"/>
    <col min="13345" max="13345" width="15.85546875" style="2" customWidth="1"/>
    <col min="13346" max="13346" width="23.7109375" style="2" customWidth="1"/>
    <col min="13347" max="13347" width="12" style="2" customWidth="1"/>
    <col min="13348" max="13349" width="0.28515625" style="2" customWidth="1"/>
    <col min="13350" max="13350" width="1.42578125" style="2" customWidth="1"/>
    <col min="13351" max="13351" width="0" style="2" hidden="1" customWidth="1"/>
    <col min="13352" max="13568" width="11.42578125" style="2"/>
    <col min="13569" max="13569" width="10.28515625" style="2" customWidth="1"/>
    <col min="13570" max="13570" width="13.42578125" style="2" customWidth="1"/>
    <col min="13571" max="13571" width="4.28515625" style="2" customWidth="1"/>
    <col min="13572" max="13572" width="4" style="2" customWidth="1"/>
    <col min="13573" max="13573" width="20.85546875" style="2" customWidth="1"/>
    <col min="13574" max="13574" width="4.140625" style="2" customWidth="1"/>
    <col min="13575" max="13575" width="11.28515625" style="2" customWidth="1"/>
    <col min="13576" max="13576" width="16.140625" style="2" customWidth="1"/>
    <col min="13577" max="13577" width="11" style="2" customWidth="1"/>
    <col min="13578" max="13579" width="2.140625" style="2" customWidth="1"/>
    <col min="13580" max="13580" width="3.28515625" style="2" customWidth="1"/>
    <col min="13581" max="13582" width="0" style="2" hidden="1" customWidth="1"/>
    <col min="13583" max="13583" width="2.85546875" style="2" customWidth="1"/>
    <col min="13584" max="13584" width="3.28515625" style="2" customWidth="1"/>
    <col min="13585" max="13585" width="1.42578125" style="2" customWidth="1"/>
    <col min="13586" max="13586" width="0" style="2" hidden="1" customWidth="1"/>
    <col min="13587" max="13587" width="6.85546875" style="2" customWidth="1"/>
    <col min="13588" max="13588" width="0" style="2" hidden="1" customWidth="1"/>
    <col min="13589" max="13590" width="6.28515625" style="2" customWidth="1"/>
    <col min="13591" max="13591" width="20.42578125" style="2" customWidth="1"/>
    <col min="13592" max="13592" width="13.85546875" style="2" customWidth="1"/>
    <col min="13593" max="13593" width="10.85546875" style="2" customWidth="1"/>
    <col min="13594" max="13594" width="18.7109375" style="2" customWidth="1"/>
    <col min="13595" max="13595" width="0" style="2" hidden="1" customWidth="1"/>
    <col min="13596" max="13596" width="13" style="2" customWidth="1"/>
    <col min="13597" max="13597" width="13.140625" style="2" customWidth="1"/>
    <col min="13598" max="13599" width="14" style="2" customWidth="1"/>
    <col min="13600" max="13600" width="11.42578125" style="2" customWidth="1"/>
    <col min="13601" max="13601" width="15.85546875" style="2" customWidth="1"/>
    <col min="13602" max="13602" width="23.7109375" style="2" customWidth="1"/>
    <col min="13603" max="13603" width="12" style="2" customWidth="1"/>
    <col min="13604" max="13605" width="0.28515625" style="2" customWidth="1"/>
    <col min="13606" max="13606" width="1.42578125" style="2" customWidth="1"/>
    <col min="13607" max="13607" width="0" style="2" hidden="1" customWidth="1"/>
    <col min="13608" max="13824" width="11.42578125" style="2"/>
    <col min="13825" max="13825" width="10.28515625" style="2" customWidth="1"/>
    <col min="13826" max="13826" width="13.42578125" style="2" customWidth="1"/>
    <col min="13827" max="13827" width="4.28515625" style="2" customWidth="1"/>
    <col min="13828" max="13828" width="4" style="2" customWidth="1"/>
    <col min="13829" max="13829" width="20.85546875" style="2" customWidth="1"/>
    <col min="13830" max="13830" width="4.140625" style="2" customWidth="1"/>
    <col min="13831" max="13831" width="11.28515625" style="2" customWidth="1"/>
    <col min="13832" max="13832" width="16.140625" style="2" customWidth="1"/>
    <col min="13833" max="13833" width="11" style="2" customWidth="1"/>
    <col min="13834" max="13835" width="2.140625" style="2" customWidth="1"/>
    <col min="13836" max="13836" width="3.28515625" style="2" customWidth="1"/>
    <col min="13837" max="13838" width="0" style="2" hidden="1" customWidth="1"/>
    <col min="13839" max="13839" width="2.85546875" style="2" customWidth="1"/>
    <col min="13840" max="13840" width="3.28515625" style="2" customWidth="1"/>
    <col min="13841" max="13841" width="1.42578125" style="2" customWidth="1"/>
    <col min="13842" max="13842" width="0" style="2" hidden="1" customWidth="1"/>
    <col min="13843" max="13843" width="6.85546875" style="2" customWidth="1"/>
    <col min="13844" max="13844" width="0" style="2" hidden="1" customWidth="1"/>
    <col min="13845" max="13846" width="6.28515625" style="2" customWidth="1"/>
    <col min="13847" max="13847" width="20.42578125" style="2" customWidth="1"/>
    <col min="13848" max="13848" width="13.85546875" style="2" customWidth="1"/>
    <col min="13849" max="13849" width="10.85546875" style="2" customWidth="1"/>
    <col min="13850" max="13850" width="18.7109375" style="2" customWidth="1"/>
    <col min="13851" max="13851" width="0" style="2" hidden="1" customWidth="1"/>
    <col min="13852" max="13852" width="13" style="2" customWidth="1"/>
    <col min="13853" max="13853" width="13.140625" style="2" customWidth="1"/>
    <col min="13854" max="13855" width="14" style="2" customWidth="1"/>
    <col min="13856" max="13856" width="11.42578125" style="2" customWidth="1"/>
    <col min="13857" max="13857" width="15.85546875" style="2" customWidth="1"/>
    <col min="13858" max="13858" width="23.7109375" style="2" customWidth="1"/>
    <col min="13859" max="13859" width="12" style="2" customWidth="1"/>
    <col min="13860" max="13861" width="0.28515625" style="2" customWidth="1"/>
    <col min="13862" max="13862" width="1.42578125" style="2" customWidth="1"/>
    <col min="13863" max="13863" width="0" style="2" hidden="1" customWidth="1"/>
    <col min="13864" max="14080" width="11.42578125" style="2"/>
    <col min="14081" max="14081" width="10.28515625" style="2" customWidth="1"/>
    <col min="14082" max="14082" width="13.42578125" style="2" customWidth="1"/>
    <col min="14083" max="14083" width="4.28515625" style="2" customWidth="1"/>
    <col min="14084" max="14084" width="4" style="2" customWidth="1"/>
    <col min="14085" max="14085" width="20.85546875" style="2" customWidth="1"/>
    <col min="14086" max="14086" width="4.140625" style="2" customWidth="1"/>
    <col min="14087" max="14087" width="11.28515625" style="2" customWidth="1"/>
    <col min="14088" max="14088" width="16.140625" style="2" customWidth="1"/>
    <col min="14089" max="14089" width="11" style="2" customWidth="1"/>
    <col min="14090" max="14091" width="2.140625" style="2" customWidth="1"/>
    <col min="14092" max="14092" width="3.28515625" style="2" customWidth="1"/>
    <col min="14093" max="14094" width="0" style="2" hidden="1" customWidth="1"/>
    <col min="14095" max="14095" width="2.85546875" style="2" customWidth="1"/>
    <col min="14096" max="14096" width="3.28515625" style="2" customWidth="1"/>
    <col min="14097" max="14097" width="1.42578125" style="2" customWidth="1"/>
    <col min="14098" max="14098" width="0" style="2" hidden="1" customWidth="1"/>
    <col min="14099" max="14099" width="6.85546875" style="2" customWidth="1"/>
    <col min="14100" max="14100" width="0" style="2" hidden="1" customWidth="1"/>
    <col min="14101" max="14102" width="6.28515625" style="2" customWidth="1"/>
    <col min="14103" max="14103" width="20.42578125" style="2" customWidth="1"/>
    <col min="14104" max="14104" width="13.85546875" style="2" customWidth="1"/>
    <col min="14105" max="14105" width="10.85546875" style="2" customWidth="1"/>
    <col min="14106" max="14106" width="18.7109375" style="2" customWidth="1"/>
    <col min="14107" max="14107" width="0" style="2" hidden="1" customWidth="1"/>
    <col min="14108" max="14108" width="13" style="2" customWidth="1"/>
    <col min="14109" max="14109" width="13.140625" style="2" customWidth="1"/>
    <col min="14110" max="14111" width="14" style="2" customWidth="1"/>
    <col min="14112" max="14112" width="11.42578125" style="2" customWidth="1"/>
    <col min="14113" max="14113" width="15.85546875" style="2" customWidth="1"/>
    <col min="14114" max="14114" width="23.7109375" style="2" customWidth="1"/>
    <col min="14115" max="14115" width="12" style="2" customWidth="1"/>
    <col min="14116" max="14117" width="0.28515625" style="2" customWidth="1"/>
    <col min="14118" max="14118" width="1.42578125" style="2" customWidth="1"/>
    <col min="14119" max="14119" width="0" style="2" hidden="1" customWidth="1"/>
    <col min="14120" max="14336" width="11.42578125" style="2"/>
    <col min="14337" max="14337" width="10.28515625" style="2" customWidth="1"/>
    <col min="14338" max="14338" width="13.42578125" style="2" customWidth="1"/>
    <col min="14339" max="14339" width="4.28515625" style="2" customWidth="1"/>
    <col min="14340" max="14340" width="4" style="2" customWidth="1"/>
    <col min="14341" max="14341" width="20.85546875" style="2" customWidth="1"/>
    <col min="14342" max="14342" width="4.140625" style="2" customWidth="1"/>
    <col min="14343" max="14343" width="11.28515625" style="2" customWidth="1"/>
    <col min="14344" max="14344" width="16.140625" style="2" customWidth="1"/>
    <col min="14345" max="14345" width="11" style="2" customWidth="1"/>
    <col min="14346" max="14347" width="2.140625" style="2" customWidth="1"/>
    <col min="14348" max="14348" width="3.28515625" style="2" customWidth="1"/>
    <col min="14349" max="14350" width="0" style="2" hidden="1" customWidth="1"/>
    <col min="14351" max="14351" width="2.85546875" style="2" customWidth="1"/>
    <col min="14352" max="14352" width="3.28515625" style="2" customWidth="1"/>
    <col min="14353" max="14353" width="1.42578125" style="2" customWidth="1"/>
    <col min="14354" max="14354" width="0" style="2" hidden="1" customWidth="1"/>
    <col min="14355" max="14355" width="6.85546875" style="2" customWidth="1"/>
    <col min="14356" max="14356" width="0" style="2" hidden="1" customWidth="1"/>
    <col min="14357" max="14358" width="6.28515625" style="2" customWidth="1"/>
    <col min="14359" max="14359" width="20.42578125" style="2" customWidth="1"/>
    <col min="14360" max="14360" width="13.85546875" style="2" customWidth="1"/>
    <col min="14361" max="14361" width="10.85546875" style="2" customWidth="1"/>
    <col min="14362" max="14362" width="18.7109375" style="2" customWidth="1"/>
    <col min="14363" max="14363" width="0" style="2" hidden="1" customWidth="1"/>
    <col min="14364" max="14364" width="13" style="2" customWidth="1"/>
    <col min="14365" max="14365" width="13.140625" style="2" customWidth="1"/>
    <col min="14366" max="14367" width="14" style="2" customWidth="1"/>
    <col min="14368" max="14368" width="11.42578125" style="2" customWidth="1"/>
    <col min="14369" max="14369" width="15.85546875" style="2" customWidth="1"/>
    <col min="14370" max="14370" width="23.7109375" style="2" customWidth="1"/>
    <col min="14371" max="14371" width="12" style="2" customWidth="1"/>
    <col min="14372" max="14373" width="0.28515625" style="2" customWidth="1"/>
    <col min="14374" max="14374" width="1.42578125" style="2" customWidth="1"/>
    <col min="14375" max="14375" width="0" style="2" hidden="1" customWidth="1"/>
    <col min="14376" max="14592" width="11.42578125" style="2"/>
    <col min="14593" max="14593" width="10.28515625" style="2" customWidth="1"/>
    <col min="14594" max="14594" width="13.42578125" style="2" customWidth="1"/>
    <col min="14595" max="14595" width="4.28515625" style="2" customWidth="1"/>
    <col min="14596" max="14596" width="4" style="2" customWidth="1"/>
    <col min="14597" max="14597" width="20.85546875" style="2" customWidth="1"/>
    <col min="14598" max="14598" width="4.140625" style="2" customWidth="1"/>
    <col min="14599" max="14599" width="11.28515625" style="2" customWidth="1"/>
    <col min="14600" max="14600" width="16.140625" style="2" customWidth="1"/>
    <col min="14601" max="14601" width="11" style="2" customWidth="1"/>
    <col min="14602" max="14603" width="2.140625" style="2" customWidth="1"/>
    <col min="14604" max="14604" width="3.28515625" style="2" customWidth="1"/>
    <col min="14605" max="14606" width="0" style="2" hidden="1" customWidth="1"/>
    <col min="14607" max="14607" width="2.85546875" style="2" customWidth="1"/>
    <col min="14608" max="14608" width="3.28515625" style="2" customWidth="1"/>
    <col min="14609" max="14609" width="1.42578125" style="2" customWidth="1"/>
    <col min="14610" max="14610" width="0" style="2" hidden="1" customWidth="1"/>
    <col min="14611" max="14611" width="6.85546875" style="2" customWidth="1"/>
    <col min="14612" max="14612" width="0" style="2" hidden="1" customWidth="1"/>
    <col min="14613" max="14614" width="6.28515625" style="2" customWidth="1"/>
    <col min="14615" max="14615" width="20.42578125" style="2" customWidth="1"/>
    <col min="14616" max="14616" width="13.85546875" style="2" customWidth="1"/>
    <col min="14617" max="14617" width="10.85546875" style="2" customWidth="1"/>
    <col min="14618" max="14618" width="18.7109375" style="2" customWidth="1"/>
    <col min="14619" max="14619" width="0" style="2" hidden="1" customWidth="1"/>
    <col min="14620" max="14620" width="13" style="2" customWidth="1"/>
    <col min="14621" max="14621" width="13.140625" style="2" customWidth="1"/>
    <col min="14622" max="14623" width="14" style="2" customWidth="1"/>
    <col min="14624" max="14624" width="11.42578125" style="2" customWidth="1"/>
    <col min="14625" max="14625" width="15.85546875" style="2" customWidth="1"/>
    <col min="14626" max="14626" width="23.7109375" style="2" customWidth="1"/>
    <col min="14627" max="14627" width="12" style="2" customWidth="1"/>
    <col min="14628" max="14629" width="0.28515625" style="2" customWidth="1"/>
    <col min="14630" max="14630" width="1.42578125" style="2" customWidth="1"/>
    <col min="14631" max="14631" width="0" style="2" hidden="1" customWidth="1"/>
    <col min="14632" max="14848" width="11.42578125" style="2"/>
    <col min="14849" max="14849" width="10.28515625" style="2" customWidth="1"/>
    <col min="14850" max="14850" width="13.42578125" style="2" customWidth="1"/>
    <col min="14851" max="14851" width="4.28515625" style="2" customWidth="1"/>
    <col min="14852" max="14852" width="4" style="2" customWidth="1"/>
    <col min="14853" max="14853" width="20.85546875" style="2" customWidth="1"/>
    <col min="14854" max="14854" width="4.140625" style="2" customWidth="1"/>
    <col min="14855" max="14855" width="11.28515625" style="2" customWidth="1"/>
    <col min="14856" max="14856" width="16.140625" style="2" customWidth="1"/>
    <col min="14857" max="14857" width="11" style="2" customWidth="1"/>
    <col min="14858" max="14859" width="2.140625" style="2" customWidth="1"/>
    <col min="14860" max="14860" width="3.28515625" style="2" customWidth="1"/>
    <col min="14861" max="14862" width="0" style="2" hidden="1" customWidth="1"/>
    <col min="14863" max="14863" width="2.85546875" style="2" customWidth="1"/>
    <col min="14864" max="14864" width="3.28515625" style="2" customWidth="1"/>
    <col min="14865" max="14865" width="1.42578125" style="2" customWidth="1"/>
    <col min="14866" max="14866" width="0" style="2" hidden="1" customWidth="1"/>
    <col min="14867" max="14867" width="6.85546875" style="2" customWidth="1"/>
    <col min="14868" max="14868" width="0" style="2" hidden="1" customWidth="1"/>
    <col min="14869" max="14870" width="6.28515625" style="2" customWidth="1"/>
    <col min="14871" max="14871" width="20.42578125" style="2" customWidth="1"/>
    <col min="14872" max="14872" width="13.85546875" style="2" customWidth="1"/>
    <col min="14873" max="14873" width="10.85546875" style="2" customWidth="1"/>
    <col min="14874" max="14874" width="18.7109375" style="2" customWidth="1"/>
    <col min="14875" max="14875" width="0" style="2" hidden="1" customWidth="1"/>
    <col min="14876" max="14876" width="13" style="2" customWidth="1"/>
    <col min="14877" max="14877" width="13.140625" style="2" customWidth="1"/>
    <col min="14878" max="14879" width="14" style="2" customWidth="1"/>
    <col min="14880" max="14880" width="11.42578125" style="2" customWidth="1"/>
    <col min="14881" max="14881" width="15.85546875" style="2" customWidth="1"/>
    <col min="14882" max="14882" width="23.7109375" style="2" customWidth="1"/>
    <col min="14883" max="14883" width="12" style="2" customWidth="1"/>
    <col min="14884" max="14885" width="0.28515625" style="2" customWidth="1"/>
    <col min="14886" max="14886" width="1.42578125" style="2" customWidth="1"/>
    <col min="14887" max="14887" width="0" style="2" hidden="1" customWidth="1"/>
    <col min="14888" max="15104" width="11.42578125" style="2"/>
    <col min="15105" max="15105" width="10.28515625" style="2" customWidth="1"/>
    <col min="15106" max="15106" width="13.42578125" style="2" customWidth="1"/>
    <col min="15107" max="15107" width="4.28515625" style="2" customWidth="1"/>
    <col min="15108" max="15108" width="4" style="2" customWidth="1"/>
    <col min="15109" max="15109" width="20.85546875" style="2" customWidth="1"/>
    <col min="15110" max="15110" width="4.140625" style="2" customWidth="1"/>
    <col min="15111" max="15111" width="11.28515625" style="2" customWidth="1"/>
    <col min="15112" max="15112" width="16.140625" style="2" customWidth="1"/>
    <col min="15113" max="15113" width="11" style="2" customWidth="1"/>
    <col min="15114" max="15115" width="2.140625" style="2" customWidth="1"/>
    <col min="15116" max="15116" width="3.28515625" style="2" customWidth="1"/>
    <col min="15117" max="15118" width="0" style="2" hidden="1" customWidth="1"/>
    <col min="15119" max="15119" width="2.85546875" style="2" customWidth="1"/>
    <col min="15120" max="15120" width="3.28515625" style="2" customWidth="1"/>
    <col min="15121" max="15121" width="1.42578125" style="2" customWidth="1"/>
    <col min="15122" max="15122" width="0" style="2" hidden="1" customWidth="1"/>
    <col min="15123" max="15123" width="6.85546875" style="2" customWidth="1"/>
    <col min="15124" max="15124" width="0" style="2" hidden="1" customWidth="1"/>
    <col min="15125" max="15126" width="6.28515625" style="2" customWidth="1"/>
    <col min="15127" max="15127" width="20.42578125" style="2" customWidth="1"/>
    <col min="15128" max="15128" width="13.85546875" style="2" customWidth="1"/>
    <col min="15129" max="15129" width="10.85546875" style="2" customWidth="1"/>
    <col min="15130" max="15130" width="18.7109375" style="2" customWidth="1"/>
    <col min="15131" max="15131" width="0" style="2" hidden="1" customWidth="1"/>
    <col min="15132" max="15132" width="13" style="2" customWidth="1"/>
    <col min="15133" max="15133" width="13.140625" style="2" customWidth="1"/>
    <col min="15134" max="15135" width="14" style="2" customWidth="1"/>
    <col min="15136" max="15136" width="11.42578125" style="2" customWidth="1"/>
    <col min="15137" max="15137" width="15.85546875" style="2" customWidth="1"/>
    <col min="15138" max="15138" width="23.7109375" style="2" customWidth="1"/>
    <col min="15139" max="15139" width="12" style="2" customWidth="1"/>
    <col min="15140" max="15141" width="0.28515625" style="2" customWidth="1"/>
    <col min="15142" max="15142" width="1.42578125" style="2" customWidth="1"/>
    <col min="15143" max="15143" width="0" style="2" hidden="1" customWidth="1"/>
    <col min="15144" max="15360" width="11.42578125" style="2"/>
    <col min="15361" max="15361" width="10.28515625" style="2" customWidth="1"/>
    <col min="15362" max="15362" width="13.42578125" style="2" customWidth="1"/>
    <col min="15363" max="15363" width="4.28515625" style="2" customWidth="1"/>
    <col min="15364" max="15364" width="4" style="2" customWidth="1"/>
    <col min="15365" max="15365" width="20.85546875" style="2" customWidth="1"/>
    <col min="15366" max="15366" width="4.140625" style="2" customWidth="1"/>
    <col min="15367" max="15367" width="11.28515625" style="2" customWidth="1"/>
    <col min="15368" max="15368" width="16.140625" style="2" customWidth="1"/>
    <col min="15369" max="15369" width="11" style="2" customWidth="1"/>
    <col min="15370" max="15371" width="2.140625" style="2" customWidth="1"/>
    <col min="15372" max="15372" width="3.28515625" style="2" customWidth="1"/>
    <col min="15373" max="15374" width="0" style="2" hidden="1" customWidth="1"/>
    <col min="15375" max="15375" width="2.85546875" style="2" customWidth="1"/>
    <col min="15376" max="15376" width="3.28515625" style="2" customWidth="1"/>
    <col min="15377" max="15377" width="1.42578125" style="2" customWidth="1"/>
    <col min="15378" max="15378" width="0" style="2" hidden="1" customWidth="1"/>
    <col min="15379" max="15379" width="6.85546875" style="2" customWidth="1"/>
    <col min="15380" max="15380" width="0" style="2" hidden="1" customWidth="1"/>
    <col min="15381" max="15382" width="6.28515625" style="2" customWidth="1"/>
    <col min="15383" max="15383" width="20.42578125" style="2" customWidth="1"/>
    <col min="15384" max="15384" width="13.85546875" style="2" customWidth="1"/>
    <col min="15385" max="15385" width="10.85546875" style="2" customWidth="1"/>
    <col min="15386" max="15386" width="18.7109375" style="2" customWidth="1"/>
    <col min="15387" max="15387" width="0" style="2" hidden="1" customWidth="1"/>
    <col min="15388" max="15388" width="13" style="2" customWidth="1"/>
    <col min="15389" max="15389" width="13.140625" style="2" customWidth="1"/>
    <col min="15390" max="15391" width="14" style="2" customWidth="1"/>
    <col min="15392" max="15392" width="11.42578125" style="2" customWidth="1"/>
    <col min="15393" max="15393" width="15.85546875" style="2" customWidth="1"/>
    <col min="15394" max="15394" width="23.7109375" style="2" customWidth="1"/>
    <col min="15395" max="15395" width="12" style="2" customWidth="1"/>
    <col min="15396" max="15397" width="0.28515625" style="2" customWidth="1"/>
    <col min="15398" max="15398" width="1.42578125" style="2" customWidth="1"/>
    <col min="15399" max="15399" width="0" style="2" hidden="1" customWidth="1"/>
    <col min="15400" max="15616" width="11.42578125" style="2"/>
    <col min="15617" max="15617" width="10.28515625" style="2" customWidth="1"/>
    <col min="15618" max="15618" width="13.42578125" style="2" customWidth="1"/>
    <col min="15619" max="15619" width="4.28515625" style="2" customWidth="1"/>
    <col min="15620" max="15620" width="4" style="2" customWidth="1"/>
    <col min="15621" max="15621" width="20.85546875" style="2" customWidth="1"/>
    <col min="15622" max="15622" width="4.140625" style="2" customWidth="1"/>
    <col min="15623" max="15623" width="11.28515625" style="2" customWidth="1"/>
    <col min="15624" max="15624" width="16.140625" style="2" customWidth="1"/>
    <col min="15625" max="15625" width="11" style="2" customWidth="1"/>
    <col min="15626" max="15627" width="2.140625" style="2" customWidth="1"/>
    <col min="15628" max="15628" width="3.28515625" style="2" customWidth="1"/>
    <col min="15629" max="15630" width="0" style="2" hidden="1" customWidth="1"/>
    <col min="15631" max="15631" width="2.85546875" style="2" customWidth="1"/>
    <col min="15632" max="15632" width="3.28515625" style="2" customWidth="1"/>
    <col min="15633" max="15633" width="1.42578125" style="2" customWidth="1"/>
    <col min="15634" max="15634" width="0" style="2" hidden="1" customWidth="1"/>
    <col min="15635" max="15635" width="6.85546875" style="2" customWidth="1"/>
    <col min="15636" max="15636" width="0" style="2" hidden="1" customWidth="1"/>
    <col min="15637" max="15638" width="6.28515625" style="2" customWidth="1"/>
    <col min="15639" max="15639" width="20.42578125" style="2" customWidth="1"/>
    <col min="15640" max="15640" width="13.85546875" style="2" customWidth="1"/>
    <col min="15641" max="15641" width="10.85546875" style="2" customWidth="1"/>
    <col min="15642" max="15642" width="18.7109375" style="2" customWidth="1"/>
    <col min="15643" max="15643" width="0" style="2" hidden="1" customWidth="1"/>
    <col min="15644" max="15644" width="13" style="2" customWidth="1"/>
    <col min="15645" max="15645" width="13.140625" style="2" customWidth="1"/>
    <col min="15646" max="15647" width="14" style="2" customWidth="1"/>
    <col min="15648" max="15648" width="11.42578125" style="2" customWidth="1"/>
    <col min="15649" max="15649" width="15.85546875" style="2" customWidth="1"/>
    <col min="15650" max="15650" width="23.7109375" style="2" customWidth="1"/>
    <col min="15651" max="15651" width="12" style="2" customWidth="1"/>
    <col min="15652" max="15653" width="0.28515625" style="2" customWidth="1"/>
    <col min="15654" max="15654" width="1.42578125" style="2" customWidth="1"/>
    <col min="15655" max="15655" width="0" style="2" hidden="1" customWidth="1"/>
    <col min="15656" max="15872" width="11.42578125" style="2"/>
    <col min="15873" max="15873" width="10.28515625" style="2" customWidth="1"/>
    <col min="15874" max="15874" width="13.42578125" style="2" customWidth="1"/>
    <col min="15875" max="15875" width="4.28515625" style="2" customWidth="1"/>
    <col min="15876" max="15876" width="4" style="2" customWidth="1"/>
    <col min="15877" max="15877" width="20.85546875" style="2" customWidth="1"/>
    <col min="15878" max="15878" width="4.140625" style="2" customWidth="1"/>
    <col min="15879" max="15879" width="11.28515625" style="2" customWidth="1"/>
    <col min="15880" max="15880" width="16.140625" style="2" customWidth="1"/>
    <col min="15881" max="15881" width="11" style="2" customWidth="1"/>
    <col min="15882" max="15883" width="2.140625" style="2" customWidth="1"/>
    <col min="15884" max="15884" width="3.28515625" style="2" customWidth="1"/>
    <col min="15885" max="15886" width="0" style="2" hidden="1" customWidth="1"/>
    <col min="15887" max="15887" width="2.85546875" style="2" customWidth="1"/>
    <col min="15888" max="15888" width="3.28515625" style="2" customWidth="1"/>
    <col min="15889" max="15889" width="1.42578125" style="2" customWidth="1"/>
    <col min="15890" max="15890" width="0" style="2" hidden="1" customWidth="1"/>
    <col min="15891" max="15891" width="6.85546875" style="2" customWidth="1"/>
    <col min="15892" max="15892" width="0" style="2" hidden="1" customWidth="1"/>
    <col min="15893" max="15894" width="6.28515625" style="2" customWidth="1"/>
    <col min="15895" max="15895" width="20.42578125" style="2" customWidth="1"/>
    <col min="15896" max="15896" width="13.85546875" style="2" customWidth="1"/>
    <col min="15897" max="15897" width="10.85546875" style="2" customWidth="1"/>
    <col min="15898" max="15898" width="18.7109375" style="2" customWidth="1"/>
    <col min="15899" max="15899" width="0" style="2" hidden="1" customWidth="1"/>
    <col min="15900" max="15900" width="13" style="2" customWidth="1"/>
    <col min="15901" max="15901" width="13.140625" style="2" customWidth="1"/>
    <col min="15902" max="15903" width="14" style="2" customWidth="1"/>
    <col min="15904" max="15904" width="11.42578125" style="2" customWidth="1"/>
    <col min="15905" max="15905" width="15.85546875" style="2" customWidth="1"/>
    <col min="15906" max="15906" width="23.7109375" style="2" customWidth="1"/>
    <col min="15907" max="15907" width="12" style="2" customWidth="1"/>
    <col min="15908" max="15909" width="0.28515625" style="2" customWidth="1"/>
    <col min="15910" max="15910" width="1.42578125" style="2" customWidth="1"/>
    <col min="15911" max="15911" width="0" style="2" hidden="1" customWidth="1"/>
    <col min="15912" max="16128" width="11.42578125" style="2"/>
    <col min="16129" max="16129" width="10.28515625" style="2" customWidth="1"/>
    <col min="16130" max="16130" width="13.42578125" style="2" customWidth="1"/>
    <col min="16131" max="16131" width="4.28515625" style="2" customWidth="1"/>
    <col min="16132" max="16132" width="4" style="2" customWidth="1"/>
    <col min="16133" max="16133" width="20.85546875" style="2" customWidth="1"/>
    <col min="16134" max="16134" width="4.140625" style="2" customWidth="1"/>
    <col min="16135" max="16135" width="11.28515625" style="2" customWidth="1"/>
    <col min="16136" max="16136" width="16.140625" style="2" customWidth="1"/>
    <col min="16137" max="16137" width="11" style="2" customWidth="1"/>
    <col min="16138" max="16139" width="2.140625" style="2" customWidth="1"/>
    <col min="16140" max="16140" width="3.28515625" style="2" customWidth="1"/>
    <col min="16141" max="16142" width="0" style="2" hidden="1" customWidth="1"/>
    <col min="16143" max="16143" width="2.85546875" style="2" customWidth="1"/>
    <col min="16144" max="16144" width="3.28515625" style="2" customWidth="1"/>
    <col min="16145" max="16145" width="1.42578125" style="2" customWidth="1"/>
    <col min="16146" max="16146" width="0" style="2" hidden="1" customWidth="1"/>
    <col min="16147" max="16147" width="6.85546875" style="2" customWidth="1"/>
    <col min="16148" max="16148" width="0" style="2" hidden="1" customWidth="1"/>
    <col min="16149" max="16150" width="6.28515625" style="2" customWidth="1"/>
    <col min="16151" max="16151" width="20.42578125" style="2" customWidth="1"/>
    <col min="16152" max="16152" width="13.85546875" style="2" customWidth="1"/>
    <col min="16153" max="16153" width="10.85546875" style="2" customWidth="1"/>
    <col min="16154" max="16154" width="18.7109375" style="2" customWidth="1"/>
    <col min="16155" max="16155" width="0" style="2" hidden="1" customWidth="1"/>
    <col min="16156" max="16156" width="13" style="2" customWidth="1"/>
    <col min="16157" max="16157" width="13.140625" style="2" customWidth="1"/>
    <col min="16158" max="16159" width="14" style="2" customWidth="1"/>
    <col min="16160" max="16160" width="11.42578125" style="2" customWidth="1"/>
    <col min="16161" max="16161" width="15.85546875" style="2" customWidth="1"/>
    <col min="16162" max="16162" width="23.7109375" style="2" customWidth="1"/>
    <col min="16163" max="16163" width="12" style="2" customWidth="1"/>
    <col min="16164" max="16165" width="0.28515625" style="2" customWidth="1"/>
    <col min="16166" max="16166" width="1.42578125" style="2" customWidth="1"/>
    <col min="16167" max="16167" width="0" style="2" hidden="1" customWidth="1"/>
    <col min="16168" max="16384" width="11.42578125" style="2"/>
  </cols>
  <sheetData>
    <row r="1" spans="1:37" ht="45" customHeight="1">
      <c r="A1" s="600"/>
      <c r="B1" s="600"/>
      <c r="C1" s="684" t="s">
        <v>0</v>
      </c>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6"/>
      <c r="AH1" s="689" t="s">
        <v>45</v>
      </c>
      <c r="AJ1" s="3" t="s">
        <v>17</v>
      </c>
      <c r="AK1" s="6" t="s">
        <v>23</v>
      </c>
    </row>
    <row r="2" spans="1:37" ht="45" customHeight="1">
      <c r="A2" s="600"/>
      <c r="B2" s="600"/>
      <c r="C2" s="690" t="s">
        <v>37</v>
      </c>
      <c r="D2" s="691"/>
      <c r="E2" s="691"/>
      <c r="F2" s="691"/>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2"/>
      <c r="AH2" s="689"/>
      <c r="AJ2" s="2" t="s">
        <v>18</v>
      </c>
      <c r="AK2" s="7" t="s">
        <v>24</v>
      </c>
    </row>
    <row r="3" spans="1:37"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G3" s="604"/>
      <c r="AH3" s="604"/>
      <c r="AJ3" s="3" t="s">
        <v>16</v>
      </c>
      <c r="AK3" s="6" t="s">
        <v>25</v>
      </c>
    </row>
    <row r="4" spans="1:37" ht="30.75" customHeight="1">
      <c r="A4" s="597" t="s">
        <v>5</v>
      </c>
      <c r="B4" s="597"/>
      <c r="C4" s="597"/>
      <c r="D4" s="597"/>
      <c r="E4" s="598" t="s">
        <v>373</v>
      </c>
      <c r="F4" s="598"/>
      <c r="G4" s="598"/>
      <c r="H4" s="598"/>
      <c r="I4" s="598"/>
      <c r="J4" s="598"/>
      <c r="K4" s="598"/>
      <c r="L4" s="598"/>
      <c r="M4" s="598"/>
      <c r="N4" s="598"/>
      <c r="O4" s="598"/>
      <c r="P4" s="598"/>
      <c r="Q4" s="598"/>
      <c r="R4" s="598"/>
      <c r="S4" s="598"/>
      <c r="T4" s="598"/>
      <c r="U4" s="598"/>
      <c r="V4" s="598"/>
      <c r="W4" s="599" t="s">
        <v>20</v>
      </c>
      <c r="X4" s="599"/>
      <c r="Y4" s="599"/>
      <c r="Z4" s="598" t="s">
        <v>316</v>
      </c>
      <c r="AA4" s="598"/>
      <c r="AB4" s="598"/>
      <c r="AC4" s="598"/>
      <c r="AD4" s="598"/>
      <c r="AE4" s="598"/>
      <c r="AF4" s="682" t="s">
        <v>48</v>
      </c>
      <c r="AG4" s="683"/>
      <c r="AH4" s="45" t="s">
        <v>71</v>
      </c>
      <c r="AJ4" s="6" t="s">
        <v>19</v>
      </c>
    </row>
    <row r="5" spans="1:37" ht="4.5" customHeight="1" thickBo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row>
    <row r="6" spans="1:37" ht="57" customHeight="1">
      <c r="A6" s="605" t="s">
        <v>39</v>
      </c>
      <c r="B6" s="606"/>
      <c r="C6" s="599" t="s">
        <v>1</v>
      </c>
      <c r="D6" s="599" t="s">
        <v>49</v>
      </c>
      <c r="E6" s="599"/>
      <c r="F6" s="608" t="s">
        <v>6</v>
      </c>
      <c r="G6" s="599" t="s">
        <v>9</v>
      </c>
      <c r="H6" s="607" t="s">
        <v>50</v>
      </c>
      <c r="I6" s="599" t="s">
        <v>2</v>
      </c>
      <c r="J6" s="599" t="s">
        <v>21</v>
      </c>
      <c r="K6" s="599"/>
      <c r="L6" s="599"/>
      <c r="M6" s="599"/>
      <c r="N6" s="599"/>
      <c r="O6" s="599"/>
      <c r="P6" s="599"/>
      <c r="Q6" s="599"/>
      <c r="R6" s="599"/>
      <c r="S6" s="599"/>
      <c r="T6" s="599"/>
      <c r="U6" s="599"/>
      <c r="V6" s="599"/>
      <c r="W6" s="599" t="s">
        <v>51</v>
      </c>
      <c r="X6" s="607" t="s">
        <v>52</v>
      </c>
      <c r="Y6" s="599" t="s">
        <v>3</v>
      </c>
      <c r="Z6" s="599"/>
      <c r="AA6" s="599"/>
      <c r="AB6" s="610" t="s">
        <v>53</v>
      </c>
      <c r="AC6" s="610" t="s">
        <v>4</v>
      </c>
      <c r="AD6" s="610"/>
      <c r="AE6" s="611" t="s">
        <v>54</v>
      </c>
      <c r="AF6" s="599" t="s">
        <v>55</v>
      </c>
      <c r="AG6" s="599" t="s">
        <v>56</v>
      </c>
      <c r="AH6" s="599" t="s">
        <v>57</v>
      </c>
    </row>
    <row r="7" spans="1:37" ht="37.5" customHeight="1" thickBot="1">
      <c r="A7" s="58" t="s">
        <v>40</v>
      </c>
      <c r="B7" s="59" t="s">
        <v>41</v>
      </c>
      <c r="C7" s="599"/>
      <c r="D7" s="599"/>
      <c r="E7" s="599"/>
      <c r="F7" s="608"/>
      <c r="G7" s="599"/>
      <c r="H7" s="693"/>
      <c r="I7" s="599"/>
      <c r="J7" s="599" t="s">
        <v>11</v>
      </c>
      <c r="K7" s="599"/>
      <c r="L7" s="599"/>
      <c r="M7" s="599"/>
      <c r="N7" s="599"/>
      <c r="O7" s="599"/>
      <c r="P7" s="644" t="s">
        <v>12</v>
      </c>
      <c r="Q7" s="644"/>
      <c r="R7" s="644"/>
      <c r="S7" s="644"/>
      <c r="T7" s="644"/>
      <c r="U7" s="644" t="s">
        <v>13</v>
      </c>
      <c r="V7" s="644"/>
      <c r="W7" s="599"/>
      <c r="X7" s="693"/>
      <c r="Y7" s="599"/>
      <c r="Z7" s="599"/>
      <c r="AA7" s="599"/>
      <c r="AB7" s="610"/>
      <c r="AC7" s="56" t="s">
        <v>14</v>
      </c>
      <c r="AD7" s="54" t="s">
        <v>15</v>
      </c>
      <c r="AE7" s="687"/>
      <c r="AF7" s="599"/>
      <c r="AG7" s="599"/>
      <c r="AH7" s="599"/>
    </row>
    <row r="8" spans="1:37" ht="83.25" customHeight="1">
      <c r="A8" s="698"/>
      <c r="B8" s="632"/>
      <c r="C8" s="696">
        <v>1</v>
      </c>
      <c r="D8" s="655" t="s">
        <v>374</v>
      </c>
      <c r="E8" s="655"/>
      <c r="F8" s="677">
        <v>43817</v>
      </c>
      <c r="G8" s="665" t="s">
        <v>10</v>
      </c>
      <c r="H8" s="779" t="s">
        <v>59</v>
      </c>
      <c r="I8" s="598" t="s">
        <v>25</v>
      </c>
      <c r="J8" s="848"/>
      <c r="K8" s="848"/>
      <c r="L8" s="848"/>
      <c r="M8" s="848"/>
      <c r="N8" s="848"/>
      <c r="O8" s="848"/>
      <c r="P8" s="848"/>
      <c r="Q8" s="848"/>
      <c r="R8" s="848"/>
      <c r="S8" s="848"/>
      <c r="T8" s="106"/>
      <c r="U8" s="848"/>
      <c r="V8" s="848"/>
      <c r="W8" s="655" t="s">
        <v>375</v>
      </c>
      <c r="X8" s="700" t="s">
        <v>376</v>
      </c>
      <c r="Y8" s="849" t="s">
        <v>377</v>
      </c>
      <c r="Z8" s="850"/>
      <c r="AA8" s="851"/>
      <c r="AB8" s="688" t="s">
        <v>378</v>
      </c>
      <c r="AC8" s="1196">
        <v>43847</v>
      </c>
      <c r="AD8" s="1196">
        <v>44165</v>
      </c>
      <c r="AE8" s="1184" t="s">
        <v>16</v>
      </c>
      <c r="AF8" s="773" t="s">
        <v>16</v>
      </c>
      <c r="AG8" s="772">
        <v>0.4</v>
      </c>
      <c r="AH8" s="786" t="s">
        <v>379</v>
      </c>
    </row>
    <row r="9" spans="1:37" ht="83.25" customHeight="1">
      <c r="A9" s="699"/>
      <c r="B9" s="633"/>
      <c r="C9" s="674"/>
      <c r="D9" s="655"/>
      <c r="E9" s="655"/>
      <c r="F9" s="677"/>
      <c r="G9" s="665"/>
      <c r="H9" s="732"/>
      <c r="I9" s="598"/>
      <c r="J9" s="848"/>
      <c r="K9" s="848"/>
      <c r="L9" s="848"/>
      <c r="M9" s="848"/>
      <c r="N9" s="848"/>
      <c r="O9" s="848"/>
      <c r="P9" s="848"/>
      <c r="Q9" s="848"/>
      <c r="R9" s="848"/>
      <c r="S9" s="848"/>
      <c r="T9" s="106"/>
      <c r="U9" s="848"/>
      <c r="V9" s="848"/>
      <c r="W9" s="655"/>
      <c r="X9" s="657"/>
      <c r="Y9" s="1192"/>
      <c r="Z9" s="1193"/>
      <c r="AA9" s="1194"/>
      <c r="AB9" s="1195"/>
      <c r="AC9" s="1195"/>
      <c r="AD9" s="1195"/>
      <c r="AE9" s="1185"/>
      <c r="AF9" s="633"/>
      <c r="AG9" s="1187"/>
      <c r="AH9" s="713"/>
    </row>
    <row r="10" spans="1:37" ht="124.5" customHeight="1">
      <c r="A10" s="845"/>
      <c r="B10" s="621"/>
      <c r="C10" s="921"/>
      <c r="D10" s="655"/>
      <c r="E10" s="655"/>
      <c r="F10" s="677"/>
      <c r="G10" s="665"/>
      <c r="H10" s="613"/>
      <c r="I10" s="598"/>
      <c r="J10" s="848"/>
      <c r="K10" s="848"/>
      <c r="L10" s="848"/>
      <c r="M10" s="848"/>
      <c r="N10" s="848"/>
      <c r="O10" s="848"/>
      <c r="P10" s="848"/>
      <c r="Q10" s="848"/>
      <c r="R10" s="848"/>
      <c r="S10" s="848"/>
      <c r="T10" s="106"/>
      <c r="U10" s="848"/>
      <c r="V10" s="848"/>
      <c r="W10" s="655"/>
      <c r="X10" s="627"/>
      <c r="Y10" s="1166"/>
      <c r="Z10" s="1167"/>
      <c r="AA10" s="1168"/>
      <c r="AB10" s="1175"/>
      <c r="AC10" s="1175"/>
      <c r="AD10" s="1175"/>
      <c r="AE10" s="1186"/>
      <c r="AF10" s="621"/>
      <c r="AG10" s="1188"/>
      <c r="AH10" s="636"/>
    </row>
    <row r="11" spans="1:37" ht="68.25" customHeight="1">
      <c r="A11" s="70"/>
      <c r="B11" s="52"/>
      <c r="C11" s="71">
        <v>2</v>
      </c>
      <c r="D11" s="1181" t="s">
        <v>380</v>
      </c>
      <c r="E11" s="1182"/>
      <c r="F11" s="51">
        <v>43817</v>
      </c>
      <c r="G11" s="61" t="s">
        <v>10</v>
      </c>
      <c r="H11" s="175" t="s">
        <v>59</v>
      </c>
      <c r="I11" s="53" t="s">
        <v>25</v>
      </c>
      <c r="J11" s="1189"/>
      <c r="K11" s="1190"/>
      <c r="L11" s="1190"/>
      <c r="M11" s="1190"/>
      <c r="N11" s="1190"/>
      <c r="O11" s="1191"/>
      <c r="P11" s="1189"/>
      <c r="Q11" s="1190"/>
      <c r="R11" s="1190"/>
      <c r="S11" s="1191"/>
      <c r="T11" s="106"/>
      <c r="U11" s="1189"/>
      <c r="V11" s="1191"/>
      <c r="W11" s="60" t="s">
        <v>381</v>
      </c>
      <c r="X11" s="73" t="s">
        <v>382</v>
      </c>
      <c r="Y11" s="703" t="s">
        <v>383</v>
      </c>
      <c r="Z11" s="847"/>
      <c r="AA11" s="234"/>
      <c r="AB11" s="224" t="s">
        <v>384</v>
      </c>
      <c r="AC11" s="235">
        <v>43847</v>
      </c>
      <c r="AD11" s="235">
        <v>44165</v>
      </c>
      <c r="AE11" s="236" t="s">
        <v>16</v>
      </c>
      <c r="AF11" s="53" t="s">
        <v>16</v>
      </c>
      <c r="AG11" s="5">
        <v>0.2</v>
      </c>
      <c r="AH11" s="237" t="s">
        <v>385</v>
      </c>
    </row>
    <row r="12" spans="1:37" ht="141" customHeight="1">
      <c r="A12" s="70"/>
      <c r="B12" s="52"/>
      <c r="C12" s="71">
        <v>3</v>
      </c>
      <c r="D12" s="1181" t="s">
        <v>386</v>
      </c>
      <c r="E12" s="1182"/>
      <c r="F12" s="51">
        <v>43817</v>
      </c>
      <c r="G12" s="61" t="s">
        <v>10</v>
      </c>
      <c r="H12" s="72" t="s">
        <v>59</v>
      </c>
      <c r="I12" s="62" t="s">
        <v>25</v>
      </c>
      <c r="J12" s="238"/>
      <c r="K12" s="239"/>
      <c r="L12" s="239"/>
      <c r="M12" s="239"/>
      <c r="N12" s="239"/>
      <c r="O12" s="240"/>
      <c r="P12" s="238"/>
      <c r="Q12" s="239"/>
      <c r="R12" s="239"/>
      <c r="S12" s="240"/>
      <c r="T12" s="63"/>
      <c r="U12" s="238"/>
      <c r="V12" s="240"/>
      <c r="W12" s="60" t="s">
        <v>387</v>
      </c>
      <c r="X12" s="73" t="s">
        <v>388</v>
      </c>
      <c r="Y12" s="703" t="s">
        <v>389</v>
      </c>
      <c r="Z12" s="847"/>
      <c r="AA12" s="234"/>
      <c r="AB12" s="224" t="s">
        <v>390</v>
      </c>
      <c r="AC12" s="235">
        <v>43847</v>
      </c>
      <c r="AD12" s="235">
        <v>44165</v>
      </c>
      <c r="AE12" s="236" t="s">
        <v>16</v>
      </c>
      <c r="AF12" s="53" t="s">
        <v>16</v>
      </c>
      <c r="AG12" s="5">
        <v>0.1</v>
      </c>
      <c r="AH12" s="67" t="s">
        <v>391</v>
      </c>
    </row>
    <row r="13" spans="1:37" ht="77.25" customHeight="1">
      <c r="A13" s="773"/>
      <c r="B13" s="773"/>
      <c r="C13" s="696">
        <v>4</v>
      </c>
      <c r="D13" s="922" t="s">
        <v>392</v>
      </c>
      <c r="E13" s="923"/>
      <c r="F13" s="701">
        <v>43907</v>
      </c>
      <c r="G13" s="695" t="s">
        <v>28</v>
      </c>
      <c r="H13" s="695" t="s">
        <v>65</v>
      </c>
      <c r="I13" s="696" t="s">
        <v>23</v>
      </c>
      <c r="J13" s="915"/>
      <c r="K13" s="928"/>
      <c r="L13" s="928"/>
      <c r="M13" s="928"/>
      <c r="N13" s="928"/>
      <c r="O13" s="916"/>
      <c r="P13" s="915"/>
      <c r="Q13" s="928"/>
      <c r="R13" s="928"/>
      <c r="S13" s="916"/>
      <c r="T13" s="63"/>
      <c r="U13" s="915"/>
      <c r="V13" s="916"/>
      <c r="W13" s="1180">
        <v>0.8</v>
      </c>
      <c r="X13" s="700" t="s">
        <v>393</v>
      </c>
      <c r="Y13" s="1183" t="s">
        <v>394</v>
      </c>
      <c r="Z13" s="1183"/>
      <c r="AA13" s="1183"/>
      <c r="AB13" s="143" t="s">
        <v>395</v>
      </c>
      <c r="AC13" s="61">
        <v>43910</v>
      </c>
      <c r="AD13" s="61">
        <v>43938</v>
      </c>
      <c r="AE13" s="236" t="s">
        <v>68</v>
      </c>
      <c r="AF13" s="53" t="s">
        <v>17</v>
      </c>
      <c r="AG13" s="5">
        <v>1</v>
      </c>
      <c r="AH13" s="67" t="s">
        <v>396</v>
      </c>
    </row>
    <row r="14" spans="1:37" ht="85.5" customHeight="1">
      <c r="A14" s="633"/>
      <c r="B14" s="633"/>
      <c r="C14" s="674"/>
      <c r="D14" s="834"/>
      <c r="E14" s="835"/>
      <c r="F14" s="791"/>
      <c r="G14" s="668"/>
      <c r="H14" s="668"/>
      <c r="I14" s="674"/>
      <c r="J14" s="917"/>
      <c r="K14" s="929"/>
      <c r="L14" s="929"/>
      <c r="M14" s="929"/>
      <c r="N14" s="929"/>
      <c r="O14" s="918"/>
      <c r="P14" s="917"/>
      <c r="Q14" s="929"/>
      <c r="R14" s="929"/>
      <c r="S14" s="918"/>
      <c r="T14" s="63"/>
      <c r="U14" s="917"/>
      <c r="V14" s="918"/>
      <c r="W14" s="657"/>
      <c r="X14" s="657"/>
      <c r="Y14" s="766" t="s">
        <v>397</v>
      </c>
      <c r="Z14" s="764"/>
      <c r="AA14" s="765"/>
      <c r="AB14" s="143" t="s">
        <v>398</v>
      </c>
      <c r="AC14" s="61">
        <v>43941</v>
      </c>
      <c r="AD14" s="61">
        <v>44075</v>
      </c>
      <c r="AE14" s="236" t="s">
        <v>16</v>
      </c>
      <c r="AF14" s="53" t="s">
        <v>16</v>
      </c>
      <c r="AG14" s="5">
        <v>0.1</v>
      </c>
      <c r="AH14" s="67" t="s">
        <v>399</v>
      </c>
    </row>
    <row r="15" spans="1:37" ht="68.25" customHeight="1">
      <c r="A15" s="633"/>
      <c r="B15" s="633"/>
      <c r="C15" s="674"/>
      <c r="D15" s="834"/>
      <c r="E15" s="835"/>
      <c r="F15" s="791"/>
      <c r="G15" s="668"/>
      <c r="H15" s="668"/>
      <c r="I15" s="674"/>
      <c r="J15" s="917"/>
      <c r="K15" s="929"/>
      <c r="L15" s="929"/>
      <c r="M15" s="929"/>
      <c r="N15" s="929"/>
      <c r="O15" s="918"/>
      <c r="P15" s="917"/>
      <c r="Q15" s="929"/>
      <c r="R15" s="929"/>
      <c r="S15" s="918"/>
      <c r="T15" s="63"/>
      <c r="U15" s="917"/>
      <c r="V15" s="918"/>
      <c r="W15" s="657"/>
      <c r="X15" s="657"/>
      <c r="Y15" s="766" t="s">
        <v>400</v>
      </c>
      <c r="Z15" s="764"/>
      <c r="AA15" s="765"/>
      <c r="AB15" s="143" t="s">
        <v>401</v>
      </c>
      <c r="AC15" s="61">
        <v>43934</v>
      </c>
      <c r="AD15" s="61">
        <v>43938</v>
      </c>
      <c r="AE15" s="236" t="s">
        <v>68</v>
      </c>
      <c r="AF15" s="53" t="s">
        <v>17</v>
      </c>
      <c r="AG15" s="5">
        <v>1</v>
      </c>
      <c r="AH15" s="67" t="s">
        <v>402</v>
      </c>
    </row>
    <row r="16" spans="1:37" ht="78" customHeight="1">
      <c r="A16" s="633"/>
      <c r="B16" s="633"/>
      <c r="C16" s="674"/>
      <c r="D16" s="834"/>
      <c r="E16" s="835"/>
      <c r="F16" s="791"/>
      <c r="G16" s="668"/>
      <c r="H16" s="668"/>
      <c r="I16" s="674"/>
      <c r="J16" s="917"/>
      <c r="K16" s="929"/>
      <c r="L16" s="929"/>
      <c r="M16" s="929"/>
      <c r="N16" s="929"/>
      <c r="O16" s="918"/>
      <c r="P16" s="917"/>
      <c r="Q16" s="929"/>
      <c r="R16" s="929"/>
      <c r="S16" s="918"/>
      <c r="T16" s="63"/>
      <c r="U16" s="917"/>
      <c r="V16" s="918"/>
      <c r="W16" s="657"/>
      <c r="X16" s="657"/>
      <c r="Y16" s="766" t="s">
        <v>403</v>
      </c>
      <c r="Z16" s="764"/>
      <c r="AA16" s="765"/>
      <c r="AB16" s="182" t="s">
        <v>404</v>
      </c>
      <c r="AC16" s="61">
        <v>43973</v>
      </c>
      <c r="AD16" s="72">
        <v>44012</v>
      </c>
      <c r="AE16" s="236" t="s">
        <v>16</v>
      </c>
      <c r="AF16" s="53" t="s">
        <v>16</v>
      </c>
      <c r="AG16" s="5">
        <v>0.3</v>
      </c>
      <c r="AH16" s="67" t="s">
        <v>405</v>
      </c>
    </row>
    <row r="17" spans="1:36" ht="110.25" customHeight="1" thickBot="1">
      <c r="A17" s="621"/>
      <c r="B17" s="621"/>
      <c r="C17" s="921"/>
      <c r="D17" s="924"/>
      <c r="E17" s="925"/>
      <c r="F17" s="926"/>
      <c r="G17" s="927"/>
      <c r="H17" s="927"/>
      <c r="I17" s="921"/>
      <c r="J17" s="919"/>
      <c r="K17" s="930"/>
      <c r="L17" s="930"/>
      <c r="M17" s="930"/>
      <c r="N17" s="930"/>
      <c r="O17" s="920"/>
      <c r="P17" s="919"/>
      <c r="Q17" s="930"/>
      <c r="R17" s="930"/>
      <c r="S17" s="920"/>
      <c r="T17" s="63"/>
      <c r="U17" s="919"/>
      <c r="V17" s="920"/>
      <c r="W17" s="627"/>
      <c r="X17" s="627"/>
      <c r="Y17" s="766" t="s">
        <v>406</v>
      </c>
      <c r="Z17" s="764"/>
      <c r="AA17" s="765"/>
      <c r="AB17" s="143" t="s">
        <v>407</v>
      </c>
      <c r="AC17" s="61">
        <v>44013</v>
      </c>
      <c r="AD17" s="61">
        <v>44027</v>
      </c>
      <c r="AE17" s="236"/>
      <c r="AF17" s="53"/>
      <c r="AG17" s="5"/>
      <c r="AH17" s="67" t="s">
        <v>408</v>
      </c>
    </row>
    <row r="18" spans="1:36" customFormat="1" ht="144.94999999999999" customHeight="1" thickBot="1">
      <c r="A18" s="1340"/>
      <c r="B18" s="1340"/>
      <c r="C18" s="383">
        <v>5</v>
      </c>
      <c r="D18" s="1417" t="s">
        <v>1220</v>
      </c>
      <c r="E18" s="1418"/>
      <c r="F18" s="1419">
        <v>44069</v>
      </c>
      <c r="G18" s="1420" t="s">
        <v>38</v>
      </c>
      <c r="H18" s="1420" t="s">
        <v>59</v>
      </c>
      <c r="I18" s="383" t="s">
        <v>25</v>
      </c>
      <c r="J18" s="1421" t="s">
        <v>162</v>
      </c>
      <c r="K18" s="1422"/>
      <c r="L18" s="1422"/>
      <c r="M18" s="1422"/>
      <c r="N18" s="1422"/>
      <c r="O18" s="1423"/>
      <c r="P18" s="1421" t="s">
        <v>162</v>
      </c>
      <c r="Q18" s="1422"/>
      <c r="R18" s="1422"/>
      <c r="S18" s="1423"/>
      <c r="T18" s="380"/>
      <c r="U18" s="1421" t="s">
        <v>162</v>
      </c>
      <c r="V18" s="1423"/>
      <c r="W18" s="1424" t="s">
        <v>1221</v>
      </c>
      <c r="X18" s="1424" t="s">
        <v>1222</v>
      </c>
      <c r="Y18" s="1425" t="s">
        <v>1223</v>
      </c>
      <c r="Z18" s="1425"/>
      <c r="AA18" s="1425"/>
      <c r="AB18" s="1426" t="s">
        <v>1224</v>
      </c>
      <c r="AC18" s="1427">
        <v>44044</v>
      </c>
      <c r="AD18" s="1427">
        <v>44104</v>
      </c>
      <c r="AE18" s="564"/>
      <c r="AF18" s="383"/>
      <c r="AG18" s="382"/>
      <c r="AH18" s="1428"/>
    </row>
    <row r="19" spans="1:36" customFormat="1" ht="144.94999999999999" customHeight="1">
      <c r="A19" s="565"/>
      <c r="B19" s="565"/>
      <c r="C19" s="565">
        <v>6</v>
      </c>
      <c r="D19" s="1331" t="s">
        <v>1225</v>
      </c>
      <c r="E19" s="1332"/>
      <c r="F19" s="566">
        <v>44069</v>
      </c>
      <c r="G19" s="567" t="s">
        <v>38</v>
      </c>
      <c r="H19" s="567" t="s">
        <v>59</v>
      </c>
      <c r="I19" s="565" t="s">
        <v>25</v>
      </c>
      <c r="J19" s="1333" t="s">
        <v>162</v>
      </c>
      <c r="K19" s="1334"/>
      <c r="L19" s="1334"/>
      <c r="M19" s="1334"/>
      <c r="N19" s="1334"/>
      <c r="O19" s="1335"/>
      <c r="P19" s="1333" t="s">
        <v>162</v>
      </c>
      <c r="Q19" s="1334"/>
      <c r="R19" s="1334"/>
      <c r="S19" s="1335"/>
      <c r="T19" s="1311"/>
      <c r="U19" s="1333" t="s">
        <v>162</v>
      </c>
      <c r="V19" s="1335"/>
      <c r="W19" s="568" t="s">
        <v>1226</v>
      </c>
      <c r="X19" s="568" t="s">
        <v>1227</v>
      </c>
      <c r="Y19" s="1429" t="s">
        <v>1228</v>
      </c>
      <c r="Z19" s="1052"/>
      <c r="AA19" s="1053"/>
      <c r="AB19" s="384" t="s">
        <v>1229</v>
      </c>
      <c r="AC19" s="1430">
        <v>44044</v>
      </c>
      <c r="AD19" s="1430">
        <v>44165</v>
      </c>
      <c r="AE19" s="491"/>
      <c r="AF19" s="572"/>
      <c r="AG19" s="377"/>
      <c r="AH19" s="1431"/>
    </row>
    <row r="20" spans="1:36" ht="6" customHeight="1">
      <c r="A20" s="604"/>
      <c r="B20" s="604"/>
      <c r="C20" s="604"/>
      <c r="D20" s="604"/>
      <c r="E20" s="604"/>
      <c r="F20" s="604"/>
      <c r="G20" s="604"/>
      <c r="H20" s="604"/>
      <c r="I20" s="604"/>
      <c r="J20" s="604"/>
      <c r="K20" s="604"/>
      <c r="L20" s="604"/>
      <c r="M20" s="604"/>
      <c r="N20" s="604"/>
      <c r="O20" s="604"/>
      <c r="P20" s="604"/>
      <c r="Q20" s="604"/>
      <c r="R20" s="604"/>
      <c r="S20" s="604"/>
      <c r="T20" s="604"/>
      <c r="U20" s="604"/>
      <c r="V20" s="604"/>
      <c r="W20" s="604"/>
      <c r="X20" s="604"/>
      <c r="Y20" s="604"/>
      <c r="Z20" s="604"/>
      <c r="AA20" s="604"/>
      <c r="AB20" s="604"/>
      <c r="AC20" s="604"/>
      <c r="AD20" s="604"/>
      <c r="AE20" s="604"/>
      <c r="AF20" s="604"/>
      <c r="AG20" s="604"/>
      <c r="AH20" s="604"/>
    </row>
    <row r="21" spans="1:36" ht="12.75" customHeight="1">
      <c r="A21" s="644" t="s">
        <v>22</v>
      </c>
      <c r="B21" s="644"/>
      <c r="C21" s="644"/>
      <c r="D21" s="644"/>
      <c r="E21" s="644"/>
      <c r="F21" s="644"/>
      <c r="G21" s="644"/>
      <c r="H21" s="644"/>
      <c r="I21" s="644"/>
      <c r="J21" s="644"/>
      <c r="K21" s="644"/>
      <c r="L21" s="644"/>
      <c r="M21" s="4"/>
      <c r="N21" s="4"/>
      <c r="O21" s="645" t="s">
        <v>34</v>
      </c>
      <c r="P21" s="645"/>
      <c r="Q21" s="645"/>
      <c r="R21" s="645"/>
      <c r="S21" s="645"/>
      <c r="T21" s="645"/>
      <c r="U21" s="645"/>
      <c r="V21" s="645"/>
      <c r="W21" s="645"/>
      <c r="X21" s="645"/>
      <c r="Y21" s="645"/>
      <c r="Z21" s="645"/>
      <c r="AA21" s="645"/>
      <c r="AB21" s="645"/>
      <c r="AC21" s="645"/>
      <c r="AD21" s="646" t="s">
        <v>35</v>
      </c>
      <c r="AE21" s="646"/>
      <c r="AF21" s="646"/>
      <c r="AG21" s="646"/>
      <c r="AH21" s="646"/>
    </row>
    <row r="22" spans="1:36">
      <c r="A22" s="644"/>
      <c r="B22" s="644"/>
      <c r="C22" s="644"/>
      <c r="D22" s="644"/>
      <c r="E22" s="644"/>
      <c r="F22" s="644"/>
      <c r="G22" s="644"/>
      <c r="H22" s="644"/>
      <c r="I22" s="644"/>
      <c r="J22" s="644"/>
      <c r="K22" s="644"/>
      <c r="L22" s="644"/>
      <c r="M22" s="4"/>
      <c r="N22" s="4"/>
      <c r="O22" s="645"/>
      <c r="P22" s="645"/>
      <c r="Q22" s="645"/>
      <c r="R22" s="645"/>
      <c r="S22" s="645"/>
      <c r="T22" s="645"/>
      <c r="U22" s="645"/>
      <c r="V22" s="645"/>
      <c r="W22" s="645"/>
      <c r="X22" s="645"/>
      <c r="Y22" s="645"/>
      <c r="Z22" s="645"/>
      <c r="AA22" s="645"/>
      <c r="AB22" s="645"/>
      <c r="AC22" s="645"/>
      <c r="AD22" s="646"/>
      <c r="AE22" s="646"/>
      <c r="AF22" s="646"/>
      <c r="AG22" s="646"/>
      <c r="AH22" s="646"/>
    </row>
    <row r="23" spans="1:36" ht="38.25" customHeight="1">
      <c r="A23" s="648" t="s">
        <v>157</v>
      </c>
      <c r="B23" s="648"/>
      <c r="C23" s="648"/>
      <c r="D23" s="648"/>
      <c r="E23" s="648"/>
      <c r="F23" s="648"/>
      <c r="G23" s="648"/>
      <c r="H23" s="648"/>
      <c r="I23" s="648"/>
      <c r="J23" s="648"/>
      <c r="K23" s="648"/>
      <c r="L23" s="648"/>
      <c r="M23" s="4"/>
      <c r="N23" s="4"/>
      <c r="O23" s="650" t="s">
        <v>409</v>
      </c>
      <c r="P23" s="650"/>
      <c r="Q23" s="650"/>
      <c r="R23" s="650"/>
      <c r="S23" s="650"/>
      <c r="T23" s="650"/>
      <c r="U23" s="650"/>
      <c r="V23" s="650"/>
      <c r="W23" s="650"/>
      <c r="X23" s="650"/>
      <c r="Y23" s="650"/>
      <c r="Z23" s="650"/>
      <c r="AA23" s="650"/>
      <c r="AB23" s="650"/>
      <c r="AC23" s="650"/>
      <c r="AD23" s="651" t="s">
        <v>410</v>
      </c>
      <c r="AE23" s="651"/>
      <c r="AF23" s="651"/>
      <c r="AG23" s="651"/>
      <c r="AH23" s="651"/>
    </row>
    <row r="24" spans="1:36" ht="15" customHeight="1">
      <c r="A24" s="641" t="s">
        <v>36</v>
      </c>
      <c r="B24" s="641"/>
      <c r="C24" s="641"/>
      <c r="D24" s="641"/>
      <c r="E24" s="641"/>
      <c r="F24" s="641"/>
      <c r="G24" s="641"/>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c r="AG24" s="641"/>
      <c r="AH24" s="641"/>
    </row>
    <row r="25" spans="1:36" ht="0.95" customHeight="1">
      <c r="A25" s="642"/>
      <c r="B25" s="642"/>
      <c r="C25" s="642"/>
      <c r="D25" s="642"/>
      <c r="E25" s="642"/>
      <c r="F25" s="642"/>
      <c r="G25" s="642"/>
      <c r="H25" s="642"/>
      <c r="I25" s="642"/>
      <c r="J25" s="642"/>
      <c r="K25" s="642"/>
      <c r="L25" s="642"/>
      <c r="M25" s="642"/>
      <c r="N25" s="642"/>
      <c r="O25" s="642"/>
      <c r="P25" s="642"/>
      <c r="Q25" s="642"/>
      <c r="R25" s="642"/>
      <c r="S25" s="642"/>
      <c r="T25" s="642"/>
      <c r="U25" s="642"/>
      <c r="V25" s="642"/>
      <c r="W25" s="642"/>
      <c r="X25" s="642"/>
      <c r="Y25" s="642"/>
      <c r="Z25" s="642"/>
      <c r="AA25" s="642"/>
      <c r="AB25" s="642"/>
      <c r="AC25" s="642"/>
      <c r="AD25" s="642"/>
      <c r="AE25" s="642"/>
      <c r="AF25" s="642"/>
      <c r="AG25" s="642"/>
      <c r="AH25" s="642"/>
      <c r="AI25" s="642"/>
    </row>
    <row r="26" spans="1:36">
      <c r="A26" s="642"/>
      <c r="B26" s="642"/>
      <c r="C26" s="642"/>
      <c r="D26" s="642"/>
      <c r="E26" s="642"/>
      <c r="F26" s="642"/>
      <c r="G26" s="642"/>
      <c r="H26" s="642"/>
      <c r="I26" s="642"/>
      <c r="J26" s="642"/>
      <c r="K26" s="642"/>
      <c r="L26" s="642"/>
      <c r="M26" s="642"/>
      <c r="N26" s="642"/>
      <c r="O26" s="642"/>
      <c r="P26" s="642"/>
      <c r="Q26" s="642"/>
      <c r="R26" s="642"/>
      <c r="S26" s="642"/>
      <c r="T26" s="642"/>
      <c r="U26" s="642"/>
      <c r="V26" s="642"/>
      <c r="W26" s="642"/>
      <c r="X26" s="642"/>
      <c r="Y26" s="642"/>
      <c r="Z26" s="642"/>
      <c r="AA26" s="642"/>
      <c r="AB26" s="642"/>
      <c r="AC26" s="642"/>
      <c r="AD26" s="642"/>
      <c r="AE26" s="642"/>
      <c r="AF26" s="642"/>
      <c r="AG26" s="642"/>
      <c r="AH26" s="642"/>
      <c r="AI26" s="8"/>
      <c r="AJ26" s="8"/>
    </row>
    <row r="27" spans="1:36" ht="24" customHeight="1">
      <c r="A27" s="74"/>
      <c r="B27" s="75"/>
      <c r="C27" s="74"/>
      <c r="D27" s="74"/>
      <c r="E27" s="74"/>
      <c r="F27" s="74"/>
      <c r="G27" s="74"/>
      <c r="H27" s="76" t="s">
        <v>66</v>
      </c>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8"/>
      <c r="AJ27" s="8"/>
    </row>
    <row r="28" spans="1:36" ht="54.95" customHeight="1">
      <c r="A28" s="74"/>
      <c r="B28" s="75"/>
      <c r="C28" s="74"/>
      <c r="D28" s="74"/>
      <c r="E28" s="74"/>
      <c r="F28" s="74"/>
      <c r="G28" s="74"/>
      <c r="H28" s="76" t="s">
        <v>67</v>
      </c>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8"/>
      <c r="AJ28" s="8"/>
    </row>
    <row r="29" spans="1:36" ht="0.95" customHeight="1">
      <c r="A29" s="74"/>
      <c r="B29" s="75" t="s">
        <v>68</v>
      </c>
      <c r="C29" s="74"/>
      <c r="D29" s="74"/>
      <c r="E29" s="74"/>
      <c r="F29" s="74"/>
      <c r="G29" s="74"/>
      <c r="H29" s="76" t="s">
        <v>69</v>
      </c>
      <c r="I29" s="74"/>
      <c r="J29" s="74"/>
      <c r="K29" s="74"/>
      <c r="L29" s="74"/>
      <c r="M29" s="74"/>
      <c r="N29" s="74"/>
      <c r="O29" s="74"/>
      <c r="P29" s="74"/>
      <c r="Q29" s="74"/>
      <c r="R29" s="74"/>
      <c r="S29" s="74"/>
      <c r="T29" s="74"/>
      <c r="U29" s="74"/>
      <c r="V29" s="74"/>
      <c r="W29" s="74"/>
      <c r="X29" s="76" t="s">
        <v>23</v>
      </c>
      <c r="Y29" s="74"/>
      <c r="Z29" s="74"/>
      <c r="AA29" s="74"/>
      <c r="AB29" s="74"/>
      <c r="AC29" s="74"/>
      <c r="AD29" s="74"/>
      <c r="AE29" s="74"/>
      <c r="AF29" s="74"/>
      <c r="AG29" s="74"/>
      <c r="AH29" s="74"/>
      <c r="AI29" s="8"/>
      <c r="AJ29" s="8"/>
    </row>
    <row r="30" spans="1:36" ht="0.95" customHeight="1">
      <c r="A30" s="74"/>
      <c r="B30" s="75" t="s">
        <v>70</v>
      </c>
      <c r="C30" s="74"/>
      <c r="D30" s="74"/>
      <c r="E30" s="74"/>
      <c r="F30" s="74"/>
      <c r="G30" s="74"/>
      <c r="H30" s="77" t="s">
        <v>59</v>
      </c>
      <c r="I30" s="74"/>
      <c r="J30" s="74"/>
      <c r="K30" s="74"/>
      <c r="L30" s="74"/>
      <c r="M30" s="74"/>
      <c r="N30" s="74"/>
      <c r="O30" s="74"/>
      <c r="P30" s="74"/>
      <c r="Q30" s="74"/>
      <c r="R30" s="74"/>
      <c r="S30" s="74"/>
      <c r="T30" s="74"/>
      <c r="U30" s="74"/>
      <c r="V30" s="74"/>
      <c r="W30" s="74"/>
      <c r="X30" s="76" t="s">
        <v>25</v>
      </c>
      <c r="Y30" s="74"/>
      <c r="Z30" s="74"/>
      <c r="AA30" s="74"/>
      <c r="AB30" s="74"/>
      <c r="AC30" s="74"/>
      <c r="AD30" s="74"/>
      <c r="AE30" s="74"/>
      <c r="AF30" s="74"/>
      <c r="AG30" s="74"/>
      <c r="AH30" s="74"/>
      <c r="AI30" s="8"/>
      <c r="AJ30" s="8"/>
    </row>
    <row r="31" spans="1:36" ht="0.95" customHeight="1">
      <c r="A31" s="78"/>
      <c r="B31" s="79" t="s">
        <v>16</v>
      </c>
      <c r="C31" s="78"/>
      <c r="D31" s="78"/>
      <c r="E31" s="78"/>
      <c r="F31" s="78"/>
      <c r="G31" s="78"/>
      <c r="H31" s="80" t="s">
        <v>65</v>
      </c>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row>
    <row r="33" spans="37:37" ht="24.75" customHeight="1">
      <c r="AK33" s="6" t="s">
        <v>38</v>
      </c>
    </row>
    <row r="34" spans="37:37" ht="24.75" customHeight="1">
      <c r="AK34" s="6" t="s">
        <v>10</v>
      </c>
    </row>
    <row r="35" spans="37:37" ht="24.75" customHeight="1">
      <c r="AK35" s="6" t="s">
        <v>42</v>
      </c>
    </row>
    <row r="36" spans="37:37" ht="24.75" customHeight="1">
      <c r="AK36" s="6" t="s">
        <v>43</v>
      </c>
    </row>
    <row r="37" spans="37:37" ht="24.75" customHeight="1">
      <c r="AK37" s="6" t="s">
        <v>44</v>
      </c>
    </row>
    <row r="38" spans="37:37" ht="24.75" customHeight="1">
      <c r="AK38" s="6" t="s">
        <v>26</v>
      </c>
    </row>
    <row r="39" spans="37:37" ht="24.75" customHeight="1">
      <c r="AK39" s="6" t="s">
        <v>27</v>
      </c>
    </row>
    <row r="40" spans="37:37" ht="24.75" customHeight="1">
      <c r="AK40" s="6" t="s">
        <v>28</v>
      </c>
    </row>
    <row r="41" spans="37:37" ht="24.75" customHeight="1">
      <c r="AK41" s="6" t="s">
        <v>30</v>
      </c>
    </row>
    <row r="42" spans="37:37" ht="24.75" customHeight="1">
      <c r="AK42" s="6" t="s">
        <v>29</v>
      </c>
    </row>
    <row r="43" spans="37:37" ht="24.75" customHeight="1">
      <c r="AK43" s="6" t="s">
        <v>31</v>
      </c>
    </row>
    <row r="44" spans="37:37" ht="24.75" customHeight="1">
      <c r="AK44" s="6" t="s">
        <v>32</v>
      </c>
    </row>
    <row r="45" spans="37:37" ht="51">
      <c r="AK45" s="6" t="s">
        <v>33</v>
      </c>
    </row>
  </sheetData>
  <mergeCells count="97">
    <mergeCell ref="A4:D4"/>
    <mergeCell ref="E4:V4"/>
    <mergeCell ref="W4:Y4"/>
    <mergeCell ref="Z4:AE4"/>
    <mergeCell ref="AF4:AG4"/>
    <mergeCell ref="A1:B2"/>
    <mergeCell ref="C1:AG1"/>
    <mergeCell ref="AH1:AH2"/>
    <mergeCell ref="C2:AG2"/>
    <mergeCell ref="A3:AH3"/>
    <mergeCell ref="A5:AH5"/>
    <mergeCell ref="A6:B6"/>
    <mergeCell ref="C6:C7"/>
    <mergeCell ref="D6:E7"/>
    <mergeCell ref="F6:F7"/>
    <mergeCell ref="G6:G7"/>
    <mergeCell ref="H6:H7"/>
    <mergeCell ref="I6:I7"/>
    <mergeCell ref="J6:V6"/>
    <mergeCell ref="W6:W7"/>
    <mergeCell ref="AG6:AG7"/>
    <mergeCell ref="AH6:AH7"/>
    <mergeCell ref="J7:O7"/>
    <mergeCell ref="P7:T7"/>
    <mergeCell ref="U7:V7"/>
    <mergeCell ref="X6:X7"/>
    <mergeCell ref="A8:A10"/>
    <mergeCell ref="B8:B10"/>
    <mergeCell ref="C8:C10"/>
    <mergeCell ref="D8:E10"/>
    <mergeCell ref="F8:F10"/>
    <mergeCell ref="Y6:AA7"/>
    <mergeCell ref="AB6:AB7"/>
    <mergeCell ref="AC6:AD6"/>
    <mergeCell ref="AE6:AE7"/>
    <mergeCell ref="AF6:AF7"/>
    <mergeCell ref="H8:H10"/>
    <mergeCell ref="I8:I10"/>
    <mergeCell ref="J8:O10"/>
    <mergeCell ref="P8:S10"/>
    <mergeCell ref="U8:V10"/>
    <mergeCell ref="AE8:AE10"/>
    <mergeCell ref="AF8:AF10"/>
    <mergeCell ref="AG8:AG10"/>
    <mergeCell ref="AH8:AH10"/>
    <mergeCell ref="D11:E11"/>
    <mergeCell ref="J11:O11"/>
    <mergeCell ref="P11:S11"/>
    <mergeCell ref="U11:V11"/>
    <mergeCell ref="Y11:Z11"/>
    <mergeCell ref="W8:W10"/>
    <mergeCell ref="X8:X10"/>
    <mergeCell ref="Y8:AA10"/>
    <mergeCell ref="AB8:AB10"/>
    <mergeCell ref="AC8:AC10"/>
    <mergeCell ref="AD8:AD10"/>
    <mergeCell ref="G8:G10"/>
    <mergeCell ref="D12:E12"/>
    <mergeCell ref="Y12:Z12"/>
    <mergeCell ref="A13:A17"/>
    <mergeCell ref="B13:B17"/>
    <mergeCell ref="C13:C17"/>
    <mergeCell ref="D13:E17"/>
    <mergeCell ref="F13:F17"/>
    <mergeCell ref="G13:G17"/>
    <mergeCell ref="H13:H17"/>
    <mergeCell ref="I13:I17"/>
    <mergeCell ref="Y13:AA13"/>
    <mergeCell ref="Y14:AA14"/>
    <mergeCell ref="Y15:AA15"/>
    <mergeCell ref="Y16:AA16"/>
    <mergeCell ref="Y17:AA17"/>
    <mergeCell ref="J13:O17"/>
    <mergeCell ref="P13:S17"/>
    <mergeCell ref="U13:V17"/>
    <mergeCell ref="W13:W17"/>
    <mergeCell ref="X13:X17"/>
    <mergeCell ref="A24:AH24"/>
    <mergeCell ref="D18:E18"/>
    <mergeCell ref="J18:O18"/>
    <mergeCell ref="P18:S18"/>
    <mergeCell ref="U18:V18"/>
    <mergeCell ref="Y18:AA18"/>
    <mergeCell ref="D19:E19"/>
    <mergeCell ref="J19:O19"/>
    <mergeCell ref="P19:S19"/>
    <mergeCell ref="U19:V19"/>
    <mergeCell ref="Y19:AA19"/>
    <mergeCell ref="A25:AI25"/>
    <mergeCell ref="A26:AH26"/>
    <mergeCell ref="A20:AH20"/>
    <mergeCell ref="A21:L22"/>
    <mergeCell ref="O21:AC22"/>
    <mergeCell ref="AD21:AH22"/>
    <mergeCell ref="A23:L23"/>
    <mergeCell ref="O23:AC23"/>
    <mergeCell ref="AD23:AH23"/>
  </mergeCells>
  <conditionalFormatting sqref="AG8 AG11:AG17">
    <cfRule type="cellIs" dxfId="61" priority="7" operator="between">
      <formula>0.001</formula>
      <formula>0.99</formula>
    </cfRule>
    <cfRule type="cellIs" dxfId="60" priority="8" operator="equal">
      <formula>1</formula>
    </cfRule>
    <cfRule type="cellIs" dxfId="59" priority="9" operator="equal">
      <formula>0</formula>
    </cfRule>
  </conditionalFormatting>
  <conditionalFormatting sqref="AG8 AG11:AG17">
    <cfRule type="cellIs" dxfId="58" priority="10" operator="between">
      <formula>0.01</formula>
      <formula>0.99</formula>
    </cfRule>
    <cfRule type="cellIs" dxfId="57" priority="11" operator="equal">
      <formula>1</formula>
    </cfRule>
    <cfRule type="cellIs" dxfId="56" priority="12" operator="equal">
      <formula>0</formula>
    </cfRule>
  </conditionalFormatting>
  <conditionalFormatting sqref="AG18:AG19">
    <cfRule type="cellIs" dxfId="55" priority="1" operator="between">
      <formula>0.001</formula>
      <formula>0.99</formula>
    </cfRule>
    <cfRule type="cellIs" dxfId="54" priority="2" operator="equal">
      <formula>1</formula>
    </cfRule>
    <cfRule type="cellIs" dxfId="53" priority="3" operator="equal">
      <formula>0</formula>
    </cfRule>
  </conditionalFormatting>
  <conditionalFormatting sqref="AG18:AG19">
    <cfRule type="cellIs" dxfId="52" priority="4" operator="between">
      <formula>0.01</formula>
      <formula>0.99</formula>
    </cfRule>
    <cfRule type="cellIs" dxfId="51" priority="5" operator="equal">
      <formula>1</formula>
    </cfRule>
    <cfRule type="cellIs" dxfId="50" priority="6" operator="equal">
      <formula>0</formula>
    </cfRule>
  </conditionalFormatting>
  <dataValidations count="10">
    <dataValidation type="list" allowBlank="1" showInputMessage="1" showErrorMessage="1" sqref="G8:G13 WVO983050:WVO983055 WLS983050:WLS983055 WBW983050:WBW983055 VSA983050:VSA983055 VIE983050:VIE983055 UYI983050:UYI983055 UOM983050:UOM983055 UEQ983050:UEQ983055 TUU983050:TUU983055 TKY983050:TKY983055 TBC983050:TBC983055 SRG983050:SRG983055 SHK983050:SHK983055 RXO983050:RXO983055 RNS983050:RNS983055 RDW983050:RDW983055 QUA983050:QUA983055 QKE983050:QKE983055 QAI983050:QAI983055 PQM983050:PQM983055 PGQ983050:PGQ983055 OWU983050:OWU983055 OMY983050:OMY983055 ODC983050:ODC983055 NTG983050:NTG983055 NJK983050:NJK983055 MZO983050:MZO983055 MPS983050:MPS983055 MFW983050:MFW983055 LWA983050:LWA983055 LME983050:LME983055 LCI983050:LCI983055 KSM983050:KSM983055 KIQ983050:KIQ983055 JYU983050:JYU983055 JOY983050:JOY983055 JFC983050:JFC983055 IVG983050:IVG983055 ILK983050:ILK983055 IBO983050:IBO983055 HRS983050:HRS983055 HHW983050:HHW983055 GYA983050:GYA983055 GOE983050:GOE983055 GEI983050:GEI983055 FUM983050:FUM983055 FKQ983050:FKQ983055 FAU983050:FAU983055 EQY983050:EQY983055 EHC983050:EHC983055 DXG983050:DXG983055 DNK983050:DNK983055 DDO983050:DDO983055 CTS983050:CTS983055 CJW983050:CJW983055 CAA983050:CAA983055 BQE983050:BQE983055 BGI983050:BGI983055 AWM983050:AWM983055 AMQ983050:AMQ983055 ACU983050:ACU983055 SY983050:SY983055 JC983050:JC983055 G983050:G983055 WVO917514:WVO917519 WLS917514:WLS917519 WBW917514:WBW917519 VSA917514:VSA917519 VIE917514:VIE917519 UYI917514:UYI917519 UOM917514:UOM917519 UEQ917514:UEQ917519 TUU917514:TUU917519 TKY917514:TKY917519 TBC917514:TBC917519 SRG917514:SRG917519 SHK917514:SHK917519 RXO917514:RXO917519 RNS917514:RNS917519 RDW917514:RDW917519 QUA917514:QUA917519 QKE917514:QKE917519 QAI917514:QAI917519 PQM917514:PQM917519 PGQ917514:PGQ917519 OWU917514:OWU917519 OMY917514:OMY917519 ODC917514:ODC917519 NTG917514:NTG917519 NJK917514:NJK917519 MZO917514:MZO917519 MPS917514:MPS917519 MFW917514:MFW917519 LWA917514:LWA917519 LME917514:LME917519 LCI917514:LCI917519 KSM917514:KSM917519 KIQ917514:KIQ917519 JYU917514:JYU917519 JOY917514:JOY917519 JFC917514:JFC917519 IVG917514:IVG917519 ILK917514:ILK917519 IBO917514:IBO917519 HRS917514:HRS917519 HHW917514:HHW917519 GYA917514:GYA917519 GOE917514:GOE917519 GEI917514:GEI917519 FUM917514:FUM917519 FKQ917514:FKQ917519 FAU917514:FAU917519 EQY917514:EQY917519 EHC917514:EHC917519 DXG917514:DXG917519 DNK917514:DNK917519 DDO917514:DDO917519 CTS917514:CTS917519 CJW917514:CJW917519 CAA917514:CAA917519 BQE917514:BQE917519 BGI917514:BGI917519 AWM917514:AWM917519 AMQ917514:AMQ917519 ACU917514:ACU917519 SY917514:SY917519 JC917514:JC917519 G917514:G917519 WVO851978:WVO851983 WLS851978:WLS851983 WBW851978:WBW851983 VSA851978:VSA851983 VIE851978:VIE851983 UYI851978:UYI851983 UOM851978:UOM851983 UEQ851978:UEQ851983 TUU851978:TUU851983 TKY851978:TKY851983 TBC851978:TBC851983 SRG851978:SRG851983 SHK851978:SHK851983 RXO851978:RXO851983 RNS851978:RNS851983 RDW851978:RDW851983 QUA851978:QUA851983 QKE851978:QKE851983 QAI851978:QAI851983 PQM851978:PQM851983 PGQ851978:PGQ851983 OWU851978:OWU851983 OMY851978:OMY851983 ODC851978:ODC851983 NTG851978:NTG851983 NJK851978:NJK851983 MZO851978:MZO851983 MPS851978:MPS851983 MFW851978:MFW851983 LWA851978:LWA851983 LME851978:LME851983 LCI851978:LCI851983 KSM851978:KSM851983 KIQ851978:KIQ851983 JYU851978:JYU851983 JOY851978:JOY851983 JFC851978:JFC851983 IVG851978:IVG851983 ILK851978:ILK851983 IBO851978:IBO851983 HRS851978:HRS851983 HHW851978:HHW851983 GYA851978:GYA851983 GOE851978:GOE851983 GEI851978:GEI851983 FUM851978:FUM851983 FKQ851978:FKQ851983 FAU851978:FAU851983 EQY851978:EQY851983 EHC851978:EHC851983 DXG851978:DXG851983 DNK851978:DNK851983 DDO851978:DDO851983 CTS851978:CTS851983 CJW851978:CJW851983 CAA851978:CAA851983 BQE851978:BQE851983 BGI851978:BGI851983 AWM851978:AWM851983 AMQ851978:AMQ851983 ACU851978:ACU851983 SY851978:SY851983 JC851978:JC851983 G851978:G851983 WVO786442:WVO786447 WLS786442:WLS786447 WBW786442:WBW786447 VSA786442:VSA786447 VIE786442:VIE786447 UYI786442:UYI786447 UOM786442:UOM786447 UEQ786442:UEQ786447 TUU786442:TUU786447 TKY786442:TKY786447 TBC786442:TBC786447 SRG786442:SRG786447 SHK786442:SHK786447 RXO786442:RXO786447 RNS786442:RNS786447 RDW786442:RDW786447 QUA786442:QUA786447 QKE786442:QKE786447 QAI786442:QAI786447 PQM786442:PQM786447 PGQ786442:PGQ786447 OWU786442:OWU786447 OMY786442:OMY786447 ODC786442:ODC786447 NTG786442:NTG786447 NJK786442:NJK786447 MZO786442:MZO786447 MPS786442:MPS786447 MFW786442:MFW786447 LWA786442:LWA786447 LME786442:LME786447 LCI786442:LCI786447 KSM786442:KSM786447 KIQ786442:KIQ786447 JYU786442:JYU786447 JOY786442:JOY786447 JFC786442:JFC786447 IVG786442:IVG786447 ILK786442:ILK786447 IBO786442:IBO786447 HRS786442:HRS786447 HHW786442:HHW786447 GYA786442:GYA786447 GOE786442:GOE786447 GEI786442:GEI786447 FUM786442:FUM786447 FKQ786442:FKQ786447 FAU786442:FAU786447 EQY786442:EQY786447 EHC786442:EHC786447 DXG786442:DXG786447 DNK786442:DNK786447 DDO786442:DDO786447 CTS786442:CTS786447 CJW786442:CJW786447 CAA786442:CAA786447 BQE786442:BQE786447 BGI786442:BGI786447 AWM786442:AWM786447 AMQ786442:AMQ786447 ACU786442:ACU786447 SY786442:SY786447 JC786442:JC786447 G786442:G786447 WVO720906:WVO720911 WLS720906:WLS720911 WBW720906:WBW720911 VSA720906:VSA720911 VIE720906:VIE720911 UYI720906:UYI720911 UOM720906:UOM720911 UEQ720906:UEQ720911 TUU720906:TUU720911 TKY720906:TKY720911 TBC720906:TBC720911 SRG720906:SRG720911 SHK720906:SHK720911 RXO720906:RXO720911 RNS720906:RNS720911 RDW720906:RDW720911 QUA720906:QUA720911 QKE720906:QKE720911 QAI720906:QAI720911 PQM720906:PQM720911 PGQ720906:PGQ720911 OWU720906:OWU720911 OMY720906:OMY720911 ODC720906:ODC720911 NTG720906:NTG720911 NJK720906:NJK720911 MZO720906:MZO720911 MPS720906:MPS720911 MFW720906:MFW720911 LWA720906:LWA720911 LME720906:LME720911 LCI720906:LCI720911 KSM720906:KSM720911 KIQ720906:KIQ720911 JYU720906:JYU720911 JOY720906:JOY720911 JFC720906:JFC720911 IVG720906:IVG720911 ILK720906:ILK720911 IBO720906:IBO720911 HRS720906:HRS720911 HHW720906:HHW720911 GYA720906:GYA720911 GOE720906:GOE720911 GEI720906:GEI720911 FUM720906:FUM720911 FKQ720906:FKQ720911 FAU720906:FAU720911 EQY720906:EQY720911 EHC720906:EHC720911 DXG720906:DXG720911 DNK720906:DNK720911 DDO720906:DDO720911 CTS720906:CTS720911 CJW720906:CJW720911 CAA720906:CAA720911 BQE720906:BQE720911 BGI720906:BGI720911 AWM720906:AWM720911 AMQ720906:AMQ720911 ACU720906:ACU720911 SY720906:SY720911 JC720906:JC720911 G720906:G720911 WVO655370:WVO655375 WLS655370:WLS655375 WBW655370:WBW655375 VSA655370:VSA655375 VIE655370:VIE655375 UYI655370:UYI655375 UOM655370:UOM655375 UEQ655370:UEQ655375 TUU655370:TUU655375 TKY655370:TKY655375 TBC655370:TBC655375 SRG655370:SRG655375 SHK655370:SHK655375 RXO655370:RXO655375 RNS655370:RNS655375 RDW655370:RDW655375 QUA655370:QUA655375 QKE655370:QKE655375 QAI655370:QAI655375 PQM655370:PQM655375 PGQ655370:PGQ655375 OWU655370:OWU655375 OMY655370:OMY655375 ODC655370:ODC655375 NTG655370:NTG655375 NJK655370:NJK655375 MZO655370:MZO655375 MPS655370:MPS655375 MFW655370:MFW655375 LWA655370:LWA655375 LME655370:LME655375 LCI655370:LCI655375 KSM655370:KSM655375 KIQ655370:KIQ655375 JYU655370:JYU655375 JOY655370:JOY655375 JFC655370:JFC655375 IVG655370:IVG655375 ILK655370:ILK655375 IBO655370:IBO655375 HRS655370:HRS655375 HHW655370:HHW655375 GYA655370:GYA655375 GOE655370:GOE655375 GEI655370:GEI655375 FUM655370:FUM655375 FKQ655370:FKQ655375 FAU655370:FAU655375 EQY655370:EQY655375 EHC655370:EHC655375 DXG655370:DXG655375 DNK655370:DNK655375 DDO655370:DDO655375 CTS655370:CTS655375 CJW655370:CJW655375 CAA655370:CAA655375 BQE655370:BQE655375 BGI655370:BGI655375 AWM655370:AWM655375 AMQ655370:AMQ655375 ACU655370:ACU655375 SY655370:SY655375 JC655370:JC655375 G655370:G655375 WVO589834:WVO589839 WLS589834:WLS589839 WBW589834:WBW589839 VSA589834:VSA589839 VIE589834:VIE589839 UYI589834:UYI589839 UOM589834:UOM589839 UEQ589834:UEQ589839 TUU589834:TUU589839 TKY589834:TKY589839 TBC589834:TBC589839 SRG589834:SRG589839 SHK589834:SHK589839 RXO589834:RXO589839 RNS589834:RNS589839 RDW589834:RDW589839 QUA589834:QUA589839 QKE589834:QKE589839 QAI589834:QAI589839 PQM589834:PQM589839 PGQ589834:PGQ589839 OWU589834:OWU589839 OMY589834:OMY589839 ODC589834:ODC589839 NTG589834:NTG589839 NJK589834:NJK589839 MZO589834:MZO589839 MPS589834:MPS589839 MFW589834:MFW589839 LWA589834:LWA589839 LME589834:LME589839 LCI589834:LCI589839 KSM589834:KSM589839 KIQ589834:KIQ589839 JYU589834:JYU589839 JOY589834:JOY589839 JFC589834:JFC589839 IVG589834:IVG589839 ILK589834:ILK589839 IBO589834:IBO589839 HRS589834:HRS589839 HHW589834:HHW589839 GYA589834:GYA589839 GOE589834:GOE589839 GEI589834:GEI589839 FUM589834:FUM589839 FKQ589834:FKQ589839 FAU589834:FAU589839 EQY589834:EQY589839 EHC589834:EHC589839 DXG589834:DXG589839 DNK589834:DNK589839 DDO589834:DDO589839 CTS589834:CTS589839 CJW589834:CJW589839 CAA589834:CAA589839 BQE589834:BQE589839 BGI589834:BGI589839 AWM589834:AWM589839 AMQ589834:AMQ589839 ACU589834:ACU589839 SY589834:SY589839 JC589834:JC589839 G589834:G589839 WVO524298:WVO524303 WLS524298:WLS524303 WBW524298:WBW524303 VSA524298:VSA524303 VIE524298:VIE524303 UYI524298:UYI524303 UOM524298:UOM524303 UEQ524298:UEQ524303 TUU524298:TUU524303 TKY524298:TKY524303 TBC524298:TBC524303 SRG524298:SRG524303 SHK524298:SHK524303 RXO524298:RXO524303 RNS524298:RNS524303 RDW524298:RDW524303 QUA524298:QUA524303 QKE524298:QKE524303 QAI524298:QAI524303 PQM524298:PQM524303 PGQ524298:PGQ524303 OWU524298:OWU524303 OMY524298:OMY524303 ODC524298:ODC524303 NTG524298:NTG524303 NJK524298:NJK524303 MZO524298:MZO524303 MPS524298:MPS524303 MFW524298:MFW524303 LWA524298:LWA524303 LME524298:LME524303 LCI524298:LCI524303 KSM524298:KSM524303 KIQ524298:KIQ524303 JYU524298:JYU524303 JOY524298:JOY524303 JFC524298:JFC524303 IVG524298:IVG524303 ILK524298:ILK524303 IBO524298:IBO524303 HRS524298:HRS524303 HHW524298:HHW524303 GYA524298:GYA524303 GOE524298:GOE524303 GEI524298:GEI524303 FUM524298:FUM524303 FKQ524298:FKQ524303 FAU524298:FAU524303 EQY524298:EQY524303 EHC524298:EHC524303 DXG524298:DXG524303 DNK524298:DNK524303 DDO524298:DDO524303 CTS524298:CTS524303 CJW524298:CJW524303 CAA524298:CAA524303 BQE524298:BQE524303 BGI524298:BGI524303 AWM524298:AWM524303 AMQ524298:AMQ524303 ACU524298:ACU524303 SY524298:SY524303 JC524298:JC524303 G524298:G524303 WVO458762:WVO458767 WLS458762:WLS458767 WBW458762:WBW458767 VSA458762:VSA458767 VIE458762:VIE458767 UYI458762:UYI458767 UOM458762:UOM458767 UEQ458762:UEQ458767 TUU458762:TUU458767 TKY458762:TKY458767 TBC458762:TBC458767 SRG458762:SRG458767 SHK458762:SHK458767 RXO458762:RXO458767 RNS458762:RNS458767 RDW458762:RDW458767 QUA458762:QUA458767 QKE458762:QKE458767 QAI458762:QAI458767 PQM458762:PQM458767 PGQ458762:PGQ458767 OWU458762:OWU458767 OMY458762:OMY458767 ODC458762:ODC458767 NTG458762:NTG458767 NJK458762:NJK458767 MZO458762:MZO458767 MPS458762:MPS458767 MFW458762:MFW458767 LWA458762:LWA458767 LME458762:LME458767 LCI458762:LCI458767 KSM458762:KSM458767 KIQ458762:KIQ458767 JYU458762:JYU458767 JOY458762:JOY458767 JFC458762:JFC458767 IVG458762:IVG458767 ILK458762:ILK458767 IBO458762:IBO458767 HRS458762:HRS458767 HHW458762:HHW458767 GYA458762:GYA458767 GOE458762:GOE458767 GEI458762:GEI458767 FUM458762:FUM458767 FKQ458762:FKQ458767 FAU458762:FAU458767 EQY458762:EQY458767 EHC458762:EHC458767 DXG458762:DXG458767 DNK458762:DNK458767 DDO458762:DDO458767 CTS458762:CTS458767 CJW458762:CJW458767 CAA458762:CAA458767 BQE458762:BQE458767 BGI458762:BGI458767 AWM458762:AWM458767 AMQ458762:AMQ458767 ACU458762:ACU458767 SY458762:SY458767 JC458762:JC458767 G458762:G458767 WVO393226:WVO393231 WLS393226:WLS393231 WBW393226:WBW393231 VSA393226:VSA393231 VIE393226:VIE393231 UYI393226:UYI393231 UOM393226:UOM393231 UEQ393226:UEQ393231 TUU393226:TUU393231 TKY393226:TKY393231 TBC393226:TBC393231 SRG393226:SRG393231 SHK393226:SHK393231 RXO393226:RXO393231 RNS393226:RNS393231 RDW393226:RDW393231 QUA393226:QUA393231 QKE393226:QKE393231 QAI393226:QAI393231 PQM393226:PQM393231 PGQ393226:PGQ393231 OWU393226:OWU393231 OMY393226:OMY393231 ODC393226:ODC393231 NTG393226:NTG393231 NJK393226:NJK393231 MZO393226:MZO393231 MPS393226:MPS393231 MFW393226:MFW393231 LWA393226:LWA393231 LME393226:LME393231 LCI393226:LCI393231 KSM393226:KSM393231 KIQ393226:KIQ393231 JYU393226:JYU393231 JOY393226:JOY393231 JFC393226:JFC393231 IVG393226:IVG393231 ILK393226:ILK393231 IBO393226:IBO393231 HRS393226:HRS393231 HHW393226:HHW393231 GYA393226:GYA393231 GOE393226:GOE393231 GEI393226:GEI393231 FUM393226:FUM393231 FKQ393226:FKQ393231 FAU393226:FAU393231 EQY393226:EQY393231 EHC393226:EHC393231 DXG393226:DXG393231 DNK393226:DNK393231 DDO393226:DDO393231 CTS393226:CTS393231 CJW393226:CJW393231 CAA393226:CAA393231 BQE393226:BQE393231 BGI393226:BGI393231 AWM393226:AWM393231 AMQ393226:AMQ393231 ACU393226:ACU393231 SY393226:SY393231 JC393226:JC393231 G393226:G393231 WVO327690:WVO327695 WLS327690:WLS327695 WBW327690:WBW327695 VSA327690:VSA327695 VIE327690:VIE327695 UYI327690:UYI327695 UOM327690:UOM327695 UEQ327690:UEQ327695 TUU327690:TUU327695 TKY327690:TKY327695 TBC327690:TBC327695 SRG327690:SRG327695 SHK327690:SHK327695 RXO327690:RXO327695 RNS327690:RNS327695 RDW327690:RDW327695 QUA327690:QUA327695 QKE327690:QKE327695 QAI327690:QAI327695 PQM327690:PQM327695 PGQ327690:PGQ327695 OWU327690:OWU327695 OMY327690:OMY327695 ODC327690:ODC327695 NTG327690:NTG327695 NJK327690:NJK327695 MZO327690:MZO327695 MPS327690:MPS327695 MFW327690:MFW327695 LWA327690:LWA327695 LME327690:LME327695 LCI327690:LCI327695 KSM327690:KSM327695 KIQ327690:KIQ327695 JYU327690:JYU327695 JOY327690:JOY327695 JFC327690:JFC327695 IVG327690:IVG327695 ILK327690:ILK327695 IBO327690:IBO327695 HRS327690:HRS327695 HHW327690:HHW327695 GYA327690:GYA327695 GOE327690:GOE327695 GEI327690:GEI327695 FUM327690:FUM327695 FKQ327690:FKQ327695 FAU327690:FAU327695 EQY327690:EQY327695 EHC327690:EHC327695 DXG327690:DXG327695 DNK327690:DNK327695 DDO327690:DDO327695 CTS327690:CTS327695 CJW327690:CJW327695 CAA327690:CAA327695 BQE327690:BQE327695 BGI327690:BGI327695 AWM327690:AWM327695 AMQ327690:AMQ327695 ACU327690:ACU327695 SY327690:SY327695 JC327690:JC327695 G327690:G327695 WVO262154:WVO262159 WLS262154:WLS262159 WBW262154:WBW262159 VSA262154:VSA262159 VIE262154:VIE262159 UYI262154:UYI262159 UOM262154:UOM262159 UEQ262154:UEQ262159 TUU262154:TUU262159 TKY262154:TKY262159 TBC262154:TBC262159 SRG262154:SRG262159 SHK262154:SHK262159 RXO262154:RXO262159 RNS262154:RNS262159 RDW262154:RDW262159 QUA262154:QUA262159 QKE262154:QKE262159 QAI262154:QAI262159 PQM262154:PQM262159 PGQ262154:PGQ262159 OWU262154:OWU262159 OMY262154:OMY262159 ODC262154:ODC262159 NTG262154:NTG262159 NJK262154:NJK262159 MZO262154:MZO262159 MPS262154:MPS262159 MFW262154:MFW262159 LWA262154:LWA262159 LME262154:LME262159 LCI262154:LCI262159 KSM262154:KSM262159 KIQ262154:KIQ262159 JYU262154:JYU262159 JOY262154:JOY262159 JFC262154:JFC262159 IVG262154:IVG262159 ILK262154:ILK262159 IBO262154:IBO262159 HRS262154:HRS262159 HHW262154:HHW262159 GYA262154:GYA262159 GOE262154:GOE262159 GEI262154:GEI262159 FUM262154:FUM262159 FKQ262154:FKQ262159 FAU262154:FAU262159 EQY262154:EQY262159 EHC262154:EHC262159 DXG262154:DXG262159 DNK262154:DNK262159 DDO262154:DDO262159 CTS262154:CTS262159 CJW262154:CJW262159 CAA262154:CAA262159 BQE262154:BQE262159 BGI262154:BGI262159 AWM262154:AWM262159 AMQ262154:AMQ262159 ACU262154:ACU262159 SY262154:SY262159 JC262154:JC262159 G262154:G262159 WVO196618:WVO196623 WLS196618:WLS196623 WBW196618:WBW196623 VSA196618:VSA196623 VIE196618:VIE196623 UYI196618:UYI196623 UOM196618:UOM196623 UEQ196618:UEQ196623 TUU196618:TUU196623 TKY196618:TKY196623 TBC196618:TBC196623 SRG196618:SRG196623 SHK196618:SHK196623 RXO196618:RXO196623 RNS196618:RNS196623 RDW196618:RDW196623 QUA196618:QUA196623 QKE196618:QKE196623 QAI196618:QAI196623 PQM196618:PQM196623 PGQ196618:PGQ196623 OWU196618:OWU196623 OMY196618:OMY196623 ODC196618:ODC196623 NTG196618:NTG196623 NJK196618:NJK196623 MZO196618:MZO196623 MPS196618:MPS196623 MFW196618:MFW196623 LWA196618:LWA196623 LME196618:LME196623 LCI196618:LCI196623 KSM196618:KSM196623 KIQ196618:KIQ196623 JYU196618:JYU196623 JOY196618:JOY196623 JFC196618:JFC196623 IVG196618:IVG196623 ILK196618:ILK196623 IBO196618:IBO196623 HRS196618:HRS196623 HHW196618:HHW196623 GYA196618:GYA196623 GOE196618:GOE196623 GEI196618:GEI196623 FUM196618:FUM196623 FKQ196618:FKQ196623 FAU196618:FAU196623 EQY196618:EQY196623 EHC196618:EHC196623 DXG196618:DXG196623 DNK196618:DNK196623 DDO196618:DDO196623 CTS196618:CTS196623 CJW196618:CJW196623 CAA196618:CAA196623 BQE196618:BQE196623 BGI196618:BGI196623 AWM196618:AWM196623 AMQ196618:AMQ196623 ACU196618:ACU196623 SY196618:SY196623 JC196618:JC196623 G196618:G196623 WVO131082:WVO131087 WLS131082:WLS131087 WBW131082:WBW131087 VSA131082:VSA131087 VIE131082:VIE131087 UYI131082:UYI131087 UOM131082:UOM131087 UEQ131082:UEQ131087 TUU131082:TUU131087 TKY131082:TKY131087 TBC131082:TBC131087 SRG131082:SRG131087 SHK131082:SHK131087 RXO131082:RXO131087 RNS131082:RNS131087 RDW131082:RDW131087 QUA131082:QUA131087 QKE131082:QKE131087 QAI131082:QAI131087 PQM131082:PQM131087 PGQ131082:PGQ131087 OWU131082:OWU131087 OMY131082:OMY131087 ODC131082:ODC131087 NTG131082:NTG131087 NJK131082:NJK131087 MZO131082:MZO131087 MPS131082:MPS131087 MFW131082:MFW131087 LWA131082:LWA131087 LME131082:LME131087 LCI131082:LCI131087 KSM131082:KSM131087 KIQ131082:KIQ131087 JYU131082:JYU131087 JOY131082:JOY131087 JFC131082:JFC131087 IVG131082:IVG131087 ILK131082:ILK131087 IBO131082:IBO131087 HRS131082:HRS131087 HHW131082:HHW131087 GYA131082:GYA131087 GOE131082:GOE131087 GEI131082:GEI131087 FUM131082:FUM131087 FKQ131082:FKQ131087 FAU131082:FAU131087 EQY131082:EQY131087 EHC131082:EHC131087 DXG131082:DXG131087 DNK131082:DNK131087 DDO131082:DDO131087 CTS131082:CTS131087 CJW131082:CJW131087 CAA131082:CAA131087 BQE131082:BQE131087 BGI131082:BGI131087 AWM131082:AWM131087 AMQ131082:AMQ131087 ACU131082:ACU131087 SY131082:SY131087 JC131082:JC131087 G131082:G131087 WVO65546:WVO65551 WLS65546:WLS65551 WBW65546:WBW65551 VSA65546:VSA65551 VIE65546:VIE65551 UYI65546:UYI65551 UOM65546:UOM65551 UEQ65546:UEQ65551 TUU65546:TUU65551 TKY65546:TKY65551 TBC65546:TBC65551 SRG65546:SRG65551 SHK65546:SHK65551 RXO65546:RXO65551 RNS65546:RNS65551 RDW65546:RDW65551 QUA65546:QUA65551 QKE65546:QKE65551 QAI65546:QAI65551 PQM65546:PQM65551 PGQ65546:PGQ65551 OWU65546:OWU65551 OMY65546:OMY65551 ODC65546:ODC65551 NTG65546:NTG65551 NJK65546:NJK65551 MZO65546:MZO65551 MPS65546:MPS65551 MFW65546:MFW65551 LWA65546:LWA65551 LME65546:LME65551 LCI65546:LCI65551 KSM65546:KSM65551 KIQ65546:KIQ65551 JYU65546:JYU65551 JOY65546:JOY65551 JFC65546:JFC65551 IVG65546:IVG65551 ILK65546:ILK65551 IBO65546:IBO65551 HRS65546:HRS65551 HHW65546:HHW65551 GYA65546:GYA65551 GOE65546:GOE65551 GEI65546:GEI65551 FUM65546:FUM65551 FKQ65546:FKQ65551 FAU65546:FAU65551 EQY65546:EQY65551 EHC65546:EHC65551 DXG65546:DXG65551 DNK65546:DNK65551 DDO65546:DDO65551 CTS65546:CTS65551 CJW65546:CJW65551 CAA65546:CAA65551 BQE65546:BQE65551 BGI65546:BGI65551 AWM65546:AWM65551 AMQ65546:AMQ65551 ACU65546:ACU65551 SY65546:SY65551 JC65546:JC65551 G65546:G65551 WVO8:WVO13 WLS8:WLS13 WBW8:WBW13 VSA8:VSA13 VIE8:VIE13 UYI8:UYI13 UOM8:UOM13 UEQ8:UEQ13 TUU8:TUU13 TKY8:TKY13 TBC8:TBC13 SRG8:SRG13 SHK8:SHK13 RXO8:RXO13 RNS8:RNS13 RDW8:RDW13 QUA8:QUA13 QKE8:QKE13 QAI8:QAI13 PQM8:PQM13 PGQ8:PGQ13 OWU8:OWU13 OMY8:OMY13 ODC8:ODC13 NTG8:NTG13 NJK8:NJK13 MZO8:MZO13 MPS8:MPS13 MFW8:MFW13 LWA8:LWA13 LME8:LME13 LCI8:LCI13 KSM8:KSM13 KIQ8:KIQ13 JYU8:JYU13 JOY8:JOY13 JFC8:JFC13 IVG8:IVG13 ILK8:ILK13 IBO8:IBO13 HRS8:HRS13 HHW8:HHW13 GYA8:GYA13 GOE8:GOE13 GEI8:GEI13 FUM8:FUM13 FKQ8:FKQ13 FAU8:FAU13 EQY8:EQY13 EHC8:EHC13 DXG8:DXG13 DNK8:DNK13 DDO8:DDO13 CTS8:CTS13 CJW8:CJW13 CAA8:CAA13 BQE8:BQE13 BGI8:BGI13 AWM8:AWM13 AMQ8:AMQ13 ACU8:ACU13 SY8:SY13 JC8:JC13">
      <formula1>$AK$33:$AK$45</formula1>
    </dataValidation>
    <dataValidation type="list" allowBlank="1" showInputMessage="1" showErrorMessage="1" sqref="I8:I13 WVQ983050:WVQ983055 WLU983050:WLU983055 WBY983050:WBY983055 VSC983050:VSC983055 VIG983050:VIG983055 UYK983050:UYK983055 UOO983050:UOO983055 UES983050:UES983055 TUW983050:TUW983055 TLA983050:TLA983055 TBE983050:TBE983055 SRI983050:SRI983055 SHM983050:SHM983055 RXQ983050:RXQ983055 RNU983050:RNU983055 RDY983050:RDY983055 QUC983050:QUC983055 QKG983050:QKG983055 QAK983050:QAK983055 PQO983050:PQO983055 PGS983050:PGS983055 OWW983050:OWW983055 ONA983050:ONA983055 ODE983050:ODE983055 NTI983050:NTI983055 NJM983050:NJM983055 MZQ983050:MZQ983055 MPU983050:MPU983055 MFY983050:MFY983055 LWC983050:LWC983055 LMG983050:LMG983055 LCK983050:LCK983055 KSO983050:KSO983055 KIS983050:KIS983055 JYW983050:JYW983055 JPA983050:JPA983055 JFE983050:JFE983055 IVI983050:IVI983055 ILM983050:ILM983055 IBQ983050:IBQ983055 HRU983050:HRU983055 HHY983050:HHY983055 GYC983050:GYC983055 GOG983050:GOG983055 GEK983050:GEK983055 FUO983050:FUO983055 FKS983050:FKS983055 FAW983050:FAW983055 ERA983050:ERA983055 EHE983050:EHE983055 DXI983050:DXI983055 DNM983050:DNM983055 DDQ983050:DDQ983055 CTU983050:CTU983055 CJY983050:CJY983055 CAC983050:CAC983055 BQG983050:BQG983055 BGK983050:BGK983055 AWO983050:AWO983055 AMS983050:AMS983055 ACW983050:ACW983055 TA983050:TA983055 JE983050:JE983055 I983050:I983055 WVQ917514:WVQ917519 WLU917514:WLU917519 WBY917514:WBY917519 VSC917514:VSC917519 VIG917514:VIG917519 UYK917514:UYK917519 UOO917514:UOO917519 UES917514:UES917519 TUW917514:TUW917519 TLA917514:TLA917519 TBE917514:TBE917519 SRI917514:SRI917519 SHM917514:SHM917519 RXQ917514:RXQ917519 RNU917514:RNU917519 RDY917514:RDY917519 QUC917514:QUC917519 QKG917514:QKG917519 QAK917514:QAK917519 PQO917514:PQO917519 PGS917514:PGS917519 OWW917514:OWW917519 ONA917514:ONA917519 ODE917514:ODE917519 NTI917514:NTI917519 NJM917514:NJM917519 MZQ917514:MZQ917519 MPU917514:MPU917519 MFY917514:MFY917519 LWC917514:LWC917519 LMG917514:LMG917519 LCK917514:LCK917519 KSO917514:KSO917519 KIS917514:KIS917519 JYW917514:JYW917519 JPA917514:JPA917519 JFE917514:JFE917519 IVI917514:IVI917519 ILM917514:ILM917519 IBQ917514:IBQ917519 HRU917514:HRU917519 HHY917514:HHY917519 GYC917514:GYC917519 GOG917514:GOG917519 GEK917514:GEK917519 FUO917514:FUO917519 FKS917514:FKS917519 FAW917514:FAW917519 ERA917514:ERA917519 EHE917514:EHE917519 DXI917514:DXI917519 DNM917514:DNM917519 DDQ917514:DDQ917519 CTU917514:CTU917519 CJY917514:CJY917519 CAC917514:CAC917519 BQG917514:BQG917519 BGK917514:BGK917519 AWO917514:AWO917519 AMS917514:AMS917519 ACW917514:ACW917519 TA917514:TA917519 JE917514:JE917519 I917514:I917519 WVQ851978:WVQ851983 WLU851978:WLU851983 WBY851978:WBY851983 VSC851978:VSC851983 VIG851978:VIG851983 UYK851978:UYK851983 UOO851978:UOO851983 UES851978:UES851983 TUW851978:TUW851983 TLA851978:TLA851983 TBE851978:TBE851983 SRI851978:SRI851983 SHM851978:SHM851983 RXQ851978:RXQ851983 RNU851978:RNU851983 RDY851978:RDY851983 QUC851978:QUC851983 QKG851978:QKG851983 QAK851978:QAK851983 PQO851978:PQO851983 PGS851978:PGS851983 OWW851978:OWW851983 ONA851978:ONA851983 ODE851978:ODE851983 NTI851978:NTI851983 NJM851978:NJM851983 MZQ851978:MZQ851983 MPU851978:MPU851983 MFY851978:MFY851983 LWC851978:LWC851983 LMG851978:LMG851983 LCK851978:LCK851983 KSO851978:KSO851983 KIS851978:KIS851983 JYW851978:JYW851983 JPA851978:JPA851983 JFE851978:JFE851983 IVI851978:IVI851983 ILM851978:ILM851983 IBQ851978:IBQ851983 HRU851978:HRU851983 HHY851978:HHY851983 GYC851978:GYC851983 GOG851978:GOG851983 GEK851978:GEK851983 FUO851978:FUO851983 FKS851978:FKS851983 FAW851978:FAW851983 ERA851978:ERA851983 EHE851978:EHE851983 DXI851978:DXI851983 DNM851978:DNM851983 DDQ851978:DDQ851983 CTU851978:CTU851983 CJY851978:CJY851983 CAC851978:CAC851983 BQG851978:BQG851983 BGK851978:BGK851983 AWO851978:AWO851983 AMS851978:AMS851983 ACW851978:ACW851983 TA851978:TA851983 JE851978:JE851983 I851978:I851983 WVQ786442:WVQ786447 WLU786442:WLU786447 WBY786442:WBY786447 VSC786442:VSC786447 VIG786442:VIG786447 UYK786442:UYK786447 UOO786442:UOO786447 UES786442:UES786447 TUW786442:TUW786447 TLA786442:TLA786447 TBE786442:TBE786447 SRI786442:SRI786447 SHM786442:SHM786447 RXQ786442:RXQ786447 RNU786442:RNU786447 RDY786442:RDY786447 QUC786442:QUC786447 QKG786442:QKG786447 QAK786442:QAK786447 PQO786442:PQO786447 PGS786442:PGS786447 OWW786442:OWW786447 ONA786442:ONA786447 ODE786442:ODE786447 NTI786442:NTI786447 NJM786442:NJM786447 MZQ786442:MZQ786447 MPU786442:MPU786447 MFY786442:MFY786447 LWC786442:LWC786447 LMG786442:LMG786447 LCK786442:LCK786447 KSO786442:KSO786447 KIS786442:KIS786447 JYW786442:JYW786447 JPA786442:JPA786447 JFE786442:JFE786447 IVI786442:IVI786447 ILM786442:ILM786447 IBQ786442:IBQ786447 HRU786442:HRU786447 HHY786442:HHY786447 GYC786442:GYC786447 GOG786442:GOG786447 GEK786442:GEK786447 FUO786442:FUO786447 FKS786442:FKS786447 FAW786442:FAW786447 ERA786442:ERA786447 EHE786442:EHE786447 DXI786442:DXI786447 DNM786442:DNM786447 DDQ786442:DDQ786447 CTU786442:CTU786447 CJY786442:CJY786447 CAC786442:CAC786447 BQG786442:BQG786447 BGK786442:BGK786447 AWO786442:AWO786447 AMS786442:AMS786447 ACW786442:ACW786447 TA786442:TA786447 JE786442:JE786447 I786442:I786447 WVQ720906:WVQ720911 WLU720906:WLU720911 WBY720906:WBY720911 VSC720906:VSC720911 VIG720906:VIG720911 UYK720906:UYK720911 UOO720906:UOO720911 UES720906:UES720911 TUW720906:TUW720911 TLA720906:TLA720911 TBE720906:TBE720911 SRI720906:SRI720911 SHM720906:SHM720911 RXQ720906:RXQ720911 RNU720906:RNU720911 RDY720906:RDY720911 QUC720906:QUC720911 QKG720906:QKG720911 QAK720906:QAK720911 PQO720906:PQO720911 PGS720906:PGS720911 OWW720906:OWW720911 ONA720906:ONA720911 ODE720906:ODE720911 NTI720906:NTI720911 NJM720906:NJM720911 MZQ720906:MZQ720911 MPU720906:MPU720911 MFY720906:MFY720911 LWC720906:LWC720911 LMG720906:LMG720911 LCK720906:LCK720911 KSO720906:KSO720911 KIS720906:KIS720911 JYW720906:JYW720911 JPA720906:JPA720911 JFE720906:JFE720911 IVI720906:IVI720911 ILM720906:ILM720911 IBQ720906:IBQ720911 HRU720906:HRU720911 HHY720906:HHY720911 GYC720906:GYC720911 GOG720906:GOG720911 GEK720906:GEK720911 FUO720906:FUO720911 FKS720906:FKS720911 FAW720906:FAW720911 ERA720906:ERA720911 EHE720906:EHE720911 DXI720906:DXI720911 DNM720906:DNM720911 DDQ720906:DDQ720911 CTU720906:CTU720911 CJY720906:CJY720911 CAC720906:CAC720911 BQG720906:BQG720911 BGK720906:BGK720911 AWO720906:AWO720911 AMS720906:AMS720911 ACW720906:ACW720911 TA720906:TA720911 JE720906:JE720911 I720906:I720911 WVQ655370:WVQ655375 WLU655370:WLU655375 WBY655370:WBY655375 VSC655370:VSC655375 VIG655370:VIG655375 UYK655370:UYK655375 UOO655370:UOO655375 UES655370:UES655375 TUW655370:TUW655375 TLA655370:TLA655375 TBE655370:TBE655375 SRI655370:SRI655375 SHM655370:SHM655375 RXQ655370:RXQ655375 RNU655370:RNU655375 RDY655370:RDY655375 QUC655370:QUC655375 QKG655370:QKG655375 QAK655370:QAK655375 PQO655370:PQO655375 PGS655370:PGS655375 OWW655370:OWW655375 ONA655370:ONA655375 ODE655370:ODE655375 NTI655370:NTI655375 NJM655370:NJM655375 MZQ655370:MZQ655375 MPU655370:MPU655375 MFY655370:MFY655375 LWC655370:LWC655375 LMG655370:LMG655375 LCK655370:LCK655375 KSO655370:KSO655375 KIS655370:KIS655375 JYW655370:JYW655375 JPA655370:JPA655375 JFE655370:JFE655375 IVI655370:IVI655375 ILM655370:ILM655375 IBQ655370:IBQ655375 HRU655370:HRU655375 HHY655370:HHY655375 GYC655370:GYC655375 GOG655370:GOG655375 GEK655370:GEK655375 FUO655370:FUO655375 FKS655370:FKS655375 FAW655370:FAW655375 ERA655370:ERA655375 EHE655370:EHE655375 DXI655370:DXI655375 DNM655370:DNM655375 DDQ655370:DDQ655375 CTU655370:CTU655375 CJY655370:CJY655375 CAC655370:CAC655375 BQG655370:BQG655375 BGK655370:BGK655375 AWO655370:AWO655375 AMS655370:AMS655375 ACW655370:ACW655375 TA655370:TA655375 JE655370:JE655375 I655370:I655375 WVQ589834:WVQ589839 WLU589834:WLU589839 WBY589834:WBY589839 VSC589834:VSC589839 VIG589834:VIG589839 UYK589834:UYK589839 UOO589834:UOO589839 UES589834:UES589839 TUW589834:TUW589839 TLA589834:TLA589839 TBE589834:TBE589839 SRI589834:SRI589839 SHM589834:SHM589839 RXQ589834:RXQ589839 RNU589834:RNU589839 RDY589834:RDY589839 QUC589834:QUC589839 QKG589834:QKG589839 QAK589834:QAK589839 PQO589834:PQO589839 PGS589834:PGS589839 OWW589834:OWW589839 ONA589834:ONA589839 ODE589834:ODE589839 NTI589834:NTI589839 NJM589834:NJM589839 MZQ589834:MZQ589839 MPU589834:MPU589839 MFY589834:MFY589839 LWC589834:LWC589839 LMG589834:LMG589839 LCK589834:LCK589839 KSO589834:KSO589839 KIS589834:KIS589839 JYW589834:JYW589839 JPA589834:JPA589839 JFE589834:JFE589839 IVI589834:IVI589839 ILM589834:ILM589839 IBQ589834:IBQ589839 HRU589834:HRU589839 HHY589834:HHY589839 GYC589834:GYC589839 GOG589834:GOG589839 GEK589834:GEK589839 FUO589834:FUO589839 FKS589834:FKS589839 FAW589834:FAW589839 ERA589834:ERA589839 EHE589834:EHE589839 DXI589834:DXI589839 DNM589834:DNM589839 DDQ589834:DDQ589839 CTU589834:CTU589839 CJY589834:CJY589839 CAC589834:CAC589839 BQG589834:BQG589839 BGK589834:BGK589839 AWO589834:AWO589839 AMS589834:AMS589839 ACW589834:ACW589839 TA589834:TA589839 JE589834:JE589839 I589834:I589839 WVQ524298:WVQ524303 WLU524298:WLU524303 WBY524298:WBY524303 VSC524298:VSC524303 VIG524298:VIG524303 UYK524298:UYK524303 UOO524298:UOO524303 UES524298:UES524303 TUW524298:TUW524303 TLA524298:TLA524303 TBE524298:TBE524303 SRI524298:SRI524303 SHM524298:SHM524303 RXQ524298:RXQ524303 RNU524298:RNU524303 RDY524298:RDY524303 QUC524298:QUC524303 QKG524298:QKG524303 QAK524298:QAK524303 PQO524298:PQO524303 PGS524298:PGS524303 OWW524298:OWW524303 ONA524298:ONA524303 ODE524298:ODE524303 NTI524298:NTI524303 NJM524298:NJM524303 MZQ524298:MZQ524303 MPU524298:MPU524303 MFY524298:MFY524303 LWC524298:LWC524303 LMG524298:LMG524303 LCK524298:LCK524303 KSO524298:KSO524303 KIS524298:KIS524303 JYW524298:JYW524303 JPA524298:JPA524303 JFE524298:JFE524303 IVI524298:IVI524303 ILM524298:ILM524303 IBQ524298:IBQ524303 HRU524298:HRU524303 HHY524298:HHY524303 GYC524298:GYC524303 GOG524298:GOG524303 GEK524298:GEK524303 FUO524298:FUO524303 FKS524298:FKS524303 FAW524298:FAW524303 ERA524298:ERA524303 EHE524298:EHE524303 DXI524298:DXI524303 DNM524298:DNM524303 DDQ524298:DDQ524303 CTU524298:CTU524303 CJY524298:CJY524303 CAC524298:CAC524303 BQG524298:BQG524303 BGK524298:BGK524303 AWO524298:AWO524303 AMS524298:AMS524303 ACW524298:ACW524303 TA524298:TA524303 JE524298:JE524303 I524298:I524303 WVQ458762:WVQ458767 WLU458762:WLU458767 WBY458762:WBY458767 VSC458762:VSC458767 VIG458762:VIG458767 UYK458762:UYK458767 UOO458762:UOO458767 UES458762:UES458767 TUW458762:TUW458767 TLA458762:TLA458767 TBE458762:TBE458767 SRI458762:SRI458767 SHM458762:SHM458767 RXQ458762:RXQ458767 RNU458762:RNU458767 RDY458762:RDY458767 QUC458762:QUC458767 QKG458762:QKG458767 QAK458762:QAK458767 PQO458762:PQO458767 PGS458762:PGS458767 OWW458762:OWW458767 ONA458762:ONA458767 ODE458762:ODE458767 NTI458762:NTI458767 NJM458762:NJM458767 MZQ458762:MZQ458767 MPU458762:MPU458767 MFY458762:MFY458767 LWC458762:LWC458767 LMG458762:LMG458767 LCK458762:LCK458767 KSO458762:KSO458767 KIS458762:KIS458767 JYW458762:JYW458767 JPA458762:JPA458767 JFE458762:JFE458767 IVI458762:IVI458767 ILM458762:ILM458767 IBQ458762:IBQ458767 HRU458762:HRU458767 HHY458762:HHY458767 GYC458762:GYC458767 GOG458762:GOG458767 GEK458762:GEK458767 FUO458762:FUO458767 FKS458762:FKS458767 FAW458762:FAW458767 ERA458762:ERA458767 EHE458762:EHE458767 DXI458762:DXI458767 DNM458762:DNM458767 DDQ458762:DDQ458767 CTU458762:CTU458767 CJY458762:CJY458767 CAC458762:CAC458767 BQG458762:BQG458767 BGK458762:BGK458767 AWO458762:AWO458767 AMS458762:AMS458767 ACW458762:ACW458767 TA458762:TA458767 JE458762:JE458767 I458762:I458767 WVQ393226:WVQ393231 WLU393226:WLU393231 WBY393226:WBY393231 VSC393226:VSC393231 VIG393226:VIG393231 UYK393226:UYK393231 UOO393226:UOO393231 UES393226:UES393231 TUW393226:TUW393231 TLA393226:TLA393231 TBE393226:TBE393231 SRI393226:SRI393231 SHM393226:SHM393231 RXQ393226:RXQ393231 RNU393226:RNU393231 RDY393226:RDY393231 QUC393226:QUC393231 QKG393226:QKG393231 QAK393226:QAK393231 PQO393226:PQO393231 PGS393226:PGS393231 OWW393226:OWW393231 ONA393226:ONA393231 ODE393226:ODE393231 NTI393226:NTI393231 NJM393226:NJM393231 MZQ393226:MZQ393231 MPU393226:MPU393231 MFY393226:MFY393231 LWC393226:LWC393231 LMG393226:LMG393231 LCK393226:LCK393231 KSO393226:KSO393231 KIS393226:KIS393231 JYW393226:JYW393231 JPA393226:JPA393231 JFE393226:JFE393231 IVI393226:IVI393231 ILM393226:ILM393231 IBQ393226:IBQ393231 HRU393226:HRU393231 HHY393226:HHY393231 GYC393226:GYC393231 GOG393226:GOG393231 GEK393226:GEK393231 FUO393226:FUO393231 FKS393226:FKS393231 FAW393226:FAW393231 ERA393226:ERA393231 EHE393226:EHE393231 DXI393226:DXI393231 DNM393226:DNM393231 DDQ393226:DDQ393231 CTU393226:CTU393231 CJY393226:CJY393231 CAC393226:CAC393231 BQG393226:BQG393231 BGK393226:BGK393231 AWO393226:AWO393231 AMS393226:AMS393231 ACW393226:ACW393231 TA393226:TA393231 JE393226:JE393231 I393226:I393231 WVQ327690:WVQ327695 WLU327690:WLU327695 WBY327690:WBY327695 VSC327690:VSC327695 VIG327690:VIG327695 UYK327690:UYK327695 UOO327690:UOO327695 UES327690:UES327695 TUW327690:TUW327695 TLA327690:TLA327695 TBE327690:TBE327695 SRI327690:SRI327695 SHM327690:SHM327695 RXQ327690:RXQ327695 RNU327690:RNU327695 RDY327690:RDY327695 QUC327690:QUC327695 QKG327690:QKG327695 QAK327690:QAK327695 PQO327690:PQO327695 PGS327690:PGS327695 OWW327690:OWW327695 ONA327690:ONA327695 ODE327690:ODE327695 NTI327690:NTI327695 NJM327690:NJM327695 MZQ327690:MZQ327695 MPU327690:MPU327695 MFY327690:MFY327695 LWC327690:LWC327695 LMG327690:LMG327695 LCK327690:LCK327695 KSO327690:KSO327695 KIS327690:KIS327695 JYW327690:JYW327695 JPA327690:JPA327695 JFE327690:JFE327695 IVI327690:IVI327695 ILM327690:ILM327695 IBQ327690:IBQ327695 HRU327690:HRU327695 HHY327690:HHY327695 GYC327690:GYC327695 GOG327690:GOG327695 GEK327690:GEK327695 FUO327690:FUO327695 FKS327690:FKS327695 FAW327690:FAW327695 ERA327690:ERA327695 EHE327690:EHE327695 DXI327690:DXI327695 DNM327690:DNM327695 DDQ327690:DDQ327695 CTU327690:CTU327695 CJY327690:CJY327695 CAC327690:CAC327695 BQG327690:BQG327695 BGK327690:BGK327695 AWO327690:AWO327695 AMS327690:AMS327695 ACW327690:ACW327695 TA327690:TA327695 JE327690:JE327695 I327690:I327695 WVQ262154:WVQ262159 WLU262154:WLU262159 WBY262154:WBY262159 VSC262154:VSC262159 VIG262154:VIG262159 UYK262154:UYK262159 UOO262154:UOO262159 UES262154:UES262159 TUW262154:TUW262159 TLA262154:TLA262159 TBE262154:TBE262159 SRI262154:SRI262159 SHM262154:SHM262159 RXQ262154:RXQ262159 RNU262154:RNU262159 RDY262154:RDY262159 QUC262154:QUC262159 QKG262154:QKG262159 QAK262154:QAK262159 PQO262154:PQO262159 PGS262154:PGS262159 OWW262154:OWW262159 ONA262154:ONA262159 ODE262154:ODE262159 NTI262154:NTI262159 NJM262154:NJM262159 MZQ262154:MZQ262159 MPU262154:MPU262159 MFY262154:MFY262159 LWC262154:LWC262159 LMG262154:LMG262159 LCK262154:LCK262159 KSO262154:KSO262159 KIS262154:KIS262159 JYW262154:JYW262159 JPA262154:JPA262159 JFE262154:JFE262159 IVI262154:IVI262159 ILM262154:ILM262159 IBQ262154:IBQ262159 HRU262154:HRU262159 HHY262154:HHY262159 GYC262154:GYC262159 GOG262154:GOG262159 GEK262154:GEK262159 FUO262154:FUO262159 FKS262154:FKS262159 FAW262154:FAW262159 ERA262154:ERA262159 EHE262154:EHE262159 DXI262154:DXI262159 DNM262154:DNM262159 DDQ262154:DDQ262159 CTU262154:CTU262159 CJY262154:CJY262159 CAC262154:CAC262159 BQG262154:BQG262159 BGK262154:BGK262159 AWO262154:AWO262159 AMS262154:AMS262159 ACW262154:ACW262159 TA262154:TA262159 JE262154:JE262159 I262154:I262159 WVQ196618:WVQ196623 WLU196618:WLU196623 WBY196618:WBY196623 VSC196618:VSC196623 VIG196618:VIG196623 UYK196618:UYK196623 UOO196618:UOO196623 UES196618:UES196623 TUW196618:TUW196623 TLA196618:TLA196623 TBE196618:TBE196623 SRI196618:SRI196623 SHM196618:SHM196623 RXQ196618:RXQ196623 RNU196618:RNU196623 RDY196618:RDY196623 QUC196618:QUC196623 QKG196618:QKG196623 QAK196618:QAK196623 PQO196618:PQO196623 PGS196618:PGS196623 OWW196618:OWW196623 ONA196618:ONA196623 ODE196618:ODE196623 NTI196618:NTI196623 NJM196618:NJM196623 MZQ196618:MZQ196623 MPU196618:MPU196623 MFY196618:MFY196623 LWC196618:LWC196623 LMG196618:LMG196623 LCK196618:LCK196623 KSO196618:KSO196623 KIS196618:KIS196623 JYW196618:JYW196623 JPA196618:JPA196623 JFE196618:JFE196623 IVI196618:IVI196623 ILM196618:ILM196623 IBQ196618:IBQ196623 HRU196618:HRU196623 HHY196618:HHY196623 GYC196618:GYC196623 GOG196618:GOG196623 GEK196618:GEK196623 FUO196618:FUO196623 FKS196618:FKS196623 FAW196618:FAW196623 ERA196618:ERA196623 EHE196618:EHE196623 DXI196618:DXI196623 DNM196618:DNM196623 DDQ196618:DDQ196623 CTU196618:CTU196623 CJY196618:CJY196623 CAC196618:CAC196623 BQG196618:BQG196623 BGK196618:BGK196623 AWO196618:AWO196623 AMS196618:AMS196623 ACW196618:ACW196623 TA196618:TA196623 JE196618:JE196623 I196618:I196623 WVQ131082:WVQ131087 WLU131082:WLU131087 WBY131082:WBY131087 VSC131082:VSC131087 VIG131082:VIG131087 UYK131082:UYK131087 UOO131082:UOO131087 UES131082:UES131087 TUW131082:TUW131087 TLA131082:TLA131087 TBE131082:TBE131087 SRI131082:SRI131087 SHM131082:SHM131087 RXQ131082:RXQ131087 RNU131082:RNU131087 RDY131082:RDY131087 QUC131082:QUC131087 QKG131082:QKG131087 QAK131082:QAK131087 PQO131082:PQO131087 PGS131082:PGS131087 OWW131082:OWW131087 ONA131082:ONA131087 ODE131082:ODE131087 NTI131082:NTI131087 NJM131082:NJM131087 MZQ131082:MZQ131087 MPU131082:MPU131087 MFY131082:MFY131087 LWC131082:LWC131087 LMG131082:LMG131087 LCK131082:LCK131087 KSO131082:KSO131087 KIS131082:KIS131087 JYW131082:JYW131087 JPA131082:JPA131087 JFE131082:JFE131087 IVI131082:IVI131087 ILM131082:ILM131087 IBQ131082:IBQ131087 HRU131082:HRU131087 HHY131082:HHY131087 GYC131082:GYC131087 GOG131082:GOG131087 GEK131082:GEK131087 FUO131082:FUO131087 FKS131082:FKS131087 FAW131082:FAW131087 ERA131082:ERA131087 EHE131082:EHE131087 DXI131082:DXI131087 DNM131082:DNM131087 DDQ131082:DDQ131087 CTU131082:CTU131087 CJY131082:CJY131087 CAC131082:CAC131087 BQG131082:BQG131087 BGK131082:BGK131087 AWO131082:AWO131087 AMS131082:AMS131087 ACW131082:ACW131087 TA131082:TA131087 JE131082:JE131087 I131082:I131087 WVQ65546:WVQ65551 WLU65546:WLU65551 WBY65546:WBY65551 VSC65546:VSC65551 VIG65546:VIG65551 UYK65546:UYK65551 UOO65546:UOO65551 UES65546:UES65551 TUW65546:TUW65551 TLA65546:TLA65551 TBE65546:TBE65551 SRI65546:SRI65551 SHM65546:SHM65551 RXQ65546:RXQ65551 RNU65546:RNU65551 RDY65546:RDY65551 QUC65546:QUC65551 QKG65546:QKG65551 QAK65546:QAK65551 PQO65546:PQO65551 PGS65546:PGS65551 OWW65546:OWW65551 ONA65546:ONA65551 ODE65546:ODE65551 NTI65546:NTI65551 NJM65546:NJM65551 MZQ65546:MZQ65551 MPU65546:MPU65551 MFY65546:MFY65551 LWC65546:LWC65551 LMG65546:LMG65551 LCK65546:LCK65551 KSO65546:KSO65551 KIS65546:KIS65551 JYW65546:JYW65551 JPA65546:JPA65551 JFE65546:JFE65551 IVI65546:IVI65551 ILM65546:ILM65551 IBQ65546:IBQ65551 HRU65546:HRU65551 HHY65546:HHY65551 GYC65546:GYC65551 GOG65546:GOG65551 GEK65546:GEK65551 FUO65546:FUO65551 FKS65546:FKS65551 FAW65546:FAW65551 ERA65546:ERA65551 EHE65546:EHE65551 DXI65546:DXI65551 DNM65546:DNM65551 DDQ65546:DDQ65551 CTU65546:CTU65551 CJY65546:CJY65551 CAC65546:CAC65551 BQG65546:BQG65551 BGK65546:BGK65551 AWO65546:AWO65551 AMS65546:AMS65551 ACW65546:ACW65551 TA65546:TA65551 JE65546:JE65551 I65546:I65551 WVQ8:WVQ13 WLU8:WLU13 WBY8:WBY13 VSC8:VSC13 VIG8:VIG13 UYK8:UYK13 UOO8:UOO13 UES8:UES13 TUW8:TUW13 TLA8:TLA13 TBE8:TBE13 SRI8:SRI13 SHM8:SHM13 RXQ8:RXQ13 RNU8:RNU13 RDY8:RDY13 QUC8:QUC13 QKG8:QKG13 QAK8:QAK13 PQO8:PQO13 PGS8:PGS13 OWW8:OWW13 ONA8:ONA13 ODE8:ODE13 NTI8:NTI13 NJM8:NJM13 MZQ8:MZQ13 MPU8:MPU13 MFY8:MFY13 LWC8:LWC13 LMG8:LMG13 LCK8:LCK13 KSO8:KSO13 KIS8:KIS13 JYW8:JYW13 JPA8:JPA13 JFE8:JFE13 IVI8:IVI13 ILM8:ILM13 IBQ8:IBQ13 HRU8:HRU13 HHY8:HHY13 GYC8:GYC13 GOG8:GOG13 GEK8:GEK13 FUO8:FUO13 FKS8:FKS13 FAW8:FAW13 ERA8:ERA13 EHE8:EHE13 DXI8:DXI13 DNM8:DNM13 DDQ8:DDQ13 CTU8:CTU13 CJY8:CJY13 CAC8:CAC13 BQG8:BQG13 BGK8:BGK13 AWO8:AWO13 AMS8:AMS13 ACW8:ACW13 TA8:TA13 JE8:JE13">
      <formula1>$X$29:$X$30</formula1>
    </dataValidation>
    <dataValidation type="list" allowBlank="1" showInputMessage="1" showErrorMessage="1" sqref="AF8 KB8 TX8 ADT8 ANP8 AXL8 BHH8 BRD8 CAZ8 CKV8 CUR8 DEN8 DOJ8 DYF8 EIB8 ERX8 FBT8 FLP8 FVL8 GFH8 GPD8 GYZ8 HIV8 HSR8 ICN8 IMJ8 IWF8 JGB8 JPX8 JZT8 KJP8 KTL8 LDH8 LND8 LWZ8 MGV8 MQR8 NAN8 NKJ8 NUF8 OEB8 ONX8 OXT8 PHP8 PRL8 QBH8 QLD8 QUZ8 REV8 ROR8 RYN8 SIJ8 SSF8 TCB8 TLX8 TVT8 UFP8 UPL8 UZH8 VJD8 VSZ8 WCV8 WMR8 WWN8 AF65546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AF131082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AF196618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AF262154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AF32769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AF393226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AF458762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AF524298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AF589834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AF65537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AF720906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AF786442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AF851978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AF917514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AF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KTL983050 LDH983050 LND983050 LWZ983050 MGV983050 MQR983050 NAN983050 NKJ983050 NUF983050 OEB983050 ONX983050 OXT983050 PHP983050 PRL983050 QBH983050 QLD983050 QUZ983050 REV983050 ROR983050 RYN983050 SIJ983050 SSF983050 TCB983050 TLX983050 TVT983050 UFP983050 UPL983050 UZH983050 VJD983050 VSZ983050 WCV983050 WMR983050 WWN983050 KB11:KB19 TX11:TX19 ADT11:ADT19 ANP11:ANP19 AXL11:AXL19 BHH11:BHH19 BRD11:BRD19 CAZ11:CAZ19 CKV11:CKV19 CUR11:CUR19 DEN11:DEN19 DOJ11:DOJ19 DYF11:DYF19 EIB11:EIB19 ERX11:ERX19 FBT11:FBT19 FLP11:FLP19 FVL11:FVL19 GFH11:GFH19 GPD11:GPD19 GYZ11:GYZ19 HIV11:HIV19 HSR11:HSR19 ICN11:ICN19 IMJ11:IMJ19 IWF11:IWF19 JGB11:JGB19 JPX11:JPX19 JZT11:JZT19 KJP11:KJP19 KTL11:KTL19 LDH11:LDH19 LND11:LND19 LWZ11:LWZ19 MGV11:MGV19 MQR11:MQR19 NAN11:NAN19 NKJ11:NKJ19 NUF11:NUF19 OEB11:OEB19 ONX11:ONX19 OXT11:OXT19 PHP11:PHP19 PRL11:PRL19 QBH11:QBH19 QLD11:QLD19 QUZ11:QUZ19 REV11:REV19 ROR11:ROR19 RYN11:RYN19 SIJ11:SIJ19 SSF11:SSF19 TCB11:TCB19 TLX11:TLX19 TVT11:TVT19 UFP11:UFP19 UPL11:UPL19 UZH11:UZH19 VJD11:VJD19 VSZ11:VSZ19 WCV11:WCV19 WMR11:WMR19 WWN11:WWN19 WWN983053:WWN983059 AF65549:AF65555 KB65549:KB65555 TX65549:TX65555 ADT65549:ADT65555 ANP65549:ANP65555 AXL65549:AXL65555 BHH65549:BHH65555 BRD65549:BRD65555 CAZ65549:CAZ65555 CKV65549:CKV65555 CUR65549:CUR65555 DEN65549:DEN65555 DOJ65549:DOJ65555 DYF65549:DYF65555 EIB65549:EIB65555 ERX65549:ERX65555 FBT65549:FBT65555 FLP65549:FLP65555 FVL65549:FVL65555 GFH65549:GFH65555 GPD65549:GPD65555 GYZ65549:GYZ65555 HIV65549:HIV65555 HSR65549:HSR65555 ICN65549:ICN65555 IMJ65549:IMJ65555 IWF65549:IWF65555 JGB65549:JGB65555 JPX65549:JPX65555 JZT65549:JZT65555 KJP65549:KJP65555 KTL65549:KTL65555 LDH65549:LDH65555 LND65549:LND65555 LWZ65549:LWZ65555 MGV65549:MGV65555 MQR65549:MQR65555 NAN65549:NAN65555 NKJ65549:NKJ65555 NUF65549:NUF65555 OEB65549:OEB65555 ONX65549:ONX65555 OXT65549:OXT65555 PHP65549:PHP65555 PRL65549:PRL65555 QBH65549:QBH65555 QLD65549:QLD65555 QUZ65549:QUZ65555 REV65549:REV65555 ROR65549:ROR65555 RYN65549:RYN65555 SIJ65549:SIJ65555 SSF65549:SSF65555 TCB65549:TCB65555 TLX65549:TLX65555 TVT65549:TVT65555 UFP65549:UFP65555 UPL65549:UPL65555 UZH65549:UZH65555 VJD65549:VJD65555 VSZ65549:VSZ65555 WCV65549:WCV65555 WMR65549:WMR65555 WWN65549:WWN65555 AF131085:AF131091 KB131085:KB131091 TX131085:TX131091 ADT131085:ADT131091 ANP131085:ANP131091 AXL131085:AXL131091 BHH131085:BHH131091 BRD131085:BRD131091 CAZ131085:CAZ131091 CKV131085:CKV131091 CUR131085:CUR131091 DEN131085:DEN131091 DOJ131085:DOJ131091 DYF131085:DYF131091 EIB131085:EIB131091 ERX131085:ERX131091 FBT131085:FBT131091 FLP131085:FLP131091 FVL131085:FVL131091 GFH131085:GFH131091 GPD131085:GPD131091 GYZ131085:GYZ131091 HIV131085:HIV131091 HSR131085:HSR131091 ICN131085:ICN131091 IMJ131085:IMJ131091 IWF131085:IWF131091 JGB131085:JGB131091 JPX131085:JPX131091 JZT131085:JZT131091 KJP131085:KJP131091 KTL131085:KTL131091 LDH131085:LDH131091 LND131085:LND131091 LWZ131085:LWZ131091 MGV131085:MGV131091 MQR131085:MQR131091 NAN131085:NAN131091 NKJ131085:NKJ131091 NUF131085:NUF131091 OEB131085:OEB131091 ONX131085:ONX131091 OXT131085:OXT131091 PHP131085:PHP131091 PRL131085:PRL131091 QBH131085:QBH131091 QLD131085:QLD131091 QUZ131085:QUZ131091 REV131085:REV131091 ROR131085:ROR131091 RYN131085:RYN131091 SIJ131085:SIJ131091 SSF131085:SSF131091 TCB131085:TCB131091 TLX131085:TLX131091 TVT131085:TVT131091 UFP131085:UFP131091 UPL131085:UPL131091 UZH131085:UZH131091 VJD131085:VJD131091 VSZ131085:VSZ131091 WCV131085:WCV131091 WMR131085:WMR131091 WWN131085:WWN131091 AF196621:AF196627 KB196621:KB196627 TX196621:TX196627 ADT196621:ADT196627 ANP196621:ANP196627 AXL196621:AXL196627 BHH196621:BHH196627 BRD196621:BRD196627 CAZ196621:CAZ196627 CKV196621:CKV196627 CUR196621:CUR196627 DEN196621:DEN196627 DOJ196621:DOJ196627 DYF196621:DYF196627 EIB196621:EIB196627 ERX196621:ERX196627 FBT196621:FBT196627 FLP196621:FLP196627 FVL196621:FVL196627 GFH196621:GFH196627 GPD196621:GPD196627 GYZ196621:GYZ196627 HIV196621:HIV196627 HSR196621:HSR196627 ICN196621:ICN196627 IMJ196621:IMJ196627 IWF196621:IWF196627 JGB196621:JGB196627 JPX196621:JPX196627 JZT196621:JZT196627 KJP196621:KJP196627 KTL196621:KTL196627 LDH196621:LDH196627 LND196621:LND196627 LWZ196621:LWZ196627 MGV196621:MGV196627 MQR196621:MQR196627 NAN196621:NAN196627 NKJ196621:NKJ196627 NUF196621:NUF196627 OEB196621:OEB196627 ONX196621:ONX196627 OXT196621:OXT196627 PHP196621:PHP196627 PRL196621:PRL196627 QBH196621:QBH196627 QLD196621:QLD196627 QUZ196621:QUZ196627 REV196621:REV196627 ROR196621:ROR196627 RYN196621:RYN196627 SIJ196621:SIJ196627 SSF196621:SSF196627 TCB196621:TCB196627 TLX196621:TLX196627 TVT196621:TVT196627 UFP196621:UFP196627 UPL196621:UPL196627 UZH196621:UZH196627 VJD196621:VJD196627 VSZ196621:VSZ196627 WCV196621:WCV196627 WMR196621:WMR196627 WWN196621:WWN196627 AF262157:AF262163 KB262157:KB262163 TX262157:TX262163 ADT262157:ADT262163 ANP262157:ANP262163 AXL262157:AXL262163 BHH262157:BHH262163 BRD262157:BRD262163 CAZ262157:CAZ262163 CKV262157:CKV262163 CUR262157:CUR262163 DEN262157:DEN262163 DOJ262157:DOJ262163 DYF262157:DYF262163 EIB262157:EIB262163 ERX262157:ERX262163 FBT262157:FBT262163 FLP262157:FLP262163 FVL262157:FVL262163 GFH262157:GFH262163 GPD262157:GPD262163 GYZ262157:GYZ262163 HIV262157:HIV262163 HSR262157:HSR262163 ICN262157:ICN262163 IMJ262157:IMJ262163 IWF262157:IWF262163 JGB262157:JGB262163 JPX262157:JPX262163 JZT262157:JZT262163 KJP262157:KJP262163 KTL262157:KTL262163 LDH262157:LDH262163 LND262157:LND262163 LWZ262157:LWZ262163 MGV262157:MGV262163 MQR262157:MQR262163 NAN262157:NAN262163 NKJ262157:NKJ262163 NUF262157:NUF262163 OEB262157:OEB262163 ONX262157:ONX262163 OXT262157:OXT262163 PHP262157:PHP262163 PRL262157:PRL262163 QBH262157:QBH262163 QLD262157:QLD262163 QUZ262157:QUZ262163 REV262157:REV262163 ROR262157:ROR262163 RYN262157:RYN262163 SIJ262157:SIJ262163 SSF262157:SSF262163 TCB262157:TCB262163 TLX262157:TLX262163 TVT262157:TVT262163 UFP262157:UFP262163 UPL262157:UPL262163 UZH262157:UZH262163 VJD262157:VJD262163 VSZ262157:VSZ262163 WCV262157:WCV262163 WMR262157:WMR262163 WWN262157:WWN262163 AF327693:AF327699 KB327693:KB327699 TX327693:TX327699 ADT327693:ADT327699 ANP327693:ANP327699 AXL327693:AXL327699 BHH327693:BHH327699 BRD327693:BRD327699 CAZ327693:CAZ327699 CKV327693:CKV327699 CUR327693:CUR327699 DEN327693:DEN327699 DOJ327693:DOJ327699 DYF327693:DYF327699 EIB327693:EIB327699 ERX327693:ERX327699 FBT327693:FBT327699 FLP327693:FLP327699 FVL327693:FVL327699 GFH327693:GFH327699 GPD327693:GPD327699 GYZ327693:GYZ327699 HIV327693:HIV327699 HSR327693:HSR327699 ICN327693:ICN327699 IMJ327693:IMJ327699 IWF327693:IWF327699 JGB327693:JGB327699 JPX327693:JPX327699 JZT327693:JZT327699 KJP327693:KJP327699 KTL327693:KTL327699 LDH327693:LDH327699 LND327693:LND327699 LWZ327693:LWZ327699 MGV327693:MGV327699 MQR327693:MQR327699 NAN327693:NAN327699 NKJ327693:NKJ327699 NUF327693:NUF327699 OEB327693:OEB327699 ONX327693:ONX327699 OXT327693:OXT327699 PHP327693:PHP327699 PRL327693:PRL327699 QBH327693:QBH327699 QLD327693:QLD327699 QUZ327693:QUZ327699 REV327693:REV327699 ROR327693:ROR327699 RYN327693:RYN327699 SIJ327693:SIJ327699 SSF327693:SSF327699 TCB327693:TCB327699 TLX327693:TLX327699 TVT327693:TVT327699 UFP327693:UFP327699 UPL327693:UPL327699 UZH327693:UZH327699 VJD327693:VJD327699 VSZ327693:VSZ327699 WCV327693:WCV327699 WMR327693:WMR327699 WWN327693:WWN327699 AF393229:AF393235 KB393229:KB393235 TX393229:TX393235 ADT393229:ADT393235 ANP393229:ANP393235 AXL393229:AXL393235 BHH393229:BHH393235 BRD393229:BRD393235 CAZ393229:CAZ393235 CKV393229:CKV393235 CUR393229:CUR393235 DEN393229:DEN393235 DOJ393229:DOJ393235 DYF393229:DYF393235 EIB393229:EIB393235 ERX393229:ERX393235 FBT393229:FBT393235 FLP393229:FLP393235 FVL393229:FVL393235 GFH393229:GFH393235 GPD393229:GPD393235 GYZ393229:GYZ393235 HIV393229:HIV393235 HSR393229:HSR393235 ICN393229:ICN393235 IMJ393229:IMJ393235 IWF393229:IWF393235 JGB393229:JGB393235 JPX393229:JPX393235 JZT393229:JZT393235 KJP393229:KJP393235 KTL393229:KTL393235 LDH393229:LDH393235 LND393229:LND393235 LWZ393229:LWZ393235 MGV393229:MGV393235 MQR393229:MQR393235 NAN393229:NAN393235 NKJ393229:NKJ393235 NUF393229:NUF393235 OEB393229:OEB393235 ONX393229:ONX393235 OXT393229:OXT393235 PHP393229:PHP393235 PRL393229:PRL393235 QBH393229:QBH393235 QLD393229:QLD393235 QUZ393229:QUZ393235 REV393229:REV393235 ROR393229:ROR393235 RYN393229:RYN393235 SIJ393229:SIJ393235 SSF393229:SSF393235 TCB393229:TCB393235 TLX393229:TLX393235 TVT393229:TVT393235 UFP393229:UFP393235 UPL393229:UPL393235 UZH393229:UZH393235 VJD393229:VJD393235 VSZ393229:VSZ393235 WCV393229:WCV393235 WMR393229:WMR393235 WWN393229:WWN393235 AF458765:AF458771 KB458765:KB458771 TX458765:TX458771 ADT458765:ADT458771 ANP458765:ANP458771 AXL458765:AXL458771 BHH458765:BHH458771 BRD458765:BRD458771 CAZ458765:CAZ458771 CKV458765:CKV458771 CUR458765:CUR458771 DEN458765:DEN458771 DOJ458765:DOJ458771 DYF458765:DYF458771 EIB458765:EIB458771 ERX458765:ERX458771 FBT458765:FBT458771 FLP458765:FLP458771 FVL458765:FVL458771 GFH458765:GFH458771 GPD458765:GPD458771 GYZ458765:GYZ458771 HIV458765:HIV458771 HSR458765:HSR458771 ICN458765:ICN458771 IMJ458765:IMJ458771 IWF458765:IWF458771 JGB458765:JGB458771 JPX458765:JPX458771 JZT458765:JZT458771 KJP458765:KJP458771 KTL458765:KTL458771 LDH458765:LDH458771 LND458765:LND458771 LWZ458765:LWZ458771 MGV458765:MGV458771 MQR458765:MQR458771 NAN458765:NAN458771 NKJ458765:NKJ458771 NUF458765:NUF458771 OEB458765:OEB458771 ONX458765:ONX458771 OXT458765:OXT458771 PHP458765:PHP458771 PRL458765:PRL458771 QBH458765:QBH458771 QLD458765:QLD458771 QUZ458765:QUZ458771 REV458765:REV458771 ROR458765:ROR458771 RYN458765:RYN458771 SIJ458765:SIJ458771 SSF458765:SSF458771 TCB458765:TCB458771 TLX458765:TLX458771 TVT458765:TVT458771 UFP458765:UFP458771 UPL458765:UPL458771 UZH458765:UZH458771 VJD458765:VJD458771 VSZ458765:VSZ458771 WCV458765:WCV458771 WMR458765:WMR458771 WWN458765:WWN458771 AF524301:AF524307 KB524301:KB524307 TX524301:TX524307 ADT524301:ADT524307 ANP524301:ANP524307 AXL524301:AXL524307 BHH524301:BHH524307 BRD524301:BRD524307 CAZ524301:CAZ524307 CKV524301:CKV524307 CUR524301:CUR524307 DEN524301:DEN524307 DOJ524301:DOJ524307 DYF524301:DYF524307 EIB524301:EIB524307 ERX524301:ERX524307 FBT524301:FBT524307 FLP524301:FLP524307 FVL524301:FVL524307 GFH524301:GFH524307 GPD524301:GPD524307 GYZ524301:GYZ524307 HIV524301:HIV524307 HSR524301:HSR524307 ICN524301:ICN524307 IMJ524301:IMJ524307 IWF524301:IWF524307 JGB524301:JGB524307 JPX524301:JPX524307 JZT524301:JZT524307 KJP524301:KJP524307 KTL524301:KTL524307 LDH524301:LDH524307 LND524301:LND524307 LWZ524301:LWZ524307 MGV524301:MGV524307 MQR524301:MQR524307 NAN524301:NAN524307 NKJ524301:NKJ524307 NUF524301:NUF524307 OEB524301:OEB524307 ONX524301:ONX524307 OXT524301:OXT524307 PHP524301:PHP524307 PRL524301:PRL524307 QBH524301:QBH524307 QLD524301:QLD524307 QUZ524301:QUZ524307 REV524301:REV524307 ROR524301:ROR524307 RYN524301:RYN524307 SIJ524301:SIJ524307 SSF524301:SSF524307 TCB524301:TCB524307 TLX524301:TLX524307 TVT524301:TVT524307 UFP524301:UFP524307 UPL524301:UPL524307 UZH524301:UZH524307 VJD524301:VJD524307 VSZ524301:VSZ524307 WCV524301:WCV524307 WMR524301:WMR524307 WWN524301:WWN524307 AF589837:AF589843 KB589837:KB589843 TX589837:TX589843 ADT589837:ADT589843 ANP589837:ANP589843 AXL589837:AXL589843 BHH589837:BHH589843 BRD589837:BRD589843 CAZ589837:CAZ589843 CKV589837:CKV589843 CUR589837:CUR589843 DEN589837:DEN589843 DOJ589837:DOJ589843 DYF589837:DYF589843 EIB589837:EIB589843 ERX589837:ERX589843 FBT589837:FBT589843 FLP589837:FLP589843 FVL589837:FVL589843 GFH589837:GFH589843 GPD589837:GPD589843 GYZ589837:GYZ589843 HIV589837:HIV589843 HSR589837:HSR589843 ICN589837:ICN589843 IMJ589837:IMJ589843 IWF589837:IWF589843 JGB589837:JGB589843 JPX589837:JPX589843 JZT589837:JZT589843 KJP589837:KJP589843 KTL589837:KTL589843 LDH589837:LDH589843 LND589837:LND589843 LWZ589837:LWZ589843 MGV589837:MGV589843 MQR589837:MQR589843 NAN589837:NAN589843 NKJ589837:NKJ589843 NUF589837:NUF589843 OEB589837:OEB589843 ONX589837:ONX589843 OXT589837:OXT589843 PHP589837:PHP589843 PRL589837:PRL589843 QBH589837:QBH589843 QLD589837:QLD589843 QUZ589837:QUZ589843 REV589837:REV589843 ROR589837:ROR589843 RYN589837:RYN589843 SIJ589837:SIJ589843 SSF589837:SSF589843 TCB589837:TCB589843 TLX589837:TLX589843 TVT589837:TVT589843 UFP589837:UFP589843 UPL589837:UPL589843 UZH589837:UZH589843 VJD589837:VJD589843 VSZ589837:VSZ589843 WCV589837:WCV589843 WMR589837:WMR589843 WWN589837:WWN589843 AF655373:AF655379 KB655373:KB655379 TX655373:TX655379 ADT655373:ADT655379 ANP655373:ANP655379 AXL655373:AXL655379 BHH655373:BHH655379 BRD655373:BRD655379 CAZ655373:CAZ655379 CKV655373:CKV655379 CUR655373:CUR655379 DEN655373:DEN655379 DOJ655373:DOJ655379 DYF655373:DYF655379 EIB655373:EIB655379 ERX655373:ERX655379 FBT655373:FBT655379 FLP655373:FLP655379 FVL655373:FVL655379 GFH655373:GFH655379 GPD655373:GPD655379 GYZ655373:GYZ655379 HIV655373:HIV655379 HSR655373:HSR655379 ICN655373:ICN655379 IMJ655373:IMJ655379 IWF655373:IWF655379 JGB655373:JGB655379 JPX655373:JPX655379 JZT655373:JZT655379 KJP655373:KJP655379 KTL655373:KTL655379 LDH655373:LDH655379 LND655373:LND655379 LWZ655373:LWZ655379 MGV655373:MGV655379 MQR655373:MQR655379 NAN655373:NAN655379 NKJ655373:NKJ655379 NUF655373:NUF655379 OEB655373:OEB655379 ONX655373:ONX655379 OXT655373:OXT655379 PHP655373:PHP655379 PRL655373:PRL655379 QBH655373:QBH655379 QLD655373:QLD655379 QUZ655373:QUZ655379 REV655373:REV655379 ROR655373:ROR655379 RYN655373:RYN655379 SIJ655373:SIJ655379 SSF655373:SSF655379 TCB655373:TCB655379 TLX655373:TLX655379 TVT655373:TVT655379 UFP655373:UFP655379 UPL655373:UPL655379 UZH655373:UZH655379 VJD655373:VJD655379 VSZ655373:VSZ655379 WCV655373:WCV655379 WMR655373:WMR655379 WWN655373:WWN655379 AF720909:AF720915 KB720909:KB720915 TX720909:TX720915 ADT720909:ADT720915 ANP720909:ANP720915 AXL720909:AXL720915 BHH720909:BHH720915 BRD720909:BRD720915 CAZ720909:CAZ720915 CKV720909:CKV720915 CUR720909:CUR720915 DEN720909:DEN720915 DOJ720909:DOJ720915 DYF720909:DYF720915 EIB720909:EIB720915 ERX720909:ERX720915 FBT720909:FBT720915 FLP720909:FLP720915 FVL720909:FVL720915 GFH720909:GFH720915 GPD720909:GPD720915 GYZ720909:GYZ720915 HIV720909:HIV720915 HSR720909:HSR720915 ICN720909:ICN720915 IMJ720909:IMJ720915 IWF720909:IWF720915 JGB720909:JGB720915 JPX720909:JPX720915 JZT720909:JZT720915 KJP720909:KJP720915 KTL720909:KTL720915 LDH720909:LDH720915 LND720909:LND720915 LWZ720909:LWZ720915 MGV720909:MGV720915 MQR720909:MQR720915 NAN720909:NAN720915 NKJ720909:NKJ720915 NUF720909:NUF720915 OEB720909:OEB720915 ONX720909:ONX720915 OXT720909:OXT720915 PHP720909:PHP720915 PRL720909:PRL720915 QBH720909:QBH720915 QLD720909:QLD720915 QUZ720909:QUZ720915 REV720909:REV720915 ROR720909:ROR720915 RYN720909:RYN720915 SIJ720909:SIJ720915 SSF720909:SSF720915 TCB720909:TCB720915 TLX720909:TLX720915 TVT720909:TVT720915 UFP720909:UFP720915 UPL720909:UPL720915 UZH720909:UZH720915 VJD720909:VJD720915 VSZ720909:VSZ720915 WCV720909:WCV720915 WMR720909:WMR720915 WWN720909:WWN720915 AF786445:AF786451 KB786445:KB786451 TX786445:TX786451 ADT786445:ADT786451 ANP786445:ANP786451 AXL786445:AXL786451 BHH786445:BHH786451 BRD786445:BRD786451 CAZ786445:CAZ786451 CKV786445:CKV786451 CUR786445:CUR786451 DEN786445:DEN786451 DOJ786445:DOJ786451 DYF786445:DYF786451 EIB786445:EIB786451 ERX786445:ERX786451 FBT786445:FBT786451 FLP786445:FLP786451 FVL786445:FVL786451 GFH786445:GFH786451 GPD786445:GPD786451 GYZ786445:GYZ786451 HIV786445:HIV786451 HSR786445:HSR786451 ICN786445:ICN786451 IMJ786445:IMJ786451 IWF786445:IWF786451 JGB786445:JGB786451 JPX786445:JPX786451 JZT786445:JZT786451 KJP786445:KJP786451 KTL786445:KTL786451 LDH786445:LDH786451 LND786445:LND786451 LWZ786445:LWZ786451 MGV786445:MGV786451 MQR786445:MQR786451 NAN786445:NAN786451 NKJ786445:NKJ786451 NUF786445:NUF786451 OEB786445:OEB786451 ONX786445:ONX786451 OXT786445:OXT786451 PHP786445:PHP786451 PRL786445:PRL786451 QBH786445:QBH786451 QLD786445:QLD786451 QUZ786445:QUZ786451 REV786445:REV786451 ROR786445:ROR786451 RYN786445:RYN786451 SIJ786445:SIJ786451 SSF786445:SSF786451 TCB786445:TCB786451 TLX786445:TLX786451 TVT786445:TVT786451 UFP786445:UFP786451 UPL786445:UPL786451 UZH786445:UZH786451 VJD786445:VJD786451 VSZ786445:VSZ786451 WCV786445:WCV786451 WMR786445:WMR786451 WWN786445:WWN786451 AF851981:AF851987 KB851981:KB851987 TX851981:TX851987 ADT851981:ADT851987 ANP851981:ANP851987 AXL851981:AXL851987 BHH851981:BHH851987 BRD851981:BRD851987 CAZ851981:CAZ851987 CKV851981:CKV851987 CUR851981:CUR851987 DEN851981:DEN851987 DOJ851981:DOJ851987 DYF851981:DYF851987 EIB851981:EIB851987 ERX851981:ERX851987 FBT851981:FBT851987 FLP851981:FLP851987 FVL851981:FVL851987 GFH851981:GFH851987 GPD851981:GPD851987 GYZ851981:GYZ851987 HIV851981:HIV851987 HSR851981:HSR851987 ICN851981:ICN851987 IMJ851981:IMJ851987 IWF851981:IWF851987 JGB851981:JGB851987 JPX851981:JPX851987 JZT851981:JZT851987 KJP851981:KJP851987 KTL851981:KTL851987 LDH851981:LDH851987 LND851981:LND851987 LWZ851981:LWZ851987 MGV851981:MGV851987 MQR851981:MQR851987 NAN851981:NAN851987 NKJ851981:NKJ851987 NUF851981:NUF851987 OEB851981:OEB851987 ONX851981:ONX851987 OXT851981:OXT851987 PHP851981:PHP851987 PRL851981:PRL851987 QBH851981:QBH851987 QLD851981:QLD851987 QUZ851981:QUZ851987 REV851981:REV851987 ROR851981:ROR851987 RYN851981:RYN851987 SIJ851981:SIJ851987 SSF851981:SSF851987 TCB851981:TCB851987 TLX851981:TLX851987 TVT851981:TVT851987 UFP851981:UFP851987 UPL851981:UPL851987 UZH851981:UZH851987 VJD851981:VJD851987 VSZ851981:VSZ851987 WCV851981:WCV851987 WMR851981:WMR851987 WWN851981:WWN851987 AF917517:AF917523 KB917517:KB917523 TX917517:TX917523 ADT917517:ADT917523 ANP917517:ANP917523 AXL917517:AXL917523 BHH917517:BHH917523 BRD917517:BRD917523 CAZ917517:CAZ917523 CKV917517:CKV917523 CUR917517:CUR917523 DEN917517:DEN917523 DOJ917517:DOJ917523 DYF917517:DYF917523 EIB917517:EIB917523 ERX917517:ERX917523 FBT917517:FBT917523 FLP917517:FLP917523 FVL917517:FVL917523 GFH917517:GFH917523 GPD917517:GPD917523 GYZ917517:GYZ917523 HIV917517:HIV917523 HSR917517:HSR917523 ICN917517:ICN917523 IMJ917517:IMJ917523 IWF917517:IWF917523 JGB917517:JGB917523 JPX917517:JPX917523 JZT917517:JZT917523 KJP917517:KJP917523 KTL917517:KTL917523 LDH917517:LDH917523 LND917517:LND917523 LWZ917517:LWZ917523 MGV917517:MGV917523 MQR917517:MQR917523 NAN917517:NAN917523 NKJ917517:NKJ917523 NUF917517:NUF917523 OEB917517:OEB917523 ONX917517:ONX917523 OXT917517:OXT917523 PHP917517:PHP917523 PRL917517:PRL917523 QBH917517:QBH917523 QLD917517:QLD917523 QUZ917517:QUZ917523 REV917517:REV917523 ROR917517:ROR917523 RYN917517:RYN917523 SIJ917517:SIJ917523 SSF917517:SSF917523 TCB917517:TCB917523 TLX917517:TLX917523 TVT917517:TVT917523 UFP917517:UFP917523 UPL917517:UPL917523 UZH917517:UZH917523 VJD917517:VJD917523 VSZ917517:VSZ917523 WCV917517:WCV917523 WMR917517:WMR917523 WWN917517:WWN917523 AF983053:AF983059 KB983053:KB983059 TX983053:TX983059 ADT983053:ADT983059 ANP983053:ANP983059 AXL983053:AXL983059 BHH983053:BHH983059 BRD983053:BRD983059 CAZ983053:CAZ983059 CKV983053:CKV983059 CUR983053:CUR983059 DEN983053:DEN983059 DOJ983053:DOJ983059 DYF983053:DYF983059 EIB983053:EIB983059 ERX983053:ERX983059 FBT983053:FBT983059 FLP983053:FLP983059 FVL983053:FVL983059 GFH983053:GFH983059 GPD983053:GPD983059 GYZ983053:GYZ983059 HIV983053:HIV983059 HSR983053:HSR983059 ICN983053:ICN983059 IMJ983053:IMJ983059 IWF983053:IWF983059 JGB983053:JGB983059 JPX983053:JPX983059 JZT983053:JZT983059 KJP983053:KJP983059 KTL983053:KTL983059 LDH983053:LDH983059 LND983053:LND983059 LWZ983053:LWZ983059 MGV983053:MGV983059 MQR983053:MQR983059 NAN983053:NAN983059 NKJ983053:NKJ983059 NUF983053:NUF983059 OEB983053:OEB983059 ONX983053:ONX983059 OXT983053:OXT983059 PHP983053:PHP983059 PRL983053:PRL983059 QBH983053:QBH983059 QLD983053:QLD983059 QUZ983053:QUZ983059 REV983053:REV983059 ROR983053:ROR983059 RYN983053:RYN983059 SIJ983053:SIJ983059 SSF983053:SSF983059 TCB983053:TCB983059 TLX983053:TLX983059 TVT983053:TVT983059 UFP983053:UFP983059 UPL983053:UPL983059 UZH983053:UZH983059 VJD983053:VJD983059 VSZ983053:VSZ983059 WCV983053:WCV983059 WMR983053:WMR983059 AF11:AF19">
      <formula1>$AJ$1:$AJ$4</formula1>
    </dataValidation>
    <dataValidation type="list" allowBlank="1" showInputMessage="1" showErrorMessage="1" sqref="AE8 KA8 WWM983050 WMQ983050 WCU983050 VSY983050 VJC983050 UZG983050 UPK983050 UFO983050 TVS983050 TLW983050 TCA983050 SSE983050 SII983050 RYM983050 ROQ983050 REU983050 QUY983050 QLC983050 QBG983050 PRK983050 PHO983050 OXS983050 ONW983050 OEA983050 NUE983050 NKI983050 NAM983050 MQQ983050 MGU983050 LWY983050 LNC983050 LDG983050 KTK983050 KJO983050 JZS983050 JPW983050 JGA983050 IWE983050 IMI983050 ICM983050 HSQ983050 HIU983050 GYY983050 GPC983050 GFG983050 FVK983050 FLO983050 FBS983050 ERW983050 EIA983050 DYE983050 DOI983050 DEM983050 CUQ983050 CKU983050 CAY983050 BRC983050 BHG983050 AXK983050 ANO983050 ADS983050 TW983050 KA983050 AE983050 WWM917514 WMQ917514 WCU917514 VSY917514 VJC917514 UZG917514 UPK917514 UFO917514 TVS917514 TLW917514 TCA917514 SSE917514 SII917514 RYM917514 ROQ917514 REU917514 QUY917514 QLC917514 QBG917514 PRK917514 PHO917514 OXS917514 ONW917514 OEA917514 NUE917514 NKI917514 NAM917514 MQQ917514 MGU917514 LWY917514 LNC917514 LDG917514 KTK917514 KJO917514 JZS917514 JPW917514 JGA917514 IWE917514 IMI917514 ICM917514 HSQ917514 HIU917514 GYY917514 GPC917514 GFG917514 FVK917514 FLO917514 FBS917514 ERW917514 EIA917514 DYE917514 DOI917514 DEM917514 CUQ917514 CKU917514 CAY917514 BRC917514 BHG917514 AXK917514 ANO917514 ADS917514 TW917514 KA917514 AE917514 WWM851978 WMQ851978 WCU851978 VSY851978 VJC851978 UZG851978 UPK851978 UFO851978 TVS851978 TLW851978 TCA851978 SSE851978 SII851978 RYM851978 ROQ851978 REU851978 QUY851978 QLC851978 QBG851978 PRK851978 PHO851978 OXS851978 ONW851978 OEA851978 NUE851978 NKI851978 NAM851978 MQQ851978 MGU851978 LWY851978 LNC851978 LDG851978 KTK851978 KJO851978 JZS851978 JPW851978 JGA851978 IWE851978 IMI851978 ICM851978 HSQ851978 HIU851978 GYY851978 GPC851978 GFG851978 FVK851978 FLO851978 FBS851978 ERW851978 EIA851978 DYE851978 DOI851978 DEM851978 CUQ851978 CKU851978 CAY851978 BRC851978 BHG851978 AXK851978 ANO851978 ADS851978 TW851978 KA851978 AE851978 WWM786442 WMQ786442 WCU786442 VSY786442 VJC786442 UZG786442 UPK786442 UFO786442 TVS786442 TLW786442 TCA786442 SSE786442 SII786442 RYM786442 ROQ786442 REU786442 QUY786442 QLC786442 QBG786442 PRK786442 PHO786442 OXS786442 ONW786442 OEA786442 NUE786442 NKI786442 NAM786442 MQQ786442 MGU786442 LWY786442 LNC786442 LDG786442 KTK786442 KJO786442 JZS786442 JPW786442 JGA786442 IWE786442 IMI786442 ICM786442 HSQ786442 HIU786442 GYY786442 GPC786442 GFG786442 FVK786442 FLO786442 FBS786442 ERW786442 EIA786442 DYE786442 DOI786442 DEM786442 CUQ786442 CKU786442 CAY786442 BRC786442 BHG786442 AXK786442 ANO786442 ADS786442 TW786442 KA786442 AE786442 WWM720906 WMQ720906 WCU720906 VSY720906 VJC720906 UZG720906 UPK720906 UFO720906 TVS720906 TLW720906 TCA720906 SSE720906 SII720906 RYM720906 ROQ720906 REU720906 QUY720906 QLC720906 QBG720906 PRK720906 PHO720906 OXS720906 ONW720906 OEA720906 NUE720906 NKI720906 NAM720906 MQQ720906 MGU720906 LWY720906 LNC720906 LDG720906 KTK720906 KJO720906 JZS720906 JPW720906 JGA720906 IWE720906 IMI720906 ICM720906 HSQ720906 HIU720906 GYY720906 GPC720906 GFG720906 FVK720906 FLO720906 FBS720906 ERW720906 EIA720906 DYE720906 DOI720906 DEM720906 CUQ720906 CKU720906 CAY720906 BRC720906 BHG720906 AXK720906 ANO720906 ADS720906 TW720906 KA720906 AE720906 WWM655370 WMQ655370 WCU655370 VSY655370 VJC655370 UZG655370 UPK655370 UFO655370 TVS655370 TLW655370 TCA655370 SSE655370 SII655370 RYM655370 ROQ655370 REU655370 QUY655370 QLC655370 QBG655370 PRK655370 PHO655370 OXS655370 ONW655370 OEA655370 NUE655370 NKI655370 NAM655370 MQQ655370 MGU655370 LWY655370 LNC655370 LDG655370 KTK655370 KJO655370 JZS655370 JPW655370 JGA655370 IWE655370 IMI655370 ICM655370 HSQ655370 HIU655370 GYY655370 GPC655370 GFG655370 FVK655370 FLO655370 FBS655370 ERW655370 EIA655370 DYE655370 DOI655370 DEM655370 CUQ655370 CKU655370 CAY655370 BRC655370 BHG655370 AXK655370 ANO655370 ADS655370 TW655370 KA655370 AE655370 WWM589834 WMQ589834 WCU589834 VSY589834 VJC589834 UZG589834 UPK589834 UFO589834 TVS589834 TLW589834 TCA589834 SSE589834 SII589834 RYM589834 ROQ589834 REU589834 QUY589834 QLC589834 QBG589834 PRK589834 PHO589834 OXS589834 ONW589834 OEA589834 NUE589834 NKI589834 NAM589834 MQQ589834 MGU589834 LWY589834 LNC589834 LDG589834 KTK589834 KJO589834 JZS589834 JPW589834 JGA589834 IWE589834 IMI589834 ICM589834 HSQ589834 HIU589834 GYY589834 GPC589834 GFG589834 FVK589834 FLO589834 FBS589834 ERW589834 EIA589834 DYE589834 DOI589834 DEM589834 CUQ589834 CKU589834 CAY589834 BRC589834 BHG589834 AXK589834 ANO589834 ADS589834 TW589834 KA589834 AE589834 WWM524298 WMQ524298 WCU524298 VSY524298 VJC524298 UZG524298 UPK524298 UFO524298 TVS524298 TLW524298 TCA524298 SSE524298 SII524298 RYM524298 ROQ524298 REU524298 QUY524298 QLC524298 QBG524298 PRK524298 PHO524298 OXS524298 ONW524298 OEA524298 NUE524298 NKI524298 NAM524298 MQQ524298 MGU524298 LWY524298 LNC524298 LDG524298 KTK524298 KJO524298 JZS524298 JPW524298 JGA524298 IWE524298 IMI524298 ICM524298 HSQ524298 HIU524298 GYY524298 GPC524298 GFG524298 FVK524298 FLO524298 FBS524298 ERW524298 EIA524298 DYE524298 DOI524298 DEM524298 CUQ524298 CKU524298 CAY524298 BRC524298 BHG524298 AXK524298 ANO524298 ADS524298 TW524298 KA524298 AE524298 WWM458762 WMQ458762 WCU458762 VSY458762 VJC458762 UZG458762 UPK458762 UFO458762 TVS458762 TLW458762 TCA458762 SSE458762 SII458762 RYM458762 ROQ458762 REU458762 QUY458762 QLC458762 QBG458762 PRK458762 PHO458762 OXS458762 ONW458762 OEA458762 NUE458762 NKI458762 NAM458762 MQQ458762 MGU458762 LWY458762 LNC458762 LDG458762 KTK458762 KJO458762 JZS458762 JPW458762 JGA458762 IWE458762 IMI458762 ICM458762 HSQ458762 HIU458762 GYY458762 GPC458762 GFG458762 FVK458762 FLO458762 FBS458762 ERW458762 EIA458762 DYE458762 DOI458762 DEM458762 CUQ458762 CKU458762 CAY458762 BRC458762 BHG458762 AXK458762 ANO458762 ADS458762 TW458762 KA458762 AE458762 WWM393226 WMQ393226 WCU393226 VSY393226 VJC393226 UZG393226 UPK393226 UFO393226 TVS393226 TLW393226 TCA393226 SSE393226 SII393226 RYM393226 ROQ393226 REU393226 QUY393226 QLC393226 QBG393226 PRK393226 PHO393226 OXS393226 ONW393226 OEA393226 NUE393226 NKI393226 NAM393226 MQQ393226 MGU393226 LWY393226 LNC393226 LDG393226 KTK393226 KJO393226 JZS393226 JPW393226 JGA393226 IWE393226 IMI393226 ICM393226 HSQ393226 HIU393226 GYY393226 GPC393226 GFG393226 FVK393226 FLO393226 FBS393226 ERW393226 EIA393226 DYE393226 DOI393226 DEM393226 CUQ393226 CKU393226 CAY393226 BRC393226 BHG393226 AXK393226 ANO393226 ADS393226 TW393226 KA393226 AE393226 WWM327690 WMQ327690 WCU327690 VSY327690 VJC327690 UZG327690 UPK327690 UFO327690 TVS327690 TLW327690 TCA327690 SSE327690 SII327690 RYM327690 ROQ327690 REU327690 QUY327690 QLC327690 QBG327690 PRK327690 PHO327690 OXS327690 ONW327690 OEA327690 NUE327690 NKI327690 NAM327690 MQQ327690 MGU327690 LWY327690 LNC327690 LDG327690 KTK327690 KJO327690 JZS327690 JPW327690 JGA327690 IWE327690 IMI327690 ICM327690 HSQ327690 HIU327690 GYY327690 GPC327690 GFG327690 FVK327690 FLO327690 FBS327690 ERW327690 EIA327690 DYE327690 DOI327690 DEM327690 CUQ327690 CKU327690 CAY327690 BRC327690 BHG327690 AXK327690 ANO327690 ADS327690 TW327690 KA327690 AE327690 WWM262154 WMQ262154 WCU262154 VSY262154 VJC262154 UZG262154 UPK262154 UFO262154 TVS262154 TLW262154 TCA262154 SSE262154 SII262154 RYM262154 ROQ262154 REU262154 QUY262154 QLC262154 QBG262154 PRK262154 PHO262154 OXS262154 ONW262154 OEA262154 NUE262154 NKI262154 NAM262154 MQQ262154 MGU262154 LWY262154 LNC262154 LDG262154 KTK262154 KJO262154 JZS262154 JPW262154 JGA262154 IWE262154 IMI262154 ICM262154 HSQ262154 HIU262154 GYY262154 GPC262154 GFG262154 FVK262154 FLO262154 FBS262154 ERW262154 EIA262154 DYE262154 DOI262154 DEM262154 CUQ262154 CKU262154 CAY262154 BRC262154 BHG262154 AXK262154 ANO262154 ADS262154 TW262154 KA262154 AE262154 WWM196618 WMQ196618 WCU196618 VSY196618 VJC196618 UZG196618 UPK196618 UFO196618 TVS196618 TLW196618 TCA196618 SSE196618 SII196618 RYM196618 ROQ196618 REU196618 QUY196618 QLC196618 QBG196618 PRK196618 PHO196618 OXS196618 ONW196618 OEA196618 NUE196618 NKI196618 NAM196618 MQQ196618 MGU196618 LWY196618 LNC196618 LDG196618 KTK196618 KJO196618 JZS196618 JPW196618 JGA196618 IWE196618 IMI196618 ICM196618 HSQ196618 HIU196618 GYY196618 GPC196618 GFG196618 FVK196618 FLO196618 FBS196618 ERW196618 EIA196618 DYE196618 DOI196618 DEM196618 CUQ196618 CKU196618 CAY196618 BRC196618 BHG196618 AXK196618 ANO196618 ADS196618 TW196618 KA196618 AE196618 WWM131082 WMQ131082 WCU131082 VSY131082 VJC131082 UZG131082 UPK131082 UFO131082 TVS131082 TLW131082 TCA131082 SSE131082 SII131082 RYM131082 ROQ131082 REU131082 QUY131082 QLC131082 QBG131082 PRK131082 PHO131082 OXS131082 ONW131082 OEA131082 NUE131082 NKI131082 NAM131082 MQQ131082 MGU131082 LWY131082 LNC131082 LDG131082 KTK131082 KJO131082 JZS131082 JPW131082 JGA131082 IWE131082 IMI131082 ICM131082 HSQ131082 HIU131082 GYY131082 GPC131082 GFG131082 FVK131082 FLO131082 FBS131082 ERW131082 EIA131082 DYE131082 DOI131082 DEM131082 CUQ131082 CKU131082 CAY131082 BRC131082 BHG131082 AXK131082 ANO131082 ADS131082 TW131082 KA131082 AE131082 WWM65546 WMQ65546 WCU65546 VSY65546 VJC65546 UZG65546 UPK65546 UFO65546 TVS65546 TLW65546 TCA65546 SSE65546 SII65546 RYM65546 ROQ65546 REU65546 QUY65546 QLC65546 QBG65546 PRK65546 PHO65546 OXS65546 ONW65546 OEA65546 NUE65546 NKI65546 NAM65546 MQQ65546 MGU65546 LWY65546 LNC65546 LDG65546 KTK65546 KJO65546 JZS65546 JPW65546 JGA65546 IWE65546 IMI65546 ICM65546 HSQ65546 HIU65546 GYY65546 GPC65546 GFG65546 FVK65546 FLO65546 FBS65546 ERW65546 EIA65546 DYE65546 DOI65546 DEM65546 CUQ65546 CKU65546 CAY65546 BRC65546 BHG65546 AXK65546 ANO65546 ADS65546 TW65546 KA65546 AE65546 WWM8 WMQ8 WCU8 VSY8 VJC8 UZG8 UPK8 UFO8 TVS8 TLW8 TCA8 SSE8 SII8 RYM8 ROQ8 REU8 QUY8 QLC8 QBG8 PRK8 PHO8 OXS8 ONW8 OEA8 NUE8 NKI8 NAM8 MQQ8 MGU8 LWY8 LNC8 LDG8 KTK8 KJO8 JZS8 JPW8 JGA8 IWE8 IMI8 ICM8 HSQ8 HIU8 GYY8 GPC8 GFG8 FVK8 FLO8 FBS8 ERW8 EIA8 DYE8 DOI8 DEM8 CUQ8 CKU8 CAY8 BRC8 BHG8 AXK8 ANO8 ADS8 TW8 AE11:AE17">
      <formula1>$B$29:$B$31</formula1>
    </dataValidation>
    <dataValidation type="list" allowBlank="1" showInputMessage="1" showErrorMessage="1" sqref="H8:H13 WVP983050:WVP983055 WLT983050:WLT983055 WBX983050:WBX983055 VSB983050:VSB983055 VIF983050:VIF983055 UYJ983050:UYJ983055 UON983050:UON983055 UER983050:UER983055 TUV983050:TUV983055 TKZ983050:TKZ983055 TBD983050:TBD983055 SRH983050:SRH983055 SHL983050:SHL983055 RXP983050:RXP983055 RNT983050:RNT983055 RDX983050:RDX983055 QUB983050:QUB983055 QKF983050:QKF983055 QAJ983050:QAJ983055 PQN983050:PQN983055 PGR983050:PGR983055 OWV983050:OWV983055 OMZ983050:OMZ983055 ODD983050:ODD983055 NTH983050:NTH983055 NJL983050:NJL983055 MZP983050:MZP983055 MPT983050:MPT983055 MFX983050:MFX983055 LWB983050:LWB983055 LMF983050:LMF983055 LCJ983050:LCJ983055 KSN983050:KSN983055 KIR983050:KIR983055 JYV983050:JYV983055 JOZ983050:JOZ983055 JFD983050:JFD983055 IVH983050:IVH983055 ILL983050:ILL983055 IBP983050:IBP983055 HRT983050:HRT983055 HHX983050:HHX983055 GYB983050:GYB983055 GOF983050:GOF983055 GEJ983050:GEJ983055 FUN983050:FUN983055 FKR983050:FKR983055 FAV983050:FAV983055 EQZ983050:EQZ983055 EHD983050:EHD983055 DXH983050:DXH983055 DNL983050:DNL983055 DDP983050:DDP983055 CTT983050:CTT983055 CJX983050:CJX983055 CAB983050:CAB983055 BQF983050:BQF983055 BGJ983050:BGJ983055 AWN983050:AWN983055 AMR983050:AMR983055 ACV983050:ACV983055 SZ983050:SZ983055 JD983050:JD983055 H983050:H983055 WVP917514:WVP917519 WLT917514:WLT917519 WBX917514:WBX917519 VSB917514:VSB917519 VIF917514:VIF917519 UYJ917514:UYJ917519 UON917514:UON917519 UER917514:UER917519 TUV917514:TUV917519 TKZ917514:TKZ917519 TBD917514:TBD917519 SRH917514:SRH917519 SHL917514:SHL917519 RXP917514:RXP917519 RNT917514:RNT917519 RDX917514:RDX917519 QUB917514:QUB917519 QKF917514:QKF917519 QAJ917514:QAJ917519 PQN917514:PQN917519 PGR917514:PGR917519 OWV917514:OWV917519 OMZ917514:OMZ917519 ODD917514:ODD917519 NTH917514:NTH917519 NJL917514:NJL917519 MZP917514:MZP917519 MPT917514:MPT917519 MFX917514:MFX917519 LWB917514:LWB917519 LMF917514:LMF917519 LCJ917514:LCJ917519 KSN917514:KSN917519 KIR917514:KIR917519 JYV917514:JYV917519 JOZ917514:JOZ917519 JFD917514:JFD917519 IVH917514:IVH917519 ILL917514:ILL917519 IBP917514:IBP917519 HRT917514:HRT917519 HHX917514:HHX917519 GYB917514:GYB917519 GOF917514:GOF917519 GEJ917514:GEJ917519 FUN917514:FUN917519 FKR917514:FKR917519 FAV917514:FAV917519 EQZ917514:EQZ917519 EHD917514:EHD917519 DXH917514:DXH917519 DNL917514:DNL917519 DDP917514:DDP917519 CTT917514:CTT917519 CJX917514:CJX917519 CAB917514:CAB917519 BQF917514:BQF917519 BGJ917514:BGJ917519 AWN917514:AWN917519 AMR917514:AMR917519 ACV917514:ACV917519 SZ917514:SZ917519 JD917514:JD917519 H917514:H917519 WVP851978:WVP851983 WLT851978:WLT851983 WBX851978:WBX851983 VSB851978:VSB851983 VIF851978:VIF851983 UYJ851978:UYJ851983 UON851978:UON851983 UER851978:UER851983 TUV851978:TUV851983 TKZ851978:TKZ851983 TBD851978:TBD851983 SRH851978:SRH851983 SHL851978:SHL851983 RXP851978:RXP851983 RNT851978:RNT851983 RDX851978:RDX851983 QUB851978:QUB851983 QKF851978:QKF851983 QAJ851978:QAJ851983 PQN851978:PQN851983 PGR851978:PGR851983 OWV851978:OWV851983 OMZ851978:OMZ851983 ODD851978:ODD851983 NTH851978:NTH851983 NJL851978:NJL851983 MZP851978:MZP851983 MPT851978:MPT851983 MFX851978:MFX851983 LWB851978:LWB851983 LMF851978:LMF851983 LCJ851978:LCJ851983 KSN851978:KSN851983 KIR851978:KIR851983 JYV851978:JYV851983 JOZ851978:JOZ851983 JFD851978:JFD851983 IVH851978:IVH851983 ILL851978:ILL851983 IBP851978:IBP851983 HRT851978:HRT851983 HHX851978:HHX851983 GYB851978:GYB851983 GOF851978:GOF851983 GEJ851978:GEJ851983 FUN851978:FUN851983 FKR851978:FKR851983 FAV851978:FAV851983 EQZ851978:EQZ851983 EHD851978:EHD851983 DXH851978:DXH851983 DNL851978:DNL851983 DDP851978:DDP851983 CTT851978:CTT851983 CJX851978:CJX851983 CAB851978:CAB851983 BQF851978:BQF851983 BGJ851978:BGJ851983 AWN851978:AWN851983 AMR851978:AMR851983 ACV851978:ACV851983 SZ851978:SZ851983 JD851978:JD851983 H851978:H851983 WVP786442:WVP786447 WLT786442:WLT786447 WBX786442:WBX786447 VSB786442:VSB786447 VIF786442:VIF786447 UYJ786442:UYJ786447 UON786442:UON786447 UER786442:UER786447 TUV786442:TUV786447 TKZ786442:TKZ786447 TBD786442:TBD786447 SRH786442:SRH786447 SHL786442:SHL786447 RXP786442:RXP786447 RNT786442:RNT786447 RDX786442:RDX786447 QUB786442:QUB786447 QKF786442:QKF786447 QAJ786442:QAJ786447 PQN786442:PQN786447 PGR786442:PGR786447 OWV786442:OWV786447 OMZ786442:OMZ786447 ODD786442:ODD786447 NTH786442:NTH786447 NJL786442:NJL786447 MZP786442:MZP786447 MPT786442:MPT786447 MFX786442:MFX786447 LWB786442:LWB786447 LMF786442:LMF786447 LCJ786442:LCJ786447 KSN786442:KSN786447 KIR786442:KIR786447 JYV786442:JYV786447 JOZ786442:JOZ786447 JFD786442:JFD786447 IVH786442:IVH786447 ILL786442:ILL786447 IBP786442:IBP786447 HRT786442:HRT786447 HHX786442:HHX786447 GYB786442:GYB786447 GOF786442:GOF786447 GEJ786442:GEJ786447 FUN786442:FUN786447 FKR786442:FKR786447 FAV786442:FAV786447 EQZ786442:EQZ786447 EHD786442:EHD786447 DXH786442:DXH786447 DNL786442:DNL786447 DDP786442:DDP786447 CTT786442:CTT786447 CJX786442:CJX786447 CAB786442:CAB786447 BQF786442:BQF786447 BGJ786442:BGJ786447 AWN786442:AWN786447 AMR786442:AMR786447 ACV786442:ACV786447 SZ786442:SZ786447 JD786442:JD786447 H786442:H786447 WVP720906:WVP720911 WLT720906:WLT720911 WBX720906:WBX720911 VSB720906:VSB720911 VIF720906:VIF720911 UYJ720906:UYJ720911 UON720906:UON720911 UER720906:UER720911 TUV720906:TUV720911 TKZ720906:TKZ720911 TBD720906:TBD720911 SRH720906:SRH720911 SHL720906:SHL720911 RXP720906:RXP720911 RNT720906:RNT720911 RDX720906:RDX720911 QUB720906:QUB720911 QKF720906:QKF720911 QAJ720906:QAJ720911 PQN720906:PQN720911 PGR720906:PGR720911 OWV720906:OWV720911 OMZ720906:OMZ720911 ODD720906:ODD720911 NTH720906:NTH720911 NJL720906:NJL720911 MZP720906:MZP720911 MPT720906:MPT720911 MFX720906:MFX720911 LWB720906:LWB720911 LMF720906:LMF720911 LCJ720906:LCJ720911 KSN720906:KSN720911 KIR720906:KIR720911 JYV720906:JYV720911 JOZ720906:JOZ720911 JFD720906:JFD720911 IVH720906:IVH720911 ILL720906:ILL720911 IBP720906:IBP720911 HRT720906:HRT720911 HHX720906:HHX720911 GYB720906:GYB720911 GOF720906:GOF720911 GEJ720906:GEJ720911 FUN720906:FUN720911 FKR720906:FKR720911 FAV720906:FAV720911 EQZ720906:EQZ720911 EHD720906:EHD720911 DXH720906:DXH720911 DNL720906:DNL720911 DDP720906:DDP720911 CTT720906:CTT720911 CJX720906:CJX720911 CAB720906:CAB720911 BQF720906:BQF720911 BGJ720906:BGJ720911 AWN720906:AWN720911 AMR720906:AMR720911 ACV720906:ACV720911 SZ720906:SZ720911 JD720906:JD720911 H720906:H720911 WVP655370:WVP655375 WLT655370:WLT655375 WBX655370:WBX655375 VSB655370:VSB655375 VIF655370:VIF655375 UYJ655370:UYJ655375 UON655370:UON655375 UER655370:UER655375 TUV655370:TUV655375 TKZ655370:TKZ655375 TBD655370:TBD655375 SRH655370:SRH655375 SHL655370:SHL655375 RXP655370:RXP655375 RNT655370:RNT655375 RDX655370:RDX655375 QUB655370:QUB655375 QKF655370:QKF655375 QAJ655370:QAJ655375 PQN655370:PQN655375 PGR655370:PGR655375 OWV655370:OWV655375 OMZ655370:OMZ655375 ODD655370:ODD655375 NTH655370:NTH655375 NJL655370:NJL655375 MZP655370:MZP655375 MPT655370:MPT655375 MFX655370:MFX655375 LWB655370:LWB655375 LMF655370:LMF655375 LCJ655370:LCJ655375 KSN655370:KSN655375 KIR655370:KIR655375 JYV655370:JYV655375 JOZ655370:JOZ655375 JFD655370:JFD655375 IVH655370:IVH655375 ILL655370:ILL655375 IBP655370:IBP655375 HRT655370:HRT655375 HHX655370:HHX655375 GYB655370:GYB655375 GOF655370:GOF655375 GEJ655370:GEJ655375 FUN655370:FUN655375 FKR655370:FKR655375 FAV655370:FAV655375 EQZ655370:EQZ655375 EHD655370:EHD655375 DXH655370:DXH655375 DNL655370:DNL655375 DDP655370:DDP655375 CTT655370:CTT655375 CJX655370:CJX655375 CAB655370:CAB655375 BQF655370:BQF655375 BGJ655370:BGJ655375 AWN655370:AWN655375 AMR655370:AMR655375 ACV655370:ACV655375 SZ655370:SZ655375 JD655370:JD655375 H655370:H655375 WVP589834:WVP589839 WLT589834:WLT589839 WBX589834:WBX589839 VSB589834:VSB589839 VIF589834:VIF589839 UYJ589834:UYJ589839 UON589834:UON589839 UER589834:UER589839 TUV589834:TUV589839 TKZ589834:TKZ589839 TBD589834:TBD589839 SRH589834:SRH589839 SHL589834:SHL589839 RXP589834:RXP589839 RNT589834:RNT589839 RDX589834:RDX589839 QUB589834:QUB589839 QKF589834:QKF589839 QAJ589834:QAJ589839 PQN589834:PQN589839 PGR589834:PGR589839 OWV589834:OWV589839 OMZ589834:OMZ589839 ODD589834:ODD589839 NTH589834:NTH589839 NJL589834:NJL589839 MZP589834:MZP589839 MPT589834:MPT589839 MFX589834:MFX589839 LWB589834:LWB589839 LMF589834:LMF589839 LCJ589834:LCJ589839 KSN589834:KSN589839 KIR589834:KIR589839 JYV589834:JYV589839 JOZ589834:JOZ589839 JFD589834:JFD589839 IVH589834:IVH589839 ILL589834:ILL589839 IBP589834:IBP589839 HRT589834:HRT589839 HHX589834:HHX589839 GYB589834:GYB589839 GOF589834:GOF589839 GEJ589834:GEJ589839 FUN589834:FUN589839 FKR589834:FKR589839 FAV589834:FAV589839 EQZ589834:EQZ589839 EHD589834:EHD589839 DXH589834:DXH589839 DNL589834:DNL589839 DDP589834:DDP589839 CTT589834:CTT589839 CJX589834:CJX589839 CAB589834:CAB589839 BQF589834:BQF589839 BGJ589834:BGJ589839 AWN589834:AWN589839 AMR589834:AMR589839 ACV589834:ACV589839 SZ589834:SZ589839 JD589834:JD589839 H589834:H589839 WVP524298:WVP524303 WLT524298:WLT524303 WBX524298:WBX524303 VSB524298:VSB524303 VIF524298:VIF524303 UYJ524298:UYJ524303 UON524298:UON524303 UER524298:UER524303 TUV524298:TUV524303 TKZ524298:TKZ524303 TBD524298:TBD524303 SRH524298:SRH524303 SHL524298:SHL524303 RXP524298:RXP524303 RNT524298:RNT524303 RDX524298:RDX524303 QUB524298:QUB524303 QKF524298:QKF524303 QAJ524298:QAJ524303 PQN524298:PQN524303 PGR524298:PGR524303 OWV524298:OWV524303 OMZ524298:OMZ524303 ODD524298:ODD524303 NTH524298:NTH524303 NJL524298:NJL524303 MZP524298:MZP524303 MPT524298:MPT524303 MFX524298:MFX524303 LWB524298:LWB524303 LMF524298:LMF524303 LCJ524298:LCJ524303 KSN524298:KSN524303 KIR524298:KIR524303 JYV524298:JYV524303 JOZ524298:JOZ524303 JFD524298:JFD524303 IVH524298:IVH524303 ILL524298:ILL524303 IBP524298:IBP524303 HRT524298:HRT524303 HHX524298:HHX524303 GYB524298:GYB524303 GOF524298:GOF524303 GEJ524298:GEJ524303 FUN524298:FUN524303 FKR524298:FKR524303 FAV524298:FAV524303 EQZ524298:EQZ524303 EHD524298:EHD524303 DXH524298:DXH524303 DNL524298:DNL524303 DDP524298:DDP524303 CTT524298:CTT524303 CJX524298:CJX524303 CAB524298:CAB524303 BQF524298:BQF524303 BGJ524298:BGJ524303 AWN524298:AWN524303 AMR524298:AMR524303 ACV524298:ACV524303 SZ524298:SZ524303 JD524298:JD524303 H524298:H524303 WVP458762:WVP458767 WLT458762:WLT458767 WBX458762:WBX458767 VSB458762:VSB458767 VIF458762:VIF458767 UYJ458762:UYJ458767 UON458762:UON458767 UER458762:UER458767 TUV458762:TUV458767 TKZ458762:TKZ458767 TBD458762:TBD458767 SRH458762:SRH458767 SHL458762:SHL458767 RXP458762:RXP458767 RNT458762:RNT458767 RDX458762:RDX458767 QUB458762:QUB458767 QKF458762:QKF458767 QAJ458762:QAJ458767 PQN458762:PQN458767 PGR458762:PGR458767 OWV458762:OWV458767 OMZ458762:OMZ458767 ODD458762:ODD458767 NTH458762:NTH458767 NJL458762:NJL458767 MZP458762:MZP458767 MPT458762:MPT458767 MFX458762:MFX458767 LWB458762:LWB458767 LMF458762:LMF458767 LCJ458762:LCJ458767 KSN458762:KSN458767 KIR458762:KIR458767 JYV458762:JYV458767 JOZ458762:JOZ458767 JFD458762:JFD458767 IVH458762:IVH458767 ILL458762:ILL458767 IBP458762:IBP458767 HRT458762:HRT458767 HHX458762:HHX458767 GYB458762:GYB458767 GOF458762:GOF458767 GEJ458762:GEJ458767 FUN458762:FUN458767 FKR458762:FKR458767 FAV458762:FAV458767 EQZ458762:EQZ458767 EHD458762:EHD458767 DXH458762:DXH458767 DNL458762:DNL458767 DDP458762:DDP458767 CTT458762:CTT458767 CJX458762:CJX458767 CAB458762:CAB458767 BQF458762:BQF458767 BGJ458762:BGJ458767 AWN458762:AWN458767 AMR458762:AMR458767 ACV458762:ACV458767 SZ458762:SZ458767 JD458762:JD458767 H458762:H458767 WVP393226:WVP393231 WLT393226:WLT393231 WBX393226:WBX393231 VSB393226:VSB393231 VIF393226:VIF393231 UYJ393226:UYJ393231 UON393226:UON393231 UER393226:UER393231 TUV393226:TUV393231 TKZ393226:TKZ393231 TBD393226:TBD393231 SRH393226:SRH393231 SHL393226:SHL393231 RXP393226:RXP393231 RNT393226:RNT393231 RDX393226:RDX393231 QUB393226:QUB393231 QKF393226:QKF393231 QAJ393226:QAJ393231 PQN393226:PQN393231 PGR393226:PGR393231 OWV393226:OWV393231 OMZ393226:OMZ393231 ODD393226:ODD393231 NTH393226:NTH393231 NJL393226:NJL393231 MZP393226:MZP393231 MPT393226:MPT393231 MFX393226:MFX393231 LWB393226:LWB393231 LMF393226:LMF393231 LCJ393226:LCJ393231 KSN393226:KSN393231 KIR393226:KIR393231 JYV393226:JYV393231 JOZ393226:JOZ393231 JFD393226:JFD393231 IVH393226:IVH393231 ILL393226:ILL393231 IBP393226:IBP393231 HRT393226:HRT393231 HHX393226:HHX393231 GYB393226:GYB393231 GOF393226:GOF393231 GEJ393226:GEJ393231 FUN393226:FUN393231 FKR393226:FKR393231 FAV393226:FAV393231 EQZ393226:EQZ393231 EHD393226:EHD393231 DXH393226:DXH393231 DNL393226:DNL393231 DDP393226:DDP393231 CTT393226:CTT393231 CJX393226:CJX393231 CAB393226:CAB393231 BQF393226:BQF393231 BGJ393226:BGJ393231 AWN393226:AWN393231 AMR393226:AMR393231 ACV393226:ACV393231 SZ393226:SZ393231 JD393226:JD393231 H393226:H393231 WVP327690:WVP327695 WLT327690:WLT327695 WBX327690:WBX327695 VSB327690:VSB327695 VIF327690:VIF327695 UYJ327690:UYJ327695 UON327690:UON327695 UER327690:UER327695 TUV327690:TUV327695 TKZ327690:TKZ327695 TBD327690:TBD327695 SRH327690:SRH327695 SHL327690:SHL327695 RXP327690:RXP327695 RNT327690:RNT327695 RDX327690:RDX327695 QUB327690:QUB327695 QKF327690:QKF327695 QAJ327690:QAJ327695 PQN327690:PQN327695 PGR327690:PGR327695 OWV327690:OWV327695 OMZ327690:OMZ327695 ODD327690:ODD327695 NTH327690:NTH327695 NJL327690:NJL327695 MZP327690:MZP327695 MPT327690:MPT327695 MFX327690:MFX327695 LWB327690:LWB327695 LMF327690:LMF327695 LCJ327690:LCJ327695 KSN327690:KSN327695 KIR327690:KIR327695 JYV327690:JYV327695 JOZ327690:JOZ327695 JFD327690:JFD327695 IVH327690:IVH327695 ILL327690:ILL327695 IBP327690:IBP327695 HRT327690:HRT327695 HHX327690:HHX327695 GYB327690:GYB327695 GOF327690:GOF327695 GEJ327690:GEJ327695 FUN327690:FUN327695 FKR327690:FKR327695 FAV327690:FAV327695 EQZ327690:EQZ327695 EHD327690:EHD327695 DXH327690:DXH327695 DNL327690:DNL327695 DDP327690:DDP327695 CTT327690:CTT327695 CJX327690:CJX327695 CAB327690:CAB327695 BQF327690:BQF327695 BGJ327690:BGJ327695 AWN327690:AWN327695 AMR327690:AMR327695 ACV327690:ACV327695 SZ327690:SZ327695 JD327690:JD327695 H327690:H327695 WVP262154:WVP262159 WLT262154:WLT262159 WBX262154:WBX262159 VSB262154:VSB262159 VIF262154:VIF262159 UYJ262154:UYJ262159 UON262154:UON262159 UER262154:UER262159 TUV262154:TUV262159 TKZ262154:TKZ262159 TBD262154:TBD262159 SRH262154:SRH262159 SHL262154:SHL262159 RXP262154:RXP262159 RNT262154:RNT262159 RDX262154:RDX262159 QUB262154:QUB262159 QKF262154:QKF262159 QAJ262154:QAJ262159 PQN262154:PQN262159 PGR262154:PGR262159 OWV262154:OWV262159 OMZ262154:OMZ262159 ODD262154:ODD262159 NTH262154:NTH262159 NJL262154:NJL262159 MZP262154:MZP262159 MPT262154:MPT262159 MFX262154:MFX262159 LWB262154:LWB262159 LMF262154:LMF262159 LCJ262154:LCJ262159 KSN262154:KSN262159 KIR262154:KIR262159 JYV262154:JYV262159 JOZ262154:JOZ262159 JFD262154:JFD262159 IVH262154:IVH262159 ILL262154:ILL262159 IBP262154:IBP262159 HRT262154:HRT262159 HHX262154:HHX262159 GYB262154:GYB262159 GOF262154:GOF262159 GEJ262154:GEJ262159 FUN262154:FUN262159 FKR262154:FKR262159 FAV262154:FAV262159 EQZ262154:EQZ262159 EHD262154:EHD262159 DXH262154:DXH262159 DNL262154:DNL262159 DDP262154:DDP262159 CTT262154:CTT262159 CJX262154:CJX262159 CAB262154:CAB262159 BQF262154:BQF262159 BGJ262154:BGJ262159 AWN262154:AWN262159 AMR262154:AMR262159 ACV262154:ACV262159 SZ262154:SZ262159 JD262154:JD262159 H262154:H262159 WVP196618:WVP196623 WLT196618:WLT196623 WBX196618:WBX196623 VSB196618:VSB196623 VIF196618:VIF196623 UYJ196618:UYJ196623 UON196618:UON196623 UER196618:UER196623 TUV196618:TUV196623 TKZ196618:TKZ196623 TBD196618:TBD196623 SRH196618:SRH196623 SHL196618:SHL196623 RXP196618:RXP196623 RNT196618:RNT196623 RDX196618:RDX196623 QUB196618:QUB196623 QKF196618:QKF196623 QAJ196618:QAJ196623 PQN196618:PQN196623 PGR196618:PGR196623 OWV196618:OWV196623 OMZ196618:OMZ196623 ODD196618:ODD196623 NTH196618:NTH196623 NJL196618:NJL196623 MZP196618:MZP196623 MPT196618:MPT196623 MFX196618:MFX196623 LWB196618:LWB196623 LMF196618:LMF196623 LCJ196618:LCJ196623 KSN196618:KSN196623 KIR196618:KIR196623 JYV196618:JYV196623 JOZ196618:JOZ196623 JFD196618:JFD196623 IVH196618:IVH196623 ILL196618:ILL196623 IBP196618:IBP196623 HRT196618:HRT196623 HHX196618:HHX196623 GYB196618:GYB196623 GOF196618:GOF196623 GEJ196618:GEJ196623 FUN196618:FUN196623 FKR196618:FKR196623 FAV196618:FAV196623 EQZ196618:EQZ196623 EHD196618:EHD196623 DXH196618:DXH196623 DNL196618:DNL196623 DDP196618:DDP196623 CTT196618:CTT196623 CJX196618:CJX196623 CAB196618:CAB196623 BQF196618:BQF196623 BGJ196618:BGJ196623 AWN196618:AWN196623 AMR196618:AMR196623 ACV196618:ACV196623 SZ196618:SZ196623 JD196618:JD196623 H196618:H196623 WVP131082:WVP131087 WLT131082:WLT131087 WBX131082:WBX131087 VSB131082:VSB131087 VIF131082:VIF131087 UYJ131082:UYJ131087 UON131082:UON131087 UER131082:UER131087 TUV131082:TUV131087 TKZ131082:TKZ131087 TBD131082:TBD131087 SRH131082:SRH131087 SHL131082:SHL131087 RXP131082:RXP131087 RNT131082:RNT131087 RDX131082:RDX131087 QUB131082:QUB131087 QKF131082:QKF131087 QAJ131082:QAJ131087 PQN131082:PQN131087 PGR131082:PGR131087 OWV131082:OWV131087 OMZ131082:OMZ131087 ODD131082:ODD131087 NTH131082:NTH131087 NJL131082:NJL131087 MZP131082:MZP131087 MPT131082:MPT131087 MFX131082:MFX131087 LWB131082:LWB131087 LMF131082:LMF131087 LCJ131082:LCJ131087 KSN131082:KSN131087 KIR131082:KIR131087 JYV131082:JYV131087 JOZ131082:JOZ131087 JFD131082:JFD131087 IVH131082:IVH131087 ILL131082:ILL131087 IBP131082:IBP131087 HRT131082:HRT131087 HHX131082:HHX131087 GYB131082:GYB131087 GOF131082:GOF131087 GEJ131082:GEJ131087 FUN131082:FUN131087 FKR131082:FKR131087 FAV131082:FAV131087 EQZ131082:EQZ131087 EHD131082:EHD131087 DXH131082:DXH131087 DNL131082:DNL131087 DDP131082:DDP131087 CTT131082:CTT131087 CJX131082:CJX131087 CAB131082:CAB131087 BQF131082:BQF131087 BGJ131082:BGJ131087 AWN131082:AWN131087 AMR131082:AMR131087 ACV131082:ACV131087 SZ131082:SZ131087 JD131082:JD131087 H131082:H131087 WVP65546:WVP65551 WLT65546:WLT65551 WBX65546:WBX65551 VSB65546:VSB65551 VIF65546:VIF65551 UYJ65546:UYJ65551 UON65546:UON65551 UER65546:UER65551 TUV65546:TUV65551 TKZ65546:TKZ65551 TBD65546:TBD65551 SRH65546:SRH65551 SHL65546:SHL65551 RXP65546:RXP65551 RNT65546:RNT65551 RDX65546:RDX65551 QUB65546:QUB65551 QKF65546:QKF65551 QAJ65546:QAJ65551 PQN65546:PQN65551 PGR65546:PGR65551 OWV65546:OWV65551 OMZ65546:OMZ65551 ODD65546:ODD65551 NTH65546:NTH65551 NJL65546:NJL65551 MZP65546:MZP65551 MPT65546:MPT65551 MFX65546:MFX65551 LWB65546:LWB65551 LMF65546:LMF65551 LCJ65546:LCJ65551 KSN65546:KSN65551 KIR65546:KIR65551 JYV65546:JYV65551 JOZ65546:JOZ65551 JFD65546:JFD65551 IVH65546:IVH65551 ILL65546:ILL65551 IBP65546:IBP65551 HRT65546:HRT65551 HHX65546:HHX65551 GYB65546:GYB65551 GOF65546:GOF65551 GEJ65546:GEJ65551 FUN65546:FUN65551 FKR65546:FKR65551 FAV65546:FAV65551 EQZ65546:EQZ65551 EHD65546:EHD65551 DXH65546:DXH65551 DNL65546:DNL65551 DDP65546:DDP65551 CTT65546:CTT65551 CJX65546:CJX65551 CAB65546:CAB65551 BQF65546:BQF65551 BGJ65546:BGJ65551 AWN65546:AWN65551 AMR65546:AMR65551 ACV65546:ACV65551 SZ65546:SZ65551 JD65546:JD65551 H65546:H65551 WVP8:WVP13 WLT8:WLT13 WBX8:WBX13 VSB8:VSB13 VIF8:VIF13 UYJ8:UYJ13 UON8:UON13 UER8:UER13 TUV8:TUV13 TKZ8:TKZ13 TBD8:TBD13 SRH8:SRH13 SHL8:SHL13 RXP8:RXP13 RNT8:RNT13 RDX8:RDX13 QUB8:QUB13 QKF8:QKF13 QAJ8:QAJ13 PQN8:PQN13 PGR8:PGR13 OWV8:OWV13 OMZ8:OMZ13 ODD8:ODD13 NTH8:NTH13 NJL8:NJL13 MZP8:MZP13 MPT8:MPT13 MFX8:MFX13 LWB8:LWB13 LMF8:LMF13 LCJ8:LCJ13 KSN8:KSN13 KIR8:KIR13 JYV8:JYV13 JOZ8:JOZ13 JFD8:JFD13 IVH8:IVH13 ILL8:ILL13 IBP8:IBP13 HRT8:HRT13 HHX8:HHX13 GYB8:GYB13 GOF8:GOF13 GEJ8:GEJ13 FUN8:FUN13 FKR8:FKR13 FAV8:FAV13 EQZ8:EQZ13 EHD8:EHD13 DXH8:DXH13 DNL8:DNL13 DDP8:DDP13 CTT8:CTT13 CJX8:CJX13 CAB8:CAB13 BQF8:BQF13 BGJ8:BGJ13 AWN8:AWN13 AMR8:AMR13 ACV8:ACV13 SZ8:SZ13 JD8:JD13">
      <formula1>$H$27:$H$31</formula1>
    </dataValidation>
    <dataValidation type="list" allowBlank="1" showInputMessage="1" showErrorMessage="1" sqref="G18:G19 JC18:JC19 SY18:SY19 ACU18:ACU19 AMQ18:AMQ19 AWM18:AWM19 BGI18:BGI19 BQE18:BQE19 CAA18:CAA19 CJW18:CJW19 CTS18:CTS19 DDO18:DDO19 DNK18:DNK19 DXG18:DXG19 EHC18:EHC19 EQY18:EQY19 FAU18:FAU19 FKQ18:FKQ19 FUM18:FUM19 GEI18:GEI19 GOE18:GOE19 GYA18:GYA19 HHW18:HHW19 HRS18:HRS19 IBO18:IBO19 ILK18:ILK19 IVG18:IVG19 JFC18:JFC19 JOY18:JOY19 JYU18:JYU19 KIQ18:KIQ19 KSM18:KSM19 LCI18:LCI19 LME18:LME19 LWA18:LWA19 MFW18:MFW19 MPS18:MPS19 MZO18:MZO19 NJK18:NJK19 NTG18:NTG19 ODC18:ODC19 OMY18:OMY19 OWU18:OWU19 PGQ18:PGQ19 PQM18:PQM19 QAI18:QAI19 QKE18:QKE19 QUA18:QUA19 RDW18:RDW19 RNS18:RNS19 RXO18:RXO19 SHK18:SHK19 SRG18:SRG19 TBC18:TBC19 TKY18:TKY19 TUU18:TUU19 UEQ18:UEQ19 UOM18:UOM19 UYI18:UYI19 VIE18:VIE19 VSA18:VSA19 WBW18:WBW19 WLS18:WLS19 WVO18:WVO19">
      <formula1>$AK$23:$AK$35</formula1>
    </dataValidation>
    <dataValidation type="list" allowBlank="1" showInputMessage="1" showErrorMessage="1" sqref="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formula1>$X$19:$X$20</formula1>
    </dataValidation>
    <dataValidation type="list" allowBlank="1" showInputMessage="1" showErrorMessage="1" sqref="AE18:AE19 KA18:KA19 TW18:TW19 ADS18:ADS19 ANO18:ANO19 AXK18:AXK19 BHG18:BHG19 BRC18:BRC19 CAY18:CAY19 CKU18:CKU19 CUQ18:CUQ19 DEM18:DEM19 DOI18:DOI19 DYE18:DYE19 EIA18:EIA19 ERW18:ERW19 FBS18:FBS19 FLO18:FLO19 FVK18:FVK19 GFG18:GFG19 GPC18:GPC19 GYY18:GYY19 HIU18:HIU19 HSQ18:HSQ19 ICM18:ICM19 IMI18:IMI19 IWE18:IWE19 JGA18:JGA19 JPW18:JPW19 JZS18:JZS19 KJO18:KJO19 KTK18:KTK19 LDG18:LDG19 LNC18:LNC19 LWY18:LWY19 MGU18:MGU19 MQQ18:MQQ19 NAM18:NAM19 NKI18:NKI19 NUE18:NUE19 OEA18:OEA19 ONW18:ONW19 OXS18:OXS19 PHO18:PHO19 PRK18:PRK19 QBG18:QBG19 QLC18:QLC19 QUY18:QUY19 REU18:REU19 ROQ18:ROQ19 RYM18:RYM19 SII18:SII19 SSE18:SSE19 TCA18:TCA19 TLW18:TLW19 TVS18:TVS19 UFO18:UFO19 UPK18:UPK19 UZG18:UZG19 VJC18:VJC19 VSY18:VSY19 WCU18:WCU19 WMQ18:WMQ19 WWM18:WWM19">
      <formula1>$B$19:$B$21</formula1>
    </dataValidation>
    <dataValidation type="list" allowBlank="1" showInputMessage="1" showErrorMessage="1" sqref="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formula1>$H$17:$H$21</formula1>
    </dataValidation>
    <dataValidation type="date" showInputMessage="1" showErrorMessage="1" error="Debe Digitar una Fecha Valida o Verificar la Fecha Inicial" sqref="WWL18:WWL19 WMP18:WMP19 WCT18:WCT19 VSX18:VSX19 VJB18:VJB19 UZF18:UZF19 UPJ18:UPJ19 UFN18:UFN19 TVR18:TVR19 TLV18:TLV19 TBZ18:TBZ19 SSD18:SSD19 SIH18:SIH19 RYL18:RYL19 ROP18:ROP19 RET18:RET19 QUX18:QUX19 QLB18:QLB19 QBF18:QBF19 PRJ18:PRJ19 PHN18:PHN19 OXR18:OXR19 ONV18:ONV19 ODZ18:ODZ19 NUD18:NUD19 NKH18:NKH19 NAL18:NAL19 MQP18:MQP19 MGT18:MGT19 LWX18:LWX19 LNB18:LNB19 LDF18:LDF19 KTJ18:KTJ19 KJN18:KJN19 JZR18:JZR19 JPV18:JPV19 JFZ18:JFZ19 IWD18:IWD19 IMH18:IMH19 ICL18:ICL19 HSP18:HSP19 HIT18:HIT19 GYX18:GYX19 GPB18:GPB19 GFF18:GFF19 FVJ18:FVJ19 FLN18:FLN19 FBR18:FBR19 ERV18:ERV19 EHZ18:EHZ19 DYD18:DYD19 DOH18:DOH19 DEL18:DEL19 CUP18:CUP19 CKT18:CKT19 CAX18:CAX19 BRB18:BRB19 BHF18:BHF19 AXJ18:AXJ19 ANN18:ANN19 ADR18:ADR19 TV18:TV19 JZ18:JZ19 AD18:AD19">
      <formula1>AC18</formula1>
      <formula2>IF(AC18&lt;&gt;0,IF(AD18-AC18&gt;=0,AD18,),)</formula2>
    </dataValidation>
  </dataValidations>
  <printOptions horizontalCentered="1"/>
  <pageMargins left="0.25" right="0.25" top="0.75" bottom="0.75" header="0.3" footer="0.3"/>
  <pageSetup scale="45" orientation="landscape" copies="2" r:id="rId1"/>
  <headerFooter>
    <oddFooter>&amp;C&amp;"Tahoma,Cursiva"&amp;9Si usted ha accedido a este formato a través de un medio diferente al sitio web del Sistema de Control Documental del SIGEC asegúrese que ésta es la versión vigente</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AM36"/>
  <sheetViews>
    <sheetView topLeftCell="F2" zoomScale="90" zoomScaleNormal="90" zoomScaleSheetLayoutView="100" zoomScalePageLayoutView="60" workbookViewId="0">
      <selection activeCell="AF10" sqref="AF10"/>
    </sheetView>
  </sheetViews>
  <sheetFormatPr baseColWidth="10" defaultRowHeight="12.75"/>
  <cols>
    <col min="1" max="1" width="10.28515625" style="2" customWidth="1"/>
    <col min="2" max="2" width="13.42578125" style="2" customWidth="1"/>
    <col min="3" max="3" width="4.28515625" style="2" customWidth="1"/>
    <col min="4" max="4" width="4" style="2" customWidth="1"/>
    <col min="5" max="5" width="20.28515625" style="2" customWidth="1"/>
    <col min="6" max="6" width="4.140625" style="2" customWidth="1"/>
    <col min="7" max="7" width="11.28515625" style="2" customWidth="1"/>
    <col min="8" max="8" width="12.7109375" style="2" customWidth="1"/>
    <col min="9" max="9" width="11" style="2" customWidth="1"/>
    <col min="10" max="11" width="2.140625" style="2" customWidth="1"/>
    <col min="12" max="12" width="3.28515625" style="2" customWidth="1"/>
    <col min="13" max="13" width="0.28515625" style="2" hidden="1" customWidth="1"/>
    <col min="14" max="14" width="0.42578125" style="2" hidden="1" customWidth="1"/>
    <col min="15" max="15" width="2.85546875" style="2" customWidth="1"/>
    <col min="16" max="16" width="3.28515625" style="2" customWidth="1"/>
    <col min="17" max="17" width="1.42578125" style="2" customWidth="1"/>
    <col min="18" max="18" width="1.85546875" style="2" hidden="1" customWidth="1"/>
    <col min="19" max="19" width="6.85546875" style="2" customWidth="1"/>
    <col min="20" max="20" width="3" style="2" hidden="1" customWidth="1"/>
    <col min="21" max="22" width="6.28515625" style="2" customWidth="1"/>
    <col min="23" max="23" width="13.85546875" style="2" customWidth="1"/>
    <col min="24" max="24" width="18.42578125" style="2" customWidth="1"/>
    <col min="25" max="25" width="10.85546875" style="2" customWidth="1"/>
    <col min="26" max="26" width="14.140625" style="2" customWidth="1"/>
    <col min="27" max="27" width="4" style="2" customWidth="1"/>
    <col min="28" max="28" width="18.28515625" style="2" customWidth="1"/>
    <col min="29" max="29" width="13.140625" style="2" customWidth="1"/>
    <col min="30" max="31" width="14" style="2" customWidth="1"/>
    <col min="32" max="32" width="11.42578125" style="2" customWidth="1"/>
    <col min="33" max="33" width="15.85546875" style="2" customWidth="1"/>
    <col min="34" max="34" width="38.85546875" style="2" customWidth="1"/>
    <col min="35" max="35" width="12" style="2" customWidth="1"/>
    <col min="36" max="37" width="0.28515625" style="2" customWidth="1"/>
    <col min="38" max="38" width="1.42578125" style="2" customWidth="1"/>
    <col min="39" max="39" width="1.28515625" style="2" hidden="1" customWidth="1"/>
    <col min="40" max="256" width="11.42578125" style="2"/>
    <col min="257" max="257" width="10.28515625" style="2" customWidth="1"/>
    <col min="258" max="258" width="13.42578125" style="2" customWidth="1"/>
    <col min="259" max="259" width="4.28515625" style="2" customWidth="1"/>
    <col min="260" max="260" width="4" style="2" customWidth="1"/>
    <col min="261" max="261" width="15" style="2" customWidth="1"/>
    <col min="262" max="262" width="4.140625" style="2" customWidth="1"/>
    <col min="263" max="263" width="11.28515625" style="2" customWidth="1"/>
    <col min="264" max="264" width="16.140625" style="2" customWidth="1"/>
    <col min="265" max="265" width="11" style="2" customWidth="1"/>
    <col min="266" max="267" width="2.140625" style="2" customWidth="1"/>
    <col min="268" max="268" width="3.28515625" style="2" customWidth="1"/>
    <col min="269" max="270" width="0" style="2" hidden="1" customWidth="1"/>
    <col min="271" max="271" width="2.85546875" style="2" customWidth="1"/>
    <col min="272" max="272" width="3.28515625" style="2" customWidth="1"/>
    <col min="273" max="273" width="1.42578125" style="2" customWidth="1"/>
    <col min="274" max="274" width="0" style="2" hidden="1" customWidth="1"/>
    <col min="275" max="275" width="6.85546875" style="2" customWidth="1"/>
    <col min="276" max="276" width="0" style="2" hidden="1" customWidth="1"/>
    <col min="277" max="278" width="6.28515625" style="2" customWidth="1"/>
    <col min="279" max="280" width="13.85546875" style="2" customWidth="1"/>
    <col min="281" max="281" width="10.85546875" style="2" customWidth="1"/>
    <col min="282" max="282" width="14.140625" style="2" customWidth="1"/>
    <col min="283" max="283" width="0" style="2" hidden="1" customWidth="1"/>
    <col min="284" max="284" width="13" style="2" customWidth="1"/>
    <col min="285" max="285" width="13.140625" style="2" customWidth="1"/>
    <col min="286" max="287" width="14" style="2" customWidth="1"/>
    <col min="288" max="288" width="11.42578125" style="2" customWidth="1"/>
    <col min="289" max="289" width="15.85546875" style="2" customWidth="1"/>
    <col min="290" max="290" width="23.7109375" style="2" customWidth="1"/>
    <col min="291" max="291" width="12" style="2" customWidth="1"/>
    <col min="292" max="293" width="0.28515625" style="2" customWidth="1"/>
    <col min="294" max="294" width="1.42578125" style="2" customWidth="1"/>
    <col min="295" max="295" width="0" style="2" hidden="1" customWidth="1"/>
    <col min="296" max="512" width="11.42578125" style="2"/>
    <col min="513" max="513" width="10.28515625" style="2" customWidth="1"/>
    <col min="514" max="514" width="13.42578125" style="2" customWidth="1"/>
    <col min="515" max="515" width="4.28515625" style="2" customWidth="1"/>
    <col min="516" max="516" width="4" style="2" customWidth="1"/>
    <col min="517" max="517" width="15" style="2" customWidth="1"/>
    <col min="518" max="518" width="4.140625" style="2" customWidth="1"/>
    <col min="519" max="519" width="11.28515625" style="2" customWidth="1"/>
    <col min="520" max="520" width="16.140625" style="2" customWidth="1"/>
    <col min="521" max="521" width="11" style="2" customWidth="1"/>
    <col min="522" max="523" width="2.140625" style="2" customWidth="1"/>
    <col min="524" max="524" width="3.28515625" style="2" customWidth="1"/>
    <col min="525" max="526" width="0" style="2" hidden="1" customWidth="1"/>
    <col min="527" max="527" width="2.85546875" style="2" customWidth="1"/>
    <col min="528" max="528" width="3.28515625" style="2" customWidth="1"/>
    <col min="529" max="529" width="1.42578125" style="2" customWidth="1"/>
    <col min="530" max="530" width="0" style="2" hidden="1" customWidth="1"/>
    <col min="531" max="531" width="6.85546875" style="2" customWidth="1"/>
    <col min="532" max="532" width="0" style="2" hidden="1" customWidth="1"/>
    <col min="533" max="534" width="6.28515625" style="2" customWidth="1"/>
    <col min="535" max="536" width="13.85546875" style="2" customWidth="1"/>
    <col min="537" max="537" width="10.85546875" style="2" customWidth="1"/>
    <col min="538" max="538" width="14.140625" style="2" customWidth="1"/>
    <col min="539" max="539" width="0" style="2" hidden="1" customWidth="1"/>
    <col min="540" max="540" width="13" style="2" customWidth="1"/>
    <col min="541" max="541" width="13.140625" style="2" customWidth="1"/>
    <col min="542" max="543" width="14" style="2" customWidth="1"/>
    <col min="544" max="544" width="11.42578125" style="2" customWidth="1"/>
    <col min="545" max="545" width="15.85546875" style="2" customWidth="1"/>
    <col min="546" max="546" width="23.7109375" style="2" customWidth="1"/>
    <col min="547" max="547" width="12" style="2" customWidth="1"/>
    <col min="548" max="549" width="0.28515625" style="2" customWidth="1"/>
    <col min="550" max="550" width="1.42578125" style="2" customWidth="1"/>
    <col min="551" max="551" width="0" style="2" hidden="1" customWidth="1"/>
    <col min="552" max="768" width="11.42578125" style="2"/>
    <col min="769" max="769" width="10.28515625" style="2" customWidth="1"/>
    <col min="770" max="770" width="13.42578125" style="2" customWidth="1"/>
    <col min="771" max="771" width="4.28515625" style="2" customWidth="1"/>
    <col min="772" max="772" width="4" style="2" customWidth="1"/>
    <col min="773" max="773" width="15" style="2" customWidth="1"/>
    <col min="774" max="774" width="4.140625" style="2" customWidth="1"/>
    <col min="775" max="775" width="11.28515625" style="2" customWidth="1"/>
    <col min="776" max="776" width="16.140625" style="2" customWidth="1"/>
    <col min="777" max="777" width="11" style="2" customWidth="1"/>
    <col min="778" max="779" width="2.140625" style="2" customWidth="1"/>
    <col min="780" max="780" width="3.28515625" style="2" customWidth="1"/>
    <col min="781" max="782" width="0" style="2" hidden="1" customWidth="1"/>
    <col min="783" max="783" width="2.85546875" style="2" customWidth="1"/>
    <col min="784" max="784" width="3.28515625" style="2" customWidth="1"/>
    <col min="785" max="785" width="1.42578125" style="2" customWidth="1"/>
    <col min="786" max="786" width="0" style="2" hidden="1" customWidth="1"/>
    <col min="787" max="787" width="6.85546875" style="2" customWidth="1"/>
    <col min="788" max="788" width="0" style="2" hidden="1" customWidth="1"/>
    <col min="789" max="790" width="6.28515625" style="2" customWidth="1"/>
    <col min="791" max="792" width="13.85546875" style="2" customWidth="1"/>
    <col min="793" max="793" width="10.85546875" style="2" customWidth="1"/>
    <col min="794" max="794" width="14.140625" style="2" customWidth="1"/>
    <col min="795" max="795" width="0" style="2" hidden="1" customWidth="1"/>
    <col min="796" max="796" width="13" style="2" customWidth="1"/>
    <col min="797" max="797" width="13.140625" style="2" customWidth="1"/>
    <col min="798" max="799" width="14" style="2" customWidth="1"/>
    <col min="800" max="800" width="11.42578125" style="2" customWidth="1"/>
    <col min="801" max="801" width="15.85546875" style="2" customWidth="1"/>
    <col min="802" max="802" width="23.7109375" style="2" customWidth="1"/>
    <col min="803" max="803" width="12" style="2" customWidth="1"/>
    <col min="804" max="805" width="0.28515625" style="2" customWidth="1"/>
    <col min="806" max="806" width="1.42578125" style="2" customWidth="1"/>
    <col min="807" max="807" width="0" style="2" hidden="1" customWidth="1"/>
    <col min="808" max="1024" width="11.42578125" style="2"/>
    <col min="1025" max="1025" width="10.28515625" style="2" customWidth="1"/>
    <col min="1026" max="1026" width="13.42578125" style="2" customWidth="1"/>
    <col min="1027" max="1027" width="4.28515625" style="2" customWidth="1"/>
    <col min="1028" max="1028" width="4" style="2" customWidth="1"/>
    <col min="1029" max="1029" width="15" style="2" customWidth="1"/>
    <col min="1030" max="1030" width="4.140625" style="2" customWidth="1"/>
    <col min="1031" max="1031" width="11.28515625" style="2" customWidth="1"/>
    <col min="1032" max="1032" width="16.140625" style="2" customWidth="1"/>
    <col min="1033" max="1033" width="11" style="2" customWidth="1"/>
    <col min="1034" max="1035" width="2.140625" style="2" customWidth="1"/>
    <col min="1036" max="1036" width="3.28515625" style="2" customWidth="1"/>
    <col min="1037" max="1038" width="0" style="2" hidden="1" customWidth="1"/>
    <col min="1039" max="1039" width="2.85546875" style="2" customWidth="1"/>
    <col min="1040" max="1040" width="3.28515625" style="2" customWidth="1"/>
    <col min="1041" max="1041" width="1.42578125" style="2" customWidth="1"/>
    <col min="1042" max="1042" width="0" style="2" hidden="1" customWidth="1"/>
    <col min="1043" max="1043" width="6.85546875" style="2" customWidth="1"/>
    <col min="1044" max="1044" width="0" style="2" hidden="1" customWidth="1"/>
    <col min="1045" max="1046" width="6.28515625" style="2" customWidth="1"/>
    <col min="1047" max="1048" width="13.85546875" style="2" customWidth="1"/>
    <col min="1049" max="1049" width="10.85546875" style="2" customWidth="1"/>
    <col min="1050" max="1050" width="14.140625" style="2" customWidth="1"/>
    <col min="1051" max="1051" width="0" style="2" hidden="1" customWidth="1"/>
    <col min="1052" max="1052" width="13" style="2" customWidth="1"/>
    <col min="1053" max="1053" width="13.140625" style="2" customWidth="1"/>
    <col min="1054" max="1055" width="14" style="2" customWidth="1"/>
    <col min="1056" max="1056" width="11.42578125" style="2" customWidth="1"/>
    <col min="1057" max="1057" width="15.85546875" style="2" customWidth="1"/>
    <col min="1058" max="1058" width="23.7109375" style="2" customWidth="1"/>
    <col min="1059" max="1059" width="12" style="2" customWidth="1"/>
    <col min="1060" max="1061" width="0.28515625" style="2" customWidth="1"/>
    <col min="1062" max="1062" width="1.42578125" style="2" customWidth="1"/>
    <col min="1063" max="1063" width="0" style="2" hidden="1" customWidth="1"/>
    <col min="1064" max="1280" width="11.42578125" style="2"/>
    <col min="1281" max="1281" width="10.28515625" style="2" customWidth="1"/>
    <col min="1282" max="1282" width="13.42578125" style="2" customWidth="1"/>
    <col min="1283" max="1283" width="4.28515625" style="2" customWidth="1"/>
    <col min="1284" max="1284" width="4" style="2" customWidth="1"/>
    <col min="1285" max="1285" width="15" style="2" customWidth="1"/>
    <col min="1286" max="1286" width="4.140625" style="2" customWidth="1"/>
    <col min="1287" max="1287" width="11.28515625" style="2" customWidth="1"/>
    <col min="1288" max="1288" width="16.140625" style="2" customWidth="1"/>
    <col min="1289" max="1289" width="11" style="2" customWidth="1"/>
    <col min="1290" max="1291" width="2.140625" style="2" customWidth="1"/>
    <col min="1292" max="1292" width="3.28515625" style="2" customWidth="1"/>
    <col min="1293" max="1294" width="0" style="2" hidden="1" customWidth="1"/>
    <col min="1295" max="1295" width="2.85546875" style="2" customWidth="1"/>
    <col min="1296" max="1296" width="3.28515625" style="2" customWidth="1"/>
    <col min="1297" max="1297" width="1.42578125" style="2" customWidth="1"/>
    <col min="1298" max="1298" width="0" style="2" hidden="1" customWidth="1"/>
    <col min="1299" max="1299" width="6.85546875" style="2" customWidth="1"/>
    <col min="1300" max="1300" width="0" style="2" hidden="1" customWidth="1"/>
    <col min="1301" max="1302" width="6.28515625" style="2" customWidth="1"/>
    <col min="1303" max="1304" width="13.85546875" style="2" customWidth="1"/>
    <col min="1305" max="1305" width="10.85546875" style="2" customWidth="1"/>
    <col min="1306" max="1306" width="14.140625" style="2" customWidth="1"/>
    <col min="1307" max="1307" width="0" style="2" hidden="1" customWidth="1"/>
    <col min="1308" max="1308" width="13" style="2" customWidth="1"/>
    <col min="1309" max="1309" width="13.140625" style="2" customWidth="1"/>
    <col min="1310" max="1311" width="14" style="2" customWidth="1"/>
    <col min="1312" max="1312" width="11.42578125" style="2" customWidth="1"/>
    <col min="1313" max="1313" width="15.85546875" style="2" customWidth="1"/>
    <col min="1314" max="1314" width="23.7109375" style="2" customWidth="1"/>
    <col min="1315" max="1315" width="12" style="2" customWidth="1"/>
    <col min="1316" max="1317" width="0.28515625" style="2" customWidth="1"/>
    <col min="1318" max="1318" width="1.42578125" style="2" customWidth="1"/>
    <col min="1319" max="1319" width="0" style="2" hidden="1" customWidth="1"/>
    <col min="1320" max="1536" width="11.42578125" style="2"/>
    <col min="1537" max="1537" width="10.28515625" style="2" customWidth="1"/>
    <col min="1538" max="1538" width="13.42578125" style="2" customWidth="1"/>
    <col min="1539" max="1539" width="4.28515625" style="2" customWidth="1"/>
    <col min="1540" max="1540" width="4" style="2" customWidth="1"/>
    <col min="1541" max="1541" width="15" style="2" customWidth="1"/>
    <col min="1542" max="1542" width="4.140625" style="2" customWidth="1"/>
    <col min="1543" max="1543" width="11.28515625" style="2" customWidth="1"/>
    <col min="1544" max="1544" width="16.140625" style="2" customWidth="1"/>
    <col min="1545" max="1545" width="11" style="2" customWidth="1"/>
    <col min="1546" max="1547" width="2.140625" style="2" customWidth="1"/>
    <col min="1548" max="1548" width="3.28515625" style="2" customWidth="1"/>
    <col min="1549" max="1550" width="0" style="2" hidden="1" customWidth="1"/>
    <col min="1551" max="1551" width="2.85546875" style="2" customWidth="1"/>
    <col min="1552" max="1552" width="3.28515625" style="2" customWidth="1"/>
    <col min="1553" max="1553" width="1.42578125" style="2" customWidth="1"/>
    <col min="1554" max="1554" width="0" style="2" hidden="1" customWidth="1"/>
    <col min="1555" max="1555" width="6.85546875" style="2" customWidth="1"/>
    <col min="1556" max="1556" width="0" style="2" hidden="1" customWidth="1"/>
    <col min="1557" max="1558" width="6.28515625" style="2" customWidth="1"/>
    <col min="1559" max="1560" width="13.85546875" style="2" customWidth="1"/>
    <col min="1561" max="1561" width="10.85546875" style="2" customWidth="1"/>
    <col min="1562" max="1562" width="14.140625" style="2" customWidth="1"/>
    <col min="1563" max="1563" width="0" style="2" hidden="1" customWidth="1"/>
    <col min="1564" max="1564" width="13" style="2" customWidth="1"/>
    <col min="1565" max="1565" width="13.140625" style="2" customWidth="1"/>
    <col min="1566" max="1567" width="14" style="2" customWidth="1"/>
    <col min="1568" max="1568" width="11.42578125" style="2" customWidth="1"/>
    <col min="1569" max="1569" width="15.85546875" style="2" customWidth="1"/>
    <col min="1570" max="1570" width="23.7109375" style="2" customWidth="1"/>
    <col min="1571" max="1571" width="12" style="2" customWidth="1"/>
    <col min="1572" max="1573" width="0.28515625" style="2" customWidth="1"/>
    <col min="1574" max="1574" width="1.42578125" style="2" customWidth="1"/>
    <col min="1575" max="1575" width="0" style="2" hidden="1" customWidth="1"/>
    <col min="1576" max="1792" width="11.42578125" style="2"/>
    <col min="1793" max="1793" width="10.28515625" style="2" customWidth="1"/>
    <col min="1794" max="1794" width="13.42578125" style="2" customWidth="1"/>
    <col min="1795" max="1795" width="4.28515625" style="2" customWidth="1"/>
    <col min="1796" max="1796" width="4" style="2" customWidth="1"/>
    <col min="1797" max="1797" width="15" style="2" customWidth="1"/>
    <col min="1798" max="1798" width="4.140625" style="2" customWidth="1"/>
    <col min="1799" max="1799" width="11.28515625" style="2" customWidth="1"/>
    <col min="1800" max="1800" width="16.140625" style="2" customWidth="1"/>
    <col min="1801" max="1801" width="11" style="2" customWidth="1"/>
    <col min="1802" max="1803" width="2.140625" style="2" customWidth="1"/>
    <col min="1804" max="1804" width="3.28515625" style="2" customWidth="1"/>
    <col min="1805" max="1806" width="0" style="2" hidden="1" customWidth="1"/>
    <col min="1807" max="1807" width="2.85546875" style="2" customWidth="1"/>
    <col min="1808" max="1808" width="3.28515625" style="2" customWidth="1"/>
    <col min="1809" max="1809" width="1.42578125" style="2" customWidth="1"/>
    <col min="1810" max="1810" width="0" style="2" hidden="1" customWidth="1"/>
    <col min="1811" max="1811" width="6.85546875" style="2" customWidth="1"/>
    <col min="1812" max="1812" width="0" style="2" hidden="1" customWidth="1"/>
    <col min="1813" max="1814" width="6.28515625" style="2" customWidth="1"/>
    <col min="1815" max="1816" width="13.85546875" style="2" customWidth="1"/>
    <col min="1817" max="1817" width="10.85546875" style="2" customWidth="1"/>
    <col min="1818" max="1818" width="14.140625" style="2" customWidth="1"/>
    <col min="1819" max="1819" width="0" style="2" hidden="1" customWidth="1"/>
    <col min="1820" max="1820" width="13" style="2" customWidth="1"/>
    <col min="1821" max="1821" width="13.140625" style="2" customWidth="1"/>
    <col min="1822" max="1823" width="14" style="2" customWidth="1"/>
    <col min="1824" max="1824" width="11.42578125" style="2" customWidth="1"/>
    <col min="1825" max="1825" width="15.85546875" style="2" customWidth="1"/>
    <col min="1826" max="1826" width="23.7109375" style="2" customWidth="1"/>
    <col min="1827" max="1827" width="12" style="2" customWidth="1"/>
    <col min="1828" max="1829" width="0.28515625" style="2" customWidth="1"/>
    <col min="1830" max="1830" width="1.42578125" style="2" customWidth="1"/>
    <col min="1831" max="1831" width="0" style="2" hidden="1" customWidth="1"/>
    <col min="1832" max="2048" width="11.42578125" style="2"/>
    <col min="2049" max="2049" width="10.28515625" style="2" customWidth="1"/>
    <col min="2050" max="2050" width="13.42578125" style="2" customWidth="1"/>
    <col min="2051" max="2051" width="4.28515625" style="2" customWidth="1"/>
    <col min="2052" max="2052" width="4" style="2" customWidth="1"/>
    <col min="2053" max="2053" width="15" style="2" customWidth="1"/>
    <col min="2054" max="2054" width="4.140625" style="2" customWidth="1"/>
    <col min="2055" max="2055" width="11.28515625" style="2" customWidth="1"/>
    <col min="2056" max="2056" width="16.140625" style="2" customWidth="1"/>
    <col min="2057" max="2057" width="11" style="2" customWidth="1"/>
    <col min="2058" max="2059" width="2.140625" style="2" customWidth="1"/>
    <col min="2060" max="2060" width="3.28515625" style="2" customWidth="1"/>
    <col min="2061" max="2062" width="0" style="2" hidden="1" customWidth="1"/>
    <col min="2063" max="2063" width="2.85546875" style="2" customWidth="1"/>
    <col min="2064" max="2064" width="3.28515625" style="2" customWidth="1"/>
    <col min="2065" max="2065" width="1.42578125" style="2" customWidth="1"/>
    <col min="2066" max="2066" width="0" style="2" hidden="1" customWidth="1"/>
    <col min="2067" max="2067" width="6.85546875" style="2" customWidth="1"/>
    <col min="2068" max="2068" width="0" style="2" hidden="1" customWidth="1"/>
    <col min="2069" max="2070" width="6.28515625" style="2" customWidth="1"/>
    <col min="2071" max="2072" width="13.85546875" style="2" customWidth="1"/>
    <col min="2073" max="2073" width="10.85546875" style="2" customWidth="1"/>
    <col min="2074" max="2074" width="14.140625" style="2" customWidth="1"/>
    <col min="2075" max="2075" width="0" style="2" hidden="1" customWidth="1"/>
    <col min="2076" max="2076" width="13" style="2" customWidth="1"/>
    <col min="2077" max="2077" width="13.140625" style="2" customWidth="1"/>
    <col min="2078" max="2079" width="14" style="2" customWidth="1"/>
    <col min="2080" max="2080" width="11.42578125" style="2" customWidth="1"/>
    <col min="2081" max="2081" width="15.85546875" style="2" customWidth="1"/>
    <col min="2082" max="2082" width="23.7109375" style="2" customWidth="1"/>
    <col min="2083" max="2083" width="12" style="2" customWidth="1"/>
    <col min="2084" max="2085" width="0.28515625" style="2" customWidth="1"/>
    <col min="2086" max="2086" width="1.42578125" style="2" customWidth="1"/>
    <col min="2087" max="2087" width="0" style="2" hidden="1" customWidth="1"/>
    <col min="2088" max="2304" width="11.42578125" style="2"/>
    <col min="2305" max="2305" width="10.28515625" style="2" customWidth="1"/>
    <col min="2306" max="2306" width="13.42578125" style="2" customWidth="1"/>
    <col min="2307" max="2307" width="4.28515625" style="2" customWidth="1"/>
    <col min="2308" max="2308" width="4" style="2" customWidth="1"/>
    <col min="2309" max="2309" width="15" style="2" customWidth="1"/>
    <col min="2310" max="2310" width="4.140625" style="2" customWidth="1"/>
    <col min="2311" max="2311" width="11.28515625" style="2" customWidth="1"/>
    <col min="2312" max="2312" width="16.140625" style="2" customWidth="1"/>
    <col min="2313" max="2313" width="11" style="2" customWidth="1"/>
    <col min="2314" max="2315" width="2.140625" style="2" customWidth="1"/>
    <col min="2316" max="2316" width="3.28515625" style="2" customWidth="1"/>
    <col min="2317" max="2318" width="0" style="2" hidden="1" customWidth="1"/>
    <col min="2319" max="2319" width="2.85546875" style="2" customWidth="1"/>
    <col min="2320" max="2320" width="3.28515625" style="2" customWidth="1"/>
    <col min="2321" max="2321" width="1.42578125" style="2" customWidth="1"/>
    <col min="2322" max="2322" width="0" style="2" hidden="1" customWidth="1"/>
    <col min="2323" max="2323" width="6.85546875" style="2" customWidth="1"/>
    <col min="2324" max="2324" width="0" style="2" hidden="1" customWidth="1"/>
    <col min="2325" max="2326" width="6.28515625" style="2" customWidth="1"/>
    <col min="2327" max="2328" width="13.85546875" style="2" customWidth="1"/>
    <col min="2329" max="2329" width="10.85546875" style="2" customWidth="1"/>
    <col min="2330" max="2330" width="14.140625" style="2" customWidth="1"/>
    <col min="2331" max="2331" width="0" style="2" hidden="1" customWidth="1"/>
    <col min="2332" max="2332" width="13" style="2" customWidth="1"/>
    <col min="2333" max="2333" width="13.140625" style="2" customWidth="1"/>
    <col min="2334" max="2335" width="14" style="2" customWidth="1"/>
    <col min="2336" max="2336" width="11.42578125" style="2" customWidth="1"/>
    <col min="2337" max="2337" width="15.85546875" style="2" customWidth="1"/>
    <col min="2338" max="2338" width="23.7109375" style="2" customWidth="1"/>
    <col min="2339" max="2339" width="12" style="2" customWidth="1"/>
    <col min="2340" max="2341" width="0.28515625" style="2" customWidth="1"/>
    <col min="2342" max="2342" width="1.42578125" style="2" customWidth="1"/>
    <col min="2343" max="2343" width="0" style="2" hidden="1" customWidth="1"/>
    <col min="2344" max="2560" width="11.42578125" style="2"/>
    <col min="2561" max="2561" width="10.28515625" style="2" customWidth="1"/>
    <col min="2562" max="2562" width="13.42578125" style="2" customWidth="1"/>
    <col min="2563" max="2563" width="4.28515625" style="2" customWidth="1"/>
    <col min="2564" max="2564" width="4" style="2" customWidth="1"/>
    <col min="2565" max="2565" width="15" style="2" customWidth="1"/>
    <col min="2566" max="2566" width="4.140625" style="2" customWidth="1"/>
    <col min="2567" max="2567" width="11.28515625" style="2" customWidth="1"/>
    <col min="2568" max="2568" width="16.140625" style="2" customWidth="1"/>
    <col min="2569" max="2569" width="11" style="2" customWidth="1"/>
    <col min="2570" max="2571" width="2.140625" style="2" customWidth="1"/>
    <col min="2572" max="2572" width="3.28515625" style="2" customWidth="1"/>
    <col min="2573" max="2574" width="0" style="2" hidden="1" customWidth="1"/>
    <col min="2575" max="2575" width="2.85546875" style="2" customWidth="1"/>
    <col min="2576" max="2576" width="3.28515625" style="2" customWidth="1"/>
    <col min="2577" max="2577" width="1.42578125" style="2" customWidth="1"/>
    <col min="2578" max="2578" width="0" style="2" hidden="1" customWidth="1"/>
    <col min="2579" max="2579" width="6.85546875" style="2" customWidth="1"/>
    <col min="2580" max="2580" width="0" style="2" hidden="1" customWidth="1"/>
    <col min="2581" max="2582" width="6.28515625" style="2" customWidth="1"/>
    <col min="2583" max="2584" width="13.85546875" style="2" customWidth="1"/>
    <col min="2585" max="2585" width="10.85546875" style="2" customWidth="1"/>
    <col min="2586" max="2586" width="14.140625" style="2" customWidth="1"/>
    <col min="2587" max="2587" width="0" style="2" hidden="1" customWidth="1"/>
    <col min="2588" max="2588" width="13" style="2" customWidth="1"/>
    <col min="2589" max="2589" width="13.140625" style="2" customWidth="1"/>
    <col min="2590" max="2591" width="14" style="2" customWidth="1"/>
    <col min="2592" max="2592" width="11.42578125" style="2" customWidth="1"/>
    <col min="2593" max="2593" width="15.85546875" style="2" customWidth="1"/>
    <col min="2594" max="2594" width="23.7109375" style="2" customWidth="1"/>
    <col min="2595" max="2595" width="12" style="2" customWidth="1"/>
    <col min="2596" max="2597" width="0.28515625" style="2" customWidth="1"/>
    <col min="2598" max="2598" width="1.42578125" style="2" customWidth="1"/>
    <col min="2599" max="2599" width="0" style="2" hidden="1" customWidth="1"/>
    <col min="2600" max="2816" width="11.42578125" style="2"/>
    <col min="2817" max="2817" width="10.28515625" style="2" customWidth="1"/>
    <col min="2818" max="2818" width="13.42578125" style="2" customWidth="1"/>
    <col min="2819" max="2819" width="4.28515625" style="2" customWidth="1"/>
    <col min="2820" max="2820" width="4" style="2" customWidth="1"/>
    <col min="2821" max="2821" width="15" style="2" customWidth="1"/>
    <col min="2822" max="2822" width="4.140625" style="2" customWidth="1"/>
    <col min="2823" max="2823" width="11.28515625" style="2" customWidth="1"/>
    <col min="2824" max="2824" width="16.140625" style="2" customWidth="1"/>
    <col min="2825" max="2825" width="11" style="2" customWidth="1"/>
    <col min="2826" max="2827" width="2.140625" style="2" customWidth="1"/>
    <col min="2828" max="2828" width="3.28515625" style="2" customWidth="1"/>
    <col min="2829" max="2830" width="0" style="2" hidden="1" customWidth="1"/>
    <col min="2831" max="2831" width="2.85546875" style="2" customWidth="1"/>
    <col min="2832" max="2832" width="3.28515625" style="2" customWidth="1"/>
    <col min="2833" max="2833" width="1.42578125" style="2" customWidth="1"/>
    <col min="2834" max="2834" width="0" style="2" hidden="1" customWidth="1"/>
    <col min="2835" max="2835" width="6.85546875" style="2" customWidth="1"/>
    <col min="2836" max="2836" width="0" style="2" hidden="1" customWidth="1"/>
    <col min="2837" max="2838" width="6.28515625" style="2" customWidth="1"/>
    <col min="2839" max="2840" width="13.85546875" style="2" customWidth="1"/>
    <col min="2841" max="2841" width="10.85546875" style="2" customWidth="1"/>
    <col min="2842" max="2842" width="14.140625" style="2" customWidth="1"/>
    <col min="2843" max="2843" width="0" style="2" hidden="1" customWidth="1"/>
    <col min="2844" max="2844" width="13" style="2" customWidth="1"/>
    <col min="2845" max="2845" width="13.140625" style="2" customWidth="1"/>
    <col min="2846" max="2847" width="14" style="2" customWidth="1"/>
    <col min="2848" max="2848" width="11.42578125" style="2" customWidth="1"/>
    <col min="2849" max="2849" width="15.85546875" style="2" customWidth="1"/>
    <col min="2850" max="2850" width="23.7109375" style="2" customWidth="1"/>
    <col min="2851" max="2851" width="12" style="2" customWidth="1"/>
    <col min="2852" max="2853" width="0.28515625" style="2" customWidth="1"/>
    <col min="2854" max="2854" width="1.42578125" style="2" customWidth="1"/>
    <col min="2855" max="2855" width="0" style="2" hidden="1" customWidth="1"/>
    <col min="2856" max="3072" width="11.42578125" style="2"/>
    <col min="3073" max="3073" width="10.28515625" style="2" customWidth="1"/>
    <col min="3074" max="3074" width="13.42578125" style="2" customWidth="1"/>
    <col min="3075" max="3075" width="4.28515625" style="2" customWidth="1"/>
    <col min="3076" max="3076" width="4" style="2" customWidth="1"/>
    <col min="3077" max="3077" width="15" style="2" customWidth="1"/>
    <col min="3078" max="3078" width="4.140625" style="2" customWidth="1"/>
    <col min="3079" max="3079" width="11.28515625" style="2" customWidth="1"/>
    <col min="3080" max="3080" width="16.140625" style="2" customWidth="1"/>
    <col min="3081" max="3081" width="11" style="2" customWidth="1"/>
    <col min="3082" max="3083" width="2.140625" style="2" customWidth="1"/>
    <col min="3084" max="3084" width="3.28515625" style="2" customWidth="1"/>
    <col min="3085" max="3086" width="0" style="2" hidden="1" customWidth="1"/>
    <col min="3087" max="3087" width="2.85546875" style="2" customWidth="1"/>
    <col min="3088" max="3088" width="3.28515625" style="2" customWidth="1"/>
    <col min="3089" max="3089" width="1.42578125" style="2" customWidth="1"/>
    <col min="3090" max="3090" width="0" style="2" hidden="1" customWidth="1"/>
    <col min="3091" max="3091" width="6.85546875" style="2" customWidth="1"/>
    <col min="3092" max="3092" width="0" style="2" hidden="1" customWidth="1"/>
    <col min="3093" max="3094" width="6.28515625" style="2" customWidth="1"/>
    <col min="3095" max="3096" width="13.85546875" style="2" customWidth="1"/>
    <col min="3097" max="3097" width="10.85546875" style="2" customWidth="1"/>
    <col min="3098" max="3098" width="14.140625" style="2" customWidth="1"/>
    <col min="3099" max="3099" width="0" style="2" hidden="1" customWidth="1"/>
    <col min="3100" max="3100" width="13" style="2" customWidth="1"/>
    <col min="3101" max="3101" width="13.140625" style="2" customWidth="1"/>
    <col min="3102" max="3103" width="14" style="2" customWidth="1"/>
    <col min="3104" max="3104" width="11.42578125" style="2" customWidth="1"/>
    <col min="3105" max="3105" width="15.85546875" style="2" customWidth="1"/>
    <col min="3106" max="3106" width="23.7109375" style="2" customWidth="1"/>
    <col min="3107" max="3107" width="12" style="2" customWidth="1"/>
    <col min="3108" max="3109" width="0.28515625" style="2" customWidth="1"/>
    <col min="3110" max="3110" width="1.42578125" style="2" customWidth="1"/>
    <col min="3111" max="3111" width="0" style="2" hidden="1" customWidth="1"/>
    <col min="3112" max="3328" width="11.42578125" style="2"/>
    <col min="3329" max="3329" width="10.28515625" style="2" customWidth="1"/>
    <col min="3330" max="3330" width="13.42578125" style="2" customWidth="1"/>
    <col min="3331" max="3331" width="4.28515625" style="2" customWidth="1"/>
    <col min="3332" max="3332" width="4" style="2" customWidth="1"/>
    <col min="3333" max="3333" width="15" style="2" customWidth="1"/>
    <col min="3334" max="3334" width="4.140625" style="2" customWidth="1"/>
    <col min="3335" max="3335" width="11.28515625" style="2" customWidth="1"/>
    <col min="3336" max="3336" width="16.140625" style="2" customWidth="1"/>
    <col min="3337" max="3337" width="11" style="2" customWidth="1"/>
    <col min="3338" max="3339" width="2.140625" style="2" customWidth="1"/>
    <col min="3340" max="3340" width="3.28515625" style="2" customWidth="1"/>
    <col min="3341" max="3342" width="0" style="2" hidden="1" customWidth="1"/>
    <col min="3343" max="3343" width="2.85546875" style="2" customWidth="1"/>
    <col min="3344" max="3344" width="3.28515625" style="2" customWidth="1"/>
    <col min="3345" max="3345" width="1.42578125" style="2" customWidth="1"/>
    <col min="3346" max="3346" width="0" style="2" hidden="1" customWidth="1"/>
    <col min="3347" max="3347" width="6.85546875" style="2" customWidth="1"/>
    <col min="3348" max="3348" width="0" style="2" hidden="1" customWidth="1"/>
    <col min="3349" max="3350" width="6.28515625" style="2" customWidth="1"/>
    <col min="3351" max="3352" width="13.85546875" style="2" customWidth="1"/>
    <col min="3353" max="3353" width="10.85546875" style="2" customWidth="1"/>
    <col min="3354" max="3354" width="14.140625" style="2" customWidth="1"/>
    <col min="3355" max="3355" width="0" style="2" hidden="1" customWidth="1"/>
    <col min="3356" max="3356" width="13" style="2" customWidth="1"/>
    <col min="3357" max="3357" width="13.140625" style="2" customWidth="1"/>
    <col min="3358" max="3359" width="14" style="2" customWidth="1"/>
    <col min="3360" max="3360" width="11.42578125" style="2" customWidth="1"/>
    <col min="3361" max="3361" width="15.85546875" style="2" customWidth="1"/>
    <col min="3362" max="3362" width="23.7109375" style="2" customWidth="1"/>
    <col min="3363" max="3363" width="12" style="2" customWidth="1"/>
    <col min="3364" max="3365" width="0.28515625" style="2" customWidth="1"/>
    <col min="3366" max="3366" width="1.42578125" style="2" customWidth="1"/>
    <col min="3367" max="3367" width="0" style="2" hidden="1" customWidth="1"/>
    <col min="3368" max="3584" width="11.42578125" style="2"/>
    <col min="3585" max="3585" width="10.28515625" style="2" customWidth="1"/>
    <col min="3586" max="3586" width="13.42578125" style="2" customWidth="1"/>
    <col min="3587" max="3587" width="4.28515625" style="2" customWidth="1"/>
    <col min="3588" max="3588" width="4" style="2" customWidth="1"/>
    <col min="3589" max="3589" width="15" style="2" customWidth="1"/>
    <col min="3590" max="3590" width="4.140625" style="2" customWidth="1"/>
    <col min="3591" max="3591" width="11.28515625" style="2" customWidth="1"/>
    <col min="3592" max="3592" width="16.140625" style="2" customWidth="1"/>
    <col min="3593" max="3593" width="11" style="2" customWidth="1"/>
    <col min="3594" max="3595" width="2.140625" style="2" customWidth="1"/>
    <col min="3596" max="3596" width="3.28515625" style="2" customWidth="1"/>
    <col min="3597" max="3598" width="0" style="2" hidden="1" customWidth="1"/>
    <col min="3599" max="3599" width="2.85546875" style="2" customWidth="1"/>
    <col min="3600" max="3600" width="3.28515625" style="2" customWidth="1"/>
    <col min="3601" max="3601" width="1.42578125" style="2" customWidth="1"/>
    <col min="3602" max="3602" width="0" style="2" hidden="1" customWidth="1"/>
    <col min="3603" max="3603" width="6.85546875" style="2" customWidth="1"/>
    <col min="3604" max="3604" width="0" style="2" hidden="1" customWidth="1"/>
    <col min="3605" max="3606" width="6.28515625" style="2" customWidth="1"/>
    <col min="3607" max="3608" width="13.85546875" style="2" customWidth="1"/>
    <col min="3609" max="3609" width="10.85546875" style="2" customWidth="1"/>
    <col min="3610" max="3610" width="14.140625" style="2" customWidth="1"/>
    <col min="3611" max="3611" width="0" style="2" hidden="1" customWidth="1"/>
    <col min="3612" max="3612" width="13" style="2" customWidth="1"/>
    <col min="3613" max="3613" width="13.140625" style="2" customWidth="1"/>
    <col min="3614" max="3615" width="14" style="2" customWidth="1"/>
    <col min="3616" max="3616" width="11.42578125" style="2" customWidth="1"/>
    <col min="3617" max="3617" width="15.85546875" style="2" customWidth="1"/>
    <col min="3618" max="3618" width="23.7109375" style="2" customWidth="1"/>
    <col min="3619" max="3619" width="12" style="2" customWidth="1"/>
    <col min="3620" max="3621" width="0.28515625" style="2" customWidth="1"/>
    <col min="3622" max="3622" width="1.42578125" style="2" customWidth="1"/>
    <col min="3623" max="3623" width="0" style="2" hidden="1" customWidth="1"/>
    <col min="3624" max="3840" width="11.42578125" style="2"/>
    <col min="3841" max="3841" width="10.28515625" style="2" customWidth="1"/>
    <col min="3842" max="3842" width="13.42578125" style="2" customWidth="1"/>
    <col min="3843" max="3843" width="4.28515625" style="2" customWidth="1"/>
    <col min="3844" max="3844" width="4" style="2" customWidth="1"/>
    <col min="3845" max="3845" width="15" style="2" customWidth="1"/>
    <col min="3846" max="3846" width="4.140625" style="2" customWidth="1"/>
    <col min="3847" max="3847" width="11.28515625" style="2" customWidth="1"/>
    <col min="3848" max="3848" width="16.140625" style="2" customWidth="1"/>
    <col min="3849" max="3849" width="11" style="2" customWidth="1"/>
    <col min="3850" max="3851" width="2.140625" style="2" customWidth="1"/>
    <col min="3852" max="3852" width="3.28515625" style="2" customWidth="1"/>
    <col min="3853" max="3854" width="0" style="2" hidden="1" customWidth="1"/>
    <col min="3855" max="3855" width="2.85546875" style="2" customWidth="1"/>
    <col min="3856" max="3856" width="3.28515625" style="2" customWidth="1"/>
    <col min="3857" max="3857" width="1.42578125" style="2" customWidth="1"/>
    <col min="3858" max="3858" width="0" style="2" hidden="1" customWidth="1"/>
    <col min="3859" max="3859" width="6.85546875" style="2" customWidth="1"/>
    <col min="3860" max="3860" width="0" style="2" hidden="1" customWidth="1"/>
    <col min="3861" max="3862" width="6.28515625" style="2" customWidth="1"/>
    <col min="3863" max="3864" width="13.85546875" style="2" customWidth="1"/>
    <col min="3865" max="3865" width="10.85546875" style="2" customWidth="1"/>
    <col min="3866" max="3866" width="14.140625" style="2" customWidth="1"/>
    <col min="3867" max="3867" width="0" style="2" hidden="1" customWidth="1"/>
    <col min="3868" max="3868" width="13" style="2" customWidth="1"/>
    <col min="3869" max="3869" width="13.140625" style="2" customWidth="1"/>
    <col min="3870" max="3871" width="14" style="2" customWidth="1"/>
    <col min="3872" max="3872" width="11.42578125" style="2" customWidth="1"/>
    <col min="3873" max="3873" width="15.85546875" style="2" customWidth="1"/>
    <col min="3874" max="3874" width="23.7109375" style="2" customWidth="1"/>
    <col min="3875" max="3875" width="12" style="2" customWidth="1"/>
    <col min="3876" max="3877" width="0.28515625" style="2" customWidth="1"/>
    <col min="3878" max="3878" width="1.42578125" style="2" customWidth="1"/>
    <col min="3879" max="3879" width="0" style="2" hidden="1" customWidth="1"/>
    <col min="3880" max="4096" width="11.42578125" style="2"/>
    <col min="4097" max="4097" width="10.28515625" style="2" customWidth="1"/>
    <col min="4098" max="4098" width="13.42578125" style="2" customWidth="1"/>
    <col min="4099" max="4099" width="4.28515625" style="2" customWidth="1"/>
    <col min="4100" max="4100" width="4" style="2" customWidth="1"/>
    <col min="4101" max="4101" width="15" style="2" customWidth="1"/>
    <col min="4102" max="4102" width="4.140625" style="2" customWidth="1"/>
    <col min="4103" max="4103" width="11.28515625" style="2" customWidth="1"/>
    <col min="4104" max="4104" width="16.140625" style="2" customWidth="1"/>
    <col min="4105" max="4105" width="11" style="2" customWidth="1"/>
    <col min="4106" max="4107" width="2.140625" style="2" customWidth="1"/>
    <col min="4108" max="4108" width="3.28515625" style="2" customWidth="1"/>
    <col min="4109" max="4110" width="0" style="2" hidden="1" customWidth="1"/>
    <col min="4111" max="4111" width="2.85546875" style="2" customWidth="1"/>
    <col min="4112" max="4112" width="3.28515625" style="2" customWidth="1"/>
    <col min="4113" max="4113" width="1.42578125" style="2" customWidth="1"/>
    <col min="4114" max="4114" width="0" style="2" hidden="1" customWidth="1"/>
    <col min="4115" max="4115" width="6.85546875" style="2" customWidth="1"/>
    <col min="4116" max="4116" width="0" style="2" hidden="1" customWidth="1"/>
    <col min="4117" max="4118" width="6.28515625" style="2" customWidth="1"/>
    <col min="4119" max="4120" width="13.85546875" style="2" customWidth="1"/>
    <col min="4121" max="4121" width="10.85546875" style="2" customWidth="1"/>
    <col min="4122" max="4122" width="14.140625" style="2" customWidth="1"/>
    <col min="4123" max="4123" width="0" style="2" hidden="1" customWidth="1"/>
    <col min="4124" max="4124" width="13" style="2" customWidth="1"/>
    <col min="4125" max="4125" width="13.140625" style="2" customWidth="1"/>
    <col min="4126" max="4127" width="14" style="2" customWidth="1"/>
    <col min="4128" max="4128" width="11.42578125" style="2" customWidth="1"/>
    <col min="4129" max="4129" width="15.85546875" style="2" customWidth="1"/>
    <col min="4130" max="4130" width="23.7109375" style="2" customWidth="1"/>
    <col min="4131" max="4131" width="12" style="2" customWidth="1"/>
    <col min="4132" max="4133" width="0.28515625" style="2" customWidth="1"/>
    <col min="4134" max="4134" width="1.42578125" style="2" customWidth="1"/>
    <col min="4135" max="4135" width="0" style="2" hidden="1" customWidth="1"/>
    <col min="4136" max="4352" width="11.42578125" style="2"/>
    <col min="4353" max="4353" width="10.28515625" style="2" customWidth="1"/>
    <col min="4354" max="4354" width="13.42578125" style="2" customWidth="1"/>
    <col min="4355" max="4355" width="4.28515625" style="2" customWidth="1"/>
    <col min="4356" max="4356" width="4" style="2" customWidth="1"/>
    <col min="4357" max="4357" width="15" style="2" customWidth="1"/>
    <col min="4358" max="4358" width="4.140625" style="2" customWidth="1"/>
    <col min="4359" max="4359" width="11.28515625" style="2" customWidth="1"/>
    <col min="4360" max="4360" width="16.140625" style="2" customWidth="1"/>
    <col min="4361" max="4361" width="11" style="2" customWidth="1"/>
    <col min="4362" max="4363" width="2.140625" style="2" customWidth="1"/>
    <col min="4364" max="4364" width="3.28515625" style="2" customWidth="1"/>
    <col min="4365" max="4366" width="0" style="2" hidden="1" customWidth="1"/>
    <col min="4367" max="4367" width="2.85546875" style="2" customWidth="1"/>
    <col min="4368" max="4368" width="3.28515625" style="2" customWidth="1"/>
    <col min="4369" max="4369" width="1.42578125" style="2" customWidth="1"/>
    <col min="4370" max="4370" width="0" style="2" hidden="1" customWidth="1"/>
    <col min="4371" max="4371" width="6.85546875" style="2" customWidth="1"/>
    <col min="4372" max="4372" width="0" style="2" hidden="1" customWidth="1"/>
    <col min="4373" max="4374" width="6.28515625" style="2" customWidth="1"/>
    <col min="4375" max="4376" width="13.85546875" style="2" customWidth="1"/>
    <col min="4377" max="4377" width="10.85546875" style="2" customWidth="1"/>
    <col min="4378" max="4378" width="14.140625" style="2" customWidth="1"/>
    <col min="4379" max="4379" width="0" style="2" hidden="1" customWidth="1"/>
    <col min="4380" max="4380" width="13" style="2" customWidth="1"/>
    <col min="4381" max="4381" width="13.140625" style="2" customWidth="1"/>
    <col min="4382" max="4383" width="14" style="2" customWidth="1"/>
    <col min="4384" max="4384" width="11.42578125" style="2" customWidth="1"/>
    <col min="4385" max="4385" width="15.85546875" style="2" customWidth="1"/>
    <col min="4386" max="4386" width="23.7109375" style="2" customWidth="1"/>
    <col min="4387" max="4387" width="12" style="2" customWidth="1"/>
    <col min="4388" max="4389" width="0.28515625" style="2" customWidth="1"/>
    <col min="4390" max="4390" width="1.42578125" style="2" customWidth="1"/>
    <col min="4391" max="4391" width="0" style="2" hidden="1" customWidth="1"/>
    <col min="4392" max="4608" width="11.42578125" style="2"/>
    <col min="4609" max="4609" width="10.28515625" style="2" customWidth="1"/>
    <col min="4610" max="4610" width="13.42578125" style="2" customWidth="1"/>
    <col min="4611" max="4611" width="4.28515625" style="2" customWidth="1"/>
    <col min="4612" max="4612" width="4" style="2" customWidth="1"/>
    <col min="4613" max="4613" width="15" style="2" customWidth="1"/>
    <col min="4614" max="4614" width="4.140625" style="2" customWidth="1"/>
    <col min="4615" max="4615" width="11.28515625" style="2" customWidth="1"/>
    <col min="4616" max="4616" width="16.140625" style="2" customWidth="1"/>
    <col min="4617" max="4617" width="11" style="2" customWidth="1"/>
    <col min="4618" max="4619" width="2.140625" style="2" customWidth="1"/>
    <col min="4620" max="4620" width="3.28515625" style="2" customWidth="1"/>
    <col min="4621" max="4622" width="0" style="2" hidden="1" customWidth="1"/>
    <col min="4623" max="4623" width="2.85546875" style="2" customWidth="1"/>
    <col min="4624" max="4624" width="3.28515625" style="2" customWidth="1"/>
    <col min="4625" max="4625" width="1.42578125" style="2" customWidth="1"/>
    <col min="4626" max="4626" width="0" style="2" hidden="1" customWidth="1"/>
    <col min="4627" max="4627" width="6.85546875" style="2" customWidth="1"/>
    <col min="4628" max="4628" width="0" style="2" hidden="1" customWidth="1"/>
    <col min="4629" max="4630" width="6.28515625" style="2" customWidth="1"/>
    <col min="4631" max="4632" width="13.85546875" style="2" customWidth="1"/>
    <col min="4633" max="4633" width="10.85546875" style="2" customWidth="1"/>
    <col min="4634" max="4634" width="14.140625" style="2" customWidth="1"/>
    <col min="4635" max="4635" width="0" style="2" hidden="1" customWidth="1"/>
    <col min="4636" max="4636" width="13" style="2" customWidth="1"/>
    <col min="4637" max="4637" width="13.140625" style="2" customWidth="1"/>
    <col min="4638" max="4639" width="14" style="2" customWidth="1"/>
    <col min="4640" max="4640" width="11.42578125" style="2" customWidth="1"/>
    <col min="4641" max="4641" width="15.85546875" style="2" customWidth="1"/>
    <col min="4642" max="4642" width="23.7109375" style="2" customWidth="1"/>
    <col min="4643" max="4643" width="12" style="2" customWidth="1"/>
    <col min="4644" max="4645" width="0.28515625" style="2" customWidth="1"/>
    <col min="4646" max="4646" width="1.42578125" style="2" customWidth="1"/>
    <col min="4647" max="4647" width="0" style="2" hidden="1" customWidth="1"/>
    <col min="4648" max="4864" width="11.42578125" style="2"/>
    <col min="4865" max="4865" width="10.28515625" style="2" customWidth="1"/>
    <col min="4866" max="4866" width="13.42578125" style="2" customWidth="1"/>
    <col min="4867" max="4867" width="4.28515625" style="2" customWidth="1"/>
    <col min="4868" max="4868" width="4" style="2" customWidth="1"/>
    <col min="4869" max="4869" width="15" style="2" customWidth="1"/>
    <col min="4870" max="4870" width="4.140625" style="2" customWidth="1"/>
    <col min="4871" max="4871" width="11.28515625" style="2" customWidth="1"/>
    <col min="4872" max="4872" width="16.140625" style="2" customWidth="1"/>
    <col min="4873" max="4873" width="11" style="2" customWidth="1"/>
    <col min="4874" max="4875" width="2.140625" style="2" customWidth="1"/>
    <col min="4876" max="4876" width="3.28515625" style="2" customWidth="1"/>
    <col min="4877" max="4878" width="0" style="2" hidden="1" customWidth="1"/>
    <col min="4879" max="4879" width="2.85546875" style="2" customWidth="1"/>
    <col min="4880" max="4880" width="3.28515625" style="2" customWidth="1"/>
    <col min="4881" max="4881" width="1.42578125" style="2" customWidth="1"/>
    <col min="4882" max="4882" width="0" style="2" hidden="1" customWidth="1"/>
    <col min="4883" max="4883" width="6.85546875" style="2" customWidth="1"/>
    <col min="4884" max="4884" width="0" style="2" hidden="1" customWidth="1"/>
    <col min="4885" max="4886" width="6.28515625" style="2" customWidth="1"/>
    <col min="4887" max="4888" width="13.85546875" style="2" customWidth="1"/>
    <col min="4889" max="4889" width="10.85546875" style="2" customWidth="1"/>
    <col min="4890" max="4890" width="14.140625" style="2" customWidth="1"/>
    <col min="4891" max="4891" width="0" style="2" hidden="1" customWidth="1"/>
    <col min="4892" max="4892" width="13" style="2" customWidth="1"/>
    <col min="4893" max="4893" width="13.140625" style="2" customWidth="1"/>
    <col min="4894" max="4895" width="14" style="2" customWidth="1"/>
    <col min="4896" max="4896" width="11.42578125" style="2" customWidth="1"/>
    <col min="4897" max="4897" width="15.85546875" style="2" customWidth="1"/>
    <col min="4898" max="4898" width="23.7109375" style="2" customWidth="1"/>
    <col min="4899" max="4899" width="12" style="2" customWidth="1"/>
    <col min="4900" max="4901" width="0.28515625" style="2" customWidth="1"/>
    <col min="4902" max="4902" width="1.42578125" style="2" customWidth="1"/>
    <col min="4903" max="4903" width="0" style="2" hidden="1" customWidth="1"/>
    <col min="4904" max="5120" width="11.42578125" style="2"/>
    <col min="5121" max="5121" width="10.28515625" style="2" customWidth="1"/>
    <col min="5122" max="5122" width="13.42578125" style="2" customWidth="1"/>
    <col min="5123" max="5123" width="4.28515625" style="2" customWidth="1"/>
    <col min="5124" max="5124" width="4" style="2" customWidth="1"/>
    <col min="5125" max="5125" width="15" style="2" customWidth="1"/>
    <col min="5126" max="5126" width="4.140625" style="2" customWidth="1"/>
    <col min="5127" max="5127" width="11.28515625" style="2" customWidth="1"/>
    <col min="5128" max="5128" width="16.140625" style="2" customWidth="1"/>
    <col min="5129" max="5129" width="11" style="2" customWidth="1"/>
    <col min="5130" max="5131" width="2.140625" style="2" customWidth="1"/>
    <col min="5132" max="5132" width="3.28515625" style="2" customWidth="1"/>
    <col min="5133" max="5134" width="0" style="2" hidden="1" customWidth="1"/>
    <col min="5135" max="5135" width="2.85546875" style="2" customWidth="1"/>
    <col min="5136" max="5136" width="3.28515625" style="2" customWidth="1"/>
    <col min="5137" max="5137" width="1.42578125" style="2" customWidth="1"/>
    <col min="5138" max="5138" width="0" style="2" hidden="1" customWidth="1"/>
    <col min="5139" max="5139" width="6.85546875" style="2" customWidth="1"/>
    <col min="5140" max="5140" width="0" style="2" hidden="1" customWidth="1"/>
    <col min="5141" max="5142" width="6.28515625" style="2" customWidth="1"/>
    <col min="5143" max="5144" width="13.85546875" style="2" customWidth="1"/>
    <col min="5145" max="5145" width="10.85546875" style="2" customWidth="1"/>
    <col min="5146" max="5146" width="14.140625" style="2" customWidth="1"/>
    <col min="5147" max="5147" width="0" style="2" hidden="1" customWidth="1"/>
    <col min="5148" max="5148" width="13" style="2" customWidth="1"/>
    <col min="5149" max="5149" width="13.140625" style="2" customWidth="1"/>
    <col min="5150" max="5151" width="14" style="2" customWidth="1"/>
    <col min="5152" max="5152" width="11.42578125" style="2" customWidth="1"/>
    <col min="5153" max="5153" width="15.85546875" style="2" customWidth="1"/>
    <col min="5154" max="5154" width="23.7109375" style="2" customWidth="1"/>
    <col min="5155" max="5155" width="12" style="2" customWidth="1"/>
    <col min="5156" max="5157" width="0.28515625" style="2" customWidth="1"/>
    <col min="5158" max="5158" width="1.42578125" style="2" customWidth="1"/>
    <col min="5159" max="5159" width="0" style="2" hidden="1" customWidth="1"/>
    <col min="5160" max="5376" width="11.42578125" style="2"/>
    <col min="5377" max="5377" width="10.28515625" style="2" customWidth="1"/>
    <col min="5378" max="5378" width="13.42578125" style="2" customWidth="1"/>
    <col min="5379" max="5379" width="4.28515625" style="2" customWidth="1"/>
    <col min="5380" max="5380" width="4" style="2" customWidth="1"/>
    <col min="5381" max="5381" width="15" style="2" customWidth="1"/>
    <col min="5382" max="5382" width="4.140625" style="2" customWidth="1"/>
    <col min="5383" max="5383" width="11.28515625" style="2" customWidth="1"/>
    <col min="5384" max="5384" width="16.140625" style="2" customWidth="1"/>
    <col min="5385" max="5385" width="11" style="2" customWidth="1"/>
    <col min="5386" max="5387" width="2.140625" style="2" customWidth="1"/>
    <col min="5388" max="5388" width="3.28515625" style="2" customWidth="1"/>
    <col min="5389" max="5390" width="0" style="2" hidden="1" customWidth="1"/>
    <col min="5391" max="5391" width="2.85546875" style="2" customWidth="1"/>
    <col min="5392" max="5392" width="3.28515625" style="2" customWidth="1"/>
    <col min="5393" max="5393" width="1.42578125" style="2" customWidth="1"/>
    <col min="5394" max="5394" width="0" style="2" hidden="1" customWidth="1"/>
    <col min="5395" max="5395" width="6.85546875" style="2" customWidth="1"/>
    <col min="5396" max="5396" width="0" style="2" hidden="1" customWidth="1"/>
    <col min="5397" max="5398" width="6.28515625" style="2" customWidth="1"/>
    <col min="5399" max="5400" width="13.85546875" style="2" customWidth="1"/>
    <col min="5401" max="5401" width="10.85546875" style="2" customWidth="1"/>
    <col min="5402" max="5402" width="14.140625" style="2" customWidth="1"/>
    <col min="5403" max="5403" width="0" style="2" hidden="1" customWidth="1"/>
    <col min="5404" max="5404" width="13" style="2" customWidth="1"/>
    <col min="5405" max="5405" width="13.140625" style="2" customWidth="1"/>
    <col min="5406" max="5407" width="14" style="2" customWidth="1"/>
    <col min="5408" max="5408" width="11.42578125" style="2" customWidth="1"/>
    <col min="5409" max="5409" width="15.85546875" style="2" customWidth="1"/>
    <col min="5410" max="5410" width="23.7109375" style="2" customWidth="1"/>
    <col min="5411" max="5411" width="12" style="2" customWidth="1"/>
    <col min="5412" max="5413" width="0.28515625" style="2" customWidth="1"/>
    <col min="5414" max="5414" width="1.42578125" style="2" customWidth="1"/>
    <col min="5415" max="5415" width="0" style="2" hidden="1" customWidth="1"/>
    <col min="5416" max="5632" width="11.42578125" style="2"/>
    <col min="5633" max="5633" width="10.28515625" style="2" customWidth="1"/>
    <col min="5634" max="5634" width="13.42578125" style="2" customWidth="1"/>
    <col min="5635" max="5635" width="4.28515625" style="2" customWidth="1"/>
    <col min="5636" max="5636" width="4" style="2" customWidth="1"/>
    <col min="5637" max="5637" width="15" style="2" customWidth="1"/>
    <col min="5638" max="5638" width="4.140625" style="2" customWidth="1"/>
    <col min="5639" max="5639" width="11.28515625" style="2" customWidth="1"/>
    <col min="5640" max="5640" width="16.140625" style="2" customWidth="1"/>
    <col min="5641" max="5641" width="11" style="2" customWidth="1"/>
    <col min="5642" max="5643" width="2.140625" style="2" customWidth="1"/>
    <col min="5644" max="5644" width="3.28515625" style="2" customWidth="1"/>
    <col min="5645" max="5646" width="0" style="2" hidden="1" customWidth="1"/>
    <col min="5647" max="5647" width="2.85546875" style="2" customWidth="1"/>
    <col min="5648" max="5648" width="3.28515625" style="2" customWidth="1"/>
    <col min="5649" max="5649" width="1.42578125" style="2" customWidth="1"/>
    <col min="5650" max="5650" width="0" style="2" hidden="1" customWidth="1"/>
    <col min="5651" max="5651" width="6.85546875" style="2" customWidth="1"/>
    <col min="5652" max="5652" width="0" style="2" hidden="1" customWidth="1"/>
    <col min="5653" max="5654" width="6.28515625" style="2" customWidth="1"/>
    <col min="5655" max="5656" width="13.85546875" style="2" customWidth="1"/>
    <col min="5657" max="5657" width="10.85546875" style="2" customWidth="1"/>
    <col min="5658" max="5658" width="14.140625" style="2" customWidth="1"/>
    <col min="5659" max="5659" width="0" style="2" hidden="1" customWidth="1"/>
    <col min="5660" max="5660" width="13" style="2" customWidth="1"/>
    <col min="5661" max="5661" width="13.140625" style="2" customWidth="1"/>
    <col min="5662" max="5663" width="14" style="2" customWidth="1"/>
    <col min="5664" max="5664" width="11.42578125" style="2" customWidth="1"/>
    <col min="5665" max="5665" width="15.85546875" style="2" customWidth="1"/>
    <col min="5666" max="5666" width="23.7109375" style="2" customWidth="1"/>
    <col min="5667" max="5667" width="12" style="2" customWidth="1"/>
    <col min="5668" max="5669" width="0.28515625" style="2" customWidth="1"/>
    <col min="5670" max="5670" width="1.42578125" style="2" customWidth="1"/>
    <col min="5671" max="5671" width="0" style="2" hidden="1" customWidth="1"/>
    <col min="5672" max="5888" width="11.42578125" style="2"/>
    <col min="5889" max="5889" width="10.28515625" style="2" customWidth="1"/>
    <col min="5890" max="5890" width="13.42578125" style="2" customWidth="1"/>
    <col min="5891" max="5891" width="4.28515625" style="2" customWidth="1"/>
    <col min="5892" max="5892" width="4" style="2" customWidth="1"/>
    <col min="5893" max="5893" width="15" style="2" customWidth="1"/>
    <col min="5894" max="5894" width="4.140625" style="2" customWidth="1"/>
    <col min="5895" max="5895" width="11.28515625" style="2" customWidth="1"/>
    <col min="5896" max="5896" width="16.140625" style="2" customWidth="1"/>
    <col min="5897" max="5897" width="11" style="2" customWidth="1"/>
    <col min="5898" max="5899" width="2.140625" style="2" customWidth="1"/>
    <col min="5900" max="5900" width="3.28515625" style="2" customWidth="1"/>
    <col min="5901" max="5902" width="0" style="2" hidden="1" customWidth="1"/>
    <col min="5903" max="5903" width="2.85546875" style="2" customWidth="1"/>
    <col min="5904" max="5904" width="3.28515625" style="2" customWidth="1"/>
    <col min="5905" max="5905" width="1.42578125" style="2" customWidth="1"/>
    <col min="5906" max="5906" width="0" style="2" hidden="1" customWidth="1"/>
    <col min="5907" max="5907" width="6.85546875" style="2" customWidth="1"/>
    <col min="5908" max="5908" width="0" style="2" hidden="1" customWidth="1"/>
    <col min="5909" max="5910" width="6.28515625" style="2" customWidth="1"/>
    <col min="5911" max="5912" width="13.85546875" style="2" customWidth="1"/>
    <col min="5913" max="5913" width="10.85546875" style="2" customWidth="1"/>
    <col min="5914" max="5914" width="14.140625" style="2" customWidth="1"/>
    <col min="5915" max="5915" width="0" style="2" hidden="1" customWidth="1"/>
    <col min="5916" max="5916" width="13" style="2" customWidth="1"/>
    <col min="5917" max="5917" width="13.140625" style="2" customWidth="1"/>
    <col min="5918" max="5919" width="14" style="2" customWidth="1"/>
    <col min="5920" max="5920" width="11.42578125" style="2" customWidth="1"/>
    <col min="5921" max="5921" width="15.85546875" style="2" customWidth="1"/>
    <col min="5922" max="5922" width="23.7109375" style="2" customWidth="1"/>
    <col min="5923" max="5923" width="12" style="2" customWidth="1"/>
    <col min="5924" max="5925" width="0.28515625" style="2" customWidth="1"/>
    <col min="5926" max="5926" width="1.42578125" style="2" customWidth="1"/>
    <col min="5927" max="5927" width="0" style="2" hidden="1" customWidth="1"/>
    <col min="5928" max="6144" width="11.42578125" style="2"/>
    <col min="6145" max="6145" width="10.28515625" style="2" customWidth="1"/>
    <col min="6146" max="6146" width="13.42578125" style="2" customWidth="1"/>
    <col min="6147" max="6147" width="4.28515625" style="2" customWidth="1"/>
    <col min="6148" max="6148" width="4" style="2" customWidth="1"/>
    <col min="6149" max="6149" width="15" style="2" customWidth="1"/>
    <col min="6150" max="6150" width="4.140625" style="2" customWidth="1"/>
    <col min="6151" max="6151" width="11.28515625" style="2" customWidth="1"/>
    <col min="6152" max="6152" width="16.140625" style="2" customWidth="1"/>
    <col min="6153" max="6153" width="11" style="2" customWidth="1"/>
    <col min="6154" max="6155" width="2.140625" style="2" customWidth="1"/>
    <col min="6156" max="6156" width="3.28515625" style="2" customWidth="1"/>
    <col min="6157" max="6158" width="0" style="2" hidden="1" customWidth="1"/>
    <col min="6159" max="6159" width="2.85546875" style="2" customWidth="1"/>
    <col min="6160" max="6160" width="3.28515625" style="2" customWidth="1"/>
    <col min="6161" max="6161" width="1.42578125" style="2" customWidth="1"/>
    <col min="6162" max="6162" width="0" style="2" hidden="1" customWidth="1"/>
    <col min="6163" max="6163" width="6.85546875" style="2" customWidth="1"/>
    <col min="6164" max="6164" width="0" style="2" hidden="1" customWidth="1"/>
    <col min="6165" max="6166" width="6.28515625" style="2" customWidth="1"/>
    <col min="6167" max="6168" width="13.85546875" style="2" customWidth="1"/>
    <col min="6169" max="6169" width="10.85546875" style="2" customWidth="1"/>
    <col min="6170" max="6170" width="14.140625" style="2" customWidth="1"/>
    <col min="6171" max="6171" width="0" style="2" hidden="1" customWidth="1"/>
    <col min="6172" max="6172" width="13" style="2" customWidth="1"/>
    <col min="6173" max="6173" width="13.140625" style="2" customWidth="1"/>
    <col min="6174" max="6175" width="14" style="2" customWidth="1"/>
    <col min="6176" max="6176" width="11.42578125" style="2" customWidth="1"/>
    <col min="6177" max="6177" width="15.85546875" style="2" customWidth="1"/>
    <col min="6178" max="6178" width="23.7109375" style="2" customWidth="1"/>
    <col min="6179" max="6179" width="12" style="2" customWidth="1"/>
    <col min="6180" max="6181" width="0.28515625" style="2" customWidth="1"/>
    <col min="6182" max="6182" width="1.42578125" style="2" customWidth="1"/>
    <col min="6183" max="6183" width="0" style="2" hidden="1" customWidth="1"/>
    <col min="6184" max="6400" width="11.42578125" style="2"/>
    <col min="6401" max="6401" width="10.28515625" style="2" customWidth="1"/>
    <col min="6402" max="6402" width="13.42578125" style="2" customWidth="1"/>
    <col min="6403" max="6403" width="4.28515625" style="2" customWidth="1"/>
    <col min="6404" max="6404" width="4" style="2" customWidth="1"/>
    <col min="6405" max="6405" width="15" style="2" customWidth="1"/>
    <col min="6406" max="6406" width="4.140625" style="2" customWidth="1"/>
    <col min="6407" max="6407" width="11.28515625" style="2" customWidth="1"/>
    <col min="6408" max="6408" width="16.140625" style="2" customWidth="1"/>
    <col min="6409" max="6409" width="11" style="2" customWidth="1"/>
    <col min="6410" max="6411" width="2.140625" style="2" customWidth="1"/>
    <col min="6412" max="6412" width="3.28515625" style="2" customWidth="1"/>
    <col min="6413" max="6414" width="0" style="2" hidden="1" customWidth="1"/>
    <col min="6415" max="6415" width="2.85546875" style="2" customWidth="1"/>
    <col min="6416" max="6416" width="3.28515625" style="2" customWidth="1"/>
    <col min="6417" max="6417" width="1.42578125" style="2" customWidth="1"/>
    <col min="6418" max="6418" width="0" style="2" hidden="1" customWidth="1"/>
    <col min="6419" max="6419" width="6.85546875" style="2" customWidth="1"/>
    <col min="6420" max="6420" width="0" style="2" hidden="1" customWidth="1"/>
    <col min="6421" max="6422" width="6.28515625" style="2" customWidth="1"/>
    <col min="6423" max="6424" width="13.85546875" style="2" customWidth="1"/>
    <col min="6425" max="6425" width="10.85546875" style="2" customWidth="1"/>
    <col min="6426" max="6426" width="14.140625" style="2" customWidth="1"/>
    <col min="6427" max="6427" width="0" style="2" hidden="1" customWidth="1"/>
    <col min="6428" max="6428" width="13" style="2" customWidth="1"/>
    <col min="6429" max="6429" width="13.140625" style="2" customWidth="1"/>
    <col min="6430" max="6431" width="14" style="2" customWidth="1"/>
    <col min="6432" max="6432" width="11.42578125" style="2" customWidth="1"/>
    <col min="6433" max="6433" width="15.85546875" style="2" customWidth="1"/>
    <col min="6434" max="6434" width="23.7109375" style="2" customWidth="1"/>
    <col min="6435" max="6435" width="12" style="2" customWidth="1"/>
    <col min="6436" max="6437" width="0.28515625" style="2" customWidth="1"/>
    <col min="6438" max="6438" width="1.42578125" style="2" customWidth="1"/>
    <col min="6439" max="6439" width="0" style="2" hidden="1" customWidth="1"/>
    <col min="6440" max="6656" width="11.42578125" style="2"/>
    <col min="6657" max="6657" width="10.28515625" style="2" customWidth="1"/>
    <col min="6658" max="6658" width="13.42578125" style="2" customWidth="1"/>
    <col min="6659" max="6659" width="4.28515625" style="2" customWidth="1"/>
    <col min="6660" max="6660" width="4" style="2" customWidth="1"/>
    <col min="6661" max="6661" width="15" style="2" customWidth="1"/>
    <col min="6662" max="6662" width="4.140625" style="2" customWidth="1"/>
    <col min="6663" max="6663" width="11.28515625" style="2" customWidth="1"/>
    <col min="6664" max="6664" width="16.140625" style="2" customWidth="1"/>
    <col min="6665" max="6665" width="11" style="2" customWidth="1"/>
    <col min="6666" max="6667" width="2.140625" style="2" customWidth="1"/>
    <col min="6668" max="6668" width="3.28515625" style="2" customWidth="1"/>
    <col min="6669" max="6670" width="0" style="2" hidden="1" customWidth="1"/>
    <col min="6671" max="6671" width="2.85546875" style="2" customWidth="1"/>
    <col min="6672" max="6672" width="3.28515625" style="2" customWidth="1"/>
    <col min="6673" max="6673" width="1.42578125" style="2" customWidth="1"/>
    <col min="6674" max="6674" width="0" style="2" hidden="1" customWidth="1"/>
    <col min="6675" max="6675" width="6.85546875" style="2" customWidth="1"/>
    <col min="6676" max="6676" width="0" style="2" hidden="1" customWidth="1"/>
    <col min="6677" max="6678" width="6.28515625" style="2" customWidth="1"/>
    <col min="6679" max="6680" width="13.85546875" style="2" customWidth="1"/>
    <col min="6681" max="6681" width="10.85546875" style="2" customWidth="1"/>
    <col min="6682" max="6682" width="14.140625" style="2" customWidth="1"/>
    <col min="6683" max="6683" width="0" style="2" hidden="1" customWidth="1"/>
    <col min="6684" max="6684" width="13" style="2" customWidth="1"/>
    <col min="6685" max="6685" width="13.140625" style="2" customWidth="1"/>
    <col min="6686" max="6687" width="14" style="2" customWidth="1"/>
    <col min="6688" max="6688" width="11.42578125" style="2" customWidth="1"/>
    <col min="6689" max="6689" width="15.85546875" style="2" customWidth="1"/>
    <col min="6690" max="6690" width="23.7109375" style="2" customWidth="1"/>
    <col min="6691" max="6691" width="12" style="2" customWidth="1"/>
    <col min="6692" max="6693" width="0.28515625" style="2" customWidth="1"/>
    <col min="6694" max="6694" width="1.42578125" style="2" customWidth="1"/>
    <col min="6695" max="6695" width="0" style="2" hidden="1" customWidth="1"/>
    <col min="6696" max="6912" width="11.42578125" style="2"/>
    <col min="6913" max="6913" width="10.28515625" style="2" customWidth="1"/>
    <col min="6914" max="6914" width="13.42578125" style="2" customWidth="1"/>
    <col min="6915" max="6915" width="4.28515625" style="2" customWidth="1"/>
    <col min="6916" max="6916" width="4" style="2" customWidth="1"/>
    <col min="6917" max="6917" width="15" style="2" customWidth="1"/>
    <col min="6918" max="6918" width="4.140625" style="2" customWidth="1"/>
    <col min="6919" max="6919" width="11.28515625" style="2" customWidth="1"/>
    <col min="6920" max="6920" width="16.140625" style="2" customWidth="1"/>
    <col min="6921" max="6921" width="11" style="2" customWidth="1"/>
    <col min="6922" max="6923" width="2.140625" style="2" customWidth="1"/>
    <col min="6924" max="6924" width="3.28515625" style="2" customWidth="1"/>
    <col min="6925" max="6926" width="0" style="2" hidden="1" customWidth="1"/>
    <col min="6927" max="6927" width="2.85546875" style="2" customWidth="1"/>
    <col min="6928" max="6928" width="3.28515625" style="2" customWidth="1"/>
    <col min="6929" max="6929" width="1.42578125" style="2" customWidth="1"/>
    <col min="6930" max="6930" width="0" style="2" hidden="1" customWidth="1"/>
    <col min="6931" max="6931" width="6.85546875" style="2" customWidth="1"/>
    <col min="6932" max="6932" width="0" style="2" hidden="1" customWidth="1"/>
    <col min="6933" max="6934" width="6.28515625" style="2" customWidth="1"/>
    <col min="6935" max="6936" width="13.85546875" style="2" customWidth="1"/>
    <col min="6937" max="6937" width="10.85546875" style="2" customWidth="1"/>
    <col min="6938" max="6938" width="14.140625" style="2" customWidth="1"/>
    <col min="6939" max="6939" width="0" style="2" hidden="1" customWidth="1"/>
    <col min="6940" max="6940" width="13" style="2" customWidth="1"/>
    <col min="6941" max="6941" width="13.140625" style="2" customWidth="1"/>
    <col min="6942" max="6943" width="14" style="2" customWidth="1"/>
    <col min="6944" max="6944" width="11.42578125" style="2" customWidth="1"/>
    <col min="6945" max="6945" width="15.85546875" style="2" customWidth="1"/>
    <col min="6946" max="6946" width="23.7109375" style="2" customWidth="1"/>
    <col min="6947" max="6947" width="12" style="2" customWidth="1"/>
    <col min="6948" max="6949" width="0.28515625" style="2" customWidth="1"/>
    <col min="6950" max="6950" width="1.42578125" style="2" customWidth="1"/>
    <col min="6951" max="6951" width="0" style="2" hidden="1" customWidth="1"/>
    <col min="6952" max="7168" width="11.42578125" style="2"/>
    <col min="7169" max="7169" width="10.28515625" style="2" customWidth="1"/>
    <col min="7170" max="7170" width="13.42578125" style="2" customWidth="1"/>
    <col min="7171" max="7171" width="4.28515625" style="2" customWidth="1"/>
    <col min="7172" max="7172" width="4" style="2" customWidth="1"/>
    <col min="7173" max="7173" width="15" style="2" customWidth="1"/>
    <col min="7174" max="7174" width="4.140625" style="2" customWidth="1"/>
    <col min="7175" max="7175" width="11.28515625" style="2" customWidth="1"/>
    <col min="7176" max="7176" width="16.140625" style="2" customWidth="1"/>
    <col min="7177" max="7177" width="11" style="2" customWidth="1"/>
    <col min="7178" max="7179" width="2.140625" style="2" customWidth="1"/>
    <col min="7180" max="7180" width="3.28515625" style="2" customWidth="1"/>
    <col min="7181" max="7182" width="0" style="2" hidden="1" customWidth="1"/>
    <col min="7183" max="7183" width="2.85546875" style="2" customWidth="1"/>
    <col min="7184" max="7184" width="3.28515625" style="2" customWidth="1"/>
    <col min="7185" max="7185" width="1.42578125" style="2" customWidth="1"/>
    <col min="7186" max="7186" width="0" style="2" hidden="1" customWidth="1"/>
    <col min="7187" max="7187" width="6.85546875" style="2" customWidth="1"/>
    <col min="7188" max="7188" width="0" style="2" hidden="1" customWidth="1"/>
    <col min="7189" max="7190" width="6.28515625" style="2" customWidth="1"/>
    <col min="7191" max="7192" width="13.85546875" style="2" customWidth="1"/>
    <col min="7193" max="7193" width="10.85546875" style="2" customWidth="1"/>
    <col min="7194" max="7194" width="14.140625" style="2" customWidth="1"/>
    <col min="7195" max="7195" width="0" style="2" hidden="1" customWidth="1"/>
    <col min="7196" max="7196" width="13" style="2" customWidth="1"/>
    <col min="7197" max="7197" width="13.140625" style="2" customWidth="1"/>
    <col min="7198" max="7199" width="14" style="2" customWidth="1"/>
    <col min="7200" max="7200" width="11.42578125" style="2" customWidth="1"/>
    <col min="7201" max="7201" width="15.85546875" style="2" customWidth="1"/>
    <col min="7202" max="7202" width="23.7109375" style="2" customWidth="1"/>
    <col min="7203" max="7203" width="12" style="2" customWidth="1"/>
    <col min="7204" max="7205" width="0.28515625" style="2" customWidth="1"/>
    <col min="7206" max="7206" width="1.42578125" style="2" customWidth="1"/>
    <col min="7207" max="7207" width="0" style="2" hidden="1" customWidth="1"/>
    <col min="7208" max="7424" width="11.42578125" style="2"/>
    <col min="7425" max="7425" width="10.28515625" style="2" customWidth="1"/>
    <col min="7426" max="7426" width="13.42578125" style="2" customWidth="1"/>
    <col min="7427" max="7427" width="4.28515625" style="2" customWidth="1"/>
    <col min="7428" max="7428" width="4" style="2" customWidth="1"/>
    <col min="7429" max="7429" width="15" style="2" customWidth="1"/>
    <col min="7430" max="7430" width="4.140625" style="2" customWidth="1"/>
    <col min="7431" max="7431" width="11.28515625" style="2" customWidth="1"/>
    <col min="7432" max="7432" width="16.140625" style="2" customWidth="1"/>
    <col min="7433" max="7433" width="11" style="2" customWidth="1"/>
    <col min="7434" max="7435" width="2.140625" style="2" customWidth="1"/>
    <col min="7436" max="7436" width="3.28515625" style="2" customWidth="1"/>
    <col min="7437" max="7438" width="0" style="2" hidden="1" customWidth="1"/>
    <col min="7439" max="7439" width="2.85546875" style="2" customWidth="1"/>
    <col min="7440" max="7440" width="3.28515625" style="2" customWidth="1"/>
    <col min="7441" max="7441" width="1.42578125" style="2" customWidth="1"/>
    <col min="7442" max="7442" width="0" style="2" hidden="1" customWidth="1"/>
    <col min="7443" max="7443" width="6.85546875" style="2" customWidth="1"/>
    <col min="7444" max="7444" width="0" style="2" hidden="1" customWidth="1"/>
    <col min="7445" max="7446" width="6.28515625" style="2" customWidth="1"/>
    <col min="7447" max="7448" width="13.85546875" style="2" customWidth="1"/>
    <col min="7449" max="7449" width="10.85546875" style="2" customWidth="1"/>
    <col min="7450" max="7450" width="14.140625" style="2" customWidth="1"/>
    <col min="7451" max="7451" width="0" style="2" hidden="1" customWidth="1"/>
    <col min="7452" max="7452" width="13" style="2" customWidth="1"/>
    <col min="7453" max="7453" width="13.140625" style="2" customWidth="1"/>
    <col min="7454" max="7455" width="14" style="2" customWidth="1"/>
    <col min="7456" max="7456" width="11.42578125" style="2" customWidth="1"/>
    <col min="7457" max="7457" width="15.85546875" style="2" customWidth="1"/>
    <col min="7458" max="7458" width="23.7109375" style="2" customWidth="1"/>
    <col min="7459" max="7459" width="12" style="2" customWidth="1"/>
    <col min="7460" max="7461" width="0.28515625" style="2" customWidth="1"/>
    <col min="7462" max="7462" width="1.42578125" style="2" customWidth="1"/>
    <col min="7463" max="7463" width="0" style="2" hidden="1" customWidth="1"/>
    <col min="7464" max="7680" width="11.42578125" style="2"/>
    <col min="7681" max="7681" width="10.28515625" style="2" customWidth="1"/>
    <col min="7682" max="7682" width="13.42578125" style="2" customWidth="1"/>
    <col min="7683" max="7683" width="4.28515625" style="2" customWidth="1"/>
    <col min="7684" max="7684" width="4" style="2" customWidth="1"/>
    <col min="7685" max="7685" width="15" style="2" customWidth="1"/>
    <col min="7686" max="7686" width="4.140625" style="2" customWidth="1"/>
    <col min="7687" max="7687" width="11.28515625" style="2" customWidth="1"/>
    <col min="7688" max="7688" width="16.140625" style="2" customWidth="1"/>
    <col min="7689" max="7689" width="11" style="2" customWidth="1"/>
    <col min="7690" max="7691" width="2.140625" style="2" customWidth="1"/>
    <col min="7692" max="7692" width="3.28515625" style="2" customWidth="1"/>
    <col min="7693" max="7694" width="0" style="2" hidden="1" customWidth="1"/>
    <col min="7695" max="7695" width="2.85546875" style="2" customWidth="1"/>
    <col min="7696" max="7696" width="3.28515625" style="2" customWidth="1"/>
    <col min="7697" max="7697" width="1.42578125" style="2" customWidth="1"/>
    <col min="7698" max="7698" width="0" style="2" hidden="1" customWidth="1"/>
    <col min="7699" max="7699" width="6.85546875" style="2" customWidth="1"/>
    <col min="7700" max="7700" width="0" style="2" hidden="1" customWidth="1"/>
    <col min="7701" max="7702" width="6.28515625" style="2" customWidth="1"/>
    <col min="7703" max="7704" width="13.85546875" style="2" customWidth="1"/>
    <col min="7705" max="7705" width="10.85546875" style="2" customWidth="1"/>
    <col min="7706" max="7706" width="14.140625" style="2" customWidth="1"/>
    <col min="7707" max="7707" width="0" style="2" hidden="1" customWidth="1"/>
    <col min="7708" max="7708" width="13" style="2" customWidth="1"/>
    <col min="7709" max="7709" width="13.140625" style="2" customWidth="1"/>
    <col min="7710" max="7711" width="14" style="2" customWidth="1"/>
    <col min="7712" max="7712" width="11.42578125" style="2" customWidth="1"/>
    <col min="7713" max="7713" width="15.85546875" style="2" customWidth="1"/>
    <col min="7714" max="7714" width="23.7109375" style="2" customWidth="1"/>
    <col min="7715" max="7715" width="12" style="2" customWidth="1"/>
    <col min="7716" max="7717" width="0.28515625" style="2" customWidth="1"/>
    <col min="7718" max="7718" width="1.42578125" style="2" customWidth="1"/>
    <col min="7719" max="7719" width="0" style="2" hidden="1" customWidth="1"/>
    <col min="7720" max="7936" width="11.42578125" style="2"/>
    <col min="7937" max="7937" width="10.28515625" style="2" customWidth="1"/>
    <col min="7938" max="7938" width="13.42578125" style="2" customWidth="1"/>
    <col min="7939" max="7939" width="4.28515625" style="2" customWidth="1"/>
    <col min="7940" max="7940" width="4" style="2" customWidth="1"/>
    <col min="7941" max="7941" width="15" style="2" customWidth="1"/>
    <col min="7942" max="7942" width="4.140625" style="2" customWidth="1"/>
    <col min="7943" max="7943" width="11.28515625" style="2" customWidth="1"/>
    <col min="7944" max="7944" width="16.140625" style="2" customWidth="1"/>
    <col min="7945" max="7945" width="11" style="2" customWidth="1"/>
    <col min="7946" max="7947" width="2.140625" style="2" customWidth="1"/>
    <col min="7948" max="7948" width="3.28515625" style="2" customWidth="1"/>
    <col min="7949" max="7950" width="0" style="2" hidden="1" customWidth="1"/>
    <col min="7951" max="7951" width="2.85546875" style="2" customWidth="1"/>
    <col min="7952" max="7952" width="3.28515625" style="2" customWidth="1"/>
    <col min="7953" max="7953" width="1.42578125" style="2" customWidth="1"/>
    <col min="7954" max="7954" width="0" style="2" hidden="1" customWidth="1"/>
    <col min="7955" max="7955" width="6.85546875" style="2" customWidth="1"/>
    <col min="7956" max="7956" width="0" style="2" hidden="1" customWidth="1"/>
    <col min="7957" max="7958" width="6.28515625" style="2" customWidth="1"/>
    <col min="7959" max="7960" width="13.85546875" style="2" customWidth="1"/>
    <col min="7961" max="7961" width="10.85546875" style="2" customWidth="1"/>
    <col min="7962" max="7962" width="14.140625" style="2" customWidth="1"/>
    <col min="7963" max="7963" width="0" style="2" hidden="1" customWidth="1"/>
    <col min="7964" max="7964" width="13" style="2" customWidth="1"/>
    <col min="7965" max="7965" width="13.140625" style="2" customWidth="1"/>
    <col min="7966" max="7967" width="14" style="2" customWidth="1"/>
    <col min="7968" max="7968" width="11.42578125" style="2" customWidth="1"/>
    <col min="7969" max="7969" width="15.85546875" style="2" customWidth="1"/>
    <col min="7970" max="7970" width="23.7109375" style="2" customWidth="1"/>
    <col min="7971" max="7971" width="12" style="2" customWidth="1"/>
    <col min="7972" max="7973" width="0.28515625" style="2" customWidth="1"/>
    <col min="7974" max="7974" width="1.42578125" style="2" customWidth="1"/>
    <col min="7975" max="7975" width="0" style="2" hidden="1" customWidth="1"/>
    <col min="7976" max="8192" width="11.42578125" style="2"/>
    <col min="8193" max="8193" width="10.28515625" style="2" customWidth="1"/>
    <col min="8194" max="8194" width="13.42578125" style="2" customWidth="1"/>
    <col min="8195" max="8195" width="4.28515625" style="2" customWidth="1"/>
    <col min="8196" max="8196" width="4" style="2" customWidth="1"/>
    <col min="8197" max="8197" width="15" style="2" customWidth="1"/>
    <col min="8198" max="8198" width="4.140625" style="2" customWidth="1"/>
    <col min="8199" max="8199" width="11.28515625" style="2" customWidth="1"/>
    <col min="8200" max="8200" width="16.140625" style="2" customWidth="1"/>
    <col min="8201" max="8201" width="11" style="2" customWidth="1"/>
    <col min="8202" max="8203" width="2.140625" style="2" customWidth="1"/>
    <col min="8204" max="8204" width="3.28515625" style="2" customWidth="1"/>
    <col min="8205" max="8206" width="0" style="2" hidden="1" customWidth="1"/>
    <col min="8207" max="8207" width="2.85546875" style="2" customWidth="1"/>
    <col min="8208" max="8208" width="3.28515625" style="2" customWidth="1"/>
    <col min="8209" max="8209" width="1.42578125" style="2" customWidth="1"/>
    <col min="8210" max="8210" width="0" style="2" hidden="1" customWidth="1"/>
    <col min="8211" max="8211" width="6.85546875" style="2" customWidth="1"/>
    <col min="8212" max="8212" width="0" style="2" hidden="1" customWidth="1"/>
    <col min="8213" max="8214" width="6.28515625" style="2" customWidth="1"/>
    <col min="8215" max="8216" width="13.85546875" style="2" customWidth="1"/>
    <col min="8217" max="8217" width="10.85546875" style="2" customWidth="1"/>
    <col min="8218" max="8218" width="14.140625" style="2" customWidth="1"/>
    <col min="8219" max="8219" width="0" style="2" hidden="1" customWidth="1"/>
    <col min="8220" max="8220" width="13" style="2" customWidth="1"/>
    <col min="8221" max="8221" width="13.140625" style="2" customWidth="1"/>
    <col min="8222" max="8223" width="14" style="2" customWidth="1"/>
    <col min="8224" max="8224" width="11.42578125" style="2" customWidth="1"/>
    <col min="8225" max="8225" width="15.85546875" style="2" customWidth="1"/>
    <col min="8226" max="8226" width="23.7109375" style="2" customWidth="1"/>
    <col min="8227" max="8227" width="12" style="2" customWidth="1"/>
    <col min="8228" max="8229" width="0.28515625" style="2" customWidth="1"/>
    <col min="8230" max="8230" width="1.42578125" style="2" customWidth="1"/>
    <col min="8231" max="8231" width="0" style="2" hidden="1" customWidth="1"/>
    <col min="8232" max="8448" width="11.42578125" style="2"/>
    <col min="8449" max="8449" width="10.28515625" style="2" customWidth="1"/>
    <col min="8450" max="8450" width="13.42578125" style="2" customWidth="1"/>
    <col min="8451" max="8451" width="4.28515625" style="2" customWidth="1"/>
    <col min="8452" max="8452" width="4" style="2" customWidth="1"/>
    <col min="8453" max="8453" width="15" style="2" customWidth="1"/>
    <col min="8454" max="8454" width="4.140625" style="2" customWidth="1"/>
    <col min="8455" max="8455" width="11.28515625" style="2" customWidth="1"/>
    <col min="8456" max="8456" width="16.140625" style="2" customWidth="1"/>
    <col min="8457" max="8457" width="11" style="2" customWidth="1"/>
    <col min="8458" max="8459" width="2.140625" style="2" customWidth="1"/>
    <col min="8460" max="8460" width="3.28515625" style="2" customWidth="1"/>
    <col min="8461" max="8462" width="0" style="2" hidden="1" customWidth="1"/>
    <col min="8463" max="8463" width="2.85546875" style="2" customWidth="1"/>
    <col min="8464" max="8464" width="3.28515625" style="2" customWidth="1"/>
    <col min="8465" max="8465" width="1.42578125" style="2" customWidth="1"/>
    <col min="8466" max="8466" width="0" style="2" hidden="1" customWidth="1"/>
    <col min="8467" max="8467" width="6.85546875" style="2" customWidth="1"/>
    <col min="8468" max="8468" width="0" style="2" hidden="1" customWidth="1"/>
    <col min="8469" max="8470" width="6.28515625" style="2" customWidth="1"/>
    <col min="8471" max="8472" width="13.85546875" style="2" customWidth="1"/>
    <col min="8473" max="8473" width="10.85546875" style="2" customWidth="1"/>
    <col min="8474" max="8474" width="14.140625" style="2" customWidth="1"/>
    <col min="8475" max="8475" width="0" style="2" hidden="1" customWidth="1"/>
    <col min="8476" max="8476" width="13" style="2" customWidth="1"/>
    <col min="8477" max="8477" width="13.140625" style="2" customWidth="1"/>
    <col min="8478" max="8479" width="14" style="2" customWidth="1"/>
    <col min="8480" max="8480" width="11.42578125" style="2" customWidth="1"/>
    <col min="8481" max="8481" width="15.85546875" style="2" customWidth="1"/>
    <col min="8482" max="8482" width="23.7109375" style="2" customWidth="1"/>
    <col min="8483" max="8483" width="12" style="2" customWidth="1"/>
    <col min="8484" max="8485" width="0.28515625" style="2" customWidth="1"/>
    <col min="8486" max="8486" width="1.42578125" style="2" customWidth="1"/>
    <col min="8487" max="8487" width="0" style="2" hidden="1" customWidth="1"/>
    <col min="8488" max="8704" width="11.42578125" style="2"/>
    <col min="8705" max="8705" width="10.28515625" style="2" customWidth="1"/>
    <col min="8706" max="8706" width="13.42578125" style="2" customWidth="1"/>
    <col min="8707" max="8707" width="4.28515625" style="2" customWidth="1"/>
    <col min="8708" max="8708" width="4" style="2" customWidth="1"/>
    <col min="8709" max="8709" width="15" style="2" customWidth="1"/>
    <col min="8710" max="8710" width="4.140625" style="2" customWidth="1"/>
    <col min="8711" max="8711" width="11.28515625" style="2" customWidth="1"/>
    <col min="8712" max="8712" width="16.140625" style="2" customWidth="1"/>
    <col min="8713" max="8713" width="11" style="2" customWidth="1"/>
    <col min="8714" max="8715" width="2.140625" style="2" customWidth="1"/>
    <col min="8716" max="8716" width="3.28515625" style="2" customWidth="1"/>
    <col min="8717" max="8718" width="0" style="2" hidden="1" customWidth="1"/>
    <col min="8719" max="8719" width="2.85546875" style="2" customWidth="1"/>
    <col min="8720" max="8720" width="3.28515625" style="2" customWidth="1"/>
    <col min="8721" max="8721" width="1.42578125" style="2" customWidth="1"/>
    <col min="8722" max="8722" width="0" style="2" hidden="1" customWidth="1"/>
    <col min="8723" max="8723" width="6.85546875" style="2" customWidth="1"/>
    <col min="8724" max="8724" width="0" style="2" hidden="1" customWidth="1"/>
    <col min="8725" max="8726" width="6.28515625" style="2" customWidth="1"/>
    <col min="8727" max="8728" width="13.85546875" style="2" customWidth="1"/>
    <col min="8729" max="8729" width="10.85546875" style="2" customWidth="1"/>
    <col min="8730" max="8730" width="14.140625" style="2" customWidth="1"/>
    <col min="8731" max="8731" width="0" style="2" hidden="1" customWidth="1"/>
    <col min="8732" max="8732" width="13" style="2" customWidth="1"/>
    <col min="8733" max="8733" width="13.140625" style="2" customWidth="1"/>
    <col min="8734" max="8735" width="14" style="2" customWidth="1"/>
    <col min="8736" max="8736" width="11.42578125" style="2" customWidth="1"/>
    <col min="8737" max="8737" width="15.85546875" style="2" customWidth="1"/>
    <col min="8738" max="8738" width="23.7109375" style="2" customWidth="1"/>
    <col min="8739" max="8739" width="12" style="2" customWidth="1"/>
    <col min="8740" max="8741" width="0.28515625" style="2" customWidth="1"/>
    <col min="8742" max="8742" width="1.42578125" style="2" customWidth="1"/>
    <col min="8743" max="8743" width="0" style="2" hidden="1" customWidth="1"/>
    <col min="8744" max="8960" width="11.42578125" style="2"/>
    <col min="8961" max="8961" width="10.28515625" style="2" customWidth="1"/>
    <col min="8962" max="8962" width="13.42578125" style="2" customWidth="1"/>
    <col min="8963" max="8963" width="4.28515625" style="2" customWidth="1"/>
    <col min="8964" max="8964" width="4" style="2" customWidth="1"/>
    <col min="8965" max="8965" width="15" style="2" customWidth="1"/>
    <col min="8966" max="8966" width="4.140625" style="2" customWidth="1"/>
    <col min="8967" max="8967" width="11.28515625" style="2" customWidth="1"/>
    <col min="8968" max="8968" width="16.140625" style="2" customWidth="1"/>
    <col min="8969" max="8969" width="11" style="2" customWidth="1"/>
    <col min="8970" max="8971" width="2.140625" style="2" customWidth="1"/>
    <col min="8972" max="8972" width="3.28515625" style="2" customWidth="1"/>
    <col min="8973" max="8974" width="0" style="2" hidden="1" customWidth="1"/>
    <col min="8975" max="8975" width="2.85546875" style="2" customWidth="1"/>
    <col min="8976" max="8976" width="3.28515625" style="2" customWidth="1"/>
    <col min="8977" max="8977" width="1.42578125" style="2" customWidth="1"/>
    <col min="8978" max="8978" width="0" style="2" hidden="1" customWidth="1"/>
    <col min="8979" max="8979" width="6.85546875" style="2" customWidth="1"/>
    <col min="8980" max="8980" width="0" style="2" hidden="1" customWidth="1"/>
    <col min="8981" max="8982" width="6.28515625" style="2" customWidth="1"/>
    <col min="8983" max="8984" width="13.85546875" style="2" customWidth="1"/>
    <col min="8985" max="8985" width="10.85546875" style="2" customWidth="1"/>
    <col min="8986" max="8986" width="14.140625" style="2" customWidth="1"/>
    <col min="8987" max="8987" width="0" style="2" hidden="1" customWidth="1"/>
    <col min="8988" max="8988" width="13" style="2" customWidth="1"/>
    <col min="8989" max="8989" width="13.140625" style="2" customWidth="1"/>
    <col min="8990" max="8991" width="14" style="2" customWidth="1"/>
    <col min="8992" max="8992" width="11.42578125" style="2" customWidth="1"/>
    <col min="8993" max="8993" width="15.85546875" style="2" customWidth="1"/>
    <col min="8994" max="8994" width="23.7109375" style="2" customWidth="1"/>
    <col min="8995" max="8995" width="12" style="2" customWidth="1"/>
    <col min="8996" max="8997" width="0.28515625" style="2" customWidth="1"/>
    <col min="8998" max="8998" width="1.42578125" style="2" customWidth="1"/>
    <col min="8999" max="8999" width="0" style="2" hidden="1" customWidth="1"/>
    <col min="9000" max="9216" width="11.42578125" style="2"/>
    <col min="9217" max="9217" width="10.28515625" style="2" customWidth="1"/>
    <col min="9218" max="9218" width="13.42578125" style="2" customWidth="1"/>
    <col min="9219" max="9219" width="4.28515625" style="2" customWidth="1"/>
    <col min="9220" max="9220" width="4" style="2" customWidth="1"/>
    <col min="9221" max="9221" width="15" style="2" customWidth="1"/>
    <col min="9222" max="9222" width="4.140625" style="2" customWidth="1"/>
    <col min="9223" max="9223" width="11.28515625" style="2" customWidth="1"/>
    <col min="9224" max="9224" width="16.140625" style="2" customWidth="1"/>
    <col min="9225" max="9225" width="11" style="2" customWidth="1"/>
    <col min="9226" max="9227" width="2.140625" style="2" customWidth="1"/>
    <col min="9228" max="9228" width="3.28515625" style="2" customWidth="1"/>
    <col min="9229" max="9230" width="0" style="2" hidden="1" customWidth="1"/>
    <col min="9231" max="9231" width="2.85546875" style="2" customWidth="1"/>
    <col min="9232" max="9232" width="3.28515625" style="2" customWidth="1"/>
    <col min="9233" max="9233" width="1.42578125" style="2" customWidth="1"/>
    <col min="9234" max="9234" width="0" style="2" hidden="1" customWidth="1"/>
    <col min="9235" max="9235" width="6.85546875" style="2" customWidth="1"/>
    <col min="9236" max="9236" width="0" style="2" hidden="1" customWidth="1"/>
    <col min="9237" max="9238" width="6.28515625" style="2" customWidth="1"/>
    <col min="9239" max="9240" width="13.85546875" style="2" customWidth="1"/>
    <col min="9241" max="9241" width="10.85546875" style="2" customWidth="1"/>
    <col min="9242" max="9242" width="14.140625" style="2" customWidth="1"/>
    <col min="9243" max="9243" width="0" style="2" hidden="1" customWidth="1"/>
    <col min="9244" max="9244" width="13" style="2" customWidth="1"/>
    <col min="9245" max="9245" width="13.140625" style="2" customWidth="1"/>
    <col min="9246" max="9247" width="14" style="2" customWidth="1"/>
    <col min="9248" max="9248" width="11.42578125" style="2" customWidth="1"/>
    <col min="9249" max="9249" width="15.85546875" style="2" customWidth="1"/>
    <col min="9250" max="9250" width="23.7109375" style="2" customWidth="1"/>
    <col min="9251" max="9251" width="12" style="2" customWidth="1"/>
    <col min="9252" max="9253" width="0.28515625" style="2" customWidth="1"/>
    <col min="9254" max="9254" width="1.42578125" style="2" customWidth="1"/>
    <col min="9255" max="9255" width="0" style="2" hidden="1" customWidth="1"/>
    <col min="9256" max="9472" width="11.42578125" style="2"/>
    <col min="9473" max="9473" width="10.28515625" style="2" customWidth="1"/>
    <col min="9474" max="9474" width="13.42578125" style="2" customWidth="1"/>
    <col min="9475" max="9475" width="4.28515625" style="2" customWidth="1"/>
    <col min="9476" max="9476" width="4" style="2" customWidth="1"/>
    <col min="9477" max="9477" width="15" style="2" customWidth="1"/>
    <col min="9478" max="9478" width="4.140625" style="2" customWidth="1"/>
    <col min="9479" max="9479" width="11.28515625" style="2" customWidth="1"/>
    <col min="9480" max="9480" width="16.140625" style="2" customWidth="1"/>
    <col min="9481" max="9481" width="11" style="2" customWidth="1"/>
    <col min="9482" max="9483" width="2.140625" style="2" customWidth="1"/>
    <col min="9484" max="9484" width="3.28515625" style="2" customWidth="1"/>
    <col min="9485" max="9486" width="0" style="2" hidden="1" customWidth="1"/>
    <col min="9487" max="9487" width="2.85546875" style="2" customWidth="1"/>
    <col min="9488" max="9488" width="3.28515625" style="2" customWidth="1"/>
    <col min="9489" max="9489" width="1.42578125" style="2" customWidth="1"/>
    <col min="9490" max="9490" width="0" style="2" hidden="1" customWidth="1"/>
    <col min="9491" max="9491" width="6.85546875" style="2" customWidth="1"/>
    <col min="9492" max="9492" width="0" style="2" hidden="1" customWidth="1"/>
    <col min="9493" max="9494" width="6.28515625" style="2" customWidth="1"/>
    <col min="9495" max="9496" width="13.85546875" style="2" customWidth="1"/>
    <col min="9497" max="9497" width="10.85546875" style="2" customWidth="1"/>
    <col min="9498" max="9498" width="14.140625" style="2" customWidth="1"/>
    <col min="9499" max="9499" width="0" style="2" hidden="1" customWidth="1"/>
    <col min="9500" max="9500" width="13" style="2" customWidth="1"/>
    <col min="9501" max="9501" width="13.140625" style="2" customWidth="1"/>
    <col min="9502" max="9503" width="14" style="2" customWidth="1"/>
    <col min="9504" max="9504" width="11.42578125" style="2" customWidth="1"/>
    <col min="9505" max="9505" width="15.85546875" style="2" customWidth="1"/>
    <col min="9506" max="9506" width="23.7109375" style="2" customWidth="1"/>
    <col min="9507" max="9507" width="12" style="2" customWidth="1"/>
    <col min="9508" max="9509" width="0.28515625" style="2" customWidth="1"/>
    <col min="9510" max="9510" width="1.42578125" style="2" customWidth="1"/>
    <col min="9511" max="9511" width="0" style="2" hidden="1" customWidth="1"/>
    <col min="9512" max="9728" width="11.42578125" style="2"/>
    <col min="9729" max="9729" width="10.28515625" style="2" customWidth="1"/>
    <col min="9730" max="9730" width="13.42578125" style="2" customWidth="1"/>
    <col min="9731" max="9731" width="4.28515625" style="2" customWidth="1"/>
    <col min="9732" max="9732" width="4" style="2" customWidth="1"/>
    <col min="9733" max="9733" width="15" style="2" customWidth="1"/>
    <col min="9734" max="9734" width="4.140625" style="2" customWidth="1"/>
    <col min="9735" max="9735" width="11.28515625" style="2" customWidth="1"/>
    <col min="9736" max="9736" width="16.140625" style="2" customWidth="1"/>
    <col min="9737" max="9737" width="11" style="2" customWidth="1"/>
    <col min="9738" max="9739" width="2.140625" style="2" customWidth="1"/>
    <col min="9740" max="9740" width="3.28515625" style="2" customWidth="1"/>
    <col min="9741" max="9742" width="0" style="2" hidden="1" customWidth="1"/>
    <col min="9743" max="9743" width="2.85546875" style="2" customWidth="1"/>
    <col min="9744" max="9744" width="3.28515625" style="2" customWidth="1"/>
    <col min="9745" max="9745" width="1.42578125" style="2" customWidth="1"/>
    <col min="9746" max="9746" width="0" style="2" hidden="1" customWidth="1"/>
    <col min="9747" max="9747" width="6.85546875" style="2" customWidth="1"/>
    <col min="9748" max="9748" width="0" style="2" hidden="1" customWidth="1"/>
    <col min="9749" max="9750" width="6.28515625" style="2" customWidth="1"/>
    <col min="9751" max="9752" width="13.85546875" style="2" customWidth="1"/>
    <col min="9753" max="9753" width="10.85546875" style="2" customWidth="1"/>
    <col min="9754" max="9754" width="14.140625" style="2" customWidth="1"/>
    <col min="9755" max="9755" width="0" style="2" hidden="1" customWidth="1"/>
    <col min="9756" max="9756" width="13" style="2" customWidth="1"/>
    <col min="9757" max="9757" width="13.140625" style="2" customWidth="1"/>
    <col min="9758" max="9759" width="14" style="2" customWidth="1"/>
    <col min="9760" max="9760" width="11.42578125" style="2" customWidth="1"/>
    <col min="9761" max="9761" width="15.85546875" style="2" customWidth="1"/>
    <col min="9762" max="9762" width="23.7109375" style="2" customWidth="1"/>
    <col min="9763" max="9763" width="12" style="2" customWidth="1"/>
    <col min="9764" max="9765" width="0.28515625" style="2" customWidth="1"/>
    <col min="9766" max="9766" width="1.42578125" style="2" customWidth="1"/>
    <col min="9767" max="9767" width="0" style="2" hidden="1" customWidth="1"/>
    <col min="9768" max="9984" width="11.42578125" style="2"/>
    <col min="9985" max="9985" width="10.28515625" style="2" customWidth="1"/>
    <col min="9986" max="9986" width="13.42578125" style="2" customWidth="1"/>
    <col min="9987" max="9987" width="4.28515625" style="2" customWidth="1"/>
    <col min="9988" max="9988" width="4" style="2" customWidth="1"/>
    <col min="9989" max="9989" width="15" style="2" customWidth="1"/>
    <col min="9990" max="9990" width="4.140625" style="2" customWidth="1"/>
    <col min="9991" max="9991" width="11.28515625" style="2" customWidth="1"/>
    <col min="9992" max="9992" width="16.140625" style="2" customWidth="1"/>
    <col min="9993" max="9993" width="11" style="2" customWidth="1"/>
    <col min="9994" max="9995" width="2.140625" style="2" customWidth="1"/>
    <col min="9996" max="9996" width="3.28515625" style="2" customWidth="1"/>
    <col min="9997" max="9998" width="0" style="2" hidden="1" customWidth="1"/>
    <col min="9999" max="9999" width="2.85546875" style="2" customWidth="1"/>
    <col min="10000" max="10000" width="3.28515625" style="2" customWidth="1"/>
    <col min="10001" max="10001" width="1.42578125" style="2" customWidth="1"/>
    <col min="10002" max="10002" width="0" style="2" hidden="1" customWidth="1"/>
    <col min="10003" max="10003" width="6.85546875" style="2" customWidth="1"/>
    <col min="10004" max="10004" width="0" style="2" hidden="1" customWidth="1"/>
    <col min="10005" max="10006" width="6.28515625" style="2" customWidth="1"/>
    <col min="10007" max="10008" width="13.85546875" style="2" customWidth="1"/>
    <col min="10009" max="10009" width="10.85546875" style="2" customWidth="1"/>
    <col min="10010" max="10010" width="14.140625" style="2" customWidth="1"/>
    <col min="10011" max="10011" width="0" style="2" hidden="1" customWidth="1"/>
    <col min="10012" max="10012" width="13" style="2" customWidth="1"/>
    <col min="10013" max="10013" width="13.140625" style="2" customWidth="1"/>
    <col min="10014" max="10015" width="14" style="2" customWidth="1"/>
    <col min="10016" max="10016" width="11.42578125" style="2" customWidth="1"/>
    <col min="10017" max="10017" width="15.85546875" style="2" customWidth="1"/>
    <col min="10018" max="10018" width="23.7109375" style="2" customWidth="1"/>
    <col min="10019" max="10019" width="12" style="2" customWidth="1"/>
    <col min="10020" max="10021" width="0.28515625" style="2" customWidth="1"/>
    <col min="10022" max="10022" width="1.42578125" style="2" customWidth="1"/>
    <col min="10023" max="10023" width="0" style="2" hidden="1" customWidth="1"/>
    <col min="10024" max="10240" width="11.42578125" style="2"/>
    <col min="10241" max="10241" width="10.28515625" style="2" customWidth="1"/>
    <col min="10242" max="10242" width="13.42578125" style="2" customWidth="1"/>
    <col min="10243" max="10243" width="4.28515625" style="2" customWidth="1"/>
    <col min="10244" max="10244" width="4" style="2" customWidth="1"/>
    <col min="10245" max="10245" width="15" style="2" customWidth="1"/>
    <col min="10246" max="10246" width="4.140625" style="2" customWidth="1"/>
    <col min="10247" max="10247" width="11.28515625" style="2" customWidth="1"/>
    <col min="10248" max="10248" width="16.140625" style="2" customWidth="1"/>
    <col min="10249" max="10249" width="11" style="2" customWidth="1"/>
    <col min="10250" max="10251" width="2.140625" style="2" customWidth="1"/>
    <col min="10252" max="10252" width="3.28515625" style="2" customWidth="1"/>
    <col min="10253" max="10254" width="0" style="2" hidden="1" customWidth="1"/>
    <col min="10255" max="10255" width="2.85546875" style="2" customWidth="1"/>
    <col min="10256" max="10256" width="3.28515625" style="2" customWidth="1"/>
    <col min="10257" max="10257" width="1.42578125" style="2" customWidth="1"/>
    <col min="10258" max="10258" width="0" style="2" hidden="1" customWidth="1"/>
    <col min="10259" max="10259" width="6.85546875" style="2" customWidth="1"/>
    <col min="10260" max="10260" width="0" style="2" hidden="1" customWidth="1"/>
    <col min="10261" max="10262" width="6.28515625" style="2" customWidth="1"/>
    <col min="10263" max="10264" width="13.85546875" style="2" customWidth="1"/>
    <col min="10265" max="10265" width="10.85546875" style="2" customWidth="1"/>
    <col min="10266" max="10266" width="14.140625" style="2" customWidth="1"/>
    <col min="10267" max="10267" width="0" style="2" hidden="1" customWidth="1"/>
    <col min="10268" max="10268" width="13" style="2" customWidth="1"/>
    <col min="10269" max="10269" width="13.140625" style="2" customWidth="1"/>
    <col min="10270" max="10271" width="14" style="2" customWidth="1"/>
    <col min="10272" max="10272" width="11.42578125" style="2" customWidth="1"/>
    <col min="10273" max="10273" width="15.85546875" style="2" customWidth="1"/>
    <col min="10274" max="10274" width="23.7109375" style="2" customWidth="1"/>
    <col min="10275" max="10275" width="12" style="2" customWidth="1"/>
    <col min="10276" max="10277" width="0.28515625" style="2" customWidth="1"/>
    <col min="10278" max="10278" width="1.42578125" style="2" customWidth="1"/>
    <col min="10279" max="10279" width="0" style="2" hidden="1" customWidth="1"/>
    <col min="10280" max="10496" width="11.42578125" style="2"/>
    <col min="10497" max="10497" width="10.28515625" style="2" customWidth="1"/>
    <col min="10498" max="10498" width="13.42578125" style="2" customWidth="1"/>
    <col min="10499" max="10499" width="4.28515625" style="2" customWidth="1"/>
    <col min="10500" max="10500" width="4" style="2" customWidth="1"/>
    <col min="10501" max="10501" width="15" style="2" customWidth="1"/>
    <col min="10502" max="10502" width="4.140625" style="2" customWidth="1"/>
    <col min="10503" max="10503" width="11.28515625" style="2" customWidth="1"/>
    <col min="10504" max="10504" width="16.140625" style="2" customWidth="1"/>
    <col min="10505" max="10505" width="11" style="2" customWidth="1"/>
    <col min="10506" max="10507" width="2.140625" style="2" customWidth="1"/>
    <col min="10508" max="10508" width="3.28515625" style="2" customWidth="1"/>
    <col min="10509" max="10510" width="0" style="2" hidden="1" customWidth="1"/>
    <col min="10511" max="10511" width="2.85546875" style="2" customWidth="1"/>
    <col min="10512" max="10512" width="3.28515625" style="2" customWidth="1"/>
    <col min="10513" max="10513" width="1.42578125" style="2" customWidth="1"/>
    <col min="10514" max="10514" width="0" style="2" hidden="1" customWidth="1"/>
    <col min="10515" max="10515" width="6.85546875" style="2" customWidth="1"/>
    <col min="10516" max="10516" width="0" style="2" hidden="1" customWidth="1"/>
    <col min="10517" max="10518" width="6.28515625" style="2" customWidth="1"/>
    <col min="10519" max="10520" width="13.85546875" style="2" customWidth="1"/>
    <col min="10521" max="10521" width="10.85546875" style="2" customWidth="1"/>
    <col min="10522" max="10522" width="14.140625" style="2" customWidth="1"/>
    <col min="10523" max="10523" width="0" style="2" hidden="1" customWidth="1"/>
    <col min="10524" max="10524" width="13" style="2" customWidth="1"/>
    <col min="10525" max="10525" width="13.140625" style="2" customWidth="1"/>
    <col min="10526" max="10527" width="14" style="2" customWidth="1"/>
    <col min="10528" max="10528" width="11.42578125" style="2" customWidth="1"/>
    <col min="10529" max="10529" width="15.85546875" style="2" customWidth="1"/>
    <col min="10530" max="10530" width="23.7109375" style="2" customWidth="1"/>
    <col min="10531" max="10531" width="12" style="2" customWidth="1"/>
    <col min="10532" max="10533" width="0.28515625" style="2" customWidth="1"/>
    <col min="10534" max="10534" width="1.42578125" style="2" customWidth="1"/>
    <col min="10535" max="10535" width="0" style="2" hidden="1" customWidth="1"/>
    <col min="10536" max="10752" width="11.42578125" style="2"/>
    <col min="10753" max="10753" width="10.28515625" style="2" customWidth="1"/>
    <col min="10754" max="10754" width="13.42578125" style="2" customWidth="1"/>
    <col min="10755" max="10755" width="4.28515625" style="2" customWidth="1"/>
    <col min="10756" max="10756" width="4" style="2" customWidth="1"/>
    <col min="10757" max="10757" width="15" style="2" customWidth="1"/>
    <col min="10758" max="10758" width="4.140625" style="2" customWidth="1"/>
    <col min="10759" max="10759" width="11.28515625" style="2" customWidth="1"/>
    <col min="10760" max="10760" width="16.140625" style="2" customWidth="1"/>
    <col min="10761" max="10761" width="11" style="2" customWidth="1"/>
    <col min="10762" max="10763" width="2.140625" style="2" customWidth="1"/>
    <col min="10764" max="10764" width="3.28515625" style="2" customWidth="1"/>
    <col min="10765" max="10766" width="0" style="2" hidden="1" customWidth="1"/>
    <col min="10767" max="10767" width="2.85546875" style="2" customWidth="1"/>
    <col min="10768" max="10768" width="3.28515625" style="2" customWidth="1"/>
    <col min="10769" max="10769" width="1.42578125" style="2" customWidth="1"/>
    <col min="10770" max="10770" width="0" style="2" hidden="1" customWidth="1"/>
    <col min="10771" max="10771" width="6.85546875" style="2" customWidth="1"/>
    <col min="10772" max="10772" width="0" style="2" hidden="1" customWidth="1"/>
    <col min="10773" max="10774" width="6.28515625" style="2" customWidth="1"/>
    <col min="10775" max="10776" width="13.85546875" style="2" customWidth="1"/>
    <col min="10777" max="10777" width="10.85546875" style="2" customWidth="1"/>
    <col min="10778" max="10778" width="14.140625" style="2" customWidth="1"/>
    <col min="10779" max="10779" width="0" style="2" hidden="1" customWidth="1"/>
    <col min="10780" max="10780" width="13" style="2" customWidth="1"/>
    <col min="10781" max="10781" width="13.140625" style="2" customWidth="1"/>
    <col min="10782" max="10783" width="14" style="2" customWidth="1"/>
    <col min="10784" max="10784" width="11.42578125" style="2" customWidth="1"/>
    <col min="10785" max="10785" width="15.85546875" style="2" customWidth="1"/>
    <col min="10786" max="10786" width="23.7109375" style="2" customWidth="1"/>
    <col min="10787" max="10787" width="12" style="2" customWidth="1"/>
    <col min="10788" max="10789" width="0.28515625" style="2" customWidth="1"/>
    <col min="10790" max="10790" width="1.42578125" style="2" customWidth="1"/>
    <col min="10791" max="10791" width="0" style="2" hidden="1" customWidth="1"/>
    <col min="10792" max="11008" width="11.42578125" style="2"/>
    <col min="11009" max="11009" width="10.28515625" style="2" customWidth="1"/>
    <col min="11010" max="11010" width="13.42578125" style="2" customWidth="1"/>
    <col min="11011" max="11011" width="4.28515625" style="2" customWidth="1"/>
    <col min="11012" max="11012" width="4" style="2" customWidth="1"/>
    <col min="11013" max="11013" width="15" style="2" customWidth="1"/>
    <col min="11014" max="11014" width="4.140625" style="2" customWidth="1"/>
    <col min="11015" max="11015" width="11.28515625" style="2" customWidth="1"/>
    <col min="11016" max="11016" width="16.140625" style="2" customWidth="1"/>
    <col min="11017" max="11017" width="11" style="2" customWidth="1"/>
    <col min="11018" max="11019" width="2.140625" style="2" customWidth="1"/>
    <col min="11020" max="11020" width="3.28515625" style="2" customWidth="1"/>
    <col min="11021" max="11022" width="0" style="2" hidden="1" customWidth="1"/>
    <col min="11023" max="11023" width="2.85546875" style="2" customWidth="1"/>
    <col min="11024" max="11024" width="3.28515625" style="2" customWidth="1"/>
    <col min="11025" max="11025" width="1.42578125" style="2" customWidth="1"/>
    <col min="11026" max="11026" width="0" style="2" hidden="1" customWidth="1"/>
    <col min="11027" max="11027" width="6.85546875" style="2" customWidth="1"/>
    <col min="11028" max="11028" width="0" style="2" hidden="1" customWidth="1"/>
    <col min="11029" max="11030" width="6.28515625" style="2" customWidth="1"/>
    <col min="11031" max="11032" width="13.85546875" style="2" customWidth="1"/>
    <col min="11033" max="11033" width="10.85546875" style="2" customWidth="1"/>
    <col min="11034" max="11034" width="14.140625" style="2" customWidth="1"/>
    <col min="11035" max="11035" width="0" style="2" hidden="1" customWidth="1"/>
    <col min="11036" max="11036" width="13" style="2" customWidth="1"/>
    <col min="11037" max="11037" width="13.140625" style="2" customWidth="1"/>
    <col min="11038" max="11039" width="14" style="2" customWidth="1"/>
    <col min="11040" max="11040" width="11.42578125" style="2" customWidth="1"/>
    <col min="11041" max="11041" width="15.85546875" style="2" customWidth="1"/>
    <col min="11042" max="11042" width="23.7109375" style="2" customWidth="1"/>
    <col min="11043" max="11043" width="12" style="2" customWidth="1"/>
    <col min="11044" max="11045" width="0.28515625" style="2" customWidth="1"/>
    <col min="11046" max="11046" width="1.42578125" style="2" customWidth="1"/>
    <col min="11047" max="11047" width="0" style="2" hidden="1" customWidth="1"/>
    <col min="11048" max="11264" width="11.42578125" style="2"/>
    <col min="11265" max="11265" width="10.28515625" style="2" customWidth="1"/>
    <col min="11266" max="11266" width="13.42578125" style="2" customWidth="1"/>
    <col min="11267" max="11267" width="4.28515625" style="2" customWidth="1"/>
    <col min="11268" max="11268" width="4" style="2" customWidth="1"/>
    <col min="11269" max="11269" width="15" style="2" customWidth="1"/>
    <col min="11270" max="11270" width="4.140625" style="2" customWidth="1"/>
    <col min="11271" max="11271" width="11.28515625" style="2" customWidth="1"/>
    <col min="11272" max="11272" width="16.140625" style="2" customWidth="1"/>
    <col min="11273" max="11273" width="11" style="2" customWidth="1"/>
    <col min="11274" max="11275" width="2.140625" style="2" customWidth="1"/>
    <col min="11276" max="11276" width="3.28515625" style="2" customWidth="1"/>
    <col min="11277" max="11278" width="0" style="2" hidden="1" customWidth="1"/>
    <col min="11279" max="11279" width="2.85546875" style="2" customWidth="1"/>
    <col min="11280" max="11280" width="3.28515625" style="2" customWidth="1"/>
    <col min="11281" max="11281" width="1.42578125" style="2" customWidth="1"/>
    <col min="11282" max="11282" width="0" style="2" hidden="1" customWidth="1"/>
    <col min="11283" max="11283" width="6.85546875" style="2" customWidth="1"/>
    <col min="11284" max="11284" width="0" style="2" hidden="1" customWidth="1"/>
    <col min="11285" max="11286" width="6.28515625" style="2" customWidth="1"/>
    <col min="11287" max="11288" width="13.85546875" style="2" customWidth="1"/>
    <col min="11289" max="11289" width="10.85546875" style="2" customWidth="1"/>
    <col min="11290" max="11290" width="14.140625" style="2" customWidth="1"/>
    <col min="11291" max="11291" width="0" style="2" hidden="1" customWidth="1"/>
    <col min="11292" max="11292" width="13" style="2" customWidth="1"/>
    <col min="11293" max="11293" width="13.140625" style="2" customWidth="1"/>
    <col min="11294" max="11295" width="14" style="2" customWidth="1"/>
    <col min="11296" max="11296" width="11.42578125" style="2" customWidth="1"/>
    <col min="11297" max="11297" width="15.85546875" style="2" customWidth="1"/>
    <col min="11298" max="11298" width="23.7109375" style="2" customWidth="1"/>
    <col min="11299" max="11299" width="12" style="2" customWidth="1"/>
    <col min="11300" max="11301" width="0.28515625" style="2" customWidth="1"/>
    <col min="11302" max="11302" width="1.42578125" style="2" customWidth="1"/>
    <col min="11303" max="11303" width="0" style="2" hidden="1" customWidth="1"/>
    <col min="11304" max="11520" width="11.42578125" style="2"/>
    <col min="11521" max="11521" width="10.28515625" style="2" customWidth="1"/>
    <col min="11522" max="11522" width="13.42578125" style="2" customWidth="1"/>
    <col min="11523" max="11523" width="4.28515625" style="2" customWidth="1"/>
    <col min="11524" max="11524" width="4" style="2" customWidth="1"/>
    <col min="11525" max="11525" width="15" style="2" customWidth="1"/>
    <col min="11526" max="11526" width="4.140625" style="2" customWidth="1"/>
    <col min="11527" max="11527" width="11.28515625" style="2" customWidth="1"/>
    <col min="11528" max="11528" width="16.140625" style="2" customWidth="1"/>
    <col min="11529" max="11529" width="11" style="2" customWidth="1"/>
    <col min="11530" max="11531" width="2.140625" style="2" customWidth="1"/>
    <col min="11532" max="11532" width="3.28515625" style="2" customWidth="1"/>
    <col min="11533" max="11534" width="0" style="2" hidden="1" customWidth="1"/>
    <col min="11535" max="11535" width="2.85546875" style="2" customWidth="1"/>
    <col min="11536" max="11536" width="3.28515625" style="2" customWidth="1"/>
    <col min="11537" max="11537" width="1.42578125" style="2" customWidth="1"/>
    <col min="11538" max="11538" width="0" style="2" hidden="1" customWidth="1"/>
    <col min="11539" max="11539" width="6.85546875" style="2" customWidth="1"/>
    <col min="11540" max="11540" width="0" style="2" hidden="1" customWidth="1"/>
    <col min="11541" max="11542" width="6.28515625" style="2" customWidth="1"/>
    <col min="11543" max="11544" width="13.85546875" style="2" customWidth="1"/>
    <col min="11545" max="11545" width="10.85546875" style="2" customWidth="1"/>
    <col min="11546" max="11546" width="14.140625" style="2" customWidth="1"/>
    <col min="11547" max="11547" width="0" style="2" hidden="1" customWidth="1"/>
    <col min="11548" max="11548" width="13" style="2" customWidth="1"/>
    <col min="11549" max="11549" width="13.140625" style="2" customWidth="1"/>
    <col min="11550" max="11551" width="14" style="2" customWidth="1"/>
    <col min="11552" max="11552" width="11.42578125" style="2" customWidth="1"/>
    <col min="11553" max="11553" width="15.85546875" style="2" customWidth="1"/>
    <col min="11554" max="11554" width="23.7109375" style="2" customWidth="1"/>
    <col min="11555" max="11555" width="12" style="2" customWidth="1"/>
    <col min="11556" max="11557" width="0.28515625" style="2" customWidth="1"/>
    <col min="11558" max="11558" width="1.42578125" style="2" customWidth="1"/>
    <col min="11559" max="11559" width="0" style="2" hidden="1" customWidth="1"/>
    <col min="11560" max="11776" width="11.42578125" style="2"/>
    <col min="11777" max="11777" width="10.28515625" style="2" customWidth="1"/>
    <col min="11778" max="11778" width="13.42578125" style="2" customWidth="1"/>
    <col min="11779" max="11779" width="4.28515625" style="2" customWidth="1"/>
    <col min="11780" max="11780" width="4" style="2" customWidth="1"/>
    <col min="11781" max="11781" width="15" style="2" customWidth="1"/>
    <col min="11782" max="11782" width="4.140625" style="2" customWidth="1"/>
    <col min="11783" max="11783" width="11.28515625" style="2" customWidth="1"/>
    <col min="11784" max="11784" width="16.140625" style="2" customWidth="1"/>
    <col min="11785" max="11785" width="11" style="2" customWidth="1"/>
    <col min="11786" max="11787" width="2.140625" style="2" customWidth="1"/>
    <col min="11788" max="11788" width="3.28515625" style="2" customWidth="1"/>
    <col min="11789" max="11790" width="0" style="2" hidden="1" customWidth="1"/>
    <col min="11791" max="11791" width="2.85546875" style="2" customWidth="1"/>
    <col min="11792" max="11792" width="3.28515625" style="2" customWidth="1"/>
    <col min="11793" max="11793" width="1.42578125" style="2" customWidth="1"/>
    <col min="11794" max="11794" width="0" style="2" hidden="1" customWidth="1"/>
    <col min="11795" max="11795" width="6.85546875" style="2" customWidth="1"/>
    <col min="11796" max="11796" width="0" style="2" hidden="1" customWidth="1"/>
    <col min="11797" max="11798" width="6.28515625" style="2" customWidth="1"/>
    <col min="11799" max="11800" width="13.85546875" style="2" customWidth="1"/>
    <col min="11801" max="11801" width="10.85546875" style="2" customWidth="1"/>
    <col min="11802" max="11802" width="14.140625" style="2" customWidth="1"/>
    <col min="11803" max="11803" width="0" style="2" hidden="1" customWidth="1"/>
    <col min="11804" max="11804" width="13" style="2" customWidth="1"/>
    <col min="11805" max="11805" width="13.140625" style="2" customWidth="1"/>
    <col min="11806" max="11807" width="14" style="2" customWidth="1"/>
    <col min="11808" max="11808" width="11.42578125" style="2" customWidth="1"/>
    <col min="11809" max="11809" width="15.85546875" style="2" customWidth="1"/>
    <col min="11810" max="11810" width="23.7109375" style="2" customWidth="1"/>
    <col min="11811" max="11811" width="12" style="2" customWidth="1"/>
    <col min="11812" max="11813" width="0.28515625" style="2" customWidth="1"/>
    <col min="11814" max="11814" width="1.42578125" style="2" customWidth="1"/>
    <col min="11815" max="11815" width="0" style="2" hidden="1" customWidth="1"/>
    <col min="11816" max="12032" width="11.42578125" style="2"/>
    <col min="12033" max="12033" width="10.28515625" style="2" customWidth="1"/>
    <col min="12034" max="12034" width="13.42578125" style="2" customWidth="1"/>
    <col min="12035" max="12035" width="4.28515625" style="2" customWidth="1"/>
    <col min="12036" max="12036" width="4" style="2" customWidth="1"/>
    <col min="12037" max="12037" width="15" style="2" customWidth="1"/>
    <col min="12038" max="12038" width="4.140625" style="2" customWidth="1"/>
    <col min="12039" max="12039" width="11.28515625" style="2" customWidth="1"/>
    <col min="12040" max="12040" width="16.140625" style="2" customWidth="1"/>
    <col min="12041" max="12041" width="11" style="2" customWidth="1"/>
    <col min="12042" max="12043" width="2.140625" style="2" customWidth="1"/>
    <col min="12044" max="12044" width="3.28515625" style="2" customWidth="1"/>
    <col min="12045" max="12046" width="0" style="2" hidden="1" customWidth="1"/>
    <col min="12047" max="12047" width="2.85546875" style="2" customWidth="1"/>
    <col min="12048" max="12048" width="3.28515625" style="2" customWidth="1"/>
    <col min="12049" max="12049" width="1.42578125" style="2" customWidth="1"/>
    <col min="12050" max="12050" width="0" style="2" hidden="1" customWidth="1"/>
    <col min="12051" max="12051" width="6.85546875" style="2" customWidth="1"/>
    <col min="12052" max="12052" width="0" style="2" hidden="1" customWidth="1"/>
    <col min="12053" max="12054" width="6.28515625" style="2" customWidth="1"/>
    <col min="12055" max="12056" width="13.85546875" style="2" customWidth="1"/>
    <col min="12057" max="12057" width="10.85546875" style="2" customWidth="1"/>
    <col min="12058" max="12058" width="14.140625" style="2" customWidth="1"/>
    <col min="12059" max="12059" width="0" style="2" hidden="1" customWidth="1"/>
    <col min="12060" max="12060" width="13" style="2" customWidth="1"/>
    <col min="12061" max="12061" width="13.140625" style="2" customWidth="1"/>
    <col min="12062" max="12063" width="14" style="2" customWidth="1"/>
    <col min="12064" max="12064" width="11.42578125" style="2" customWidth="1"/>
    <col min="12065" max="12065" width="15.85546875" style="2" customWidth="1"/>
    <col min="12066" max="12066" width="23.7109375" style="2" customWidth="1"/>
    <col min="12067" max="12067" width="12" style="2" customWidth="1"/>
    <col min="12068" max="12069" width="0.28515625" style="2" customWidth="1"/>
    <col min="12070" max="12070" width="1.42578125" style="2" customWidth="1"/>
    <col min="12071" max="12071" width="0" style="2" hidden="1" customWidth="1"/>
    <col min="12072" max="12288" width="11.42578125" style="2"/>
    <col min="12289" max="12289" width="10.28515625" style="2" customWidth="1"/>
    <col min="12290" max="12290" width="13.42578125" style="2" customWidth="1"/>
    <col min="12291" max="12291" width="4.28515625" style="2" customWidth="1"/>
    <col min="12292" max="12292" width="4" style="2" customWidth="1"/>
    <col min="12293" max="12293" width="15" style="2" customWidth="1"/>
    <col min="12294" max="12294" width="4.140625" style="2" customWidth="1"/>
    <col min="12295" max="12295" width="11.28515625" style="2" customWidth="1"/>
    <col min="12296" max="12296" width="16.140625" style="2" customWidth="1"/>
    <col min="12297" max="12297" width="11" style="2" customWidth="1"/>
    <col min="12298" max="12299" width="2.140625" style="2" customWidth="1"/>
    <col min="12300" max="12300" width="3.28515625" style="2" customWidth="1"/>
    <col min="12301" max="12302" width="0" style="2" hidden="1" customWidth="1"/>
    <col min="12303" max="12303" width="2.85546875" style="2" customWidth="1"/>
    <col min="12304" max="12304" width="3.28515625" style="2" customWidth="1"/>
    <col min="12305" max="12305" width="1.42578125" style="2" customWidth="1"/>
    <col min="12306" max="12306" width="0" style="2" hidden="1" customWidth="1"/>
    <col min="12307" max="12307" width="6.85546875" style="2" customWidth="1"/>
    <col min="12308" max="12308" width="0" style="2" hidden="1" customWidth="1"/>
    <col min="12309" max="12310" width="6.28515625" style="2" customWidth="1"/>
    <col min="12311" max="12312" width="13.85546875" style="2" customWidth="1"/>
    <col min="12313" max="12313" width="10.85546875" style="2" customWidth="1"/>
    <col min="12314" max="12314" width="14.140625" style="2" customWidth="1"/>
    <col min="12315" max="12315" width="0" style="2" hidden="1" customWidth="1"/>
    <col min="12316" max="12316" width="13" style="2" customWidth="1"/>
    <col min="12317" max="12317" width="13.140625" style="2" customWidth="1"/>
    <col min="12318" max="12319" width="14" style="2" customWidth="1"/>
    <col min="12320" max="12320" width="11.42578125" style="2" customWidth="1"/>
    <col min="12321" max="12321" width="15.85546875" style="2" customWidth="1"/>
    <col min="12322" max="12322" width="23.7109375" style="2" customWidth="1"/>
    <col min="12323" max="12323" width="12" style="2" customWidth="1"/>
    <col min="12324" max="12325" width="0.28515625" style="2" customWidth="1"/>
    <col min="12326" max="12326" width="1.42578125" style="2" customWidth="1"/>
    <col min="12327" max="12327" width="0" style="2" hidden="1" customWidth="1"/>
    <col min="12328" max="12544" width="11.42578125" style="2"/>
    <col min="12545" max="12545" width="10.28515625" style="2" customWidth="1"/>
    <col min="12546" max="12546" width="13.42578125" style="2" customWidth="1"/>
    <col min="12547" max="12547" width="4.28515625" style="2" customWidth="1"/>
    <col min="12548" max="12548" width="4" style="2" customWidth="1"/>
    <col min="12549" max="12549" width="15" style="2" customWidth="1"/>
    <col min="12550" max="12550" width="4.140625" style="2" customWidth="1"/>
    <col min="12551" max="12551" width="11.28515625" style="2" customWidth="1"/>
    <col min="12552" max="12552" width="16.140625" style="2" customWidth="1"/>
    <col min="12553" max="12553" width="11" style="2" customWidth="1"/>
    <col min="12554" max="12555" width="2.140625" style="2" customWidth="1"/>
    <col min="12556" max="12556" width="3.28515625" style="2" customWidth="1"/>
    <col min="12557" max="12558" width="0" style="2" hidden="1" customWidth="1"/>
    <col min="12559" max="12559" width="2.85546875" style="2" customWidth="1"/>
    <col min="12560" max="12560" width="3.28515625" style="2" customWidth="1"/>
    <col min="12561" max="12561" width="1.42578125" style="2" customWidth="1"/>
    <col min="12562" max="12562" width="0" style="2" hidden="1" customWidth="1"/>
    <col min="12563" max="12563" width="6.85546875" style="2" customWidth="1"/>
    <col min="12564" max="12564" width="0" style="2" hidden="1" customWidth="1"/>
    <col min="12565" max="12566" width="6.28515625" style="2" customWidth="1"/>
    <col min="12567" max="12568" width="13.85546875" style="2" customWidth="1"/>
    <col min="12569" max="12569" width="10.85546875" style="2" customWidth="1"/>
    <col min="12570" max="12570" width="14.140625" style="2" customWidth="1"/>
    <col min="12571" max="12571" width="0" style="2" hidden="1" customWidth="1"/>
    <col min="12572" max="12572" width="13" style="2" customWidth="1"/>
    <col min="12573" max="12573" width="13.140625" style="2" customWidth="1"/>
    <col min="12574" max="12575" width="14" style="2" customWidth="1"/>
    <col min="12576" max="12576" width="11.42578125" style="2" customWidth="1"/>
    <col min="12577" max="12577" width="15.85546875" style="2" customWidth="1"/>
    <col min="12578" max="12578" width="23.7109375" style="2" customWidth="1"/>
    <col min="12579" max="12579" width="12" style="2" customWidth="1"/>
    <col min="12580" max="12581" width="0.28515625" style="2" customWidth="1"/>
    <col min="12582" max="12582" width="1.42578125" style="2" customWidth="1"/>
    <col min="12583" max="12583" width="0" style="2" hidden="1" customWidth="1"/>
    <col min="12584" max="12800" width="11.42578125" style="2"/>
    <col min="12801" max="12801" width="10.28515625" style="2" customWidth="1"/>
    <col min="12802" max="12802" width="13.42578125" style="2" customWidth="1"/>
    <col min="12803" max="12803" width="4.28515625" style="2" customWidth="1"/>
    <col min="12804" max="12804" width="4" style="2" customWidth="1"/>
    <col min="12805" max="12805" width="15" style="2" customWidth="1"/>
    <col min="12806" max="12806" width="4.140625" style="2" customWidth="1"/>
    <col min="12807" max="12807" width="11.28515625" style="2" customWidth="1"/>
    <col min="12808" max="12808" width="16.140625" style="2" customWidth="1"/>
    <col min="12809" max="12809" width="11" style="2" customWidth="1"/>
    <col min="12810" max="12811" width="2.140625" style="2" customWidth="1"/>
    <col min="12812" max="12812" width="3.28515625" style="2" customWidth="1"/>
    <col min="12813" max="12814" width="0" style="2" hidden="1" customWidth="1"/>
    <col min="12815" max="12815" width="2.85546875" style="2" customWidth="1"/>
    <col min="12816" max="12816" width="3.28515625" style="2" customWidth="1"/>
    <col min="12817" max="12817" width="1.42578125" style="2" customWidth="1"/>
    <col min="12818" max="12818" width="0" style="2" hidden="1" customWidth="1"/>
    <col min="12819" max="12819" width="6.85546875" style="2" customWidth="1"/>
    <col min="12820" max="12820" width="0" style="2" hidden="1" customWidth="1"/>
    <col min="12821" max="12822" width="6.28515625" style="2" customWidth="1"/>
    <col min="12823" max="12824" width="13.85546875" style="2" customWidth="1"/>
    <col min="12825" max="12825" width="10.85546875" style="2" customWidth="1"/>
    <col min="12826" max="12826" width="14.140625" style="2" customWidth="1"/>
    <col min="12827" max="12827" width="0" style="2" hidden="1" customWidth="1"/>
    <col min="12828" max="12828" width="13" style="2" customWidth="1"/>
    <col min="12829" max="12829" width="13.140625" style="2" customWidth="1"/>
    <col min="12830" max="12831" width="14" style="2" customWidth="1"/>
    <col min="12832" max="12832" width="11.42578125" style="2" customWidth="1"/>
    <col min="12833" max="12833" width="15.85546875" style="2" customWidth="1"/>
    <col min="12834" max="12834" width="23.7109375" style="2" customWidth="1"/>
    <col min="12835" max="12835" width="12" style="2" customWidth="1"/>
    <col min="12836" max="12837" width="0.28515625" style="2" customWidth="1"/>
    <col min="12838" max="12838" width="1.42578125" style="2" customWidth="1"/>
    <col min="12839" max="12839" width="0" style="2" hidden="1" customWidth="1"/>
    <col min="12840" max="13056" width="11.42578125" style="2"/>
    <col min="13057" max="13057" width="10.28515625" style="2" customWidth="1"/>
    <col min="13058" max="13058" width="13.42578125" style="2" customWidth="1"/>
    <col min="13059" max="13059" width="4.28515625" style="2" customWidth="1"/>
    <col min="13060" max="13060" width="4" style="2" customWidth="1"/>
    <col min="13061" max="13061" width="15" style="2" customWidth="1"/>
    <col min="13062" max="13062" width="4.140625" style="2" customWidth="1"/>
    <col min="13063" max="13063" width="11.28515625" style="2" customWidth="1"/>
    <col min="13064" max="13064" width="16.140625" style="2" customWidth="1"/>
    <col min="13065" max="13065" width="11" style="2" customWidth="1"/>
    <col min="13066" max="13067" width="2.140625" style="2" customWidth="1"/>
    <col min="13068" max="13068" width="3.28515625" style="2" customWidth="1"/>
    <col min="13069" max="13070" width="0" style="2" hidden="1" customWidth="1"/>
    <col min="13071" max="13071" width="2.85546875" style="2" customWidth="1"/>
    <col min="13072" max="13072" width="3.28515625" style="2" customWidth="1"/>
    <col min="13073" max="13073" width="1.42578125" style="2" customWidth="1"/>
    <col min="13074" max="13074" width="0" style="2" hidden="1" customWidth="1"/>
    <col min="13075" max="13075" width="6.85546875" style="2" customWidth="1"/>
    <col min="13076" max="13076" width="0" style="2" hidden="1" customWidth="1"/>
    <col min="13077" max="13078" width="6.28515625" style="2" customWidth="1"/>
    <col min="13079" max="13080" width="13.85546875" style="2" customWidth="1"/>
    <col min="13081" max="13081" width="10.85546875" style="2" customWidth="1"/>
    <col min="13082" max="13082" width="14.140625" style="2" customWidth="1"/>
    <col min="13083" max="13083" width="0" style="2" hidden="1" customWidth="1"/>
    <col min="13084" max="13084" width="13" style="2" customWidth="1"/>
    <col min="13085" max="13085" width="13.140625" style="2" customWidth="1"/>
    <col min="13086" max="13087" width="14" style="2" customWidth="1"/>
    <col min="13088" max="13088" width="11.42578125" style="2" customWidth="1"/>
    <col min="13089" max="13089" width="15.85546875" style="2" customWidth="1"/>
    <col min="13090" max="13090" width="23.7109375" style="2" customWidth="1"/>
    <col min="13091" max="13091" width="12" style="2" customWidth="1"/>
    <col min="13092" max="13093" width="0.28515625" style="2" customWidth="1"/>
    <col min="13094" max="13094" width="1.42578125" style="2" customWidth="1"/>
    <col min="13095" max="13095" width="0" style="2" hidden="1" customWidth="1"/>
    <col min="13096" max="13312" width="11.42578125" style="2"/>
    <col min="13313" max="13313" width="10.28515625" style="2" customWidth="1"/>
    <col min="13314" max="13314" width="13.42578125" style="2" customWidth="1"/>
    <col min="13315" max="13315" width="4.28515625" style="2" customWidth="1"/>
    <col min="13316" max="13316" width="4" style="2" customWidth="1"/>
    <col min="13317" max="13317" width="15" style="2" customWidth="1"/>
    <col min="13318" max="13318" width="4.140625" style="2" customWidth="1"/>
    <col min="13319" max="13319" width="11.28515625" style="2" customWidth="1"/>
    <col min="13320" max="13320" width="16.140625" style="2" customWidth="1"/>
    <col min="13321" max="13321" width="11" style="2" customWidth="1"/>
    <col min="13322" max="13323" width="2.140625" style="2" customWidth="1"/>
    <col min="13324" max="13324" width="3.28515625" style="2" customWidth="1"/>
    <col min="13325" max="13326" width="0" style="2" hidden="1" customWidth="1"/>
    <col min="13327" max="13327" width="2.85546875" style="2" customWidth="1"/>
    <col min="13328" max="13328" width="3.28515625" style="2" customWidth="1"/>
    <col min="13329" max="13329" width="1.42578125" style="2" customWidth="1"/>
    <col min="13330" max="13330" width="0" style="2" hidden="1" customWidth="1"/>
    <col min="13331" max="13331" width="6.85546875" style="2" customWidth="1"/>
    <col min="13332" max="13332" width="0" style="2" hidden="1" customWidth="1"/>
    <col min="13333" max="13334" width="6.28515625" style="2" customWidth="1"/>
    <col min="13335" max="13336" width="13.85546875" style="2" customWidth="1"/>
    <col min="13337" max="13337" width="10.85546875" style="2" customWidth="1"/>
    <col min="13338" max="13338" width="14.140625" style="2" customWidth="1"/>
    <col min="13339" max="13339" width="0" style="2" hidden="1" customWidth="1"/>
    <col min="13340" max="13340" width="13" style="2" customWidth="1"/>
    <col min="13341" max="13341" width="13.140625" style="2" customWidth="1"/>
    <col min="13342" max="13343" width="14" style="2" customWidth="1"/>
    <col min="13344" max="13344" width="11.42578125" style="2" customWidth="1"/>
    <col min="13345" max="13345" width="15.85546875" style="2" customWidth="1"/>
    <col min="13346" max="13346" width="23.7109375" style="2" customWidth="1"/>
    <col min="13347" max="13347" width="12" style="2" customWidth="1"/>
    <col min="13348" max="13349" width="0.28515625" style="2" customWidth="1"/>
    <col min="13350" max="13350" width="1.42578125" style="2" customWidth="1"/>
    <col min="13351" max="13351" width="0" style="2" hidden="1" customWidth="1"/>
    <col min="13352" max="13568" width="11.42578125" style="2"/>
    <col min="13569" max="13569" width="10.28515625" style="2" customWidth="1"/>
    <col min="13570" max="13570" width="13.42578125" style="2" customWidth="1"/>
    <col min="13571" max="13571" width="4.28515625" style="2" customWidth="1"/>
    <col min="13572" max="13572" width="4" style="2" customWidth="1"/>
    <col min="13573" max="13573" width="15" style="2" customWidth="1"/>
    <col min="13574" max="13574" width="4.140625" style="2" customWidth="1"/>
    <col min="13575" max="13575" width="11.28515625" style="2" customWidth="1"/>
    <col min="13576" max="13576" width="16.140625" style="2" customWidth="1"/>
    <col min="13577" max="13577" width="11" style="2" customWidth="1"/>
    <col min="13578" max="13579" width="2.140625" style="2" customWidth="1"/>
    <col min="13580" max="13580" width="3.28515625" style="2" customWidth="1"/>
    <col min="13581" max="13582" width="0" style="2" hidden="1" customWidth="1"/>
    <col min="13583" max="13583" width="2.85546875" style="2" customWidth="1"/>
    <col min="13584" max="13584" width="3.28515625" style="2" customWidth="1"/>
    <col min="13585" max="13585" width="1.42578125" style="2" customWidth="1"/>
    <col min="13586" max="13586" width="0" style="2" hidden="1" customWidth="1"/>
    <col min="13587" max="13587" width="6.85546875" style="2" customWidth="1"/>
    <col min="13588" max="13588" width="0" style="2" hidden="1" customWidth="1"/>
    <col min="13589" max="13590" width="6.28515625" style="2" customWidth="1"/>
    <col min="13591" max="13592" width="13.85546875" style="2" customWidth="1"/>
    <col min="13593" max="13593" width="10.85546875" style="2" customWidth="1"/>
    <col min="13594" max="13594" width="14.140625" style="2" customWidth="1"/>
    <col min="13595" max="13595" width="0" style="2" hidden="1" customWidth="1"/>
    <col min="13596" max="13596" width="13" style="2" customWidth="1"/>
    <col min="13597" max="13597" width="13.140625" style="2" customWidth="1"/>
    <col min="13598" max="13599" width="14" style="2" customWidth="1"/>
    <col min="13600" max="13600" width="11.42578125" style="2" customWidth="1"/>
    <col min="13601" max="13601" width="15.85546875" style="2" customWidth="1"/>
    <col min="13602" max="13602" width="23.7109375" style="2" customWidth="1"/>
    <col min="13603" max="13603" width="12" style="2" customWidth="1"/>
    <col min="13604" max="13605" width="0.28515625" style="2" customWidth="1"/>
    <col min="13606" max="13606" width="1.42578125" style="2" customWidth="1"/>
    <col min="13607" max="13607" width="0" style="2" hidden="1" customWidth="1"/>
    <col min="13608" max="13824" width="11.42578125" style="2"/>
    <col min="13825" max="13825" width="10.28515625" style="2" customWidth="1"/>
    <col min="13826" max="13826" width="13.42578125" style="2" customWidth="1"/>
    <col min="13827" max="13827" width="4.28515625" style="2" customWidth="1"/>
    <col min="13828" max="13828" width="4" style="2" customWidth="1"/>
    <col min="13829" max="13829" width="15" style="2" customWidth="1"/>
    <col min="13830" max="13830" width="4.140625" style="2" customWidth="1"/>
    <col min="13831" max="13831" width="11.28515625" style="2" customWidth="1"/>
    <col min="13832" max="13832" width="16.140625" style="2" customWidth="1"/>
    <col min="13833" max="13833" width="11" style="2" customWidth="1"/>
    <col min="13834" max="13835" width="2.140625" style="2" customWidth="1"/>
    <col min="13836" max="13836" width="3.28515625" style="2" customWidth="1"/>
    <col min="13837" max="13838" width="0" style="2" hidden="1" customWidth="1"/>
    <col min="13839" max="13839" width="2.85546875" style="2" customWidth="1"/>
    <col min="13840" max="13840" width="3.28515625" style="2" customWidth="1"/>
    <col min="13841" max="13841" width="1.42578125" style="2" customWidth="1"/>
    <col min="13842" max="13842" width="0" style="2" hidden="1" customWidth="1"/>
    <col min="13843" max="13843" width="6.85546875" style="2" customWidth="1"/>
    <col min="13844" max="13844" width="0" style="2" hidden="1" customWidth="1"/>
    <col min="13845" max="13846" width="6.28515625" style="2" customWidth="1"/>
    <col min="13847" max="13848" width="13.85546875" style="2" customWidth="1"/>
    <col min="13849" max="13849" width="10.85546875" style="2" customWidth="1"/>
    <col min="13850" max="13850" width="14.140625" style="2" customWidth="1"/>
    <col min="13851" max="13851" width="0" style="2" hidden="1" customWidth="1"/>
    <col min="13852" max="13852" width="13" style="2" customWidth="1"/>
    <col min="13853" max="13853" width="13.140625" style="2" customWidth="1"/>
    <col min="13854" max="13855" width="14" style="2" customWidth="1"/>
    <col min="13856" max="13856" width="11.42578125" style="2" customWidth="1"/>
    <col min="13857" max="13857" width="15.85546875" style="2" customWidth="1"/>
    <col min="13858" max="13858" width="23.7109375" style="2" customWidth="1"/>
    <col min="13859" max="13859" width="12" style="2" customWidth="1"/>
    <col min="13860" max="13861" width="0.28515625" style="2" customWidth="1"/>
    <col min="13862" max="13862" width="1.42578125" style="2" customWidth="1"/>
    <col min="13863" max="13863" width="0" style="2" hidden="1" customWidth="1"/>
    <col min="13864" max="14080" width="11.42578125" style="2"/>
    <col min="14081" max="14081" width="10.28515625" style="2" customWidth="1"/>
    <col min="14082" max="14082" width="13.42578125" style="2" customWidth="1"/>
    <col min="14083" max="14083" width="4.28515625" style="2" customWidth="1"/>
    <col min="14084" max="14084" width="4" style="2" customWidth="1"/>
    <col min="14085" max="14085" width="15" style="2" customWidth="1"/>
    <col min="14086" max="14086" width="4.140625" style="2" customWidth="1"/>
    <col min="14087" max="14087" width="11.28515625" style="2" customWidth="1"/>
    <col min="14088" max="14088" width="16.140625" style="2" customWidth="1"/>
    <col min="14089" max="14089" width="11" style="2" customWidth="1"/>
    <col min="14090" max="14091" width="2.140625" style="2" customWidth="1"/>
    <col min="14092" max="14092" width="3.28515625" style="2" customWidth="1"/>
    <col min="14093" max="14094" width="0" style="2" hidden="1" customWidth="1"/>
    <col min="14095" max="14095" width="2.85546875" style="2" customWidth="1"/>
    <col min="14096" max="14096" width="3.28515625" style="2" customWidth="1"/>
    <col min="14097" max="14097" width="1.42578125" style="2" customWidth="1"/>
    <col min="14098" max="14098" width="0" style="2" hidden="1" customWidth="1"/>
    <col min="14099" max="14099" width="6.85546875" style="2" customWidth="1"/>
    <col min="14100" max="14100" width="0" style="2" hidden="1" customWidth="1"/>
    <col min="14101" max="14102" width="6.28515625" style="2" customWidth="1"/>
    <col min="14103" max="14104" width="13.85546875" style="2" customWidth="1"/>
    <col min="14105" max="14105" width="10.85546875" style="2" customWidth="1"/>
    <col min="14106" max="14106" width="14.140625" style="2" customWidth="1"/>
    <col min="14107" max="14107" width="0" style="2" hidden="1" customWidth="1"/>
    <col min="14108" max="14108" width="13" style="2" customWidth="1"/>
    <col min="14109" max="14109" width="13.140625" style="2" customWidth="1"/>
    <col min="14110" max="14111" width="14" style="2" customWidth="1"/>
    <col min="14112" max="14112" width="11.42578125" style="2" customWidth="1"/>
    <col min="14113" max="14113" width="15.85546875" style="2" customWidth="1"/>
    <col min="14114" max="14114" width="23.7109375" style="2" customWidth="1"/>
    <col min="14115" max="14115" width="12" style="2" customWidth="1"/>
    <col min="14116" max="14117" width="0.28515625" style="2" customWidth="1"/>
    <col min="14118" max="14118" width="1.42578125" style="2" customWidth="1"/>
    <col min="14119" max="14119" width="0" style="2" hidden="1" customWidth="1"/>
    <col min="14120" max="14336" width="11.42578125" style="2"/>
    <col min="14337" max="14337" width="10.28515625" style="2" customWidth="1"/>
    <col min="14338" max="14338" width="13.42578125" style="2" customWidth="1"/>
    <col min="14339" max="14339" width="4.28515625" style="2" customWidth="1"/>
    <col min="14340" max="14340" width="4" style="2" customWidth="1"/>
    <col min="14341" max="14341" width="15" style="2" customWidth="1"/>
    <col min="14342" max="14342" width="4.140625" style="2" customWidth="1"/>
    <col min="14343" max="14343" width="11.28515625" style="2" customWidth="1"/>
    <col min="14344" max="14344" width="16.140625" style="2" customWidth="1"/>
    <col min="14345" max="14345" width="11" style="2" customWidth="1"/>
    <col min="14346" max="14347" width="2.140625" style="2" customWidth="1"/>
    <col min="14348" max="14348" width="3.28515625" style="2" customWidth="1"/>
    <col min="14349" max="14350" width="0" style="2" hidden="1" customWidth="1"/>
    <col min="14351" max="14351" width="2.85546875" style="2" customWidth="1"/>
    <col min="14352" max="14352" width="3.28515625" style="2" customWidth="1"/>
    <col min="14353" max="14353" width="1.42578125" style="2" customWidth="1"/>
    <col min="14354" max="14354" width="0" style="2" hidden="1" customWidth="1"/>
    <col min="14355" max="14355" width="6.85546875" style="2" customWidth="1"/>
    <col min="14356" max="14356" width="0" style="2" hidden="1" customWidth="1"/>
    <col min="14357" max="14358" width="6.28515625" style="2" customWidth="1"/>
    <col min="14359" max="14360" width="13.85546875" style="2" customWidth="1"/>
    <col min="14361" max="14361" width="10.85546875" style="2" customWidth="1"/>
    <col min="14362" max="14362" width="14.140625" style="2" customWidth="1"/>
    <col min="14363" max="14363" width="0" style="2" hidden="1" customWidth="1"/>
    <col min="14364" max="14364" width="13" style="2" customWidth="1"/>
    <col min="14365" max="14365" width="13.140625" style="2" customWidth="1"/>
    <col min="14366" max="14367" width="14" style="2" customWidth="1"/>
    <col min="14368" max="14368" width="11.42578125" style="2" customWidth="1"/>
    <col min="14369" max="14369" width="15.85546875" style="2" customWidth="1"/>
    <col min="14370" max="14370" width="23.7109375" style="2" customWidth="1"/>
    <col min="14371" max="14371" width="12" style="2" customWidth="1"/>
    <col min="14372" max="14373" width="0.28515625" style="2" customWidth="1"/>
    <col min="14374" max="14374" width="1.42578125" style="2" customWidth="1"/>
    <col min="14375" max="14375" width="0" style="2" hidden="1" customWidth="1"/>
    <col min="14376" max="14592" width="11.42578125" style="2"/>
    <col min="14593" max="14593" width="10.28515625" style="2" customWidth="1"/>
    <col min="14594" max="14594" width="13.42578125" style="2" customWidth="1"/>
    <col min="14595" max="14595" width="4.28515625" style="2" customWidth="1"/>
    <col min="14596" max="14596" width="4" style="2" customWidth="1"/>
    <col min="14597" max="14597" width="15" style="2" customWidth="1"/>
    <col min="14598" max="14598" width="4.140625" style="2" customWidth="1"/>
    <col min="14599" max="14599" width="11.28515625" style="2" customWidth="1"/>
    <col min="14600" max="14600" width="16.140625" style="2" customWidth="1"/>
    <col min="14601" max="14601" width="11" style="2" customWidth="1"/>
    <col min="14602" max="14603" width="2.140625" style="2" customWidth="1"/>
    <col min="14604" max="14604" width="3.28515625" style="2" customWidth="1"/>
    <col min="14605" max="14606" width="0" style="2" hidden="1" customWidth="1"/>
    <col min="14607" max="14607" width="2.85546875" style="2" customWidth="1"/>
    <col min="14608" max="14608" width="3.28515625" style="2" customWidth="1"/>
    <col min="14609" max="14609" width="1.42578125" style="2" customWidth="1"/>
    <col min="14610" max="14610" width="0" style="2" hidden="1" customWidth="1"/>
    <col min="14611" max="14611" width="6.85546875" style="2" customWidth="1"/>
    <col min="14612" max="14612" width="0" style="2" hidden="1" customWidth="1"/>
    <col min="14613" max="14614" width="6.28515625" style="2" customWidth="1"/>
    <col min="14615" max="14616" width="13.85546875" style="2" customWidth="1"/>
    <col min="14617" max="14617" width="10.85546875" style="2" customWidth="1"/>
    <col min="14618" max="14618" width="14.140625" style="2" customWidth="1"/>
    <col min="14619" max="14619" width="0" style="2" hidden="1" customWidth="1"/>
    <col min="14620" max="14620" width="13" style="2" customWidth="1"/>
    <col min="14621" max="14621" width="13.140625" style="2" customWidth="1"/>
    <col min="14622" max="14623" width="14" style="2" customWidth="1"/>
    <col min="14624" max="14624" width="11.42578125" style="2" customWidth="1"/>
    <col min="14625" max="14625" width="15.85546875" style="2" customWidth="1"/>
    <col min="14626" max="14626" width="23.7109375" style="2" customWidth="1"/>
    <col min="14627" max="14627" width="12" style="2" customWidth="1"/>
    <col min="14628" max="14629" width="0.28515625" style="2" customWidth="1"/>
    <col min="14630" max="14630" width="1.42578125" style="2" customWidth="1"/>
    <col min="14631" max="14631" width="0" style="2" hidden="1" customWidth="1"/>
    <col min="14632" max="14848" width="11.42578125" style="2"/>
    <col min="14849" max="14849" width="10.28515625" style="2" customWidth="1"/>
    <col min="14850" max="14850" width="13.42578125" style="2" customWidth="1"/>
    <col min="14851" max="14851" width="4.28515625" style="2" customWidth="1"/>
    <col min="14852" max="14852" width="4" style="2" customWidth="1"/>
    <col min="14853" max="14853" width="15" style="2" customWidth="1"/>
    <col min="14854" max="14854" width="4.140625" style="2" customWidth="1"/>
    <col min="14855" max="14855" width="11.28515625" style="2" customWidth="1"/>
    <col min="14856" max="14856" width="16.140625" style="2" customWidth="1"/>
    <col min="14857" max="14857" width="11" style="2" customWidth="1"/>
    <col min="14858" max="14859" width="2.140625" style="2" customWidth="1"/>
    <col min="14860" max="14860" width="3.28515625" style="2" customWidth="1"/>
    <col min="14861" max="14862" width="0" style="2" hidden="1" customWidth="1"/>
    <col min="14863" max="14863" width="2.85546875" style="2" customWidth="1"/>
    <col min="14864" max="14864" width="3.28515625" style="2" customWidth="1"/>
    <col min="14865" max="14865" width="1.42578125" style="2" customWidth="1"/>
    <col min="14866" max="14866" width="0" style="2" hidden="1" customWidth="1"/>
    <col min="14867" max="14867" width="6.85546875" style="2" customWidth="1"/>
    <col min="14868" max="14868" width="0" style="2" hidden="1" customWidth="1"/>
    <col min="14869" max="14870" width="6.28515625" style="2" customWidth="1"/>
    <col min="14871" max="14872" width="13.85546875" style="2" customWidth="1"/>
    <col min="14873" max="14873" width="10.85546875" style="2" customWidth="1"/>
    <col min="14874" max="14874" width="14.140625" style="2" customWidth="1"/>
    <col min="14875" max="14875" width="0" style="2" hidden="1" customWidth="1"/>
    <col min="14876" max="14876" width="13" style="2" customWidth="1"/>
    <col min="14877" max="14877" width="13.140625" style="2" customWidth="1"/>
    <col min="14878" max="14879" width="14" style="2" customWidth="1"/>
    <col min="14880" max="14880" width="11.42578125" style="2" customWidth="1"/>
    <col min="14881" max="14881" width="15.85546875" style="2" customWidth="1"/>
    <col min="14882" max="14882" width="23.7109375" style="2" customWidth="1"/>
    <col min="14883" max="14883" width="12" style="2" customWidth="1"/>
    <col min="14884" max="14885" width="0.28515625" style="2" customWidth="1"/>
    <col min="14886" max="14886" width="1.42578125" style="2" customWidth="1"/>
    <col min="14887" max="14887" width="0" style="2" hidden="1" customWidth="1"/>
    <col min="14888" max="15104" width="11.42578125" style="2"/>
    <col min="15105" max="15105" width="10.28515625" style="2" customWidth="1"/>
    <col min="15106" max="15106" width="13.42578125" style="2" customWidth="1"/>
    <col min="15107" max="15107" width="4.28515625" style="2" customWidth="1"/>
    <col min="15108" max="15108" width="4" style="2" customWidth="1"/>
    <col min="15109" max="15109" width="15" style="2" customWidth="1"/>
    <col min="15110" max="15110" width="4.140625" style="2" customWidth="1"/>
    <col min="15111" max="15111" width="11.28515625" style="2" customWidth="1"/>
    <col min="15112" max="15112" width="16.140625" style="2" customWidth="1"/>
    <col min="15113" max="15113" width="11" style="2" customWidth="1"/>
    <col min="15114" max="15115" width="2.140625" style="2" customWidth="1"/>
    <col min="15116" max="15116" width="3.28515625" style="2" customWidth="1"/>
    <col min="15117" max="15118" width="0" style="2" hidden="1" customWidth="1"/>
    <col min="15119" max="15119" width="2.85546875" style="2" customWidth="1"/>
    <col min="15120" max="15120" width="3.28515625" style="2" customWidth="1"/>
    <col min="15121" max="15121" width="1.42578125" style="2" customWidth="1"/>
    <col min="15122" max="15122" width="0" style="2" hidden="1" customWidth="1"/>
    <col min="15123" max="15123" width="6.85546875" style="2" customWidth="1"/>
    <col min="15124" max="15124" width="0" style="2" hidden="1" customWidth="1"/>
    <col min="15125" max="15126" width="6.28515625" style="2" customWidth="1"/>
    <col min="15127" max="15128" width="13.85546875" style="2" customWidth="1"/>
    <col min="15129" max="15129" width="10.85546875" style="2" customWidth="1"/>
    <col min="15130" max="15130" width="14.140625" style="2" customWidth="1"/>
    <col min="15131" max="15131" width="0" style="2" hidden="1" customWidth="1"/>
    <col min="15132" max="15132" width="13" style="2" customWidth="1"/>
    <col min="15133" max="15133" width="13.140625" style="2" customWidth="1"/>
    <col min="15134" max="15135" width="14" style="2" customWidth="1"/>
    <col min="15136" max="15136" width="11.42578125" style="2" customWidth="1"/>
    <col min="15137" max="15137" width="15.85546875" style="2" customWidth="1"/>
    <col min="15138" max="15138" width="23.7109375" style="2" customWidth="1"/>
    <col min="15139" max="15139" width="12" style="2" customWidth="1"/>
    <col min="15140" max="15141" width="0.28515625" style="2" customWidth="1"/>
    <col min="15142" max="15142" width="1.42578125" style="2" customWidth="1"/>
    <col min="15143" max="15143" width="0" style="2" hidden="1" customWidth="1"/>
    <col min="15144" max="15360" width="11.42578125" style="2"/>
    <col min="15361" max="15361" width="10.28515625" style="2" customWidth="1"/>
    <col min="15362" max="15362" width="13.42578125" style="2" customWidth="1"/>
    <col min="15363" max="15363" width="4.28515625" style="2" customWidth="1"/>
    <col min="15364" max="15364" width="4" style="2" customWidth="1"/>
    <col min="15365" max="15365" width="15" style="2" customWidth="1"/>
    <col min="15366" max="15366" width="4.140625" style="2" customWidth="1"/>
    <col min="15367" max="15367" width="11.28515625" style="2" customWidth="1"/>
    <col min="15368" max="15368" width="16.140625" style="2" customWidth="1"/>
    <col min="15369" max="15369" width="11" style="2" customWidth="1"/>
    <col min="15370" max="15371" width="2.140625" style="2" customWidth="1"/>
    <col min="15372" max="15372" width="3.28515625" style="2" customWidth="1"/>
    <col min="15373" max="15374" width="0" style="2" hidden="1" customWidth="1"/>
    <col min="15375" max="15375" width="2.85546875" style="2" customWidth="1"/>
    <col min="15376" max="15376" width="3.28515625" style="2" customWidth="1"/>
    <col min="15377" max="15377" width="1.42578125" style="2" customWidth="1"/>
    <col min="15378" max="15378" width="0" style="2" hidden="1" customWidth="1"/>
    <col min="15379" max="15379" width="6.85546875" style="2" customWidth="1"/>
    <col min="15380" max="15380" width="0" style="2" hidden="1" customWidth="1"/>
    <col min="15381" max="15382" width="6.28515625" style="2" customWidth="1"/>
    <col min="15383" max="15384" width="13.85546875" style="2" customWidth="1"/>
    <col min="15385" max="15385" width="10.85546875" style="2" customWidth="1"/>
    <col min="15386" max="15386" width="14.140625" style="2" customWidth="1"/>
    <col min="15387" max="15387" width="0" style="2" hidden="1" customWidth="1"/>
    <col min="15388" max="15388" width="13" style="2" customWidth="1"/>
    <col min="15389" max="15389" width="13.140625" style="2" customWidth="1"/>
    <col min="15390" max="15391" width="14" style="2" customWidth="1"/>
    <col min="15392" max="15392" width="11.42578125" style="2" customWidth="1"/>
    <col min="15393" max="15393" width="15.85546875" style="2" customWidth="1"/>
    <col min="15394" max="15394" width="23.7109375" style="2" customWidth="1"/>
    <col min="15395" max="15395" width="12" style="2" customWidth="1"/>
    <col min="15396" max="15397" width="0.28515625" style="2" customWidth="1"/>
    <col min="15398" max="15398" width="1.42578125" style="2" customWidth="1"/>
    <col min="15399" max="15399" width="0" style="2" hidden="1" customWidth="1"/>
    <col min="15400" max="15616" width="11.42578125" style="2"/>
    <col min="15617" max="15617" width="10.28515625" style="2" customWidth="1"/>
    <col min="15618" max="15618" width="13.42578125" style="2" customWidth="1"/>
    <col min="15619" max="15619" width="4.28515625" style="2" customWidth="1"/>
    <col min="15620" max="15620" width="4" style="2" customWidth="1"/>
    <col min="15621" max="15621" width="15" style="2" customWidth="1"/>
    <col min="15622" max="15622" width="4.140625" style="2" customWidth="1"/>
    <col min="15623" max="15623" width="11.28515625" style="2" customWidth="1"/>
    <col min="15624" max="15624" width="16.140625" style="2" customWidth="1"/>
    <col min="15625" max="15625" width="11" style="2" customWidth="1"/>
    <col min="15626" max="15627" width="2.140625" style="2" customWidth="1"/>
    <col min="15628" max="15628" width="3.28515625" style="2" customWidth="1"/>
    <col min="15629" max="15630" width="0" style="2" hidden="1" customWidth="1"/>
    <col min="15631" max="15631" width="2.85546875" style="2" customWidth="1"/>
    <col min="15632" max="15632" width="3.28515625" style="2" customWidth="1"/>
    <col min="15633" max="15633" width="1.42578125" style="2" customWidth="1"/>
    <col min="15634" max="15634" width="0" style="2" hidden="1" customWidth="1"/>
    <col min="15635" max="15635" width="6.85546875" style="2" customWidth="1"/>
    <col min="15636" max="15636" width="0" style="2" hidden="1" customWidth="1"/>
    <col min="15637" max="15638" width="6.28515625" style="2" customWidth="1"/>
    <col min="15639" max="15640" width="13.85546875" style="2" customWidth="1"/>
    <col min="15641" max="15641" width="10.85546875" style="2" customWidth="1"/>
    <col min="15642" max="15642" width="14.140625" style="2" customWidth="1"/>
    <col min="15643" max="15643" width="0" style="2" hidden="1" customWidth="1"/>
    <col min="15644" max="15644" width="13" style="2" customWidth="1"/>
    <col min="15645" max="15645" width="13.140625" style="2" customWidth="1"/>
    <col min="15646" max="15647" width="14" style="2" customWidth="1"/>
    <col min="15648" max="15648" width="11.42578125" style="2" customWidth="1"/>
    <col min="15649" max="15649" width="15.85546875" style="2" customWidth="1"/>
    <col min="15650" max="15650" width="23.7109375" style="2" customWidth="1"/>
    <col min="15651" max="15651" width="12" style="2" customWidth="1"/>
    <col min="15652" max="15653" width="0.28515625" style="2" customWidth="1"/>
    <col min="15654" max="15654" width="1.42578125" style="2" customWidth="1"/>
    <col min="15655" max="15655" width="0" style="2" hidden="1" customWidth="1"/>
    <col min="15656" max="15872" width="11.42578125" style="2"/>
    <col min="15873" max="15873" width="10.28515625" style="2" customWidth="1"/>
    <col min="15874" max="15874" width="13.42578125" style="2" customWidth="1"/>
    <col min="15875" max="15875" width="4.28515625" style="2" customWidth="1"/>
    <col min="15876" max="15876" width="4" style="2" customWidth="1"/>
    <col min="15877" max="15877" width="15" style="2" customWidth="1"/>
    <col min="15878" max="15878" width="4.140625" style="2" customWidth="1"/>
    <col min="15879" max="15879" width="11.28515625" style="2" customWidth="1"/>
    <col min="15880" max="15880" width="16.140625" style="2" customWidth="1"/>
    <col min="15881" max="15881" width="11" style="2" customWidth="1"/>
    <col min="15882" max="15883" width="2.140625" style="2" customWidth="1"/>
    <col min="15884" max="15884" width="3.28515625" style="2" customWidth="1"/>
    <col min="15885" max="15886" width="0" style="2" hidden="1" customWidth="1"/>
    <col min="15887" max="15887" width="2.85546875" style="2" customWidth="1"/>
    <col min="15888" max="15888" width="3.28515625" style="2" customWidth="1"/>
    <col min="15889" max="15889" width="1.42578125" style="2" customWidth="1"/>
    <col min="15890" max="15890" width="0" style="2" hidden="1" customWidth="1"/>
    <col min="15891" max="15891" width="6.85546875" style="2" customWidth="1"/>
    <col min="15892" max="15892" width="0" style="2" hidden="1" customWidth="1"/>
    <col min="15893" max="15894" width="6.28515625" style="2" customWidth="1"/>
    <col min="15895" max="15896" width="13.85546875" style="2" customWidth="1"/>
    <col min="15897" max="15897" width="10.85546875" style="2" customWidth="1"/>
    <col min="15898" max="15898" width="14.140625" style="2" customWidth="1"/>
    <col min="15899" max="15899" width="0" style="2" hidden="1" customWidth="1"/>
    <col min="15900" max="15900" width="13" style="2" customWidth="1"/>
    <col min="15901" max="15901" width="13.140625" style="2" customWidth="1"/>
    <col min="15902" max="15903" width="14" style="2" customWidth="1"/>
    <col min="15904" max="15904" width="11.42578125" style="2" customWidth="1"/>
    <col min="15905" max="15905" width="15.85546875" style="2" customWidth="1"/>
    <col min="15906" max="15906" width="23.7109375" style="2" customWidth="1"/>
    <col min="15907" max="15907" width="12" style="2" customWidth="1"/>
    <col min="15908" max="15909" width="0.28515625" style="2" customWidth="1"/>
    <col min="15910" max="15910" width="1.42578125" style="2" customWidth="1"/>
    <col min="15911" max="15911" width="0" style="2" hidden="1" customWidth="1"/>
    <col min="15912" max="16128" width="11.42578125" style="2"/>
    <col min="16129" max="16129" width="10.28515625" style="2" customWidth="1"/>
    <col min="16130" max="16130" width="13.42578125" style="2" customWidth="1"/>
    <col min="16131" max="16131" width="4.28515625" style="2" customWidth="1"/>
    <col min="16132" max="16132" width="4" style="2" customWidth="1"/>
    <col min="16133" max="16133" width="15" style="2" customWidth="1"/>
    <col min="16134" max="16134" width="4.140625" style="2" customWidth="1"/>
    <col min="16135" max="16135" width="11.28515625" style="2" customWidth="1"/>
    <col min="16136" max="16136" width="16.140625" style="2" customWidth="1"/>
    <col min="16137" max="16137" width="11" style="2" customWidth="1"/>
    <col min="16138" max="16139" width="2.140625" style="2" customWidth="1"/>
    <col min="16140" max="16140" width="3.28515625" style="2" customWidth="1"/>
    <col min="16141" max="16142" width="0" style="2" hidden="1" customWidth="1"/>
    <col min="16143" max="16143" width="2.85546875" style="2" customWidth="1"/>
    <col min="16144" max="16144" width="3.28515625" style="2" customWidth="1"/>
    <col min="16145" max="16145" width="1.42578125" style="2" customWidth="1"/>
    <col min="16146" max="16146" width="0" style="2" hidden="1" customWidth="1"/>
    <col min="16147" max="16147" width="6.85546875" style="2" customWidth="1"/>
    <col min="16148" max="16148" width="0" style="2" hidden="1" customWidth="1"/>
    <col min="16149" max="16150" width="6.28515625" style="2" customWidth="1"/>
    <col min="16151" max="16152" width="13.85546875" style="2" customWidth="1"/>
    <col min="16153" max="16153" width="10.85546875" style="2" customWidth="1"/>
    <col min="16154" max="16154" width="14.140625" style="2" customWidth="1"/>
    <col min="16155" max="16155" width="0" style="2" hidden="1" customWidth="1"/>
    <col min="16156" max="16156" width="13" style="2" customWidth="1"/>
    <col min="16157" max="16157" width="13.140625" style="2" customWidth="1"/>
    <col min="16158" max="16159" width="14" style="2" customWidth="1"/>
    <col min="16160" max="16160" width="11.42578125" style="2" customWidth="1"/>
    <col min="16161" max="16161" width="15.85546875" style="2" customWidth="1"/>
    <col min="16162" max="16162" width="23.7109375" style="2" customWidth="1"/>
    <col min="16163" max="16163" width="12" style="2" customWidth="1"/>
    <col min="16164" max="16165" width="0.28515625" style="2" customWidth="1"/>
    <col min="16166" max="16166" width="1.42578125" style="2" customWidth="1"/>
    <col min="16167" max="16167" width="0" style="2" hidden="1" customWidth="1"/>
    <col min="16168" max="16384" width="11.42578125" style="2"/>
  </cols>
  <sheetData>
    <row r="1" spans="1:37" ht="45" customHeight="1">
      <c r="A1" s="600"/>
      <c r="B1" s="600"/>
      <c r="C1" s="684" t="s">
        <v>0</v>
      </c>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6"/>
      <c r="AH1" s="689" t="s">
        <v>45</v>
      </c>
      <c r="AJ1" s="3" t="s">
        <v>17</v>
      </c>
      <c r="AK1" s="6" t="s">
        <v>23</v>
      </c>
    </row>
    <row r="2" spans="1:37" ht="45" customHeight="1">
      <c r="A2" s="600"/>
      <c r="B2" s="600"/>
      <c r="C2" s="690" t="s">
        <v>37</v>
      </c>
      <c r="D2" s="691"/>
      <c r="E2" s="691"/>
      <c r="F2" s="691"/>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2"/>
      <c r="AH2" s="689"/>
      <c r="AJ2" s="2" t="s">
        <v>18</v>
      </c>
      <c r="AK2" s="7" t="s">
        <v>24</v>
      </c>
    </row>
    <row r="3" spans="1:37"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G3" s="604"/>
      <c r="AH3" s="604"/>
      <c r="AJ3" s="3" t="s">
        <v>16</v>
      </c>
      <c r="AK3" s="6" t="s">
        <v>25</v>
      </c>
    </row>
    <row r="4" spans="1:37" ht="30.75" customHeight="1">
      <c r="A4" s="597" t="s">
        <v>5</v>
      </c>
      <c r="B4" s="597"/>
      <c r="C4" s="597"/>
      <c r="D4" s="597"/>
      <c r="E4" s="598" t="s">
        <v>1186</v>
      </c>
      <c r="F4" s="598"/>
      <c r="G4" s="598"/>
      <c r="H4" s="598"/>
      <c r="I4" s="598"/>
      <c r="J4" s="598"/>
      <c r="K4" s="598"/>
      <c r="L4" s="598"/>
      <c r="M4" s="598"/>
      <c r="N4" s="598"/>
      <c r="O4" s="598"/>
      <c r="P4" s="598"/>
      <c r="Q4" s="598"/>
      <c r="R4" s="598"/>
      <c r="S4" s="598"/>
      <c r="T4" s="598"/>
      <c r="U4" s="598"/>
      <c r="V4" s="598"/>
      <c r="W4" s="599" t="s">
        <v>20</v>
      </c>
      <c r="X4" s="599"/>
      <c r="Y4" s="599"/>
      <c r="Z4" s="598" t="s">
        <v>1187</v>
      </c>
      <c r="AA4" s="598"/>
      <c r="AB4" s="598"/>
      <c r="AC4" s="598"/>
      <c r="AD4" s="598"/>
      <c r="AE4" s="598"/>
      <c r="AF4" s="682" t="s">
        <v>48</v>
      </c>
      <c r="AG4" s="683"/>
      <c r="AH4" s="45"/>
      <c r="AJ4" s="6" t="s">
        <v>19</v>
      </c>
    </row>
    <row r="5" spans="1:37" ht="4.5" customHeight="1" thickBo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row>
    <row r="6" spans="1:37" ht="57" customHeight="1">
      <c r="A6" s="605" t="s">
        <v>39</v>
      </c>
      <c r="B6" s="606"/>
      <c r="C6" s="599" t="s">
        <v>1</v>
      </c>
      <c r="D6" s="599" t="s">
        <v>49</v>
      </c>
      <c r="E6" s="599"/>
      <c r="F6" s="608" t="s">
        <v>6</v>
      </c>
      <c r="G6" s="599" t="s">
        <v>9</v>
      </c>
      <c r="H6" s="607" t="s">
        <v>50</v>
      </c>
      <c r="I6" s="599" t="s">
        <v>2</v>
      </c>
      <c r="J6" s="599" t="s">
        <v>21</v>
      </c>
      <c r="K6" s="599"/>
      <c r="L6" s="599"/>
      <c r="M6" s="599"/>
      <c r="N6" s="599"/>
      <c r="O6" s="599"/>
      <c r="P6" s="599"/>
      <c r="Q6" s="599"/>
      <c r="R6" s="599"/>
      <c r="S6" s="599"/>
      <c r="T6" s="599"/>
      <c r="U6" s="599"/>
      <c r="V6" s="599"/>
      <c r="W6" s="599" t="s">
        <v>51</v>
      </c>
      <c r="X6" s="607" t="s">
        <v>52</v>
      </c>
      <c r="Y6" s="599" t="s">
        <v>3</v>
      </c>
      <c r="Z6" s="599"/>
      <c r="AA6" s="599"/>
      <c r="AB6" s="610" t="s">
        <v>53</v>
      </c>
      <c r="AC6" s="610" t="s">
        <v>4</v>
      </c>
      <c r="AD6" s="610"/>
      <c r="AE6" s="611" t="s">
        <v>54</v>
      </c>
      <c r="AF6" s="599" t="s">
        <v>55</v>
      </c>
      <c r="AG6" s="599" t="s">
        <v>56</v>
      </c>
      <c r="AH6" s="599" t="s">
        <v>57</v>
      </c>
    </row>
    <row r="7" spans="1:37" ht="37.5" customHeight="1" thickBot="1">
      <c r="A7" s="58" t="s">
        <v>40</v>
      </c>
      <c r="B7" s="59" t="s">
        <v>41</v>
      </c>
      <c r="C7" s="599"/>
      <c r="D7" s="599"/>
      <c r="E7" s="599"/>
      <c r="F7" s="608"/>
      <c r="G7" s="599"/>
      <c r="H7" s="693"/>
      <c r="I7" s="599"/>
      <c r="J7" s="599" t="s">
        <v>11</v>
      </c>
      <c r="K7" s="599"/>
      <c r="L7" s="599"/>
      <c r="M7" s="599"/>
      <c r="N7" s="599"/>
      <c r="O7" s="599"/>
      <c r="P7" s="644" t="s">
        <v>12</v>
      </c>
      <c r="Q7" s="644"/>
      <c r="R7" s="644"/>
      <c r="S7" s="644"/>
      <c r="T7" s="644"/>
      <c r="U7" s="644" t="s">
        <v>13</v>
      </c>
      <c r="V7" s="644"/>
      <c r="W7" s="599"/>
      <c r="X7" s="693"/>
      <c r="Y7" s="599"/>
      <c r="Z7" s="599"/>
      <c r="AA7" s="599"/>
      <c r="AB7" s="610"/>
      <c r="AC7" s="545" t="s">
        <v>14</v>
      </c>
      <c r="AD7" s="540" t="s">
        <v>15</v>
      </c>
      <c r="AE7" s="687"/>
      <c r="AF7" s="599"/>
      <c r="AG7" s="599"/>
      <c r="AH7" s="599"/>
    </row>
    <row r="8" spans="1:37" ht="69" customHeight="1">
      <c r="A8" s="632"/>
      <c r="B8" s="632"/>
      <c r="C8" s="696">
        <v>1</v>
      </c>
      <c r="D8" s="922" t="s">
        <v>1188</v>
      </c>
      <c r="E8" s="923"/>
      <c r="F8" s="701">
        <v>44076</v>
      </c>
      <c r="G8" s="695" t="s">
        <v>38</v>
      </c>
      <c r="H8" s="695" t="s">
        <v>59</v>
      </c>
      <c r="I8" s="696" t="s">
        <v>25</v>
      </c>
      <c r="J8" s="915" t="s">
        <v>162</v>
      </c>
      <c r="K8" s="928"/>
      <c r="L8" s="928"/>
      <c r="M8" s="928"/>
      <c r="N8" s="928"/>
      <c r="O8" s="916"/>
      <c r="P8" s="915" t="s">
        <v>162</v>
      </c>
      <c r="Q8" s="928"/>
      <c r="R8" s="928"/>
      <c r="S8" s="916"/>
      <c r="T8" s="551"/>
      <c r="U8" s="915" t="s">
        <v>162</v>
      </c>
      <c r="V8" s="916"/>
      <c r="W8" s="700" t="s">
        <v>1189</v>
      </c>
      <c r="X8" s="700" t="s">
        <v>1190</v>
      </c>
      <c r="Y8" s="788" t="s">
        <v>1191</v>
      </c>
      <c r="Z8" s="788"/>
      <c r="AA8" s="789"/>
      <c r="AB8" s="179" t="s">
        <v>1192</v>
      </c>
      <c r="AC8" s="65">
        <v>44084</v>
      </c>
      <c r="AD8" s="65">
        <v>44104</v>
      </c>
      <c r="AE8" s="319"/>
      <c r="AF8" s="550"/>
      <c r="AG8" s="287"/>
      <c r="AH8" s="1404"/>
    </row>
    <row r="9" spans="1:37" ht="81.95" customHeight="1">
      <c r="A9" s="633"/>
      <c r="B9" s="633"/>
      <c r="C9" s="674"/>
      <c r="D9" s="834"/>
      <c r="E9" s="835"/>
      <c r="F9" s="791"/>
      <c r="G9" s="668"/>
      <c r="H9" s="668"/>
      <c r="I9" s="674"/>
      <c r="J9" s="917"/>
      <c r="K9" s="929"/>
      <c r="L9" s="929"/>
      <c r="M9" s="929"/>
      <c r="N9" s="929"/>
      <c r="O9" s="918"/>
      <c r="P9" s="917"/>
      <c r="Q9" s="929"/>
      <c r="R9" s="929"/>
      <c r="S9" s="918"/>
      <c r="T9" s="551"/>
      <c r="U9" s="917"/>
      <c r="V9" s="918"/>
      <c r="W9" s="657"/>
      <c r="X9" s="657"/>
      <c r="Y9" s="770" t="s">
        <v>1193</v>
      </c>
      <c r="Z9" s="770"/>
      <c r="AA9" s="771"/>
      <c r="AB9" s="179" t="s">
        <v>1194</v>
      </c>
      <c r="AC9" s="69">
        <v>44075</v>
      </c>
      <c r="AD9" s="65">
        <v>44134</v>
      </c>
      <c r="AE9" s="319"/>
      <c r="AF9" s="550"/>
      <c r="AG9" s="287"/>
      <c r="AH9" s="1404"/>
    </row>
    <row r="10" spans="1:37" ht="72.95" customHeight="1">
      <c r="A10" s="621"/>
      <c r="B10" s="621"/>
      <c r="C10" s="921"/>
      <c r="D10" s="834"/>
      <c r="E10" s="835"/>
      <c r="F10" s="926"/>
      <c r="G10" s="927"/>
      <c r="H10" s="927"/>
      <c r="I10" s="921"/>
      <c r="J10" s="917"/>
      <c r="K10" s="929"/>
      <c r="L10" s="929"/>
      <c r="M10" s="929"/>
      <c r="N10" s="929"/>
      <c r="O10" s="918"/>
      <c r="P10" s="917"/>
      <c r="Q10" s="929"/>
      <c r="R10" s="929"/>
      <c r="S10" s="918"/>
      <c r="T10" s="551"/>
      <c r="U10" s="917"/>
      <c r="V10" s="918"/>
      <c r="W10" s="627"/>
      <c r="X10" s="627"/>
      <c r="Y10" s="770" t="s">
        <v>1195</v>
      </c>
      <c r="Z10" s="770"/>
      <c r="AA10" s="771"/>
      <c r="AB10" s="180" t="s">
        <v>1196</v>
      </c>
      <c r="AC10" s="69">
        <v>44136</v>
      </c>
      <c r="AD10" s="69">
        <v>44150</v>
      </c>
      <c r="AE10" s="319"/>
      <c r="AF10" s="550"/>
      <c r="AG10" s="287"/>
      <c r="AH10" s="1404"/>
    </row>
    <row r="11" spans="1:37" ht="6" customHeight="1">
      <c r="A11" s="604"/>
      <c r="B11" s="604"/>
      <c r="C11" s="604"/>
      <c r="D11" s="604"/>
      <c r="E11" s="604"/>
      <c r="F11" s="604"/>
      <c r="G11" s="604"/>
      <c r="H11" s="604"/>
      <c r="I11" s="604"/>
      <c r="J11" s="604"/>
      <c r="K11" s="604"/>
      <c r="L11" s="604"/>
      <c r="M11" s="604"/>
      <c r="N11" s="604"/>
      <c r="O11" s="604"/>
      <c r="P11" s="604"/>
      <c r="Q11" s="604"/>
      <c r="R11" s="604"/>
      <c r="S11" s="604"/>
      <c r="T11" s="604"/>
      <c r="U11" s="604"/>
      <c r="V11" s="604"/>
      <c r="W11" s="604"/>
      <c r="X11" s="604"/>
      <c r="Y11" s="643"/>
      <c r="Z11" s="643"/>
      <c r="AA11" s="643"/>
      <c r="AB11" s="604"/>
      <c r="AC11" s="604"/>
      <c r="AD11" s="604"/>
      <c r="AE11" s="604"/>
      <c r="AF11" s="604"/>
      <c r="AG11" s="604"/>
      <c r="AH11" s="604"/>
    </row>
    <row r="12" spans="1:37" ht="12.75" customHeight="1">
      <c r="A12" s="644" t="s">
        <v>22</v>
      </c>
      <c r="B12" s="644"/>
      <c r="C12" s="644"/>
      <c r="D12" s="644"/>
      <c r="E12" s="644"/>
      <c r="F12" s="644"/>
      <c r="G12" s="644"/>
      <c r="H12" s="644"/>
      <c r="I12" s="644"/>
      <c r="J12" s="644"/>
      <c r="K12" s="644"/>
      <c r="L12" s="644"/>
      <c r="M12" s="4"/>
      <c r="N12" s="4"/>
      <c r="O12" s="645" t="s">
        <v>34</v>
      </c>
      <c r="P12" s="645"/>
      <c r="Q12" s="645"/>
      <c r="R12" s="645"/>
      <c r="S12" s="645"/>
      <c r="T12" s="645"/>
      <c r="U12" s="645"/>
      <c r="V12" s="645"/>
      <c r="W12" s="645"/>
      <c r="X12" s="645"/>
      <c r="Y12" s="645"/>
      <c r="Z12" s="645"/>
      <c r="AA12" s="645"/>
      <c r="AB12" s="645"/>
      <c r="AC12" s="645"/>
      <c r="AD12" s="646" t="s">
        <v>35</v>
      </c>
      <c r="AE12" s="646"/>
      <c r="AF12" s="646"/>
      <c r="AG12" s="646"/>
      <c r="AH12" s="646"/>
    </row>
    <row r="13" spans="1:37">
      <c r="A13" s="644"/>
      <c r="B13" s="644"/>
      <c r="C13" s="644"/>
      <c r="D13" s="644"/>
      <c r="E13" s="644"/>
      <c r="F13" s="644"/>
      <c r="G13" s="644"/>
      <c r="H13" s="644"/>
      <c r="I13" s="644"/>
      <c r="J13" s="644"/>
      <c r="K13" s="644"/>
      <c r="L13" s="644"/>
      <c r="M13" s="4"/>
      <c r="N13" s="4"/>
      <c r="O13" s="645"/>
      <c r="P13" s="645"/>
      <c r="Q13" s="645"/>
      <c r="R13" s="645"/>
      <c r="S13" s="645"/>
      <c r="T13" s="645"/>
      <c r="U13" s="645"/>
      <c r="V13" s="645"/>
      <c r="W13" s="645"/>
      <c r="X13" s="645"/>
      <c r="Y13" s="645"/>
      <c r="Z13" s="645"/>
      <c r="AA13" s="645"/>
      <c r="AB13" s="645"/>
      <c r="AC13" s="645"/>
      <c r="AD13" s="646"/>
      <c r="AE13" s="646"/>
      <c r="AF13" s="646"/>
      <c r="AG13" s="646"/>
      <c r="AH13" s="646"/>
    </row>
    <row r="14" spans="1:37" ht="38.25" customHeight="1">
      <c r="A14" s="648"/>
      <c r="B14" s="648"/>
      <c r="C14" s="648"/>
      <c r="D14" s="648"/>
      <c r="E14" s="648"/>
      <c r="F14" s="648"/>
      <c r="G14" s="648"/>
      <c r="H14" s="648"/>
      <c r="I14" s="648"/>
      <c r="J14" s="648"/>
      <c r="K14" s="648"/>
      <c r="L14" s="648"/>
      <c r="M14" s="4"/>
      <c r="N14" s="4"/>
      <c r="O14" s="650"/>
      <c r="P14" s="650"/>
      <c r="Q14" s="650"/>
      <c r="R14" s="650"/>
      <c r="S14" s="650"/>
      <c r="T14" s="650"/>
      <c r="U14" s="650"/>
      <c r="V14" s="650"/>
      <c r="W14" s="650"/>
      <c r="X14" s="650"/>
      <c r="Y14" s="650"/>
      <c r="Z14" s="650"/>
      <c r="AA14" s="650"/>
      <c r="AB14" s="650"/>
      <c r="AC14" s="650"/>
      <c r="AD14" s="651"/>
      <c r="AE14" s="651"/>
      <c r="AF14" s="651"/>
      <c r="AG14" s="651"/>
      <c r="AH14" s="651"/>
    </row>
    <row r="15" spans="1:37" ht="15" customHeight="1">
      <c r="A15" s="641" t="s">
        <v>36</v>
      </c>
      <c r="B15" s="641"/>
      <c r="C15" s="641"/>
      <c r="D15" s="641"/>
      <c r="E15" s="641"/>
      <c r="F15" s="641"/>
      <c r="G15" s="641"/>
      <c r="H15" s="641"/>
      <c r="I15" s="641"/>
      <c r="J15" s="641"/>
      <c r="K15" s="641"/>
      <c r="L15" s="641"/>
      <c r="M15" s="641"/>
      <c r="N15" s="641"/>
      <c r="O15" s="641"/>
      <c r="P15" s="641"/>
      <c r="Q15" s="641"/>
      <c r="R15" s="641"/>
      <c r="S15" s="641"/>
      <c r="T15" s="641"/>
      <c r="U15" s="641"/>
      <c r="V15" s="641"/>
      <c r="W15" s="641"/>
      <c r="X15" s="641"/>
      <c r="Y15" s="641"/>
      <c r="Z15" s="641"/>
      <c r="AA15" s="641"/>
      <c r="AB15" s="641"/>
      <c r="AC15" s="641"/>
      <c r="AD15" s="641"/>
      <c r="AE15" s="641"/>
      <c r="AF15" s="641"/>
      <c r="AG15" s="641"/>
      <c r="AH15" s="641"/>
    </row>
    <row r="16" spans="1:37" ht="0.95" customHeight="1">
      <c r="A16" s="642"/>
      <c r="B16" s="642"/>
      <c r="C16" s="642"/>
      <c r="D16" s="642"/>
      <c r="E16" s="642"/>
      <c r="F16" s="642"/>
      <c r="G16" s="642"/>
      <c r="H16" s="642"/>
      <c r="I16" s="642"/>
      <c r="J16" s="642"/>
      <c r="K16" s="642"/>
      <c r="L16" s="642"/>
      <c r="M16" s="642"/>
      <c r="N16" s="642"/>
      <c r="O16" s="642"/>
      <c r="P16" s="642"/>
      <c r="Q16" s="642"/>
      <c r="R16" s="642"/>
      <c r="S16" s="642"/>
      <c r="T16" s="642"/>
      <c r="U16" s="642"/>
      <c r="V16" s="642"/>
      <c r="W16" s="642"/>
      <c r="X16" s="642"/>
      <c r="Y16" s="642"/>
      <c r="Z16" s="642"/>
      <c r="AA16" s="642"/>
      <c r="AB16" s="642"/>
      <c r="AC16" s="642"/>
      <c r="AD16" s="642"/>
      <c r="AE16" s="642"/>
      <c r="AF16" s="642"/>
      <c r="AG16" s="642"/>
      <c r="AH16" s="642"/>
      <c r="AI16" s="642"/>
    </row>
    <row r="17" spans="1:37">
      <c r="A17" s="642"/>
      <c r="B17" s="642"/>
      <c r="C17" s="642"/>
      <c r="D17" s="642"/>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42"/>
      <c r="AD17" s="642"/>
      <c r="AE17" s="642"/>
      <c r="AF17" s="642"/>
      <c r="AG17" s="642"/>
      <c r="AH17" s="642"/>
      <c r="AI17" s="8"/>
      <c r="AJ17" s="8"/>
    </row>
    <row r="18" spans="1:37" ht="24" customHeight="1">
      <c r="A18" s="74"/>
      <c r="B18" s="75"/>
      <c r="C18" s="74"/>
      <c r="D18" s="74"/>
      <c r="E18" s="74"/>
      <c r="F18" s="74"/>
      <c r="G18" s="74"/>
      <c r="H18" s="76" t="s">
        <v>66</v>
      </c>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8"/>
      <c r="AJ18" s="8"/>
    </row>
    <row r="19" spans="1:37" ht="54.95" customHeight="1">
      <c r="A19" s="74"/>
      <c r="B19" s="75"/>
      <c r="C19" s="74"/>
      <c r="D19" s="74"/>
      <c r="E19" s="74"/>
      <c r="F19" s="74"/>
      <c r="G19" s="74"/>
      <c r="H19" s="76" t="s">
        <v>67</v>
      </c>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8"/>
      <c r="AJ19" s="8"/>
    </row>
    <row r="20" spans="1:37" ht="0.95" customHeight="1">
      <c r="A20" s="74"/>
      <c r="B20" s="75" t="s">
        <v>68</v>
      </c>
      <c r="C20" s="74"/>
      <c r="D20" s="74"/>
      <c r="E20" s="74"/>
      <c r="F20" s="74"/>
      <c r="G20" s="74"/>
      <c r="H20" s="76" t="s">
        <v>69</v>
      </c>
      <c r="I20" s="74"/>
      <c r="J20" s="74"/>
      <c r="K20" s="74"/>
      <c r="L20" s="74"/>
      <c r="M20" s="74"/>
      <c r="N20" s="74"/>
      <c r="O20" s="74"/>
      <c r="P20" s="74"/>
      <c r="Q20" s="74"/>
      <c r="R20" s="74"/>
      <c r="S20" s="74"/>
      <c r="T20" s="74"/>
      <c r="U20" s="74"/>
      <c r="V20" s="74"/>
      <c r="W20" s="74"/>
      <c r="X20" s="76" t="s">
        <v>23</v>
      </c>
      <c r="Y20" s="74"/>
      <c r="Z20" s="74"/>
      <c r="AA20" s="74"/>
      <c r="AB20" s="74"/>
      <c r="AC20" s="74"/>
      <c r="AD20" s="74"/>
      <c r="AE20" s="74"/>
      <c r="AF20" s="74"/>
      <c r="AG20" s="74"/>
      <c r="AH20" s="74"/>
      <c r="AI20" s="8"/>
      <c r="AJ20" s="8"/>
    </row>
    <row r="21" spans="1:37" ht="0.95" customHeight="1">
      <c r="A21" s="74"/>
      <c r="B21" s="75" t="s">
        <v>70</v>
      </c>
      <c r="C21" s="74"/>
      <c r="D21" s="74"/>
      <c r="E21" s="74"/>
      <c r="F21" s="74"/>
      <c r="G21" s="74"/>
      <c r="H21" s="77" t="s">
        <v>59</v>
      </c>
      <c r="I21" s="74"/>
      <c r="J21" s="74"/>
      <c r="K21" s="74"/>
      <c r="L21" s="74"/>
      <c r="M21" s="74"/>
      <c r="N21" s="74"/>
      <c r="O21" s="74"/>
      <c r="P21" s="74"/>
      <c r="Q21" s="74"/>
      <c r="R21" s="74"/>
      <c r="S21" s="74"/>
      <c r="T21" s="74"/>
      <c r="U21" s="74"/>
      <c r="V21" s="74"/>
      <c r="W21" s="74"/>
      <c r="X21" s="76" t="s">
        <v>25</v>
      </c>
      <c r="Y21" s="74"/>
      <c r="Z21" s="74"/>
      <c r="AA21" s="74"/>
      <c r="AB21" s="74"/>
      <c r="AC21" s="74"/>
      <c r="AD21" s="74"/>
      <c r="AE21" s="74"/>
      <c r="AF21" s="74"/>
      <c r="AG21" s="74"/>
      <c r="AH21" s="74"/>
      <c r="AI21" s="8"/>
      <c r="AJ21" s="8"/>
    </row>
    <row r="22" spans="1:37" ht="0.95" customHeight="1">
      <c r="A22" s="78"/>
      <c r="B22" s="79" t="s">
        <v>16</v>
      </c>
      <c r="C22" s="78"/>
      <c r="D22" s="78"/>
      <c r="E22" s="78"/>
      <c r="F22" s="78"/>
      <c r="G22" s="78"/>
      <c r="H22" s="80" t="s">
        <v>65</v>
      </c>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row>
    <row r="24" spans="1:37" ht="24.75" customHeight="1">
      <c r="AK24" s="6" t="s">
        <v>38</v>
      </c>
    </row>
    <row r="25" spans="1:37" ht="24.75" customHeight="1">
      <c r="AK25" s="6" t="s">
        <v>10</v>
      </c>
    </row>
    <row r="26" spans="1:37" ht="24.75" customHeight="1">
      <c r="AK26" s="6" t="s">
        <v>42</v>
      </c>
    </row>
    <row r="27" spans="1:37" ht="24.75" customHeight="1">
      <c r="AK27" s="6" t="s">
        <v>43</v>
      </c>
    </row>
    <row r="28" spans="1:37" ht="24.75" customHeight="1">
      <c r="AK28" s="6" t="s">
        <v>44</v>
      </c>
    </row>
    <row r="29" spans="1:37" ht="24.75" customHeight="1">
      <c r="AK29" s="6" t="s">
        <v>26</v>
      </c>
    </row>
    <row r="30" spans="1:37" ht="24.75" customHeight="1">
      <c r="AK30" s="6" t="s">
        <v>27</v>
      </c>
    </row>
    <row r="31" spans="1:37" ht="24.75" customHeight="1">
      <c r="AK31" s="6" t="s">
        <v>28</v>
      </c>
    </row>
    <row r="32" spans="1:37" ht="24.75" customHeight="1">
      <c r="AK32" s="6" t="s">
        <v>30</v>
      </c>
    </row>
    <row r="33" spans="37:37" ht="24.75" customHeight="1">
      <c r="AK33" s="6" t="s">
        <v>29</v>
      </c>
    </row>
    <row r="34" spans="37:37" ht="24.75" customHeight="1">
      <c r="AK34" s="6" t="s">
        <v>31</v>
      </c>
    </row>
    <row r="35" spans="37:37" ht="24.75" customHeight="1">
      <c r="AK35" s="6" t="s">
        <v>32</v>
      </c>
    </row>
    <row r="36" spans="37:37" ht="51">
      <c r="AK36" s="6" t="s">
        <v>33</v>
      </c>
    </row>
  </sheetData>
  <mergeCells count="57">
    <mergeCell ref="A15:AH15"/>
    <mergeCell ref="A16:AI16"/>
    <mergeCell ref="A17:AH17"/>
    <mergeCell ref="A12:L13"/>
    <mergeCell ref="O12:AC13"/>
    <mergeCell ref="AD12:AH13"/>
    <mergeCell ref="A14:L14"/>
    <mergeCell ref="O14:AC14"/>
    <mergeCell ref="AD14:AH14"/>
    <mergeCell ref="W8:W10"/>
    <mergeCell ref="X8:X10"/>
    <mergeCell ref="Y8:AA8"/>
    <mergeCell ref="Y9:AA9"/>
    <mergeCell ref="Y10:AA10"/>
    <mergeCell ref="A11:AH11"/>
    <mergeCell ref="G8:G10"/>
    <mergeCell ref="H8:H10"/>
    <mergeCell ref="I8:I10"/>
    <mergeCell ref="J8:O10"/>
    <mergeCell ref="P8:S10"/>
    <mergeCell ref="U8:V10"/>
    <mergeCell ref="AG6:AG7"/>
    <mergeCell ref="AH6:AH7"/>
    <mergeCell ref="J7:O7"/>
    <mergeCell ref="P7:T7"/>
    <mergeCell ref="U7:V7"/>
    <mergeCell ref="A8:A10"/>
    <mergeCell ref="B8:B10"/>
    <mergeCell ref="C8:C10"/>
    <mergeCell ref="D8:E10"/>
    <mergeCell ref="F8:F10"/>
    <mergeCell ref="X6:X7"/>
    <mergeCell ref="Y6:AA7"/>
    <mergeCell ref="AB6:AB7"/>
    <mergeCell ref="AC6:AD6"/>
    <mergeCell ref="AE6:AE7"/>
    <mergeCell ref="AF6:AF7"/>
    <mergeCell ref="A5:AH5"/>
    <mergeCell ref="A6:B6"/>
    <mergeCell ref="C6:C7"/>
    <mergeCell ref="D6:E7"/>
    <mergeCell ref="F6:F7"/>
    <mergeCell ref="G6:G7"/>
    <mergeCell ref="H6:H7"/>
    <mergeCell ref="I6:I7"/>
    <mergeCell ref="J6:V6"/>
    <mergeCell ref="W6:W7"/>
    <mergeCell ref="A1:B2"/>
    <mergeCell ref="C1:AG1"/>
    <mergeCell ref="AH1:AH2"/>
    <mergeCell ref="C2:AG2"/>
    <mergeCell ref="A3:AH3"/>
    <mergeCell ref="A4:D4"/>
    <mergeCell ref="E4:V4"/>
    <mergeCell ref="W4:Y4"/>
    <mergeCell ref="Z4:AE4"/>
    <mergeCell ref="AF4:AG4"/>
  </mergeCells>
  <conditionalFormatting sqref="AG8:AG10">
    <cfRule type="cellIs" dxfId="49" priority="1" operator="between">
      <formula>0.001</formula>
      <formula>0.99</formula>
    </cfRule>
    <cfRule type="cellIs" dxfId="48" priority="2" operator="equal">
      <formula>1</formula>
    </cfRule>
    <cfRule type="cellIs" dxfId="47" priority="3" operator="equal">
      <formula>0</formula>
    </cfRule>
  </conditionalFormatting>
  <conditionalFormatting sqref="AG8:AG10">
    <cfRule type="cellIs" dxfId="46" priority="4" operator="between">
      <formula>0.01</formula>
      <formula>0.99</formula>
    </cfRule>
    <cfRule type="cellIs" dxfId="45" priority="5" operator="equal">
      <formula>1</formula>
    </cfRule>
    <cfRule type="cellIs" dxfId="44" priority="6" operator="equal">
      <formula>0</formula>
    </cfRule>
  </conditionalFormatting>
  <dataValidations count="5">
    <dataValidation type="list" allowBlank="1" showInputMessage="1" showErrorMessage="1" sqref="G8 WVO983049 WLS983049 WBW983049 VSA983049 VIE983049 UYI983049 UOM983049 UEQ983049 TUU983049 TKY983049 TBC983049 SRG983049 SHK983049 RXO983049 RNS983049 RDW983049 QUA983049 QKE983049 QAI983049 PQM983049 PGQ983049 OWU983049 OMY983049 ODC983049 NTG983049 NJK983049 MZO983049 MPS983049 MFW983049 LWA983049 LME983049 LCI983049 KSM983049 KIQ983049 JYU983049 JOY983049 JFC983049 IVG983049 ILK983049 IBO983049 HRS983049 HHW983049 GYA983049 GOE983049 GEI983049 FUM983049 FKQ983049 FAU983049 EQY983049 EHC983049 DXG983049 DNK983049 DDO983049 CTS983049 CJW983049 CAA983049 BQE983049 BGI983049 AWM983049 AMQ983049 ACU983049 SY983049 JC983049 G983049 WVO917513 WLS917513 WBW917513 VSA917513 VIE917513 UYI917513 UOM917513 UEQ917513 TUU917513 TKY917513 TBC917513 SRG917513 SHK917513 RXO917513 RNS917513 RDW917513 QUA917513 QKE917513 QAI917513 PQM917513 PGQ917513 OWU917513 OMY917513 ODC917513 NTG917513 NJK917513 MZO917513 MPS917513 MFW917513 LWA917513 LME917513 LCI917513 KSM917513 KIQ917513 JYU917513 JOY917513 JFC917513 IVG917513 ILK917513 IBO917513 HRS917513 HHW917513 GYA917513 GOE917513 GEI917513 FUM917513 FKQ917513 FAU917513 EQY917513 EHC917513 DXG917513 DNK917513 DDO917513 CTS917513 CJW917513 CAA917513 BQE917513 BGI917513 AWM917513 AMQ917513 ACU917513 SY917513 JC917513 G917513 WVO851977 WLS851977 WBW851977 VSA851977 VIE851977 UYI851977 UOM851977 UEQ851977 TUU851977 TKY851977 TBC851977 SRG851977 SHK851977 RXO851977 RNS851977 RDW851977 QUA851977 QKE851977 QAI851977 PQM851977 PGQ851977 OWU851977 OMY851977 ODC851977 NTG851977 NJK851977 MZO851977 MPS851977 MFW851977 LWA851977 LME851977 LCI851977 KSM851977 KIQ851977 JYU851977 JOY851977 JFC851977 IVG851977 ILK851977 IBO851977 HRS851977 HHW851977 GYA851977 GOE851977 GEI851977 FUM851977 FKQ851977 FAU851977 EQY851977 EHC851977 DXG851977 DNK851977 DDO851977 CTS851977 CJW851977 CAA851977 BQE851977 BGI851977 AWM851977 AMQ851977 ACU851977 SY851977 JC851977 G851977 WVO786441 WLS786441 WBW786441 VSA786441 VIE786441 UYI786441 UOM786441 UEQ786441 TUU786441 TKY786441 TBC786441 SRG786441 SHK786441 RXO786441 RNS786441 RDW786441 QUA786441 QKE786441 QAI786441 PQM786441 PGQ786441 OWU786441 OMY786441 ODC786441 NTG786441 NJK786441 MZO786441 MPS786441 MFW786441 LWA786441 LME786441 LCI786441 KSM786441 KIQ786441 JYU786441 JOY786441 JFC786441 IVG786441 ILK786441 IBO786441 HRS786441 HHW786441 GYA786441 GOE786441 GEI786441 FUM786441 FKQ786441 FAU786441 EQY786441 EHC786441 DXG786441 DNK786441 DDO786441 CTS786441 CJW786441 CAA786441 BQE786441 BGI786441 AWM786441 AMQ786441 ACU786441 SY786441 JC786441 G786441 WVO720905 WLS720905 WBW720905 VSA720905 VIE720905 UYI720905 UOM720905 UEQ720905 TUU720905 TKY720905 TBC720905 SRG720905 SHK720905 RXO720905 RNS720905 RDW720905 QUA720905 QKE720905 QAI720905 PQM720905 PGQ720905 OWU720905 OMY720905 ODC720905 NTG720905 NJK720905 MZO720905 MPS720905 MFW720905 LWA720905 LME720905 LCI720905 KSM720905 KIQ720905 JYU720905 JOY720905 JFC720905 IVG720905 ILK720905 IBO720905 HRS720905 HHW720905 GYA720905 GOE720905 GEI720905 FUM720905 FKQ720905 FAU720905 EQY720905 EHC720905 DXG720905 DNK720905 DDO720905 CTS720905 CJW720905 CAA720905 BQE720905 BGI720905 AWM720905 AMQ720905 ACU720905 SY720905 JC720905 G720905 WVO655369 WLS655369 WBW655369 VSA655369 VIE655369 UYI655369 UOM655369 UEQ655369 TUU655369 TKY655369 TBC655369 SRG655369 SHK655369 RXO655369 RNS655369 RDW655369 QUA655369 QKE655369 QAI655369 PQM655369 PGQ655369 OWU655369 OMY655369 ODC655369 NTG655369 NJK655369 MZO655369 MPS655369 MFW655369 LWA655369 LME655369 LCI655369 KSM655369 KIQ655369 JYU655369 JOY655369 JFC655369 IVG655369 ILK655369 IBO655369 HRS655369 HHW655369 GYA655369 GOE655369 GEI655369 FUM655369 FKQ655369 FAU655369 EQY655369 EHC655369 DXG655369 DNK655369 DDO655369 CTS655369 CJW655369 CAA655369 BQE655369 BGI655369 AWM655369 AMQ655369 ACU655369 SY655369 JC655369 G655369 WVO589833 WLS589833 WBW589833 VSA589833 VIE589833 UYI589833 UOM589833 UEQ589833 TUU589833 TKY589833 TBC589833 SRG589833 SHK589833 RXO589833 RNS589833 RDW589833 QUA589833 QKE589833 QAI589833 PQM589833 PGQ589833 OWU589833 OMY589833 ODC589833 NTG589833 NJK589833 MZO589833 MPS589833 MFW589833 LWA589833 LME589833 LCI589833 KSM589833 KIQ589833 JYU589833 JOY589833 JFC589833 IVG589833 ILK589833 IBO589833 HRS589833 HHW589833 GYA589833 GOE589833 GEI589833 FUM589833 FKQ589833 FAU589833 EQY589833 EHC589833 DXG589833 DNK589833 DDO589833 CTS589833 CJW589833 CAA589833 BQE589833 BGI589833 AWM589833 AMQ589833 ACU589833 SY589833 JC589833 G589833 WVO524297 WLS524297 WBW524297 VSA524297 VIE524297 UYI524297 UOM524297 UEQ524297 TUU524297 TKY524297 TBC524297 SRG524297 SHK524297 RXO524297 RNS524297 RDW524297 QUA524297 QKE524297 QAI524297 PQM524297 PGQ524297 OWU524297 OMY524297 ODC524297 NTG524297 NJK524297 MZO524297 MPS524297 MFW524297 LWA524297 LME524297 LCI524297 KSM524297 KIQ524297 JYU524297 JOY524297 JFC524297 IVG524297 ILK524297 IBO524297 HRS524297 HHW524297 GYA524297 GOE524297 GEI524297 FUM524297 FKQ524297 FAU524297 EQY524297 EHC524297 DXG524297 DNK524297 DDO524297 CTS524297 CJW524297 CAA524297 BQE524297 BGI524297 AWM524297 AMQ524297 ACU524297 SY524297 JC524297 G524297 WVO458761 WLS458761 WBW458761 VSA458761 VIE458761 UYI458761 UOM458761 UEQ458761 TUU458761 TKY458761 TBC458761 SRG458761 SHK458761 RXO458761 RNS458761 RDW458761 QUA458761 QKE458761 QAI458761 PQM458761 PGQ458761 OWU458761 OMY458761 ODC458761 NTG458761 NJK458761 MZO458761 MPS458761 MFW458761 LWA458761 LME458761 LCI458761 KSM458761 KIQ458761 JYU458761 JOY458761 JFC458761 IVG458761 ILK458761 IBO458761 HRS458761 HHW458761 GYA458761 GOE458761 GEI458761 FUM458761 FKQ458761 FAU458761 EQY458761 EHC458761 DXG458761 DNK458761 DDO458761 CTS458761 CJW458761 CAA458761 BQE458761 BGI458761 AWM458761 AMQ458761 ACU458761 SY458761 JC458761 G458761 WVO393225 WLS393225 WBW393225 VSA393225 VIE393225 UYI393225 UOM393225 UEQ393225 TUU393225 TKY393225 TBC393225 SRG393225 SHK393225 RXO393225 RNS393225 RDW393225 QUA393225 QKE393225 QAI393225 PQM393225 PGQ393225 OWU393225 OMY393225 ODC393225 NTG393225 NJK393225 MZO393225 MPS393225 MFW393225 LWA393225 LME393225 LCI393225 KSM393225 KIQ393225 JYU393225 JOY393225 JFC393225 IVG393225 ILK393225 IBO393225 HRS393225 HHW393225 GYA393225 GOE393225 GEI393225 FUM393225 FKQ393225 FAU393225 EQY393225 EHC393225 DXG393225 DNK393225 DDO393225 CTS393225 CJW393225 CAA393225 BQE393225 BGI393225 AWM393225 AMQ393225 ACU393225 SY393225 JC393225 G393225 WVO327689 WLS327689 WBW327689 VSA327689 VIE327689 UYI327689 UOM327689 UEQ327689 TUU327689 TKY327689 TBC327689 SRG327689 SHK327689 RXO327689 RNS327689 RDW327689 QUA327689 QKE327689 QAI327689 PQM327689 PGQ327689 OWU327689 OMY327689 ODC327689 NTG327689 NJK327689 MZO327689 MPS327689 MFW327689 LWA327689 LME327689 LCI327689 KSM327689 KIQ327689 JYU327689 JOY327689 JFC327689 IVG327689 ILK327689 IBO327689 HRS327689 HHW327689 GYA327689 GOE327689 GEI327689 FUM327689 FKQ327689 FAU327689 EQY327689 EHC327689 DXG327689 DNK327689 DDO327689 CTS327689 CJW327689 CAA327689 BQE327689 BGI327689 AWM327689 AMQ327689 ACU327689 SY327689 JC327689 G327689 WVO262153 WLS262153 WBW262153 VSA262153 VIE262153 UYI262153 UOM262153 UEQ262153 TUU262153 TKY262153 TBC262153 SRG262153 SHK262153 RXO262153 RNS262153 RDW262153 QUA262153 QKE262153 QAI262153 PQM262153 PGQ262153 OWU262153 OMY262153 ODC262153 NTG262153 NJK262153 MZO262153 MPS262153 MFW262153 LWA262153 LME262153 LCI262153 KSM262153 KIQ262153 JYU262153 JOY262153 JFC262153 IVG262153 ILK262153 IBO262153 HRS262153 HHW262153 GYA262153 GOE262153 GEI262153 FUM262153 FKQ262153 FAU262153 EQY262153 EHC262153 DXG262153 DNK262153 DDO262153 CTS262153 CJW262153 CAA262153 BQE262153 BGI262153 AWM262153 AMQ262153 ACU262153 SY262153 JC262153 G262153 WVO196617 WLS196617 WBW196617 VSA196617 VIE196617 UYI196617 UOM196617 UEQ196617 TUU196617 TKY196617 TBC196617 SRG196617 SHK196617 RXO196617 RNS196617 RDW196617 QUA196617 QKE196617 QAI196617 PQM196617 PGQ196617 OWU196617 OMY196617 ODC196617 NTG196617 NJK196617 MZO196617 MPS196617 MFW196617 LWA196617 LME196617 LCI196617 KSM196617 KIQ196617 JYU196617 JOY196617 JFC196617 IVG196617 ILK196617 IBO196617 HRS196617 HHW196617 GYA196617 GOE196617 GEI196617 FUM196617 FKQ196617 FAU196617 EQY196617 EHC196617 DXG196617 DNK196617 DDO196617 CTS196617 CJW196617 CAA196617 BQE196617 BGI196617 AWM196617 AMQ196617 ACU196617 SY196617 JC196617 G196617 WVO131081 WLS131081 WBW131081 VSA131081 VIE131081 UYI131081 UOM131081 UEQ131081 TUU131081 TKY131081 TBC131081 SRG131081 SHK131081 RXO131081 RNS131081 RDW131081 QUA131081 QKE131081 QAI131081 PQM131081 PGQ131081 OWU131081 OMY131081 ODC131081 NTG131081 NJK131081 MZO131081 MPS131081 MFW131081 LWA131081 LME131081 LCI131081 KSM131081 KIQ131081 JYU131081 JOY131081 JFC131081 IVG131081 ILK131081 IBO131081 HRS131081 HHW131081 GYA131081 GOE131081 GEI131081 FUM131081 FKQ131081 FAU131081 EQY131081 EHC131081 DXG131081 DNK131081 DDO131081 CTS131081 CJW131081 CAA131081 BQE131081 BGI131081 AWM131081 AMQ131081 ACU131081 SY131081 JC131081 G131081 WVO65545 WLS65545 WBW65545 VSA65545 VIE65545 UYI65545 UOM65545 UEQ65545 TUU65545 TKY65545 TBC65545 SRG65545 SHK65545 RXO65545 RNS65545 RDW65545 QUA65545 QKE65545 QAI65545 PQM65545 PGQ65545 OWU65545 OMY65545 ODC65545 NTG65545 NJK65545 MZO65545 MPS65545 MFW65545 LWA65545 LME65545 LCI65545 KSM65545 KIQ65545 JYU65545 JOY65545 JFC65545 IVG65545 ILK65545 IBO65545 HRS65545 HHW65545 GYA65545 GOE65545 GEI65545 FUM65545 FKQ65545 FAU65545 EQY65545 EHC65545 DXG65545 DNK65545 DDO65545 CTS65545 CJW65545 CAA65545 BQE65545 BGI65545 AWM65545 AMQ65545 ACU65545 SY65545 JC65545 G65545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6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0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4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8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2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6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0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4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8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2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6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0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4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8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2 WVO983042 WLS983042 WBW983042 VSA983042 VIE983042 UYI983042 UOM983042 UEQ983042 TUU983042 TKY983042 TBC983042 SRG983042 SHK983042 RXO983042 RNS983042 RDW983042 QUA983042 QKE983042 QAI983042 PQM983042 PGQ983042 OWU983042 OMY983042 ODC983042 NTG983042 NJK983042 MZO983042 MPS983042 MFW983042 LWA983042 LME983042 LCI983042 KSM983042 KIQ983042 JYU983042 JOY983042 JFC983042 IVG983042 ILK983042 IBO983042 HRS983042 HHW983042 GYA983042 GOE983042 GEI983042 FUM983042 FKQ983042 FAU983042 EQY983042 EHC983042 DXG983042 DNK983042 DDO983042 CTS983042 CJW983042 CAA983042 BQE983042 BGI983042 AWM983042 AMQ983042 ACU983042 SY983042 JC983042 G983042 WVO917506 WLS917506 WBW917506 VSA917506 VIE917506 UYI917506 UOM917506 UEQ917506 TUU917506 TKY917506 TBC917506 SRG917506 SHK917506 RXO917506 RNS917506 RDW917506 QUA917506 QKE917506 QAI917506 PQM917506 PGQ917506 OWU917506 OMY917506 ODC917506 NTG917506 NJK917506 MZO917506 MPS917506 MFW917506 LWA917506 LME917506 LCI917506 KSM917506 KIQ917506 JYU917506 JOY917506 JFC917506 IVG917506 ILK917506 IBO917506 HRS917506 HHW917506 GYA917506 GOE917506 GEI917506 FUM917506 FKQ917506 FAU917506 EQY917506 EHC917506 DXG917506 DNK917506 DDO917506 CTS917506 CJW917506 CAA917506 BQE917506 BGI917506 AWM917506 AMQ917506 ACU917506 SY917506 JC917506 G917506 WVO851970 WLS851970 WBW851970 VSA851970 VIE851970 UYI851970 UOM851970 UEQ851970 TUU851970 TKY851970 TBC851970 SRG851970 SHK851970 RXO851970 RNS851970 RDW851970 QUA851970 QKE851970 QAI851970 PQM851970 PGQ851970 OWU851970 OMY851970 ODC851970 NTG851970 NJK851970 MZO851970 MPS851970 MFW851970 LWA851970 LME851970 LCI851970 KSM851970 KIQ851970 JYU851970 JOY851970 JFC851970 IVG851970 ILK851970 IBO851970 HRS851970 HHW851970 GYA851970 GOE851970 GEI851970 FUM851970 FKQ851970 FAU851970 EQY851970 EHC851970 DXG851970 DNK851970 DDO851970 CTS851970 CJW851970 CAA851970 BQE851970 BGI851970 AWM851970 AMQ851970 ACU851970 SY851970 JC851970 G851970 WVO786434 WLS786434 WBW786434 VSA786434 VIE786434 UYI786434 UOM786434 UEQ786434 TUU786434 TKY786434 TBC786434 SRG786434 SHK786434 RXO786434 RNS786434 RDW786434 QUA786434 QKE786434 QAI786434 PQM786434 PGQ786434 OWU786434 OMY786434 ODC786434 NTG786434 NJK786434 MZO786434 MPS786434 MFW786434 LWA786434 LME786434 LCI786434 KSM786434 KIQ786434 JYU786434 JOY786434 JFC786434 IVG786434 ILK786434 IBO786434 HRS786434 HHW786434 GYA786434 GOE786434 GEI786434 FUM786434 FKQ786434 FAU786434 EQY786434 EHC786434 DXG786434 DNK786434 DDO786434 CTS786434 CJW786434 CAA786434 BQE786434 BGI786434 AWM786434 AMQ786434 ACU786434 SY786434 JC786434 G786434 WVO720898 WLS720898 WBW720898 VSA720898 VIE720898 UYI720898 UOM720898 UEQ720898 TUU720898 TKY720898 TBC720898 SRG720898 SHK720898 RXO720898 RNS720898 RDW720898 QUA720898 QKE720898 QAI720898 PQM720898 PGQ720898 OWU720898 OMY720898 ODC720898 NTG720898 NJK720898 MZO720898 MPS720898 MFW720898 LWA720898 LME720898 LCI720898 KSM720898 KIQ720898 JYU720898 JOY720898 JFC720898 IVG720898 ILK720898 IBO720898 HRS720898 HHW720898 GYA720898 GOE720898 GEI720898 FUM720898 FKQ720898 FAU720898 EQY720898 EHC720898 DXG720898 DNK720898 DDO720898 CTS720898 CJW720898 CAA720898 BQE720898 BGI720898 AWM720898 AMQ720898 ACU720898 SY720898 JC720898 G720898 WVO655362 WLS655362 WBW655362 VSA655362 VIE655362 UYI655362 UOM655362 UEQ655362 TUU655362 TKY655362 TBC655362 SRG655362 SHK655362 RXO655362 RNS655362 RDW655362 QUA655362 QKE655362 QAI655362 PQM655362 PGQ655362 OWU655362 OMY655362 ODC655362 NTG655362 NJK655362 MZO655362 MPS655362 MFW655362 LWA655362 LME655362 LCI655362 KSM655362 KIQ655362 JYU655362 JOY655362 JFC655362 IVG655362 ILK655362 IBO655362 HRS655362 HHW655362 GYA655362 GOE655362 GEI655362 FUM655362 FKQ655362 FAU655362 EQY655362 EHC655362 DXG655362 DNK655362 DDO655362 CTS655362 CJW655362 CAA655362 BQE655362 BGI655362 AWM655362 AMQ655362 ACU655362 SY655362 JC655362 G655362 WVO589826 WLS589826 WBW589826 VSA589826 VIE589826 UYI589826 UOM589826 UEQ589826 TUU589826 TKY589826 TBC589826 SRG589826 SHK589826 RXO589826 RNS589826 RDW589826 QUA589826 QKE589826 QAI589826 PQM589826 PGQ589826 OWU589826 OMY589826 ODC589826 NTG589826 NJK589826 MZO589826 MPS589826 MFW589826 LWA589826 LME589826 LCI589826 KSM589826 KIQ589826 JYU589826 JOY589826 JFC589826 IVG589826 ILK589826 IBO589826 HRS589826 HHW589826 GYA589826 GOE589826 GEI589826 FUM589826 FKQ589826 FAU589826 EQY589826 EHC589826 DXG589826 DNK589826 DDO589826 CTS589826 CJW589826 CAA589826 BQE589826 BGI589826 AWM589826 AMQ589826 ACU589826 SY589826 JC589826 G589826 WVO524290 WLS524290 WBW524290 VSA524290 VIE524290 UYI524290 UOM524290 UEQ524290 TUU524290 TKY524290 TBC524290 SRG524290 SHK524290 RXO524290 RNS524290 RDW524290 QUA524290 QKE524290 QAI524290 PQM524290 PGQ524290 OWU524290 OMY524290 ODC524290 NTG524290 NJK524290 MZO524290 MPS524290 MFW524290 LWA524290 LME524290 LCI524290 KSM524290 KIQ524290 JYU524290 JOY524290 JFC524290 IVG524290 ILK524290 IBO524290 HRS524290 HHW524290 GYA524290 GOE524290 GEI524290 FUM524290 FKQ524290 FAU524290 EQY524290 EHC524290 DXG524290 DNK524290 DDO524290 CTS524290 CJW524290 CAA524290 BQE524290 BGI524290 AWM524290 AMQ524290 ACU524290 SY524290 JC524290 G524290 WVO458754 WLS458754 WBW458754 VSA458754 VIE458754 UYI458754 UOM458754 UEQ458754 TUU458754 TKY458754 TBC458754 SRG458754 SHK458754 RXO458754 RNS458754 RDW458754 QUA458754 QKE458754 QAI458754 PQM458754 PGQ458754 OWU458754 OMY458754 ODC458754 NTG458754 NJK458754 MZO458754 MPS458754 MFW458754 LWA458754 LME458754 LCI458754 KSM458754 KIQ458754 JYU458754 JOY458754 JFC458754 IVG458754 ILK458754 IBO458754 HRS458754 HHW458754 GYA458754 GOE458754 GEI458754 FUM458754 FKQ458754 FAU458754 EQY458754 EHC458754 DXG458754 DNK458754 DDO458754 CTS458754 CJW458754 CAA458754 BQE458754 BGI458754 AWM458754 AMQ458754 ACU458754 SY458754 JC458754 G458754 WVO393218 WLS393218 WBW393218 VSA393218 VIE393218 UYI393218 UOM393218 UEQ393218 TUU393218 TKY393218 TBC393218 SRG393218 SHK393218 RXO393218 RNS393218 RDW393218 QUA393218 QKE393218 QAI393218 PQM393218 PGQ393218 OWU393218 OMY393218 ODC393218 NTG393218 NJK393218 MZO393218 MPS393218 MFW393218 LWA393218 LME393218 LCI393218 KSM393218 KIQ393218 JYU393218 JOY393218 JFC393218 IVG393218 ILK393218 IBO393218 HRS393218 HHW393218 GYA393218 GOE393218 GEI393218 FUM393218 FKQ393218 FAU393218 EQY393218 EHC393218 DXG393218 DNK393218 DDO393218 CTS393218 CJW393218 CAA393218 BQE393218 BGI393218 AWM393218 AMQ393218 ACU393218 SY393218 JC393218 G393218 WVO327682 WLS327682 WBW327682 VSA327682 VIE327682 UYI327682 UOM327682 UEQ327682 TUU327682 TKY327682 TBC327682 SRG327682 SHK327682 RXO327682 RNS327682 RDW327682 QUA327682 QKE327682 QAI327682 PQM327682 PGQ327682 OWU327682 OMY327682 ODC327682 NTG327682 NJK327682 MZO327682 MPS327682 MFW327682 LWA327682 LME327682 LCI327682 KSM327682 KIQ327682 JYU327682 JOY327682 JFC327682 IVG327682 ILK327682 IBO327682 HRS327682 HHW327682 GYA327682 GOE327682 GEI327682 FUM327682 FKQ327682 FAU327682 EQY327682 EHC327682 DXG327682 DNK327682 DDO327682 CTS327682 CJW327682 CAA327682 BQE327682 BGI327682 AWM327682 AMQ327682 ACU327682 SY327682 JC327682 G327682 WVO262146 WLS262146 WBW262146 VSA262146 VIE262146 UYI262146 UOM262146 UEQ262146 TUU262146 TKY262146 TBC262146 SRG262146 SHK262146 RXO262146 RNS262146 RDW262146 QUA262146 QKE262146 QAI262146 PQM262146 PGQ262146 OWU262146 OMY262146 ODC262146 NTG262146 NJK262146 MZO262146 MPS262146 MFW262146 LWA262146 LME262146 LCI262146 KSM262146 KIQ262146 JYU262146 JOY262146 JFC262146 IVG262146 ILK262146 IBO262146 HRS262146 HHW262146 GYA262146 GOE262146 GEI262146 FUM262146 FKQ262146 FAU262146 EQY262146 EHC262146 DXG262146 DNK262146 DDO262146 CTS262146 CJW262146 CAA262146 BQE262146 BGI262146 AWM262146 AMQ262146 ACU262146 SY262146 JC262146 G262146 WVO196610 WLS196610 WBW196610 VSA196610 VIE196610 UYI196610 UOM196610 UEQ196610 TUU196610 TKY196610 TBC196610 SRG196610 SHK196610 RXO196610 RNS196610 RDW196610 QUA196610 QKE196610 QAI196610 PQM196610 PGQ196610 OWU196610 OMY196610 ODC196610 NTG196610 NJK196610 MZO196610 MPS196610 MFW196610 LWA196610 LME196610 LCI196610 KSM196610 KIQ196610 JYU196610 JOY196610 JFC196610 IVG196610 ILK196610 IBO196610 HRS196610 HHW196610 GYA196610 GOE196610 GEI196610 FUM196610 FKQ196610 FAU196610 EQY196610 EHC196610 DXG196610 DNK196610 DDO196610 CTS196610 CJW196610 CAA196610 BQE196610 BGI196610 AWM196610 AMQ196610 ACU196610 SY196610 JC196610 G196610 WVO131074 WLS131074 WBW131074 VSA131074 VIE131074 UYI131074 UOM131074 UEQ131074 TUU131074 TKY131074 TBC131074 SRG131074 SHK131074 RXO131074 RNS131074 RDW131074 QUA131074 QKE131074 QAI131074 PQM131074 PGQ131074 OWU131074 OMY131074 ODC131074 NTG131074 NJK131074 MZO131074 MPS131074 MFW131074 LWA131074 LME131074 LCI131074 KSM131074 KIQ131074 JYU131074 JOY131074 JFC131074 IVG131074 ILK131074 IBO131074 HRS131074 HHW131074 GYA131074 GOE131074 GEI131074 FUM131074 FKQ131074 FAU131074 EQY131074 EHC131074 DXG131074 DNK131074 DDO131074 CTS131074 CJW131074 CAA131074 BQE131074 BGI131074 AWM131074 AMQ131074 ACU131074 SY131074 JC131074 G131074 WVO65538 WLS65538 WBW65538 VSA65538 VIE65538 UYI65538 UOM65538 UEQ65538 TUU65538 TKY65538 TBC65538 SRG65538 SHK65538 RXO65538 RNS65538 RDW65538 QUA65538 QKE65538 QAI65538 PQM65538 PGQ65538 OWU65538 OMY65538 ODC65538 NTG65538 NJK65538 MZO65538 MPS65538 MFW65538 LWA65538 LME65538 LCI65538 KSM65538 KIQ65538 JYU65538 JOY65538 JFC65538 IVG65538 ILK65538 IBO65538 HRS65538 HHW65538 GYA65538 GOE65538 GEI65538 FUM65538 FKQ65538 FAU65538 EQY65538 EHC65538 DXG65538 DNK65538 DDO65538 CTS65538 CJW65538 CAA65538 BQE65538 BGI65538 AWM65538 AMQ65538 ACU65538 SY65538 JC65538 G65538 WVO983033 WLS983033 WBW983033 VSA983033 VIE983033 UYI983033 UOM983033 UEQ983033 TUU983033 TKY983033 TBC983033 SRG983033 SHK983033 RXO983033 RNS983033 RDW983033 QUA983033 QKE983033 QAI983033 PQM983033 PGQ983033 OWU983033 OMY983033 ODC983033 NTG983033 NJK983033 MZO983033 MPS983033 MFW983033 LWA983033 LME983033 LCI983033 KSM983033 KIQ983033 JYU983033 JOY983033 JFC983033 IVG983033 ILK983033 IBO983033 HRS983033 HHW983033 GYA983033 GOE983033 GEI983033 FUM983033 FKQ983033 FAU983033 EQY983033 EHC983033 DXG983033 DNK983033 DDO983033 CTS983033 CJW983033 CAA983033 BQE983033 BGI983033 AWM983033 AMQ983033 ACU983033 SY983033 JC983033 G983033 WVO917497 WLS917497 WBW917497 VSA917497 VIE917497 UYI917497 UOM917497 UEQ917497 TUU917497 TKY917497 TBC917497 SRG917497 SHK917497 RXO917497 RNS917497 RDW917497 QUA917497 QKE917497 QAI917497 PQM917497 PGQ917497 OWU917497 OMY917497 ODC917497 NTG917497 NJK917497 MZO917497 MPS917497 MFW917497 LWA917497 LME917497 LCI917497 KSM917497 KIQ917497 JYU917497 JOY917497 JFC917497 IVG917497 ILK917497 IBO917497 HRS917497 HHW917497 GYA917497 GOE917497 GEI917497 FUM917497 FKQ917497 FAU917497 EQY917497 EHC917497 DXG917497 DNK917497 DDO917497 CTS917497 CJW917497 CAA917497 BQE917497 BGI917497 AWM917497 AMQ917497 ACU917497 SY917497 JC917497 G917497 WVO851961 WLS851961 WBW851961 VSA851961 VIE851961 UYI851961 UOM851961 UEQ851961 TUU851961 TKY851961 TBC851961 SRG851961 SHK851961 RXO851961 RNS851961 RDW851961 QUA851961 QKE851961 QAI851961 PQM851961 PGQ851961 OWU851961 OMY851961 ODC851961 NTG851961 NJK851961 MZO851961 MPS851961 MFW851961 LWA851961 LME851961 LCI851961 KSM851961 KIQ851961 JYU851961 JOY851961 JFC851961 IVG851961 ILK851961 IBO851961 HRS851961 HHW851961 GYA851961 GOE851961 GEI851961 FUM851961 FKQ851961 FAU851961 EQY851961 EHC851961 DXG851961 DNK851961 DDO851961 CTS851961 CJW851961 CAA851961 BQE851961 BGI851961 AWM851961 AMQ851961 ACU851961 SY851961 JC851961 G851961 WVO786425 WLS786425 WBW786425 VSA786425 VIE786425 UYI786425 UOM786425 UEQ786425 TUU786425 TKY786425 TBC786425 SRG786425 SHK786425 RXO786425 RNS786425 RDW786425 QUA786425 QKE786425 QAI786425 PQM786425 PGQ786425 OWU786425 OMY786425 ODC786425 NTG786425 NJK786425 MZO786425 MPS786425 MFW786425 LWA786425 LME786425 LCI786425 KSM786425 KIQ786425 JYU786425 JOY786425 JFC786425 IVG786425 ILK786425 IBO786425 HRS786425 HHW786425 GYA786425 GOE786425 GEI786425 FUM786425 FKQ786425 FAU786425 EQY786425 EHC786425 DXG786425 DNK786425 DDO786425 CTS786425 CJW786425 CAA786425 BQE786425 BGI786425 AWM786425 AMQ786425 ACU786425 SY786425 JC786425 G786425 WVO720889 WLS720889 WBW720889 VSA720889 VIE720889 UYI720889 UOM720889 UEQ720889 TUU720889 TKY720889 TBC720889 SRG720889 SHK720889 RXO720889 RNS720889 RDW720889 QUA720889 QKE720889 QAI720889 PQM720889 PGQ720889 OWU720889 OMY720889 ODC720889 NTG720889 NJK720889 MZO720889 MPS720889 MFW720889 LWA720889 LME720889 LCI720889 KSM720889 KIQ720889 JYU720889 JOY720889 JFC720889 IVG720889 ILK720889 IBO720889 HRS720889 HHW720889 GYA720889 GOE720889 GEI720889 FUM720889 FKQ720889 FAU720889 EQY720889 EHC720889 DXG720889 DNK720889 DDO720889 CTS720889 CJW720889 CAA720889 BQE720889 BGI720889 AWM720889 AMQ720889 ACU720889 SY720889 JC720889 G720889 WVO655353 WLS655353 WBW655353 VSA655353 VIE655353 UYI655353 UOM655353 UEQ655353 TUU655353 TKY655353 TBC655353 SRG655353 SHK655353 RXO655353 RNS655353 RDW655353 QUA655353 QKE655353 QAI655353 PQM655353 PGQ655353 OWU655353 OMY655353 ODC655353 NTG655353 NJK655353 MZO655353 MPS655353 MFW655353 LWA655353 LME655353 LCI655353 KSM655353 KIQ655353 JYU655353 JOY655353 JFC655353 IVG655353 ILK655353 IBO655353 HRS655353 HHW655353 GYA655353 GOE655353 GEI655353 FUM655353 FKQ655353 FAU655353 EQY655353 EHC655353 DXG655353 DNK655353 DDO655353 CTS655353 CJW655353 CAA655353 BQE655353 BGI655353 AWM655353 AMQ655353 ACU655353 SY655353 JC655353 G655353 WVO589817 WLS589817 WBW589817 VSA589817 VIE589817 UYI589817 UOM589817 UEQ589817 TUU589817 TKY589817 TBC589817 SRG589817 SHK589817 RXO589817 RNS589817 RDW589817 QUA589817 QKE589817 QAI589817 PQM589817 PGQ589817 OWU589817 OMY589817 ODC589817 NTG589817 NJK589817 MZO589817 MPS589817 MFW589817 LWA589817 LME589817 LCI589817 KSM589817 KIQ589817 JYU589817 JOY589817 JFC589817 IVG589817 ILK589817 IBO589817 HRS589817 HHW589817 GYA589817 GOE589817 GEI589817 FUM589817 FKQ589817 FAU589817 EQY589817 EHC589817 DXG589817 DNK589817 DDO589817 CTS589817 CJW589817 CAA589817 BQE589817 BGI589817 AWM589817 AMQ589817 ACU589817 SY589817 JC589817 G589817 WVO524281 WLS524281 WBW524281 VSA524281 VIE524281 UYI524281 UOM524281 UEQ524281 TUU524281 TKY524281 TBC524281 SRG524281 SHK524281 RXO524281 RNS524281 RDW524281 QUA524281 QKE524281 QAI524281 PQM524281 PGQ524281 OWU524281 OMY524281 ODC524281 NTG524281 NJK524281 MZO524281 MPS524281 MFW524281 LWA524281 LME524281 LCI524281 KSM524281 KIQ524281 JYU524281 JOY524281 JFC524281 IVG524281 ILK524281 IBO524281 HRS524281 HHW524281 GYA524281 GOE524281 GEI524281 FUM524281 FKQ524281 FAU524281 EQY524281 EHC524281 DXG524281 DNK524281 DDO524281 CTS524281 CJW524281 CAA524281 BQE524281 BGI524281 AWM524281 AMQ524281 ACU524281 SY524281 JC524281 G524281 WVO458745 WLS458745 WBW458745 VSA458745 VIE458745 UYI458745 UOM458745 UEQ458745 TUU458745 TKY458745 TBC458745 SRG458745 SHK458745 RXO458745 RNS458745 RDW458745 QUA458745 QKE458745 QAI458745 PQM458745 PGQ458745 OWU458745 OMY458745 ODC458745 NTG458745 NJK458745 MZO458745 MPS458745 MFW458745 LWA458745 LME458745 LCI458745 KSM458745 KIQ458745 JYU458745 JOY458745 JFC458745 IVG458745 ILK458745 IBO458745 HRS458745 HHW458745 GYA458745 GOE458745 GEI458745 FUM458745 FKQ458745 FAU458745 EQY458745 EHC458745 DXG458745 DNK458745 DDO458745 CTS458745 CJW458745 CAA458745 BQE458745 BGI458745 AWM458745 AMQ458745 ACU458745 SY458745 JC458745 G458745 WVO393209 WLS393209 WBW393209 VSA393209 VIE393209 UYI393209 UOM393209 UEQ393209 TUU393209 TKY393209 TBC393209 SRG393209 SHK393209 RXO393209 RNS393209 RDW393209 QUA393209 QKE393209 QAI393209 PQM393209 PGQ393209 OWU393209 OMY393209 ODC393209 NTG393209 NJK393209 MZO393209 MPS393209 MFW393209 LWA393209 LME393209 LCI393209 KSM393209 KIQ393209 JYU393209 JOY393209 JFC393209 IVG393209 ILK393209 IBO393209 HRS393209 HHW393209 GYA393209 GOE393209 GEI393209 FUM393209 FKQ393209 FAU393209 EQY393209 EHC393209 DXG393209 DNK393209 DDO393209 CTS393209 CJW393209 CAA393209 BQE393209 BGI393209 AWM393209 AMQ393209 ACU393209 SY393209 JC393209 G393209 WVO327673 WLS327673 WBW327673 VSA327673 VIE327673 UYI327673 UOM327673 UEQ327673 TUU327673 TKY327673 TBC327673 SRG327673 SHK327673 RXO327673 RNS327673 RDW327673 QUA327673 QKE327673 QAI327673 PQM327673 PGQ327673 OWU327673 OMY327673 ODC327673 NTG327673 NJK327673 MZO327673 MPS327673 MFW327673 LWA327673 LME327673 LCI327673 KSM327673 KIQ327673 JYU327673 JOY327673 JFC327673 IVG327673 ILK327673 IBO327673 HRS327673 HHW327673 GYA327673 GOE327673 GEI327673 FUM327673 FKQ327673 FAU327673 EQY327673 EHC327673 DXG327673 DNK327673 DDO327673 CTS327673 CJW327673 CAA327673 BQE327673 BGI327673 AWM327673 AMQ327673 ACU327673 SY327673 JC327673 G327673 WVO262137 WLS262137 WBW262137 VSA262137 VIE262137 UYI262137 UOM262137 UEQ262137 TUU262137 TKY262137 TBC262137 SRG262137 SHK262137 RXO262137 RNS262137 RDW262137 QUA262137 QKE262137 QAI262137 PQM262137 PGQ262137 OWU262137 OMY262137 ODC262137 NTG262137 NJK262137 MZO262137 MPS262137 MFW262137 LWA262137 LME262137 LCI262137 KSM262137 KIQ262137 JYU262137 JOY262137 JFC262137 IVG262137 ILK262137 IBO262137 HRS262137 HHW262137 GYA262137 GOE262137 GEI262137 FUM262137 FKQ262137 FAU262137 EQY262137 EHC262137 DXG262137 DNK262137 DDO262137 CTS262137 CJW262137 CAA262137 BQE262137 BGI262137 AWM262137 AMQ262137 ACU262137 SY262137 JC262137 G262137 WVO196601 WLS196601 WBW196601 VSA196601 VIE196601 UYI196601 UOM196601 UEQ196601 TUU196601 TKY196601 TBC196601 SRG196601 SHK196601 RXO196601 RNS196601 RDW196601 QUA196601 QKE196601 QAI196601 PQM196601 PGQ196601 OWU196601 OMY196601 ODC196601 NTG196601 NJK196601 MZO196601 MPS196601 MFW196601 LWA196601 LME196601 LCI196601 KSM196601 KIQ196601 JYU196601 JOY196601 JFC196601 IVG196601 ILK196601 IBO196601 HRS196601 HHW196601 GYA196601 GOE196601 GEI196601 FUM196601 FKQ196601 FAU196601 EQY196601 EHC196601 DXG196601 DNK196601 DDO196601 CTS196601 CJW196601 CAA196601 BQE196601 BGI196601 AWM196601 AMQ196601 ACU196601 SY196601 JC196601 G196601 WVO131065 WLS131065 WBW131065 VSA131065 VIE131065 UYI131065 UOM131065 UEQ131065 TUU131065 TKY131065 TBC131065 SRG131065 SHK131065 RXO131065 RNS131065 RDW131065 QUA131065 QKE131065 QAI131065 PQM131065 PGQ131065 OWU131065 OMY131065 ODC131065 NTG131065 NJK131065 MZO131065 MPS131065 MFW131065 LWA131065 LME131065 LCI131065 KSM131065 KIQ131065 JYU131065 JOY131065 JFC131065 IVG131065 ILK131065 IBO131065 HRS131065 HHW131065 GYA131065 GOE131065 GEI131065 FUM131065 FKQ131065 FAU131065 EQY131065 EHC131065 DXG131065 DNK131065 DDO131065 CTS131065 CJW131065 CAA131065 BQE131065 BGI131065 AWM131065 AMQ131065 ACU131065 SY131065 JC131065 G131065 WVO65529 WLS65529 WBW65529 VSA65529 VIE65529 UYI65529 UOM65529 UEQ65529 TUU65529 TKY65529 TBC65529 SRG65529 SHK65529 RXO65529 RNS65529 RDW65529 QUA65529 QKE65529 QAI65529 PQM65529 PGQ65529 OWU65529 OMY65529 ODC65529 NTG65529 NJK65529 MZO65529 MPS65529 MFW65529 LWA65529 LME65529 LCI65529 KSM65529 KIQ65529 JYU65529 JOY65529 JFC65529 IVG65529 ILK65529 IBO65529 HRS65529 HHW65529 GYA65529 GOE65529 GEI65529 FUM65529 FKQ65529 FAU65529 EQY65529 EHC65529 DXG65529 DNK65529 DDO65529 CTS65529 CJW65529 CAA65529 BQE65529 BGI65529 AWM65529 AMQ65529 ACU65529 SY65529 JC65529 G65529 WVO983036 WLS983036 WBW983036 VSA983036 VIE983036 UYI983036 UOM983036 UEQ983036 TUU983036 TKY983036 TBC983036 SRG983036 SHK983036 RXO983036 RNS983036 RDW983036 QUA983036 QKE983036 QAI983036 PQM983036 PGQ983036 OWU983036 OMY983036 ODC983036 NTG983036 NJK983036 MZO983036 MPS983036 MFW983036 LWA983036 LME983036 LCI983036 KSM983036 KIQ983036 JYU983036 JOY983036 JFC983036 IVG983036 ILK983036 IBO983036 HRS983036 HHW983036 GYA983036 GOE983036 GEI983036 FUM983036 FKQ983036 FAU983036 EQY983036 EHC983036 DXG983036 DNK983036 DDO983036 CTS983036 CJW983036 CAA983036 BQE983036 BGI983036 AWM983036 AMQ983036 ACU983036 SY983036 JC983036 G983036 WVO917500 WLS917500 WBW917500 VSA917500 VIE917500 UYI917500 UOM917500 UEQ917500 TUU917500 TKY917500 TBC917500 SRG917500 SHK917500 RXO917500 RNS917500 RDW917500 QUA917500 QKE917500 QAI917500 PQM917500 PGQ917500 OWU917500 OMY917500 ODC917500 NTG917500 NJK917500 MZO917500 MPS917500 MFW917500 LWA917500 LME917500 LCI917500 KSM917500 KIQ917500 JYU917500 JOY917500 JFC917500 IVG917500 ILK917500 IBO917500 HRS917500 HHW917500 GYA917500 GOE917500 GEI917500 FUM917500 FKQ917500 FAU917500 EQY917500 EHC917500 DXG917500 DNK917500 DDO917500 CTS917500 CJW917500 CAA917500 BQE917500 BGI917500 AWM917500 AMQ917500 ACU917500 SY917500 JC917500 G917500 WVO851964 WLS851964 WBW851964 VSA851964 VIE851964 UYI851964 UOM851964 UEQ851964 TUU851964 TKY851964 TBC851964 SRG851964 SHK851964 RXO851964 RNS851964 RDW851964 QUA851964 QKE851964 QAI851964 PQM851964 PGQ851964 OWU851964 OMY851964 ODC851964 NTG851964 NJK851964 MZO851964 MPS851964 MFW851964 LWA851964 LME851964 LCI851964 KSM851964 KIQ851964 JYU851964 JOY851964 JFC851964 IVG851964 ILK851964 IBO851964 HRS851964 HHW851964 GYA851964 GOE851964 GEI851964 FUM851964 FKQ851964 FAU851964 EQY851964 EHC851964 DXG851964 DNK851964 DDO851964 CTS851964 CJW851964 CAA851964 BQE851964 BGI851964 AWM851964 AMQ851964 ACU851964 SY851964 JC851964 G851964 WVO786428 WLS786428 WBW786428 VSA786428 VIE786428 UYI786428 UOM786428 UEQ786428 TUU786428 TKY786428 TBC786428 SRG786428 SHK786428 RXO786428 RNS786428 RDW786428 QUA786428 QKE786428 QAI786428 PQM786428 PGQ786428 OWU786428 OMY786428 ODC786428 NTG786428 NJK786428 MZO786428 MPS786428 MFW786428 LWA786428 LME786428 LCI786428 KSM786428 KIQ786428 JYU786428 JOY786428 JFC786428 IVG786428 ILK786428 IBO786428 HRS786428 HHW786428 GYA786428 GOE786428 GEI786428 FUM786428 FKQ786428 FAU786428 EQY786428 EHC786428 DXG786428 DNK786428 DDO786428 CTS786428 CJW786428 CAA786428 BQE786428 BGI786428 AWM786428 AMQ786428 ACU786428 SY786428 JC786428 G786428 WVO720892 WLS720892 WBW720892 VSA720892 VIE720892 UYI720892 UOM720892 UEQ720892 TUU720892 TKY720892 TBC720892 SRG720892 SHK720892 RXO720892 RNS720892 RDW720892 QUA720892 QKE720892 QAI720892 PQM720892 PGQ720892 OWU720892 OMY720892 ODC720892 NTG720892 NJK720892 MZO720892 MPS720892 MFW720892 LWA720892 LME720892 LCI720892 KSM720892 KIQ720892 JYU720892 JOY720892 JFC720892 IVG720892 ILK720892 IBO720892 HRS720892 HHW720892 GYA720892 GOE720892 GEI720892 FUM720892 FKQ720892 FAU720892 EQY720892 EHC720892 DXG720892 DNK720892 DDO720892 CTS720892 CJW720892 CAA720892 BQE720892 BGI720892 AWM720892 AMQ720892 ACU720892 SY720892 JC720892 G720892 WVO655356 WLS655356 WBW655356 VSA655356 VIE655356 UYI655356 UOM655356 UEQ655356 TUU655356 TKY655356 TBC655356 SRG655356 SHK655356 RXO655356 RNS655356 RDW655356 QUA655356 QKE655356 QAI655356 PQM655356 PGQ655356 OWU655356 OMY655356 ODC655356 NTG655356 NJK655356 MZO655356 MPS655356 MFW655356 LWA655356 LME655356 LCI655356 KSM655356 KIQ655356 JYU655356 JOY655356 JFC655356 IVG655356 ILK655356 IBO655356 HRS655356 HHW655356 GYA655356 GOE655356 GEI655356 FUM655356 FKQ655356 FAU655356 EQY655356 EHC655356 DXG655356 DNK655356 DDO655356 CTS655356 CJW655356 CAA655356 BQE655356 BGI655356 AWM655356 AMQ655356 ACU655356 SY655356 JC655356 G655356 WVO589820 WLS589820 WBW589820 VSA589820 VIE589820 UYI589820 UOM589820 UEQ589820 TUU589820 TKY589820 TBC589820 SRG589820 SHK589820 RXO589820 RNS589820 RDW589820 QUA589820 QKE589820 QAI589820 PQM589820 PGQ589820 OWU589820 OMY589820 ODC589820 NTG589820 NJK589820 MZO589820 MPS589820 MFW589820 LWA589820 LME589820 LCI589820 KSM589820 KIQ589820 JYU589820 JOY589820 JFC589820 IVG589820 ILK589820 IBO589820 HRS589820 HHW589820 GYA589820 GOE589820 GEI589820 FUM589820 FKQ589820 FAU589820 EQY589820 EHC589820 DXG589820 DNK589820 DDO589820 CTS589820 CJW589820 CAA589820 BQE589820 BGI589820 AWM589820 AMQ589820 ACU589820 SY589820 JC589820 G589820 WVO524284 WLS524284 WBW524284 VSA524284 VIE524284 UYI524284 UOM524284 UEQ524284 TUU524284 TKY524284 TBC524284 SRG524284 SHK524284 RXO524284 RNS524284 RDW524284 QUA524284 QKE524284 QAI524284 PQM524284 PGQ524284 OWU524284 OMY524284 ODC524284 NTG524284 NJK524284 MZO524284 MPS524284 MFW524284 LWA524284 LME524284 LCI524284 KSM524284 KIQ524284 JYU524284 JOY524284 JFC524284 IVG524284 ILK524284 IBO524284 HRS524284 HHW524284 GYA524284 GOE524284 GEI524284 FUM524284 FKQ524284 FAU524284 EQY524284 EHC524284 DXG524284 DNK524284 DDO524284 CTS524284 CJW524284 CAA524284 BQE524284 BGI524284 AWM524284 AMQ524284 ACU524284 SY524284 JC524284 G524284 WVO458748 WLS458748 WBW458748 VSA458748 VIE458748 UYI458748 UOM458748 UEQ458748 TUU458748 TKY458748 TBC458748 SRG458748 SHK458748 RXO458748 RNS458748 RDW458748 QUA458748 QKE458748 QAI458748 PQM458748 PGQ458748 OWU458748 OMY458748 ODC458748 NTG458748 NJK458748 MZO458748 MPS458748 MFW458748 LWA458748 LME458748 LCI458748 KSM458748 KIQ458748 JYU458748 JOY458748 JFC458748 IVG458748 ILK458748 IBO458748 HRS458748 HHW458748 GYA458748 GOE458748 GEI458748 FUM458748 FKQ458748 FAU458748 EQY458748 EHC458748 DXG458748 DNK458748 DDO458748 CTS458748 CJW458748 CAA458748 BQE458748 BGI458748 AWM458748 AMQ458748 ACU458748 SY458748 JC458748 G458748 WVO393212 WLS393212 WBW393212 VSA393212 VIE393212 UYI393212 UOM393212 UEQ393212 TUU393212 TKY393212 TBC393212 SRG393212 SHK393212 RXO393212 RNS393212 RDW393212 QUA393212 QKE393212 QAI393212 PQM393212 PGQ393212 OWU393212 OMY393212 ODC393212 NTG393212 NJK393212 MZO393212 MPS393212 MFW393212 LWA393212 LME393212 LCI393212 KSM393212 KIQ393212 JYU393212 JOY393212 JFC393212 IVG393212 ILK393212 IBO393212 HRS393212 HHW393212 GYA393212 GOE393212 GEI393212 FUM393212 FKQ393212 FAU393212 EQY393212 EHC393212 DXG393212 DNK393212 DDO393212 CTS393212 CJW393212 CAA393212 BQE393212 BGI393212 AWM393212 AMQ393212 ACU393212 SY393212 JC393212 G393212 WVO327676 WLS327676 WBW327676 VSA327676 VIE327676 UYI327676 UOM327676 UEQ327676 TUU327676 TKY327676 TBC327676 SRG327676 SHK327676 RXO327676 RNS327676 RDW327676 QUA327676 QKE327676 QAI327676 PQM327676 PGQ327676 OWU327676 OMY327676 ODC327676 NTG327676 NJK327676 MZO327676 MPS327676 MFW327676 LWA327676 LME327676 LCI327676 KSM327676 KIQ327676 JYU327676 JOY327676 JFC327676 IVG327676 ILK327676 IBO327676 HRS327676 HHW327676 GYA327676 GOE327676 GEI327676 FUM327676 FKQ327676 FAU327676 EQY327676 EHC327676 DXG327676 DNK327676 DDO327676 CTS327676 CJW327676 CAA327676 BQE327676 BGI327676 AWM327676 AMQ327676 ACU327676 SY327676 JC327676 G327676 WVO262140 WLS262140 WBW262140 VSA262140 VIE262140 UYI262140 UOM262140 UEQ262140 TUU262140 TKY262140 TBC262140 SRG262140 SHK262140 RXO262140 RNS262140 RDW262140 QUA262140 QKE262140 QAI262140 PQM262140 PGQ262140 OWU262140 OMY262140 ODC262140 NTG262140 NJK262140 MZO262140 MPS262140 MFW262140 LWA262140 LME262140 LCI262140 KSM262140 KIQ262140 JYU262140 JOY262140 JFC262140 IVG262140 ILK262140 IBO262140 HRS262140 HHW262140 GYA262140 GOE262140 GEI262140 FUM262140 FKQ262140 FAU262140 EQY262140 EHC262140 DXG262140 DNK262140 DDO262140 CTS262140 CJW262140 CAA262140 BQE262140 BGI262140 AWM262140 AMQ262140 ACU262140 SY262140 JC262140 G262140 WVO196604 WLS196604 WBW196604 VSA196604 VIE196604 UYI196604 UOM196604 UEQ196604 TUU196604 TKY196604 TBC196604 SRG196604 SHK196604 RXO196604 RNS196604 RDW196604 QUA196604 QKE196604 QAI196604 PQM196604 PGQ196604 OWU196604 OMY196604 ODC196604 NTG196604 NJK196604 MZO196604 MPS196604 MFW196604 LWA196604 LME196604 LCI196604 KSM196604 KIQ196604 JYU196604 JOY196604 JFC196604 IVG196604 ILK196604 IBO196604 HRS196604 HHW196604 GYA196604 GOE196604 GEI196604 FUM196604 FKQ196604 FAU196604 EQY196604 EHC196604 DXG196604 DNK196604 DDO196604 CTS196604 CJW196604 CAA196604 BQE196604 BGI196604 AWM196604 AMQ196604 ACU196604 SY196604 JC196604 G196604 WVO131068 WLS131068 WBW131068 VSA131068 VIE131068 UYI131068 UOM131068 UEQ131068 TUU131068 TKY131068 TBC131068 SRG131068 SHK131068 RXO131068 RNS131068 RDW131068 QUA131068 QKE131068 QAI131068 PQM131068 PGQ131068 OWU131068 OMY131068 ODC131068 NTG131068 NJK131068 MZO131068 MPS131068 MFW131068 LWA131068 LME131068 LCI131068 KSM131068 KIQ131068 JYU131068 JOY131068 JFC131068 IVG131068 ILK131068 IBO131068 HRS131068 HHW131068 GYA131068 GOE131068 GEI131068 FUM131068 FKQ131068 FAU131068 EQY131068 EHC131068 DXG131068 DNK131068 DDO131068 CTS131068 CJW131068 CAA131068 BQE131068 BGI131068 AWM131068 AMQ131068 ACU131068 SY131068 JC131068 G131068 WVO65532 WLS65532 WBW65532 VSA65532 VIE65532 UYI65532 UOM65532 UEQ65532 TUU65532 TKY65532 TBC65532 SRG65532 SHK65532 RXO65532 RNS65532 RDW65532 QUA65532 QKE65532 QAI65532 PQM65532 PGQ65532 OWU65532 OMY65532 ODC65532 NTG65532 NJK65532 MZO65532 MPS65532 MFW65532 LWA65532 LME65532 LCI65532 KSM65532 KIQ65532 JYU65532 JOY65532 JFC65532 IVG65532 ILK65532 IBO65532 HRS65532 HHW65532 GYA65532 GOE65532 GEI65532 FUM65532 FKQ65532 FAU65532 EQY65532 EHC65532 DXG65532 DNK65532 DDO65532 CTS65532 CJW65532 CAA65532 BQE65532 BGI65532 AWM65532 AMQ65532 ACU65532 SY65532 JC65532 G65532 WVO983030 WLS983030 WBW983030 VSA983030 VIE983030 UYI983030 UOM983030 UEQ983030 TUU983030 TKY983030 TBC983030 SRG983030 SHK983030 RXO983030 RNS983030 RDW983030 QUA983030 QKE983030 QAI983030 PQM983030 PGQ983030 OWU983030 OMY983030 ODC983030 NTG983030 NJK983030 MZO983030 MPS983030 MFW983030 LWA983030 LME983030 LCI983030 KSM983030 KIQ983030 JYU983030 JOY983030 JFC983030 IVG983030 ILK983030 IBO983030 HRS983030 HHW983030 GYA983030 GOE983030 GEI983030 FUM983030 FKQ983030 FAU983030 EQY983030 EHC983030 DXG983030 DNK983030 DDO983030 CTS983030 CJW983030 CAA983030 BQE983030 BGI983030 AWM983030 AMQ983030 ACU983030 SY983030 JC983030 G983030 WVO917494 WLS917494 WBW917494 VSA917494 VIE917494 UYI917494 UOM917494 UEQ917494 TUU917494 TKY917494 TBC917494 SRG917494 SHK917494 RXO917494 RNS917494 RDW917494 QUA917494 QKE917494 QAI917494 PQM917494 PGQ917494 OWU917494 OMY917494 ODC917494 NTG917494 NJK917494 MZO917494 MPS917494 MFW917494 LWA917494 LME917494 LCI917494 KSM917494 KIQ917494 JYU917494 JOY917494 JFC917494 IVG917494 ILK917494 IBO917494 HRS917494 HHW917494 GYA917494 GOE917494 GEI917494 FUM917494 FKQ917494 FAU917494 EQY917494 EHC917494 DXG917494 DNK917494 DDO917494 CTS917494 CJW917494 CAA917494 BQE917494 BGI917494 AWM917494 AMQ917494 ACU917494 SY917494 JC917494 G917494 WVO851958 WLS851958 WBW851958 VSA851958 VIE851958 UYI851958 UOM851958 UEQ851958 TUU851958 TKY851958 TBC851958 SRG851958 SHK851958 RXO851958 RNS851958 RDW851958 QUA851958 QKE851958 QAI851958 PQM851958 PGQ851958 OWU851958 OMY851958 ODC851958 NTG851958 NJK851958 MZO851958 MPS851958 MFW851958 LWA851958 LME851958 LCI851958 KSM851958 KIQ851958 JYU851958 JOY851958 JFC851958 IVG851958 ILK851958 IBO851958 HRS851958 HHW851958 GYA851958 GOE851958 GEI851958 FUM851958 FKQ851958 FAU851958 EQY851958 EHC851958 DXG851958 DNK851958 DDO851958 CTS851958 CJW851958 CAA851958 BQE851958 BGI851958 AWM851958 AMQ851958 ACU851958 SY851958 JC851958 G851958 WVO786422 WLS786422 WBW786422 VSA786422 VIE786422 UYI786422 UOM786422 UEQ786422 TUU786422 TKY786422 TBC786422 SRG786422 SHK786422 RXO786422 RNS786422 RDW786422 QUA786422 QKE786422 QAI786422 PQM786422 PGQ786422 OWU786422 OMY786422 ODC786422 NTG786422 NJK786422 MZO786422 MPS786422 MFW786422 LWA786422 LME786422 LCI786422 KSM786422 KIQ786422 JYU786422 JOY786422 JFC786422 IVG786422 ILK786422 IBO786422 HRS786422 HHW786422 GYA786422 GOE786422 GEI786422 FUM786422 FKQ786422 FAU786422 EQY786422 EHC786422 DXG786422 DNK786422 DDO786422 CTS786422 CJW786422 CAA786422 BQE786422 BGI786422 AWM786422 AMQ786422 ACU786422 SY786422 JC786422 G786422 WVO720886 WLS720886 WBW720886 VSA720886 VIE720886 UYI720886 UOM720886 UEQ720886 TUU720886 TKY720886 TBC720886 SRG720886 SHK720886 RXO720886 RNS720886 RDW720886 QUA720886 QKE720886 QAI720886 PQM720886 PGQ720886 OWU720886 OMY720886 ODC720886 NTG720886 NJK720886 MZO720886 MPS720886 MFW720886 LWA720886 LME720886 LCI720886 KSM720886 KIQ720886 JYU720886 JOY720886 JFC720886 IVG720886 ILK720886 IBO720886 HRS720886 HHW720886 GYA720886 GOE720886 GEI720886 FUM720886 FKQ720886 FAU720886 EQY720886 EHC720886 DXG720886 DNK720886 DDO720886 CTS720886 CJW720886 CAA720886 BQE720886 BGI720886 AWM720886 AMQ720886 ACU720886 SY720886 JC720886 G720886 WVO655350 WLS655350 WBW655350 VSA655350 VIE655350 UYI655350 UOM655350 UEQ655350 TUU655350 TKY655350 TBC655350 SRG655350 SHK655350 RXO655350 RNS655350 RDW655350 QUA655350 QKE655350 QAI655350 PQM655350 PGQ655350 OWU655350 OMY655350 ODC655350 NTG655350 NJK655350 MZO655350 MPS655350 MFW655350 LWA655350 LME655350 LCI655350 KSM655350 KIQ655350 JYU655350 JOY655350 JFC655350 IVG655350 ILK655350 IBO655350 HRS655350 HHW655350 GYA655350 GOE655350 GEI655350 FUM655350 FKQ655350 FAU655350 EQY655350 EHC655350 DXG655350 DNK655350 DDO655350 CTS655350 CJW655350 CAA655350 BQE655350 BGI655350 AWM655350 AMQ655350 ACU655350 SY655350 JC655350 G655350 WVO589814 WLS589814 WBW589814 VSA589814 VIE589814 UYI589814 UOM589814 UEQ589814 TUU589814 TKY589814 TBC589814 SRG589814 SHK589814 RXO589814 RNS589814 RDW589814 QUA589814 QKE589814 QAI589814 PQM589814 PGQ589814 OWU589814 OMY589814 ODC589814 NTG589814 NJK589814 MZO589814 MPS589814 MFW589814 LWA589814 LME589814 LCI589814 KSM589814 KIQ589814 JYU589814 JOY589814 JFC589814 IVG589814 ILK589814 IBO589814 HRS589814 HHW589814 GYA589814 GOE589814 GEI589814 FUM589814 FKQ589814 FAU589814 EQY589814 EHC589814 DXG589814 DNK589814 DDO589814 CTS589814 CJW589814 CAA589814 BQE589814 BGI589814 AWM589814 AMQ589814 ACU589814 SY589814 JC589814 G589814 WVO524278 WLS524278 WBW524278 VSA524278 VIE524278 UYI524278 UOM524278 UEQ524278 TUU524278 TKY524278 TBC524278 SRG524278 SHK524278 RXO524278 RNS524278 RDW524278 QUA524278 QKE524278 QAI524278 PQM524278 PGQ524278 OWU524278 OMY524278 ODC524278 NTG524278 NJK524278 MZO524278 MPS524278 MFW524278 LWA524278 LME524278 LCI524278 KSM524278 KIQ524278 JYU524278 JOY524278 JFC524278 IVG524278 ILK524278 IBO524278 HRS524278 HHW524278 GYA524278 GOE524278 GEI524278 FUM524278 FKQ524278 FAU524278 EQY524278 EHC524278 DXG524278 DNK524278 DDO524278 CTS524278 CJW524278 CAA524278 BQE524278 BGI524278 AWM524278 AMQ524278 ACU524278 SY524278 JC524278 G524278 WVO458742 WLS458742 WBW458742 VSA458742 VIE458742 UYI458742 UOM458742 UEQ458742 TUU458742 TKY458742 TBC458742 SRG458742 SHK458742 RXO458742 RNS458742 RDW458742 QUA458742 QKE458742 QAI458742 PQM458742 PGQ458742 OWU458742 OMY458742 ODC458742 NTG458742 NJK458742 MZO458742 MPS458742 MFW458742 LWA458742 LME458742 LCI458742 KSM458742 KIQ458742 JYU458742 JOY458742 JFC458742 IVG458742 ILK458742 IBO458742 HRS458742 HHW458742 GYA458742 GOE458742 GEI458742 FUM458742 FKQ458742 FAU458742 EQY458742 EHC458742 DXG458742 DNK458742 DDO458742 CTS458742 CJW458742 CAA458742 BQE458742 BGI458742 AWM458742 AMQ458742 ACU458742 SY458742 JC458742 G458742 WVO393206 WLS393206 WBW393206 VSA393206 VIE393206 UYI393206 UOM393206 UEQ393206 TUU393206 TKY393206 TBC393206 SRG393206 SHK393206 RXO393206 RNS393206 RDW393206 QUA393206 QKE393206 QAI393206 PQM393206 PGQ393206 OWU393206 OMY393206 ODC393206 NTG393206 NJK393206 MZO393206 MPS393206 MFW393206 LWA393206 LME393206 LCI393206 KSM393206 KIQ393206 JYU393206 JOY393206 JFC393206 IVG393206 ILK393206 IBO393206 HRS393206 HHW393206 GYA393206 GOE393206 GEI393206 FUM393206 FKQ393206 FAU393206 EQY393206 EHC393206 DXG393206 DNK393206 DDO393206 CTS393206 CJW393206 CAA393206 BQE393206 BGI393206 AWM393206 AMQ393206 ACU393206 SY393206 JC393206 G393206 WVO327670 WLS327670 WBW327670 VSA327670 VIE327670 UYI327670 UOM327670 UEQ327670 TUU327670 TKY327670 TBC327670 SRG327670 SHK327670 RXO327670 RNS327670 RDW327670 QUA327670 QKE327670 QAI327670 PQM327670 PGQ327670 OWU327670 OMY327670 ODC327670 NTG327670 NJK327670 MZO327670 MPS327670 MFW327670 LWA327670 LME327670 LCI327670 KSM327670 KIQ327670 JYU327670 JOY327670 JFC327670 IVG327670 ILK327670 IBO327670 HRS327670 HHW327670 GYA327670 GOE327670 GEI327670 FUM327670 FKQ327670 FAU327670 EQY327670 EHC327670 DXG327670 DNK327670 DDO327670 CTS327670 CJW327670 CAA327670 BQE327670 BGI327670 AWM327670 AMQ327670 ACU327670 SY327670 JC327670 G327670 WVO262134 WLS262134 WBW262134 VSA262134 VIE262134 UYI262134 UOM262134 UEQ262134 TUU262134 TKY262134 TBC262134 SRG262134 SHK262134 RXO262134 RNS262134 RDW262134 QUA262134 QKE262134 QAI262134 PQM262134 PGQ262134 OWU262134 OMY262134 ODC262134 NTG262134 NJK262134 MZO262134 MPS262134 MFW262134 LWA262134 LME262134 LCI262134 KSM262134 KIQ262134 JYU262134 JOY262134 JFC262134 IVG262134 ILK262134 IBO262134 HRS262134 HHW262134 GYA262134 GOE262134 GEI262134 FUM262134 FKQ262134 FAU262134 EQY262134 EHC262134 DXG262134 DNK262134 DDO262134 CTS262134 CJW262134 CAA262134 BQE262134 BGI262134 AWM262134 AMQ262134 ACU262134 SY262134 JC262134 G262134 WVO196598 WLS196598 WBW196598 VSA196598 VIE196598 UYI196598 UOM196598 UEQ196598 TUU196598 TKY196598 TBC196598 SRG196598 SHK196598 RXO196598 RNS196598 RDW196598 QUA196598 QKE196598 QAI196598 PQM196598 PGQ196598 OWU196598 OMY196598 ODC196598 NTG196598 NJK196598 MZO196598 MPS196598 MFW196598 LWA196598 LME196598 LCI196598 KSM196598 KIQ196598 JYU196598 JOY196598 JFC196598 IVG196598 ILK196598 IBO196598 HRS196598 HHW196598 GYA196598 GOE196598 GEI196598 FUM196598 FKQ196598 FAU196598 EQY196598 EHC196598 DXG196598 DNK196598 DDO196598 CTS196598 CJW196598 CAA196598 BQE196598 BGI196598 AWM196598 AMQ196598 ACU196598 SY196598 JC196598 G196598 WVO131062 WLS131062 WBW131062 VSA131062 VIE131062 UYI131062 UOM131062 UEQ131062 TUU131062 TKY131062 TBC131062 SRG131062 SHK131062 RXO131062 RNS131062 RDW131062 QUA131062 QKE131062 QAI131062 PQM131062 PGQ131062 OWU131062 OMY131062 ODC131062 NTG131062 NJK131062 MZO131062 MPS131062 MFW131062 LWA131062 LME131062 LCI131062 KSM131062 KIQ131062 JYU131062 JOY131062 JFC131062 IVG131062 ILK131062 IBO131062 HRS131062 HHW131062 GYA131062 GOE131062 GEI131062 FUM131062 FKQ131062 FAU131062 EQY131062 EHC131062 DXG131062 DNK131062 DDO131062 CTS131062 CJW131062 CAA131062 BQE131062 BGI131062 AWM131062 AMQ131062 ACU131062 SY131062 JC131062 G131062 WVO65526 WLS65526 WBW65526 VSA65526 VIE65526 UYI65526 UOM65526 UEQ65526 TUU65526 TKY65526 TBC65526 SRG65526 SHK65526 RXO65526 RNS65526 RDW65526 QUA65526 QKE65526 QAI65526 PQM65526 PGQ65526 OWU65526 OMY65526 ODC65526 NTG65526 NJK65526 MZO65526 MPS65526 MFW65526 LWA65526 LME65526 LCI65526 KSM65526 KIQ65526 JYU65526 JOY65526 JFC65526 IVG65526 ILK65526 IBO65526 HRS65526 HHW65526 GYA65526 GOE65526 GEI65526 FUM65526 FKQ65526 FAU65526 EQY65526 EHC65526 DXG65526 DNK65526 DDO65526 CTS65526 CJW65526 CAA65526 BQE65526 BGI65526 AWM65526 AMQ65526 ACU65526 SY65526 JC65526 G65526 WVO983023 WLS983023 WBW983023 VSA983023 VIE983023 UYI983023 UOM983023 UEQ983023 TUU983023 TKY983023 TBC983023 SRG983023 SHK983023 RXO983023 RNS983023 RDW983023 QUA983023 QKE983023 QAI983023 PQM983023 PGQ983023 OWU983023 OMY983023 ODC983023 NTG983023 NJK983023 MZO983023 MPS983023 MFW983023 LWA983023 LME983023 LCI983023 KSM983023 KIQ983023 JYU983023 JOY983023 JFC983023 IVG983023 ILK983023 IBO983023 HRS983023 HHW983023 GYA983023 GOE983023 GEI983023 FUM983023 FKQ983023 FAU983023 EQY983023 EHC983023 DXG983023 DNK983023 DDO983023 CTS983023 CJW983023 CAA983023 BQE983023 BGI983023 AWM983023 AMQ983023 ACU983023 SY983023 JC983023 G983023 WVO917487 WLS917487 WBW917487 VSA917487 VIE917487 UYI917487 UOM917487 UEQ917487 TUU917487 TKY917487 TBC917487 SRG917487 SHK917487 RXO917487 RNS917487 RDW917487 QUA917487 QKE917487 QAI917487 PQM917487 PGQ917487 OWU917487 OMY917487 ODC917487 NTG917487 NJK917487 MZO917487 MPS917487 MFW917487 LWA917487 LME917487 LCI917487 KSM917487 KIQ917487 JYU917487 JOY917487 JFC917487 IVG917487 ILK917487 IBO917487 HRS917487 HHW917487 GYA917487 GOE917487 GEI917487 FUM917487 FKQ917487 FAU917487 EQY917487 EHC917487 DXG917487 DNK917487 DDO917487 CTS917487 CJW917487 CAA917487 BQE917487 BGI917487 AWM917487 AMQ917487 ACU917487 SY917487 JC917487 G917487 WVO851951 WLS851951 WBW851951 VSA851951 VIE851951 UYI851951 UOM851951 UEQ851951 TUU851951 TKY851951 TBC851951 SRG851951 SHK851951 RXO851951 RNS851951 RDW851951 QUA851951 QKE851951 QAI851951 PQM851951 PGQ851951 OWU851951 OMY851951 ODC851951 NTG851951 NJK851951 MZO851951 MPS851951 MFW851951 LWA851951 LME851951 LCI851951 KSM851951 KIQ851951 JYU851951 JOY851951 JFC851951 IVG851951 ILK851951 IBO851951 HRS851951 HHW851951 GYA851951 GOE851951 GEI851951 FUM851951 FKQ851951 FAU851951 EQY851951 EHC851951 DXG851951 DNK851951 DDO851951 CTS851951 CJW851951 CAA851951 BQE851951 BGI851951 AWM851951 AMQ851951 ACU851951 SY851951 JC851951 G851951 WVO786415 WLS786415 WBW786415 VSA786415 VIE786415 UYI786415 UOM786415 UEQ786415 TUU786415 TKY786415 TBC786415 SRG786415 SHK786415 RXO786415 RNS786415 RDW786415 QUA786415 QKE786415 QAI786415 PQM786415 PGQ786415 OWU786415 OMY786415 ODC786415 NTG786415 NJK786415 MZO786415 MPS786415 MFW786415 LWA786415 LME786415 LCI786415 KSM786415 KIQ786415 JYU786415 JOY786415 JFC786415 IVG786415 ILK786415 IBO786415 HRS786415 HHW786415 GYA786415 GOE786415 GEI786415 FUM786415 FKQ786415 FAU786415 EQY786415 EHC786415 DXG786415 DNK786415 DDO786415 CTS786415 CJW786415 CAA786415 BQE786415 BGI786415 AWM786415 AMQ786415 ACU786415 SY786415 JC786415 G786415 WVO720879 WLS720879 WBW720879 VSA720879 VIE720879 UYI720879 UOM720879 UEQ720879 TUU720879 TKY720879 TBC720879 SRG720879 SHK720879 RXO720879 RNS720879 RDW720879 QUA720879 QKE720879 QAI720879 PQM720879 PGQ720879 OWU720879 OMY720879 ODC720879 NTG720879 NJK720879 MZO720879 MPS720879 MFW720879 LWA720879 LME720879 LCI720879 KSM720879 KIQ720879 JYU720879 JOY720879 JFC720879 IVG720879 ILK720879 IBO720879 HRS720879 HHW720879 GYA720879 GOE720879 GEI720879 FUM720879 FKQ720879 FAU720879 EQY720879 EHC720879 DXG720879 DNK720879 DDO720879 CTS720879 CJW720879 CAA720879 BQE720879 BGI720879 AWM720879 AMQ720879 ACU720879 SY720879 JC720879 G720879 WVO655343 WLS655343 WBW655343 VSA655343 VIE655343 UYI655343 UOM655343 UEQ655343 TUU655343 TKY655343 TBC655343 SRG655343 SHK655343 RXO655343 RNS655343 RDW655343 QUA655343 QKE655343 QAI655343 PQM655343 PGQ655343 OWU655343 OMY655343 ODC655343 NTG655343 NJK655343 MZO655343 MPS655343 MFW655343 LWA655343 LME655343 LCI655343 KSM655343 KIQ655343 JYU655343 JOY655343 JFC655343 IVG655343 ILK655343 IBO655343 HRS655343 HHW655343 GYA655343 GOE655343 GEI655343 FUM655343 FKQ655343 FAU655343 EQY655343 EHC655343 DXG655343 DNK655343 DDO655343 CTS655343 CJW655343 CAA655343 BQE655343 BGI655343 AWM655343 AMQ655343 ACU655343 SY655343 JC655343 G655343 WVO589807 WLS589807 WBW589807 VSA589807 VIE589807 UYI589807 UOM589807 UEQ589807 TUU589807 TKY589807 TBC589807 SRG589807 SHK589807 RXO589807 RNS589807 RDW589807 QUA589807 QKE589807 QAI589807 PQM589807 PGQ589807 OWU589807 OMY589807 ODC589807 NTG589807 NJK589807 MZO589807 MPS589807 MFW589807 LWA589807 LME589807 LCI589807 KSM589807 KIQ589807 JYU589807 JOY589807 JFC589807 IVG589807 ILK589807 IBO589807 HRS589807 HHW589807 GYA589807 GOE589807 GEI589807 FUM589807 FKQ589807 FAU589807 EQY589807 EHC589807 DXG589807 DNK589807 DDO589807 CTS589807 CJW589807 CAA589807 BQE589807 BGI589807 AWM589807 AMQ589807 ACU589807 SY589807 JC589807 G589807 WVO524271 WLS524271 WBW524271 VSA524271 VIE524271 UYI524271 UOM524271 UEQ524271 TUU524271 TKY524271 TBC524271 SRG524271 SHK524271 RXO524271 RNS524271 RDW524271 QUA524271 QKE524271 QAI524271 PQM524271 PGQ524271 OWU524271 OMY524271 ODC524271 NTG524271 NJK524271 MZO524271 MPS524271 MFW524271 LWA524271 LME524271 LCI524271 KSM524271 KIQ524271 JYU524271 JOY524271 JFC524271 IVG524271 ILK524271 IBO524271 HRS524271 HHW524271 GYA524271 GOE524271 GEI524271 FUM524271 FKQ524271 FAU524271 EQY524271 EHC524271 DXG524271 DNK524271 DDO524271 CTS524271 CJW524271 CAA524271 BQE524271 BGI524271 AWM524271 AMQ524271 ACU524271 SY524271 JC524271 G524271 WVO458735 WLS458735 WBW458735 VSA458735 VIE458735 UYI458735 UOM458735 UEQ458735 TUU458735 TKY458735 TBC458735 SRG458735 SHK458735 RXO458735 RNS458735 RDW458735 QUA458735 QKE458735 QAI458735 PQM458735 PGQ458735 OWU458735 OMY458735 ODC458735 NTG458735 NJK458735 MZO458735 MPS458735 MFW458735 LWA458735 LME458735 LCI458735 KSM458735 KIQ458735 JYU458735 JOY458735 JFC458735 IVG458735 ILK458735 IBO458735 HRS458735 HHW458735 GYA458735 GOE458735 GEI458735 FUM458735 FKQ458735 FAU458735 EQY458735 EHC458735 DXG458735 DNK458735 DDO458735 CTS458735 CJW458735 CAA458735 BQE458735 BGI458735 AWM458735 AMQ458735 ACU458735 SY458735 JC458735 G458735 WVO393199 WLS393199 WBW393199 VSA393199 VIE393199 UYI393199 UOM393199 UEQ393199 TUU393199 TKY393199 TBC393199 SRG393199 SHK393199 RXO393199 RNS393199 RDW393199 QUA393199 QKE393199 QAI393199 PQM393199 PGQ393199 OWU393199 OMY393199 ODC393199 NTG393199 NJK393199 MZO393199 MPS393199 MFW393199 LWA393199 LME393199 LCI393199 KSM393199 KIQ393199 JYU393199 JOY393199 JFC393199 IVG393199 ILK393199 IBO393199 HRS393199 HHW393199 GYA393199 GOE393199 GEI393199 FUM393199 FKQ393199 FAU393199 EQY393199 EHC393199 DXG393199 DNK393199 DDO393199 CTS393199 CJW393199 CAA393199 BQE393199 BGI393199 AWM393199 AMQ393199 ACU393199 SY393199 JC393199 G393199 WVO327663 WLS327663 WBW327663 VSA327663 VIE327663 UYI327663 UOM327663 UEQ327663 TUU327663 TKY327663 TBC327663 SRG327663 SHK327663 RXO327663 RNS327663 RDW327663 QUA327663 QKE327663 QAI327663 PQM327663 PGQ327663 OWU327663 OMY327663 ODC327663 NTG327663 NJK327663 MZO327663 MPS327663 MFW327663 LWA327663 LME327663 LCI327663 KSM327663 KIQ327663 JYU327663 JOY327663 JFC327663 IVG327663 ILK327663 IBO327663 HRS327663 HHW327663 GYA327663 GOE327663 GEI327663 FUM327663 FKQ327663 FAU327663 EQY327663 EHC327663 DXG327663 DNK327663 DDO327663 CTS327663 CJW327663 CAA327663 BQE327663 BGI327663 AWM327663 AMQ327663 ACU327663 SY327663 JC327663 G327663 WVO262127 WLS262127 WBW262127 VSA262127 VIE262127 UYI262127 UOM262127 UEQ262127 TUU262127 TKY262127 TBC262127 SRG262127 SHK262127 RXO262127 RNS262127 RDW262127 QUA262127 QKE262127 QAI262127 PQM262127 PGQ262127 OWU262127 OMY262127 ODC262127 NTG262127 NJK262127 MZO262127 MPS262127 MFW262127 LWA262127 LME262127 LCI262127 KSM262127 KIQ262127 JYU262127 JOY262127 JFC262127 IVG262127 ILK262127 IBO262127 HRS262127 HHW262127 GYA262127 GOE262127 GEI262127 FUM262127 FKQ262127 FAU262127 EQY262127 EHC262127 DXG262127 DNK262127 DDO262127 CTS262127 CJW262127 CAA262127 BQE262127 BGI262127 AWM262127 AMQ262127 ACU262127 SY262127 JC262127 G262127 WVO196591 WLS196591 WBW196591 VSA196591 VIE196591 UYI196591 UOM196591 UEQ196591 TUU196591 TKY196591 TBC196591 SRG196591 SHK196591 RXO196591 RNS196591 RDW196591 QUA196591 QKE196591 QAI196591 PQM196591 PGQ196591 OWU196591 OMY196591 ODC196591 NTG196591 NJK196591 MZO196591 MPS196591 MFW196591 LWA196591 LME196591 LCI196591 KSM196591 KIQ196591 JYU196591 JOY196591 JFC196591 IVG196591 ILK196591 IBO196591 HRS196591 HHW196591 GYA196591 GOE196591 GEI196591 FUM196591 FKQ196591 FAU196591 EQY196591 EHC196591 DXG196591 DNK196591 DDO196591 CTS196591 CJW196591 CAA196591 BQE196591 BGI196591 AWM196591 AMQ196591 ACU196591 SY196591 JC196591 G196591 WVO131055 WLS131055 WBW131055 VSA131055 VIE131055 UYI131055 UOM131055 UEQ131055 TUU131055 TKY131055 TBC131055 SRG131055 SHK131055 RXO131055 RNS131055 RDW131055 QUA131055 QKE131055 QAI131055 PQM131055 PGQ131055 OWU131055 OMY131055 ODC131055 NTG131055 NJK131055 MZO131055 MPS131055 MFW131055 LWA131055 LME131055 LCI131055 KSM131055 KIQ131055 JYU131055 JOY131055 JFC131055 IVG131055 ILK131055 IBO131055 HRS131055 HHW131055 GYA131055 GOE131055 GEI131055 FUM131055 FKQ131055 FAU131055 EQY131055 EHC131055 DXG131055 DNK131055 DDO131055 CTS131055 CJW131055 CAA131055 BQE131055 BGI131055 AWM131055 AMQ131055 ACU131055 SY131055 JC131055 G131055 WVO65519 WLS65519 WBW65519 VSA65519 VIE65519 UYI65519 UOM65519 UEQ65519 TUU65519 TKY65519 TBC65519 SRG65519 SHK65519 RXO65519 RNS65519 RDW65519 QUA65519 QKE65519 QAI65519 PQM65519 PGQ65519 OWU65519 OMY65519 ODC65519 NTG65519 NJK65519 MZO65519 MPS65519 MFW65519 LWA65519 LME65519 LCI65519 KSM65519 KIQ65519 JYU65519 JOY65519 JFC65519 IVG65519 ILK65519 IBO65519 HRS65519 HHW65519 GYA65519 GOE65519 GEI65519 FUM65519 FKQ65519 FAU65519 EQY65519 EHC65519 DXG65519 DNK65519 DDO65519 CTS65519 CJW65519 CAA65519 BQE65519 BGI65519 AWM65519 AMQ65519 ACU65519 SY65519 JC65519 G65519 WVO8 WLS8 WBW8 VSA8 VIE8 UYI8 UOM8 UEQ8 TUU8 TKY8 TBC8 SRG8 SHK8 RXO8 RNS8 RDW8 QUA8 QKE8 QAI8 PQM8 PGQ8 OWU8 OMY8 ODC8 NTG8 NJK8 MZO8 MPS8 MFW8 LWA8 LME8 LCI8 KSM8 KIQ8 JYU8 JOY8 JFC8 IVG8 ILK8 IBO8 HRS8 HHW8 GYA8 GOE8 GEI8 FUM8 FKQ8 FAU8 EQY8 EHC8 DXG8 DNK8 DDO8 CTS8 CJW8 CAA8 BQE8 BGI8 AWM8 AMQ8 ACU8 SY8 JC8">
      <formula1>$AK$24:$AK$36</formula1>
    </dataValidation>
    <dataValidation type="list" allowBlank="1" showInputMessage="1" showErrorMessage="1" sqref="I8 WVQ983049 WLU983049 WBY983049 VSC983049 VIG983049 UYK983049 UOO983049 UES983049 TUW983049 TLA983049 TBE983049 SRI983049 SHM983049 RXQ983049 RNU983049 RDY983049 QUC983049 QKG983049 QAK983049 PQO983049 PGS983049 OWW983049 ONA983049 ODE983049 NTI983049 NJM983049 MZQ983049 MPU983049 MFY983049 LWC983049 LMG983049 LCK983049 KSO983049 KIS983049 JYW983049 JPA983049 JFE983049 IVI983049 ILM983049 IBQ983049 HRU983049 HHY983049 GYC983049 GOG983049 GEK983049 FUO983049 FKS983049 FAW983049 ERA983049 EHE983049 DXI983049 DNM983049 DDQ983049 CTU983049 CJY983049 CAC983049 BQG983049 BGK983049 AWO983049 AMS983049 ACW983049 TA983049 JE983049 I983049 WVQ917513 WLU917513 WBY917513 VSC917513 VIG917513 UYK917513 UOO917513 UES917513 TUW917513 TLA917513 TBE917513 SRI917513 SHM917513 RXQ917513 RNU917513 RDY917513 QUC917513 QKG917513 QAK917513 PQO917513 PGS917513 OWW917513 ONA917513 ODE917513 NTI917513 NJM917513 MZQ917513 MPU917513 MFY917513 LWC917513 LMG917513 LCK917513 KSO917513 KIS917513 JYW917513 JPA917513 JFE917513 IVI917513 ILM917513 IBQ917513 HRU917513 HHY917513 GYC917513 GOG917513 GEK917513 FUO917513 FKS917513 FAW917513 ERA917513 EHE917513 DXI917513 DNM917513 DDQ917513 CTU917513 CJY917513 CAC917513 BQG917513 BGK917513 AWO917513 AMS917513 ACW917513 TA917513 JE917513 I917513 WVQ851977 WLU851977 WBY851977 VSC851977 VIG851977 UYK851977 UOO851977 UES851977 TUW851977 TLA851977 TBE851977 SRI851977 SHM851977 RXQ851977 RNU851977 RDY851977 QUC851977 QKG851977 QAK851977 PQO851977 PGS851977 OWW851977 ONA851977 ODE851977 NTI851977 NJM851977 MZQ851977 MPU851977 MFY851977 LWC851977 LMG851977 LCK851977 KSO851977 KIS851977 JYW851977 JPA851977 JFE851977 IVI851977 ILM851977 IBQ851977 HRU851977 HHY851977 GYC851977 GOG851977 GEK851977 FUO851977 FKS851977 FAW851977 ERA851977 EHE851977 DXI851977 DNM851977 DDQ851977 CTU851977 CJY851977 CAC851977 BQG851977 BGK851977 AWO851977 AMS851977 ACW851977 TA851977 JE851977 I851977 WVQ786441 WLU786441 WBY786441 VSC786441 VIG786441 UYK786441 UOO786441 UES786441 TUW786441 TLA786441 TBE786441 SRI786441 SHM786441 RXQ786441 RNU786441 RDY786441 QUC786441 QKG786441 QAK786441 PQO786441 PGS786441 OWW786441 ONA786441 ODE786441 NTI786441 NJM786441 MZQ786441 MPU786441 MFY786441 LWC786441 LMG786441 LCK786441 KSO786441 KIS786441 JYW786441 JPA786441 JFE786441 IVI786441 ILM786441 IBQ786441 HRU786441 HHY786441 GYC786441 GOG786441 GEK786441 FUO786441 FKS786441 FAW786441 ERA786441 EHE786441 DXI786441 DNM786441 DDQ786441 CTU786441 CJY786441 CAC786441 BQG786441 BGK786441 AWO786441 AMS786441 ACW786441 TA786441 JE786441 I786441 WVQ720905 WLU720905 WBY720905 VSC720905 VIG720905 UYK720905 UOO720905 UES720905 TUW720905 TLA720905 TBE720905 SRI720905 SHM720905 RXQ720905 RNU720905 RDY720905 QUC720905 QKG720905 QAK720905 PQO720905 PGS720905 OWW720905 ONA720905 ODE720905 NTI720905 NJM720905 MZQ720905 MPU720905 MFY720905 LWC720905 LMG720905 LCK720905 KSO720905 KIS720905 JYW720905 JPA720905 JFE720905 IVI720905 ILM720905 IBQ720905 HRU720905 HHY720905 GYC720905 GOG720905 GEK720905 FUO720905 FKS720905 FAW720905 ERA720905 EHE720905 DXI720905 DNM720905 DDQ720905 CTU720905 CJY720905 CAC720905 BQG720905 BGK720905 AWO720905 AMS720905 ACW720905 TA720905 JE720905 I720905 WVQ655369 WLU655369 WBY655369 VSC655369 VIG655369 UYK655369 UOO655369 UES655369 TUW655369 TLA655369 TBE655369 SRI655369 SHM655369 RXQ655369 RNU655369 RDY655369 QUC655369 QKG655369 QAK655369 PQO655369 PGS655369 OWW655369 ONA655369 ODE655369 NTI655369 NJM655369 MZQ655369 MPU655369 MFY655369 LWC655369 LMG655369 LCK655369 KSO655369 KIS655369 JYW655369 JPA655369 JFE655369 IVI655369 ILM655369 IBQ655369 HRU655369 HHY655369 GYC655369 GOG655369 GEK655369 FUO655369 FKS655369 FAW655369 ERA655369 EHE655369 DXI655369 DNM655369 DDQ655369 CTU655369 CJY655369 CAC655369 BQG655369 BGK655369 AWO655369 AMS655369 ACW655369 TA655369 JE655369 I655369 WVQ589833 WLU589833 WBY589833 VSC589833 VIG589833 UYK589833 UOO589833 UES589833 TUW589833 TLA589833 TBE589833 SRI589833 SHM589833 RXQ589833 RNU589833 RDY589833 QUC589833 QKG589833 QAK589833 PQO589833 PGS589833 OWW589833 ONA589833 ODE589833 NTI589833 NJM589833 MZQ589833 MPU589833 MFY589833 LWC589833 LMG589833 LCK589833 KSO589833 KIS589833 JYW589833 JPA589833 JFE589833 IVI589833 ILM589833 IBQ589833 HRU589833 HHY589833 GYC589833 GOG589833 GEK589833 FUO589833 FKS589833 FAW589833 ERA589833 EHE589833 DXI589833 DNM589833 DDQ589833 CTU589833 CJY589833 CAC589833 BQG589833 BGK589833 AWO589833 AMS589833 ACW589833 TA589833 JE589833 I589833 WVQ524297 WLU524297 WBY524297 VSC524297 VIG524297 UYK524297 UOO524297 UES524297 TUW524297 TLA524297 TBE524297 SRI524297 SHM524297 RXQ524297 RNU524297 RDY524297 QUC524297 QKG524297 QAK524297 PQO524297 PGS524297 OWW524297 ONA524297 ODE524297 NTI524297 NJM524297 MZQ524297 MPU524297 MFY524297 LWC524297 LMG524297 LCK524297 KSO524297 KIS524297 JYW524297 JPA524297 JFE524297 IVI524297 ILM524297 IBQ524297 HRU524297 HHY524297 GYC524297 GOG524297 GEK524297 FUO524297 FKS524297 FAW524297 ERA524297 EHE524297 DXI524297 DNM524297 DDQ524297 CTU524297 CJY524297 CAC524297 BQG524297 BGK524297 AWO524297 AMS524297 ACW524297 TA524297 JE524297 I524297 WVQ458761 WLU458761 WBY458761 VSC458761 VIG458761 UYK458761 UOO458761 UES458761 TUW458761 TLA458761 TBE458761 SRI458761 SHM458761 RXQ458761 RNU458761 RDY458761 QUC458761 QKG458761 QAK458761 PQO458761 PGS458761 OWW458761 ONA458761 ODE458761 NTI458761 NJM458761 MZQ458761 MPU458761 MFY458761 LWC458761 LMG458761 LCK458761 KSO458761 KIS458761 JYW458761 JPA458761 JFE458761 IVI458761 ILM458761 IBQ458761 HRU458761 HHY458761 GYC458761 GOG458761 GEK458761 FUO458761 FKS458761 FAW458761 ERA458761 EHE458761 DXI458761 DNM458761 DDQ458761 CTU458761 CJY458761 CAC458761 BQG458761 BGK458761 AWO458761 AMS458761 ACW458761 TA458761 JE458761 I458761 WVQ393225 WLU393225 WBY393225 VSC393225 VIG393225 UYK393225 UOO393225 UES393225 TUW393225 TLA393225 TBE393225 SRI393225 SHM393225 RXQ393225 RNU393225 RDY393225 QUC393225 QKG393225 QAK393225 PQO393225 PGS393225 OWW393225 ONA393225 ODE393225 NTI393225 NJM393225 MZQ393225 MPU393225 MFY393225 LWC393225 LMG393225 LCK393225 KSO393225 KIS393225 JYW393225 JPA393225 JFE393225 IVI393225 ILM393225 IBQ393225 HRU393225 HHY393225 GYC393225 GOG393225 GEK393225 FUO393225 FKS393225 FAW393225 ERA393225 EHE393225 DXI393225 DNM393225 DDQ393225 CTU393225 CJY393225 CAC393225 BQG393225 BGK393225 AWO393225 AMS393225 ACW393225 TA393225 JE393225 I393225 WVQ327689 WLU327689 WBY327689 VSC327689 VIG327689 UYK327689 UOO327689 UES327689 TUW327689 TLA327689 TBE327689 SRI327689 SHM327689 RXQ327689 RNU327689 RDY327689 QUC327689 QKG327689 QAK327689 PQO327689 PGS327689 OWW327689 ONA327689 ODE327689 NTI327689 NJM327689 MZQ327689 MPU327689 MFY327689 LWC327689 LMG327689 LCK327689 KSO327689 KIS327689 JYW327689 JPA327689 JFE327689 IVI327689 ILM327689 IBQ327689 HRU327689 HHY327689 GYC327689 GOG327689 GEK327689 FUO327689 FKS327689 FAW327689 ERA327689 EHE327689 DXI327689 DNM327689 DDQ327689 CTU327689 CJY327689 CAC327689 BQG327689 BGK327689 AWO327689 AMS327689 ACW327689 TA327689 JE327689 I327689 WVQ262153 WLU262153 WBY262153 VSC262153 VIG262153 UYK262153 UOO262153 UES262153 TUW262153 TLA262153 TBE262153 SRI262153 SHM262153 RXQ262153 RNU262153 RDY262153 QUC262153 QKG262153 QAK262153 PQO262153 PGS262153 OWW262153 ONA262153 ODE262153 NTI262153 NJM262153 MZQ262153 MPU262153 MFY262153 LWC262153 LMG262153 LCK262153 KSO262153 KIS262153 JYW262153 JPA262153 JFE262153 IVI262153 ILM262153 IBQ262153 HRU262153 HHY262153 GYC262153 GOG262153 GEK262153 FUO262153 FKS262153 FAW262153 ERA262153 EHE262153 DXI262153 DNM262153 DDQ262153 CTU262153 CJY262153 CAC262153 BQG262153 BGK262153 AWO262153 AMS262153 ACW262153 TA262153 JE262153 I262153 WVQ196617 WLU196617 WBY196617 VSC196617 VIG196617 UYK196617 UOO196617 UES196617 TUW196617 TLA196617 TBE196617 SRI196617 SHM196617 RXQ196617 RNU196617 RDY196617 QUC196617 QKG196617 QAK196617 PQO196617 PGS196617 OWW196617 ONA196617 ODE196617 NTI196617 NJM196617 MZQ196617 MPU196617 MFY196617 LWC196617 LMG196617 LCK196617 KSO196617 KIS196617 JYW196617 JPA196617 JFE196617 IVI196617 ILM196617 IBQ196617 HRU196617 HHY196617 GYC196617 GOG196617 GEK196617 FUO196617 FKS196617 FAW196617 ERA196617 EHE196617 DXI196617 DNM196617 DDQ196617 CTU196617 CJY196617 CAC196617 BQG196617 BGK196617 AWO196617 AMS196617 ACW196617 TA196617 JE196617 I196617 WVQ131081 WLU131081 WBY131081 VSC131081 VIG131081 UYK131081 UOO131081 UES131081 TUW131081 TLA131081 TBE131081 SRI131081 SHM131081 RXQ131081 RNU131081 RDY131081 QUC131081 QKG131081 QAK131081 PQO131081 PGS131081 OWW131081 ONA131081 ODE131081 NTI131081 NJM131081 MZQ131081 MPU131081 MFY131081 LWC131081 LMG131081 LCK131081 KSO131081 KIS131081 JYW131081 JPA131081 JFE131081 IVI131081 ILM131081 IBQ131081 HRU131081 HHY131081 GYC131081 GOG131081 GEK131081 FUO131081 FKS131081 FAW131081 ERA131081 EHE131081 DXI131081 DNM131081 DDQ131081 CTU131081 CJY131081 CAC131081 BQG131081 BGK131081 AWO131081 AMS131081 ACW131081 TA131081 JE131081 I131081 WVQ65545 WLU65545 WBY65545 VSC65545 VIG65545 UYK65545 UOO65545 UES65545 TUW65545 TLA65545 TBE65545 SRI65545 SHM65545 RXQ65545 RNU65545 RDY65545 QUC65545 QKG65545 QAK65545 PQO65545 PGS65545 OWW65545 ONA65545 ODE65545 NTI65545 NJM65545 MZQ65545 MPU65545 MFY65545 LWC65545 LMG65545 LCK65545 KSO65545 KIS65545 JYW65545 JPA65545 JFE65545 IVI65545 ILM65545 IBQ65545 HRU65545 HHY65545 GYC65545 GOG65545 GEK65545 FUO65545 FKS65545 FAW65545 ERA65545 EHE65545 DXI65545 DNM65545 DDQ65545 CTU65545 CJY65545 CAC65545 BQG65545 BGK65545 AWO65545 AMS65545 ACW65545 TA65545 JE65545 I65545 WVQ983046 WLU983046 WBY983046 VSC983046 VIG983046 UYK983046 UOO983046 UES983046 TUW983046 TLA983046 TBE983046 SRI983046 SHM983046 RXQ983046 RNU983046 RDY983046 QUC983046 QKG983046 QAK983046 PQO983046 PGS983046 OWW983046 ONA983046 ODE983046 NTI983046 NJM983046 MZQ983046 MPU983046 MFY983046 LWC983046 LMG983046 LCK983046 KSO983046 KIS983046 JYW983046 JPA983046 JFE983046 IVI983046 ILM983046 IBQ983046 HRU983046 HHY983046 GYC983046 GOG983046 GEK983046 FUO983046 FKS983046 FAW983046 ERA983046 EHE983046 DXI983046 DNM983046 DDQ983046 CTU983046 CJY983046 CAC983046 BQG983046 BGK983046 AWO983046 AMS983046 ACW983046 TA983046 JE983046 I983046 WVQ917510 WLU917510 WBY917510 VSC917510 VIG917510 UYK917510 UOO917510 UES917510 TUW917510 TLA917510 TBE917510 SRI917510 SHM917510 RXQ917510 RNU917510 RDY917510 QUC917510 QKG917510 QAK917510 PQO917510 PGS917510 OWW917510 ONA917510 ODE917510 NTI917510 NJM917510 MZQ917510 MPU917510 MFY917510 LWC917510 LMG917510 LCK917510 KSO917510 KIS917510 JYW917510 JPA917510 JFE917510 IVI917510 ILM917510 IBQ917510 HRU917510 HHY917510 GYC917510 GOG917510 GEK917510 FUO917510 FKS917510 FAW917510 ERA917510 EHE917510 DXI917510 DNM917510 DDQ917510 CTU917510 CJY917510 CAC917510 BQG917510 BGK917510 AWO917510 AMS917510 ACW917510 TA917510 JE917510 I917510 WVQ851974 WLU851974 WBY851974 VSC851974 VIG851974 UYK851974 UOO851974 UES851974 TUW851974 TLA851974 TBE851974 SRI851974 SHM851974 RXQ851974 RNU851974 RDY851974 QUC851974 QKG851974 QAK851974 PQO851974 PGS851974 OWW851974 ONA851974 ODE851974 NTI851974 NJM851974 MZQ851974 MPU851974 MFY851974 LWC851974 LMG851974 LCK851974 KSO851974 KIS851974 JYW851974 JPA851974 JFE851974 IVI851974 ILM851974 IBQ851974 HRU851974 HHY851974 GYC851974 GOG851974 GEK851974 FUO851974 FKS851974 FAW851974 ERA851974 EHE851974 DXI851974 DNM851974 DDQ851974 CTU851974 CJY851974 CAC851974 BQG851974 BGK851974 AWO851974 AMS851974 ACW851974 TA851974 JE851974 I851974 WVQ786438 WLU786438 WBY786438 VSC786438 VIG786438 UYK786438 UOO786438 UES786438 TUW786438 TLA786438 TBE786438 SRI786438 SHM786438 RXQ786438 RNU786438 RDY786438 QUC786438 QKG786438 QAK786438 PQO786438 PGS786438 OWW786438 ONA786438 ODE786438 NTI786438 NJM786438 MZQ786438 MPU786438 MFY786438 LWC786438 LMG786438 LCK786438 KSO786438 KIS786438 JYW786438 JPA786438 JFE786438 IVI786438 ILM786438 IBQ786438 HRU786438 HHY786438 GYC786438 GOG786438 GEK786438 FUO786438 FKS786438 FAW786438 ERA786438 EHE786438 DXI786438 DNM786438 DDQ786438 CTU786438 CJY786438 CAC786438 BQG786438 BGK786438 AWO786438 AMS786438 ACW786438 TA786438 JE786438 I786438 WVQ720902 WLU720902 WBY720902 VSC720902 VIG720902 UYK720902 UOO720902 UES720902 TUW720902 TLA720902 TBE720902 SRI720902 SHM720902 RXQ720902 RNU720902 RDY720902 QUC720902 QKG720902 QAK720902 PQO720902 PGS720902 OWW720902 ONA720902 ODE720902 NTI720902 NJM720902 MZQ720902 MPU720902 MFY720902 LWC720902 LMG720902 LCK720902 KSO720902 KIS720902 JYW720902 JPA720902 JFE720902 IVI720902 ILM720902 IBQ720902 HRU720902 HHY720902 GYC720902 GOG720902 GEK720902 FUO720902 FKS720902 FAW720902 ERA720902 EHE720902 DXI720902 DNM720902 DDQ720902 CTU720902 CJY720902 CAC720902 BQG720902 BGK720902 AWO720902 AMS720902 ACW720902 TA720902 JE720902 I720902 WVQ655366 WLU655366 WBY655366 VSC655366 VIG655366 UYK655366 UOO655366 UES655366 TUW655366 TLA655366 TBE655366 SRI655366 SHM655366 RXQ655366 RNU655366 RDY655366 QUC655366 QKG655366 QAK655366 PQO655366 PGS655366 OWW655366 ONA655366 ODE655366 NTI655366 NJM655366 MZQ655366 MPU655366 MFY655366 LWC655366 LMG655366 LCK655366 KSO655366 KIS655366 JYW655366 JPA655366 JFE655366 IVI655366 ILM655366 IBQ655366 HRU655366 HHY655366 GYC655366 GOG655366 GEK655366 FUO655366 FKS655366 FAW655366 ERA655366 EHE655366 DXI655366 DNM655366 DDQ655366 CTU655366 CJY655366 CAC655366 BQG655366 BGK655366 AWO655366 AMS655366 ACW655366 TA655366 JE655366 I655366 WVQ589830 WLU589830 WBY589830 VSC589830 VIG589830 UYK589830 UOO589830 UES589830 TUW589830 TLA589830 TBE589830 SRI589830 SHM589830 RXQ589830 RNU589830 RDY589830 QUC589830 QKG589830 QAK589830 PQO589830 PGS589830 OWW589830 ONA589830 ODE589830 NTI589830 NJM589830 MZQ589830 MPU589830 MFY589830 LWC589830 LMG589830 LCK589830 KSO589830 KIS589830 JYW589830 JPA589830 JFE589830 IVI589830 ILM589830 IBQ589830 HRU589830 HHY589830 GYC589830 GOG589830 GEK589830 FUO589830 FKS589830 FAW589830 ERA589830 EHE589830 DXI589830 DNM589830 DDQ589830 CTU589830 CJY589830 CAC589830 BQG589830 BGK589830 AWO589830 AMS589830 ACW589830 TA589830 JE589830 I589830 WVQ524294 WLU524294 WBY524294 VSC524294 VIG524294 UYK524294 UOO524294 UES524294 TUW524294 TLA524294 TBE524294 SRI524294 SHM524294 RXQ524294 RNU524294 RDY524294 QUC524294 QKG524294 QAK524294 PQO524294 PGS524294 OWW524294 ONA524294 ODE524294 NTI524294 NJM524294 MZQ524294 MPU524294 MFY524294 LWC524294 LMG524294 LCK524294 KSO524294 KIS524294 JYW524294 JPA524294 JFE524294 IVI524294 ILM524294 IBQ524294 HRU524294 HHY524294 GYC524294 GOG524294 GEK524294 FUO524294 FKS524294 FAW524294 ERA524294 EHE524294 DXI524294 DNM524294 DDQ524294 CTU524294 CJY524294 CAC524294 BQG524294 BGK524294 AWO524294 AMS524294 ACW524294 TA524294 JE524294 I524294 WVQ458758 WLU458758 WBY458758 VSC458758 VIG458758 UYK458758 UOO458758 UES458758 TUW458758 TLA458758 TBE458758 SRI458758 SHM458758 RXQ458758 RNU458758 RDY458758 QUC458758 QKG458758 QAK458758 PQO458758 PGS458758 OWW458758 ONA458758 ODE458758 NTI458758 NJM458758 MZQ458758 MPU458758 MFY458758 LWC458758 LMG458758 LCK458758 KSO458758 KIS458758 JYW458758 JPA458758 JFE458758 IVI458758 ILM458758 IBQ458758 HRU458758 HHY458758 GYC458758 GOG458758 GEK458758 FUO458758 FKS458758 FAW458758 ERA458758 EHE458758 DXI458758 DNM458758 DDQ458758 CTU458758 CJY458758 CAC458758 BQG458758 BGK458758 AWO458758 AMS458758 ACW458758 TA458758 JE458758 I458758 WVQ393222 WLU393222 WBY393222 VSC393222 VIG393222 UYK393222 UOO393222 UES393222 TUW393222 TLA393222 TBE393222 SRI393222 SHM393222 RXQ393222 RNU393222 RDY393222 QUC393222 QKG393222 QAK393222 PQO393222 PGS393222 OWW393222 ONA393222 ODE393222 NTI393222 NJM393222 MZQ393222 MPU393222 MFY393222 LWC393222 LMG393222 LCK393222 KSO393222 KIS393222 JYW393222 JPA393222 JFE393222 IVI393222 ILM393222 IBQ393222 HRU393222 HHY393222 GYC393222 GOG393222 GEK393222 FUO393222 FKS393222 FAW393222 ERA393222 EHE393222 DXI393222 DNM393222 DDQ393222 CTU393222 CJY393222 CAC393222 BQG393222 BGK393222 AWO393222 AMS393222 ACW393222 TA393222 JE393222 I393222 WVQ327686 WLU327686 WBY327686 VSC327686 VIG327686 UYK327686 UOO327686 UES327686 TUW327686 TLA327686 TBE327686 SRI327686 SHM327686 RXQ327686 RNU327686 RDY327686 QUC327686 QKG327686 QAK327686 PQO327686 PGS327686 OWW327686 ONA327686 ODE327686 NTI327686 NJM327686 MZQ327686 MPU327686 MFY327686 LWC327686 LMG327686 LCK327686 KSO327686 KIS327686 JYW327686 JPA327686 JFE327686 IVI327686 ILM327686 IBQ327686 HRU327686 HHY327686 GYC327686 GOG327686 GEK327686 FUO327686 FKS327686 FAW327686 ERA327686 EHE327686 DXI327686 DNM327686 DDQ327686 CTU327686 CJY327686 CAC327686 BQG327686 BGK327686 AWO327686 AMS327686 ACW327686 TA327686 JE327686 I327686 WVQ262150 WLU262150 WBY262150 VSC262150 VIG262150 UYK262150 UOO262150 UES262150 TUW262150 TLA262150 TBE262150 SRI262150 SHM262150 RXQ262150 RNU262150 RDY262150 QUC262150 QKG262150 QAK262150 PQO262150 PGS262150 OWW262150 ONA262150 ODE262150 NTI262150 NJM262150 MZQ262150 MPU262150 MFY262150 LWC262150 LMG262150 LCK262150 KSO262150 KIS262150 JYW262150 JPA262150 JFE262150 IVI262150 ILM262150 IBQ262150 HRU262150 HHY262150 GYC262150 GOG262150 GEK262150 FUO262150 FKS262150 FAW262150 ERA262150 EHE262150 DXI262150 DNM262150 DDQ262150 CTU262150 CJY262150 CAC262150 BQG262150 BGK262150 AWO262150 AMS262150 ACW262150 TA262150 JE262150 I262150 WVQ196614 WLU196614 WBY196614 VSC196614 VIG196614 UYK196614 UOO196614 UES196614 TUW196614 TLA196614 TBE196614 SRI196614 SHM196614 RXQ196614 RNU196614 RDY196614 QUC196614 QKG196614 QAK196614 PQO196614 PGS196614 OWW196614 ONA196614 ODE196614 NTI196614 NJM196614 MZQ196614 MPU196614 MFY196614 LWC196614 LMG196614 LCK196614 KSO196614 KIS196614 JYW196614 JPA196614 JFE196614 IVI196614 ILM196614 IBQ196614 HRU196614 HHY196614 GYC196614 GOG196614 GEK196614 FUO196614 FKS196614 FAW196614 ERA196614 EHE196614 DXI196614 DNM196614 DDQ196614 CTU196614 CJY196614 CAC196614 BQG196614 BGK196614 AWO196614 AMS196614 ACW196614 TA196614 JE196614 I196614 WVQ131078 WLU131078 WBY131078 VSC131078 VIG131078 UYK131078 UOO131078 UES131078 TUW131078 TLA131078 TBE131078 SRI131078 SHM131078 RXQ131078 RNU131078 RDY131078 QUC131078 QKG131078 QAK131078 PQO131078 PGS131078 OWW131078 ONA131078 ODE131078 NTI131078 NJM131078 MZQ131078 MPU131078 MFY131078 LWC131078 LMG131078 LCK131078 KSO131078 KIS131078 JYW131078 JPA131078 JFE131078 IVI131078 ILM131078 IBQ131078 HRU131078 HHY131078 GYC131078 GOG131078 GEK131078 FUO131078 FKS131078 FAW131078 ERA131078 EHE131078 DXI131078 DNM131078 DDQ131078 CTU131078 CJY131078 CAC131078 BQG131078 BGK131078 AWO131078 AMS131078 ACW131078 TA131078 JE131078 I131078 WVQ65542 WLU65542 WBY65542 VSC65542 VIG65542 UYK65542 UOO65542 UES65542 TUW65542 TLA65542 TBE65542 SRI65542 SHM65542 RXQ65542 RNU65542 RDY65542 QUC65542 QKG65542 QAK65542 PQO65542 PGS65542 OWW65542 ONA65542 ODE65542 NTI65542 NJM65542 MZQ65542 MPU65542 MFY65542 LWC65542 LMG65542 LCK65542 KSO65542 KIS65542 JYW65542 JPA65542 JFE65542 IVI65542 ILM65542 IBQ65542 HRU65542 HHY65542 GYC65542 GOG65542 GEK65542 FUO65542 FKS65542 FAW65542 ERA65542 EHE65542 DXI65542 DNM65542 DDQ65542 CTU65542 CJY65542 CAC65542 BQG65542 BGK65542 AWO65542 AMS65542 ACW65542 TA65542 JE65542 I65542 WVQ983042 WLU983042 WBY983042 VSC983042 VIG983042 UYK983042 UOO983042 UES983042 TUW983042 TLA983042 TBE983042 SRI983042 SHM983042 RXQ983042 RNU983042 RDY983042 QUC983042 QKG983042 QAK983042 PQO983042 PGS983042 OWW983042 ONA983042 ODE983042 NTI983042 NJM983042 MZQ983042 MPU983042 MFY983042 LWC983042 LMG983042 LCK983042 KSO983042 KIS983042 JYW983042 JPA983042 JFE983042 IVI983042 ILM983042 IBQ983042 HRU983042 HHY983042 GYC983042 GOG983042 GEK983042 FUO983042 FKS983042 FAW983042 ERA983042 EHE983042 DXI983042 DNM983042 DDQ983042 CTU983042 CJY983042 CAC983042 BQG983042 BGK983042 AWO983042 AMS983042 ACW983042 TA983042 JE983042 I983042 WVQ917506 WLU917506 WBY917506 VSC917506 VIG917506 UYK917506 UOO917506 UES917506 TUW917506 TLA917506 TBE917506 SRI917506 SHM917506 RXQ917506 RNU917506 RDY917506 QUC917506 QKG917506 QAK917506 PQO917506 PGS917506 OWW917506 ONA917506 ODE917506 NTI917506 NJM917506 MZQ917506 MPU917506 MFY917506 LWC917506 LMG917506 LCK917506 KSO917506 KIS917506 JYW917506 JPA917506 JFE917506 IVI917506 ILM917506 IBQ917506 HRU917506 HHY917506 GYC917506 GOG917506 GEK917506 FUO917506 FKS917506 FAW917506 ERA917506 EHE917506 DXI917506 DNM917506 DDQ917506 CTU917506 CJY917506 CAC917506 BQG917506 BGK917506 AWO917506 AMS917506 ACW917506 TA917506 JE917506 I917506 WVQ851970 WLU851970 WBY851970 VSC851970 VIG851970 UYK851970 UOO851970 UES851970 TUW851970 TLA851970 TBE851970 SRI851970 SHM851970 RXQ851970 RNU851970 RDY851970 QUC851970 QKG851970 QAK851970 PQO851970 PGS851970 OWW851970 ONA851970 ODE851970 NTI851970 NJM851970 MZQ851970 MPU851970 MFY851970 LWC851970 LMG851970 LCK851970 KSO851970 KIS851970 JYW851970 JPA851970 JFE851970 IVI851970 ILM851970 IBQ851970 HRU851970 HHY851970 GYC851970 GOG851970 GEK851970 FUO851970 FKS851970 FAW851970 ERA851970 EHE851970 DXI851970 DNM851970 DDQ851970 CTU851970 CJY851970 CAC851970 BQG851970 BGK851970 AWO851970 AMS851970 ACW851970 TA851970 JE851970 I851970 WVQ786434 WLU786434 WBY786434 VSC786434 VIG786434 UYK786434 UOO786434 UES786434 TUW786434 TLA786434 TBE786434 SRI786434 SHM786434 RXQ786434 RNU786434 RDY786434 QUC786434 QKG786434 QAK786434 PQO786434 PGS786434 OWW786434 ONA786434 ODE786434 NTI786434 NJM786434 MZQ786434 MPU786434 MFY786434 LWC786434 LMG786434 LCK786434 KSO786434 KIS786434 JYW786434 JPA786434 JFE786434 IVI786434 ILM786434 IBQ786434 HRU786434 HHY786434 GYC786434 GOG786434 GEK786434 FUO786434 FKS786434 FAW786434 ERA786434 EHE786434 DXI786434 DNM786434 DDQ786434 CTU786434 CJY786434 CAC786434 BQG786434 BGK786434 AWO786434 AMS786434 ACW786434 TA786434 JE786434 I786434 WVQ720898 WLU720898 WBY720898 VSC720898 VIG720898 UYK720898 UOO720898 UES720898 TUW720898 TLA720898 TBE720898 SRI720898 SHM720898 RXQ720898 RNU720898 RDY720898 QUC720898 QKG720898 QAK720898 PQO720898 PGS720898 OWW720898 ONA720898 ODE720898 NTI720898 NJM720898 MZQ720898 MPU720898 MFY720898 LWC720898 LMG720898 LCK720898 KSO720898 KIS720898 JYW720898 JPA720898 JFE720898 IVI720898 ILM720898 IBQ720898 HRU720898 HHY720898 GYC720898 GOG720898 GEK720898 FUO720898 FKS720898 FAW720898 ERA720898 EHE720898 DXI720898 DNM720898 DDQ720898 CTU720898 CJY720898 CAC720898 BQG720898 BGK720898 AWO720898 AMS720898 ACW720898 TA720898 JE720898 I720898 WVQ655362 WLU655362 WBY655362 VSC655362 VIG655362 UYK655362 UOO655362 UES655362 TUW655362 TLA655362 TBE655362 SRI655362 SHM655362 RXQ655362 RNU655362 RDY655362 QUC655362 QKG655362 QAK655362 PQO655362 PGS655362 OWW655362 ONA655362 ODE655362 NTI655362 NJM655362 MZQ655362 MPU655362 MFY655362 LWC655362 LMG655362 LCK655362 KSO655362 KIS655362 JYW655362 JPA655362 JFE655362 IVI655362 ILM655362 IBQ655362 HRU655362 HHY655362 GYC655362 GOG655362 GEK655362 FUO655362 FKS655362 FAW655362 ERA655362 EHE655362 DXI655362 DNM655362 DDQ655362 CTU655362 CJY655362 CAC655362 BQG655362 BGK655362 AWO655362 AMS655362 ACW655362 TA655362 JE655362 I655362 WVQ589826 WLU589826 WBY589826 VSC589826 VIG589826 UYK589826 UOO589826 UES589826 TUW589826 TLA589826 TBE589826 SRI589826 SHM589826 RXQ589826 RNU589826 RDY589826 QUC589826 QKG589826 QAK589826 PQO589826 PGS589826 OWW589826 ONA589826 ODE589826 NTI589826 NJM589826 MZQ589826 MPU589826 MFY589826 LWC589826 LMG589826 LCK589826 KSO589826 KIS589826 JYW589826 JPA589826 JFE589826 IVI589826 ILM589826 IBQ589826 HRU589826 HHY589826 GYC589826 GOG589826 GEK589826 FUO589826 FKS589826 FAW589826 ERA589826 EHE589826 DXI589826 DNM589826 DDQ589826 CTU589826 CJY589826 CAC589826 BQG589826 BGK589826 AWO589826 AMS589826 ACW589826 TA589826 JE589826 I589826 WVQ524290 WLU524290 WBY524290 VSC524290 VIG524290 UYK524290 UOO524290 UES524290 TUW524290 TLA524290 TBE524290 SRI524290 SHM524290 RXQ524290 RNU524290 RDY524290 QUC524290 QKG524290 QAK524290 PQO524290 PGS524290 OWW524290 ONA524290 ODE524290 NTI524290 NJM524290 MZQ524290 MPU524290 MFY524290 LWC524290 LMG524290 LCK524290 KSO524290 KIS524290 JYW524290 JPA524290 JFE524290 IVI524290 ILM524290 IBQ524290 HRU524290 HHY524290 GYC524290 GOG524290 GEK524290 FUO524290 FKS524290 FAW524290 ERA524290 EHE524290 DXI524290 DNM524290 DDQ524290 CTU524290 CJY524290 CAC524290 BQG524290 BGK524290 AWO524290 AMS524290 ACW524290 TA524290 JE524290 I524290 WVQ458754 WLU458754 WBY458754 VSC458754 VIG458754 UYK458754 UOO458754 UES458754 TUW458754 TLA458754 TBE458754 SRI458754 SHM458754 RXQ458754 RNU458754 RDY458754 QUC458754 QKG458754 QAK458754 PQO458754 PGS458754 OWW458754 ONA458754 ODE458754 NTI458754 NJM458754 MZQ458754 MPU458754 MFY458754 LWC458754 LMG458754 LCK458754 KSO458754 KIS458754 JYW458754 JPA458754 JFE458754 IVI458754 ILM458754 IBQ458754 HRU458754 HHY458754 GYC458754 GOG458754 GEK458754 FUO458754 FKS458754 FAW458754 ERA458754 EHE458754 DXI458754 DNM458754 DDQ458754 CTU458754 CJY458754 CAC458754 BQG458754 BGK458754 AWO458754 AMS458754 ACW458754 TA458754 JE458754 I458754 WVQ393218 WLU393218 WBY393218 VSC393218 VIG393218 UYK393218 UOO393218 UES393218 TUW393218 TLA393218 TBE393218 SRI393218 SHM393218 RXQ393218 RNU393218 RDY393218 QUC393218 QKG393218 QAK393218 PQO393218 PGS393218 OWW393218 ONA393218 ODE393218 NTI393218 NJM393218 MZQ393218 MPU393218 MFY393218 LWC393218 LMG393218 LCK393218 KSO393218 KIS393218 JYW393218 JPA393218 JFE393218 IVI393218 ILM393218 IBQ393218 HRU393218 HHY393218 GYC393218 GOG393218 GEK393218 FUO393218 FKS393218 FAW393218 ERA393218 EHE393218 DXI393218 DNM393218 DDQ393218 CTU393218 CJY393218 CAC393218 BQG393218 BGK393218 AWO393218 AMS393218 ACW393218 TA393218 JE393218 I393218 WVQ327682 WLU327682 WBY327682 VSC327682 VIG327682 UYK327682 UOO327682 UES327682 TUW327682 TLA327682 TBE327682 SRI327682 SHM327682 RXQ327682 RNU327682 RDY327682 QUC327682 QKG327682 QAK327682 PQO327682 PGS327682 OWW327682 ONA327682 ODE327682 NTI327682 NJM327682 MZQ327682 MPU327682 MFY327682 LWC327682 LMG327682 LCK327682 KSO327682 KIS327682 JYW327682 JPA327682 JFE327682 IVI327682 ILM327682 IBQ327682 HRU327682 HHY327682 GYC327682 GOG327682 GEK327682 FUO327682 FKS327682 FAW327682 ERA327682 EHE327682 DXI327682 DNM327682 DDQ327682 CTU327682 CJY327682 CAC327682 BQG327682 BGK327682 AWO327682 AMS327682 ACW327682 TA327682 JE327682 I327682 WVQ262146 WLU262146 WBY262146 VSC262146 VIG262146 UYK262146 UOO262146 UES262146 TUW262146 TLA262146 TBE262146 SRI262146 SHM262146 RXQ262146 RNU262146 RDY262146 QUC262146 QKG262146 QAK262146 PQO262146 PGS262146 OWW262146 ONA262146 ODE262146 NTI262146 NJM262146 MZQ262146 MPU262146 MFY262146 LWC262146 LMG262146 LCK262146 KSO262146 KIS262146 JYW262146 JPA262146 JFE262146 IVI262146 ILM262146 IBQ262146 HRU262146 HHY262146 GYC262146 GOG262146 GEK262146 FUO262146 FKS262146 FAW262146 ERA262146 EHE262146 DXI262146 DNM262146 DDQ262146 CTU262146 CJY262146 CAC262146 BQG262146 BGK262146 AWO262146 AMS262146 ACW262146 TA262146 JE262146 I262146 WVQ196610 WLU196610 WBY196610 VSC196610 VIG196610 UYK196610 UOO196610 UES196610 TUW196610 TLA196610 TBE196610 SRI196610 SHM196610 RXQ196610 RNU196610 RDY196610 QUC196610 QKG196610 QAK196610 PQO196610 PGS196610 OWW196610 ONA196610 ODE196610 NTI196610 NJM196610 MZQ196610 MPU196610 MFY196610 LWC196610 LMG196610 LCK196610 KSO196610 KIS196610 JYW196610 JPA196610 JFE196610 IVI196610 ILM196610 IBQ196610 HRU196610 HHY196610 GYC196610 GOG196610 GEK196610 FUO196610 FKS196610 FAW196610 ERA196610 EHE196610 DXI196610 DNM196610 DDQ196610 CTU196610 CJY196610 CAC196610 BQG196610 BGK196610 AWO196610 AMS196610 ACW196610 TA196610 JE196610 I196610 WVQ131074 WLU131074 WBY131074 VSC131074 VIG131074 UYK131074 UOO131074 UES131074 TUW131074 TLA131074 TBE131074 SRI131074 SHM131074 RXQ131074 RNU131074 RDY131074 QUC131074 QKG131074 QAK131074 PQO131074 PGS131074 OWW131074 ONA131074 ODE131074 NTI131074 NJM131074 MZQ131074 MPU131074 MFY131074 LWC131074 LMG131074 LCK131074 KSO131074 KIS131074 JYW131074 JPA131074 JFE131074 IVI131074 ILM131074 IBQ131074 HRU131074 HHY131074 GYC131074 GOG131074 GEK131074 FUO131074 FKS131074 FAW131074 ERA131074 EHE131074 DXI131074 DNM131074 DDQ131074 CTU131074 CJY131074 CAC131074 BQG131074 BGK131074 AWO131074 AMS131074 ACW131074 TA131074 JE131074 I131074 WVQ65538 WLU65538 WBY65538 VSC65538 VIG65538 UYK65538 UOO65538 UES65538 TUW65538 TLA65538 TBE65538 SRI65538 SHM65538 RXQ65538 RNU65538 RDY65538 QUC65538 QKG65538 QAK65538 PQO65538 PGS65538 OWW65538 ONA65538 ODE65538 NTI65538 NJM65538 MZQ65538 MPU65538 MFY65538 LWC65538 LMG65538 LCK65538 KSO65538 KIS65538 JYW65538 JPA65538 JFE65538 IVI65538 ILM65538 IBQ65538 HRU65538 HHY65538 GYC65538 GOG65538 GEK65538 FUO65538 FKS65538 FAW65538 ERA65538 EHE65538 DXI65538 DNM65538 DDQ65538 CTU65538 CJY65538 CAC65538 BQG65538 BGK65538 AWO65538 AMS65538 ACW65538 TA65538 JE65538 I65538 WVQ983033 WLU983033 WBY983033 VSC983033 VIG983033 UYK983033 UOO983033 UES983033 TUW983033 TLA983033 TBE983033 SRI983033 SHM983033 RXQ983033 RNU983033 RDY983033 QUC983033 QKG983033 QAK983033 PQO983033 PGS983033 OWW983033 ONA983033 ODE983033 NTI983033 NJM983033 MZQ983033 MPU983033 MFY983033 LWC983033 LMG983033 LCK983033 KSO983033 KIS983033 JYW983033 JPA983033 JFE983033 IVI983033 ILM983033 IBQ983033 HRU983033 HHY983033 GYC983033 GOG983033 GEK983033 FUO983033 FKS983033 FAW983033 ERA983033 EHE983033 DXI983033 DNM983033 DDQ983033 CTU983033 CJY983033 CAC983033 BQG983033 BGK983033 AWO983033 AMS983033 ACW983033 TA983033 JE983033 I983033 WVQ917497 WLU917497 WBY917497 VSC917497 VIG917497 UYK917497 UOO917497 UES917497 TUW917497 TLA917497 TBE917497 SRI917497 SHM917497 RXQ917497 RNU917497 RDY917497 QUC917497 QKG917497 QAK917497 PQO917497 PGS917497 OWW917497 ONA917497 ODE917497 NTI917497 NJM917497 MZQ917497 MPU917497 MFY917497 LWC917497 LMG917497 LCK917497 KSO917497 KIS917497 JYW917497 JPA917497 JFE917497 IVI917497 ILM917497 IBQ917497 HRU917497 HHY917497 GYC917497 GOG917497 GEK917497 FUO917497 FKS917497 FAW917497 ERA917497 EHE917497 DXI917497 DNM917497 DDQ917497 CTU917497 CJY917497 CAC917497 BQG917497 BGK917497 AWO917497 AMS917497 ACW917497 TA917497 JE917497 I917497 WVQ851961 WLU851961 WBY851961 VSC851961 VIG851961 UYK851961 UOO851961 UES851961 TUW851961 TLA851961 TBE851961 SRI851961 SHM851961 RXQ851961 RNU851961 RDY851961 QUC851961 QKG851961 QAK851961 PQO851961 PGS851961 OWW851961 ONA851961 ODE851961 NTI851961 NJM851961 MZQ851961 MPU851961 MFY851961 LWC851961 LMG851961 LCK851961 KSO851961 KIS851961 JYW851961 JPA851961 JFE851961 IVI851961 ILM851961 IBQ851961 HRU851961 HHY851961 GYC851961 GOG851961 GEK851961 FUO851961 FKS851961 FAW851961 ERA851961 EHE851961 DXI851961 DNM851961 DDQ851961 CTU851961 CJY851961 CAC851961 BQG851961 BGK851961 AWO851961 AMS851961 ACW851961 TA851961 JE851961 I851961 WVQ786425 WLU786425 WBY786425 VSC786425 VIG786425 UYK786425 UOO786425 UES786425 TUW786425 TLA786425 TBE786425 SRI786425 SHM786425 RXQ786425 RNU786425 RDY786425 QUC786425 QKG786425 QAK786425 PQO786425 PGS786425 OWW786425 ONA786425 ODE786425 NTI786425 NJM786425 MZQ786425 MPU786425 MFY786425 LWC786425 LMG786425 LCK786425 KSO786425 KIS786425 JYW786425 JPA786425 JFE786425 IVI786425 ILM786425 IBQ786425 HRU786425 HHY786425 GYC786425 GOG786425 GEK786425 FUO786425 FKS786425 FAW786425 ERA786425 EHE786425 DXI786425 DNM786425 DDQ786425 CTU786425 CJY786425 CAC786425 BQG786425 BGK786425 AWO786425 AMS786425 ACW786425 TA786425 JE786425 I786425 WVQ720889 WLU720889 WBY720889 VSC720889 VIG720889 UYK720889 UOO720889 UES720889 TUW720889 TLA720889 TBE720889 SRI720889 SHM720889 RXQ720889 RNU720889 RDY720889 QUC720889 QKG720889 QAK720889 PQO720889 PGS720889 OWW720889 ONA720889 ODE720889 NTI720889 NJM720889 MZQ720889 MPU720889 MFY720889 LWC720889 LMG720889 LCK720889 KSO720889 KIS720889 JYW720889 JPA720889 JFE720889 IVI720889 ILM720889 IBQ720889 HRU720889 HHY720889 GYC720889 GOG720889 GEK720889 FUO720889 FKS720889 FAW720889 ERA720889 EHE720889 DXI720889 DNM720889 DDQ720889 CTU720889 CJY720889 CAC720889 BQG720889 BGK720889 AWO720889 AMS720889 ACW720889 TA720889 JE720889 I720889 WVQ655353 WLU655353 WBY655353 VSC655353 VIG655353 UYK655353 UOO655353 UES655353 TUW655353 TLA655353 TBE655353 SRI655353 SHM655353 RXQ655353 RNU655353 RDY655353 QUC655353 QKG655353 QAK655353 PQO655353 PGS655353 OWW655353 ONA655353 ODE655353 NTI655353 NJM655353 MZQ655353 MPU655353 MFY655353 LWC655353 LMG655353 LCK655353 KSO655353 KIS655353 JYW655353 JPA655353 JFE655353 IVI655353 ILM655353 IBQ655353 HRU655353 HHY655353 GYC655353 GOG655353 GEK655353 FUO655353 FKS655353 FAW655353 ERA655353 EHE655353 DXI655353 DNM655353 DDQ655353 CTU655353 CJY655353 CAC655353 BQG655353 BGK655353 AWO655353 AMS655353 ACW655353 TA655353 JE655353 I655353 WVQ589817 WLU589817 WBY589817 VSC589817 VIG589817 UYK589817 UOO589817 UES589817 TUW589817 TLA589817 TBE589817 SRI589817 SHM589817 RXQ589817 RNU589817 RDY589817 QUC589817 QKG589817 QAK589817 PQO589817 PGS589817 OWW589817 ONA589817 ODE589817 NTI589817 NJM589817 MZQ589817 MPU589817 MFY589817 LWC589817 LMG589817 LCK589817 KSO589817 KIS589817 JYW589817 JPA589817 JFE589817 IVI589817 ILM589817 IBQ589817 HRU589817 HHY589817 GYC589817 GOG589817 GEK589817 FUO589817 FKS589817 FAW589817 ERA589817 EHE589817 DXI589817 DNM589817 DDQ589817 CTU589817 CJY589817 CAC589817 BQG589817 BGK589817 AWO589817 AMS589817 ACW589817 TA589817 JE589817 I589817 WVQ524281 WLU524281 WBY524281 VSC524281 VIG524281 UYK524281 UOO524281 UES524281 TUW524281 TLA524281 TBE524281 SRI524281 SHM524281 RXQ524281 RNU524281 RDY524281 QUC524281 QKG524281 QAK524281 PQO524281 PGS524281 OWW524281 ONA524281 ODE524281 NTI524281 NJM524281 MZQ524281 MPU524281 MFY524281 LWC524281 LMG524281 LCK524281 KSO524281 KIS524281 JYW524281 JPA524281 JFE524281 IVI524281 ILM524281 IBQ524281 HRU524281 HHY524281 GYC524281 GOG524281 GEK524281 FUO524281 FKS524281 FAW524281 ERA524281 EHE524281 DXI524281 DNM524281 DDQ524281 CTU524281 CJY524281 CAC524281 BQG524281 BGK524281 AWO524281 AMS524281 ACW524281 TA524281 JE524281 I524281 WVQ458745 WLU458745 WBY458745 VSC458745 VIG458745 UYK458745 UOO458745 UES458745 TUW458745 TLA458745 TBE458745 SRI458745 SHM458745 RXQ458745 RNU458745 RDY458745 QUC458745 QKG458745 QAK458745 PQO458745 PGS458745 OWW458745 ONA458745 ODE458745 NTI458745 NJM458745 MZQ458745 MPU458745 MFY458745 LWC458745 LMG458745 LCK458745 KSO458745 KIS458745 JYW458745 JPA458745 JFE458745 IVI458745 ILM458745 IBQ458745 HRU458745 HHY458745 GYC458745 GOG458745 GEK458745 FUO458745 FKS458745 FAW458745 ERA458745 EHE458745 DXI458745 DNM458745 DDQ458745 CTU458745 CJY458745 CAC458745 BQG458745 BGK458745 AWO458745 AMS458745 ACW458745 TA458745 JE458745 I458745 WVQ393209 WLU393209 WBY393209 VSC393209 VIG393209 UYK393209 UOO393209 UES393209 TUW393209 TLA393209 TBE393209 SRI393209 SHM393209 RXQ393209 RNU393209 RDY393209 QUC393209 QKG393209 QAK393209 PQO393209 PGS393209 OWW393209 ONA393209 ODE393209 NTI393209 NJM393209 MZQ393209 MPU393209 MFY393209 LWC393209 LMG393209 LCK393209 KSO393209 KIS393209 JYW393209 JPA393209 JFE393209 IVI393209 ILM393209 IBQ393209 HRU393209 HHY393209 GYC393209 GOG393209 GEK393209 FUO393209 FKS393209 FAW393209 ERA393209 EHE393209 DXI393209 DNM393209 DDQ393209 CTU393209 CJY393209 CAC393209 BQG393209 BGK393209 AWO393209 AMS393209 ACW393209 TA393209 JE393209 I393209 WVQ327673 WLU327673 WBY327673 VSC327673 VIG327673 UYK327673 UOO327673 UES327673 TUW327673 TLA327673 TBE327673 SRI327673 SHM327673 RXQ327673 RNU327673 RDY327673 QUC327673 QKG327673 QAK327673 PQO327673 PGS327673 OWW327673 ONA327673 ODE327673 NTI327673 NJM327673 MZQ327673 MPU327673 MFY327673 LWC327673 LMG327673 LCK327673 KSO327673 KIS327673 JYW327673 JPA327673 JFE327673 IVI327673 ILM327673 IBQ327673 HRU327673 HHY327673 GYC327673 GOG327673 GEK327673 FUO327673 FKS327673 FAW327673 ERA327673 EHE327673 DXI327673 DNM327673 DDQ327673 CTU327673 CJY327673 CAC327673 BQG327673 BGK327673 AWO327673 AMS327673 ACW327673 TA327673 JE327673 I327673 WVQ262137 WLU262137 WBY262137 VSC262137 VIG262137 UYK262137 UOO262137 UES262137 TUW262137 TLA262137 TBE262137 SRI262137 SHM262137 RXQ262137 RNU262137 RDY262137 QUC262137 QKG262137 QAK262137 PQO262137 PGS262137 OWW262137 ONA262137 ODE262137 NTI262137 NJM262137 MZQ262137 MPU262137 MFY262137 LWC262137 LMG262137 LCK262137 KSO262137 KIS262137 JYW262137 JPA262137 JFE262137 IVI262137 ILM262137 IBQ262137 HRU262137 HHY262137 GYC262137 GOG262137 GEK262137 FUO262137 FKS262137 FAW262137 ERA262137 EHE262137 DXI262137 DNM262137 DDQ262137 CTU262137 CJY262137 CAC262137 BQG262137 BGK262137 AWO262137 AMS262137 ACW262137 TA262137 JE262137 I262137 WVQ196601 WLU196601 WBY196601 VSC196601 VIG196601 UYK196601 UOO196601 UES196601 TUW196601 TLA196601 TBE196601 SRI196601 SHM196601 RXQ196601 RNU196601 RDY196601 QUC196601 QKG196601 QAK196601 PQO196601 PGS196601 OWW196601 ONA196601 ODE196601 NTI196601 NJM196601 MZQ196601 MPU196601 MFY196601 LWC196601 LMG196601 LCK196601 KSO196601 KIS196601 JYW196601 JPA196601 JFE196601 IVI196601 ILM196601 IBQ196601 HRU196601 HHY196601 GYC196601 GOG196601 GEK196601 FUO196601 FKS196601 FAW196601 ERA196601 EHE196601 DXI196601 DNM196601 DDQ196601 CTU196601 CJY196601 CAC196601 BQG196601 BGK196601 AWO196601 AMS196601 ACW196601 TA196601 JE196601 I196601 WVQ131065 WLU131065 WBY131065 VSC131065 VIG131065 UYK131065 UOO131065 UES131065 TUW131065 TLA131065 TBE131065 SRI131065 SHM131065 RXQ131065 RNU131065 RDY131065 QUC131065 QKG131065 QAK131065 PQO131065 PGS131065 OWW131065 ONA131065 ODE131065 NTI131065 NJM131065 MZQ131065 MPU131065 MFY131065 LWC131065 LMG131065 LCK131065 KSO131065 KIS131065 JYW131065 JPA131065 JFE131065 IVI131065 ILM131065 IBQ131065 HRU131065 HHY131065 GYC131065 GOG131065 GEK131065 FUO131065 FKS131065 FAW131065 ERA131065 EHE131065 DXI131065 DNM131065 DDQ131065 CTU131065 CJY131065 CAC131065 BQG131065 BGK131065 AWO131065 AMS131065 ACW131065 TA131065 JE131065 I131065 WVQ65529 WLU65529 WBY65529 VSC65529 VIG65529 UYK65529 UOO65529 UES65529 TUW65529 TLA65529 TBE65529 SRI65529 SHM65529 RXQ65529 RNU65529 RDY65529 QUC65529 QKG65529 QAK65529 PQO65529 PGS65529 OWW65529 ONA65529 ODE65529 NTI65529 NJM65529 MZQ65529 MPU65529 MFY65529 LWC65529 LMG65529 LCK65529 KSO65529 KIS65529 JYW65529 JPA65529 JFE65529 IVI65529 ILM65529 IBQ65529 HRU65529 HHY65529 GYC65529 GOG65529 GEK65529 FUO65529 FKS65529 FAW65529 ERA65529 EHE65529 DXI65529 DNM65529 DDQ65529 CTU65529 CJY65529 CAC65529 BQG65529 BGK65529 AWO65529 AMS65529 ACW65529 TA65529 JE65529 I65529 WVQ983036 WLU983036 WBY983036 VSC983036 VIG983036 UYK983036 UOO983036 UES983036 TUW983036 TLA983036 TBE983036 SRI983036 SHM983036 RXQ983036 RNU983036 RDY983036 QUC983036 QKG983036 QAK983036 PQO983036 PGS983036 OWW983036 ONA983036 ODE983036 NTI983036 NJM983036 MZQ983036 MPU983036 MFY983036 LWC983036 LMG983036 LCK983036 KSO983036 KIS983036 JYW983036 JPA983036 JFE983036 IVI983036 ILM983036 IBQ983036 HRU983036 HHY983036 GYC983036 GOG983036 GEK983036 FUO983036 FKS983036 FAW983036 ERA983036 EHE983036 DXI983036 DNM983036 DDQ983036 CTU983036 CJY983036 CAC983036 BQG983036 BGK983036 AWO983036 AMS983036 ACW983036 TA983036 JE983036 I983036 WVQ917500 WLU917500 WBY917500 VSC917500 VIG917500 UYK917500 UOO917500 UES917500 TUW917500 TLA917500 TBE917500 SRI917500 SHM917500 RXQ917500 RNU917500 RDY917500 QUC917500 QKG917500 QAK917500 PQO917500 PGS917500 OWW917500 ONA917500 ODE917500 NTI917500 NJM917500 MZQ917500 MPU917500 MFY917500 LWC917500 LMG917500 LCK917500 KSO917500 KIS917500 JYW917500 JPA917500 JFE917500 IVI917500 ILM917500 IBQ917500 HRU917500 HHY917500 GYC917500 GOG917500 GEK917500 FUO917500 FKS917500 FAW917500 ERA917500 EHE917500 DXI917500 DNM917500 DDQ917500 CTU917500 CJY917500 CAC917500 BQG917500 BGK917500 AWO917500 AMS917500 ACW917500 TA917500 JE917500 I917500 WVQ851964 WLU851964 WBY851964 VSC851964 VIG851964 UYK851964 UOO851964 UES851964 TUW851964 TLA851964 TBE851964 SRI851964 SHM851964 RXQ851964 RNU851964 RDY851964 QUC851964 QKG851964 QAK851964 PQO851964 PGS851964 OWW851964 ONA851964 ODE851964 NTI851964 NJM851964 MZQ851964 MPU851964 MFY851964 LWC851964 LMG851964 LCK851964 KSO851964 KIS851964 JYW851964 JPA851964 JFE851964 IVI851964 ILM851964 IBQ851964 HRU851964 HHY851964 GYC851964 GOG851964 GEK851964 FUO851964 FKS851964 FAW851964 ERA851964 EHE851964 DXI851964 DNM851964 DDQ851964 CTU851964 CJY851964 CAC851964 BQG851964 BGK851964 AWO851964 AMS851964 ACW851964 TA851964 JE851964 I851964 WVQ786428 WLU786428 WBY786428 VSC786428 VIG786428 UYK786428 UOO786428 UES786428 TUW786428 TLA786428 TBE786428 SRI786428 SHM786428 RXQ786428 RNU786428 RDY786428 QUC786428 QKG786428 QAK786428 PQO786428 PGS786428 OWW786428 ONA786428 ODE786428 NTI786428 NJM786428 MZQ786428 MPU786428 MFY786428 LWC786428 LMG786428 LCK786428 KSO786428 KIS786428 JYW786428 JPA786428 JFE786428 IVI786428 ILM786428 IBQ786428 HRU786428 HHY786428 GYC786428 GOG786428 GEK786428 FUO786428 FKS786428 FAW786428 ERA786428 EHE786428 DXI786428 DNM786428 DDQ786428 CTU786428 CJY786428 CAC786428 BQG786428 BGK786428 AWO786428 AMS786428 ACW786428 TA786428 JE786428 I786428 WVQ720892 WLU720892 WBY720892 VSC720892 VIG720892 UYK720892 UOO720892 UES720892 TUW720892 TLA720892 TBE720892 SRI720892 SHM720892 RXQ720892 RNU720892 RDY720892 QUC720892 QKG720892 QAK720892 PQO720892 PGS720892 OWW720892 ONA720892 ODE720892 NTI720892 NJM720892 MZQ720892 MPU720892 MFY720892 LWC720892 LMG720892 LCK720892 KSO720892 KIS720892 JYW720892 JPA720892 JFE720892 IVI720892 ILM720892 IBQ720892 HRU720892 HHY720892 GYC720892 GOG720892 GEK720892 FUO720892 FKS720892 FAW720892 ERA720892 EHE720892 DXI720892 DNM720892 DDQ720892 CTU720892 CJY720892 CAC720892 BQG720892 BGK720892 AWO720892 AMS720892 ACW720892 TA720892 JE720892 I720892 WVQ655356 WLU655356 WBY655356 VSC655356 VIG655356 UYK655356 UOO655356 UES655356 TUW655356 TLA655356 TBE655356 SRI655356 SHM655356 RXQ655356 RNU655356 RDY655356 QUC655356 QKG655356 QAK655356 PQO655356 PGS655356 OWW655356 ONA655356 ODE655356 NTI655356 NJM655356 MZQ655356 MPU655356 MFY655356 LWC655356 LMG655356 LCK655356 KSO655356 KIS655356 JYW655356 JPA655356 JFE655356 IVI655356 ILM655356 IBQ655356 HRU655356 HHY655356 GYC655356 GOG655356 GEK655356 FUO655356 FKS655356 FAW655356 ERA655356 EHE655356 DXI655356 DNM655356 DDQ655356 CTU655356 CJY655356 CAC655356 BQG655356 BGK655356 AWO655356 AMS655356 ACW655356 TA655356 JE655356 I655356 WVQ589820 WLU589820 WBY589820 VSC589820 VIG589820 UYK589820 UOO589820 UES589820 TUW589820 TLA589820 TBE589820 SRI589820 SHM589820 RXQ589820 RNU589820 RDY589820 QUC589820 QKG589820 QAK589820 PQO589820 PGS589820 OWW589820 ONA589820 ODE589820 NTI589820 NJM589820 MZQ589820 MPU589820 MFY589820 LWC589820 LMG589820 LCK589820 KSO589820 KIS589820 JYW589820 JPA589820 JFE589820 IVI589820 ILM589820 IBQ589820 HRU589820 HHY589820 GYC589820 GOG589820 GEK589820 FUO589820 FKS589820 FAW589820 ERA589820 EHE589820 DXI589820 DNM589820 DDQ589820 CTU589820 CJY589820 CAC589820 BQG589820 BGK589820 AWO589820 AMS589820 ACW589820 TA589820 JE589820 I589820 WVQ524284 WLU524284 WBY524284 VSC524284 VIG524284 UYK524284 UOO524284 UES524284 TUW524284 TLA524284 TBE524284 SRI524284 SHM524284 RXQ524284 RNU524284 RDY524284 QUC524284 QKG524284 QAK524284 PQO524284 PGS524284 OWW524284 ONA524284 ODE524284 NTI524284 NJM524284 MZQ524284 MPU524284 MFY524284 LWC524284 LMG524284 LCK524284 KSO524284 KIS524284 JYW524284 JPA524284 JFE524284 IVI524284 ILM524284 IBQ524284 HRU524284 HHY524284 GYC524284 GOG524284 GEK524284 FUO524284 FKS524284 FAW524284 ERA524284 EHE524284 DXI524284 DNM524284 DDQ524284 CTU524284 CJY524284 CAC524284 BQG524284 BGK524284 AWO524284 AMS524284 ACW524284 TA524284 JE524284 I524284 WVQ458748 WLU458748 WBY458748 VSC458748 VIG458748 UYK458748 UOO458748 UES458748 TUW458748 TLA458748 TBE458748 SRI458748 SHM458748 RXQ458748 RNU458748 RDY458748 QUC458748 QKG458748 QAK458748 PQO458748 PGS458748 OWW458748 ONA458748 ODE458748 NTI458748 NJM458748 MZQ458748 MPU458748 MFY458748 LWC458748 LMG458748 LCK458748 KSO458748 KIS458748 JYW458748 JPA458748 JFE458748 IVI458748 ILM458748 IBQ458748 HRU458748 HHY458748 GYC458748 GOG458748 GEK458748 FUO458748 FKS458748 FAW458748 ERA458748 EHE458748 DXI458748 DNM458748 DDQ458748 CTU458748 CJY458748 CAC458748 BQG458748 BGK458748 AWO458748 AMS458748 ACW458748 TA458748 JE458748 I458748 WVQ393212 WLU393212 WBY393212 VSC393212 VIG393212 UYK393212 UOO393212 UES393212 TUW393212 TLA393212 TBE393212 SRI393212 SHM393212 RXQ393212 RNU393212 RDY393212 QUC393212 QKG393212 QAK393212 PQO393212 PGS393212 OWW393212 ONA393212 ODE393212 NTI393212 NJM393212 MZQ393212 MPU393212 MFY393212 LWC393212 LMG393212 LCK393212 KSO393212 KIS393212 JYW393212 JPA393212 JFE393212 IVI393212 ILM393212 IBQ393212 HRU393212 HHY393212 GYC393212 GOG393212 GEK393212 FUO393212 FKS393212 FAW393212 ERA393212 EHE393212 DXI393212 DNM393212 DDQ393212 CTU393212 CJY393212 CAC393212 BQG393212 BGK393212 AWO393212 AMS393212 ACW393212 TA393212 JE393212 I393212 WVQ327676 WLU327676 WBY327676 VSC327676 VIG327676 UYK327676 UOO327676 UES327676 TUW327676 TLA327676 TBE327676 SRI327676 SHM327676 RXQ327676 RNU327676 RDY327676 QUC327676 QKG327676 QAK327676 PQO327676 PGS327676 OWW327676 ONA327676 ODE327676 NTI327676 NJM327676 MZQ327676 MPU327676 MFY327676 LWC327676 LMG327676 LCK327676 KSO327676 KIS327676 JYW327676 JPA327676 JFE327676 IVI327676 ILM327676 IBQ327676 HRU327676 HHY327676 GYC327676 GOG327676 GEK327676 FUO327676 FKS327676 FAW327676 ERA327676 EHE327676 DXI327676 DNM327676 DDQ327676 CTU327676 CJY327676 CAC327676 BQG327676 BGK327676 AWO327676 AMS327676 ACW327676 TA327676 JE327676 I327676 WVQ262140 WLU262140 WBY262140 VSC262140 VIG262140 UYK262140 UOO262140 UES262140 TUW262140 TLA262140 TBE262140 SRI262140 SHM262140 RXQ262140 RNU262140 RDY262140 QUC262140 QKG262140 QAK262140 PQO262140 PGS262140 OWW262140 ONA262140 ODE262140 NTI262140 NJM262140 MZQ262140 MPU262140 MFY262140 LWC262140 LMG262140 LCK262140 KSO262140 KIS262140 JYW262140 JPA262140 JFE262140 IVI262140 ILM262140 IBQ262140 HRU262140 HHY262140 GYC262140 GOG262140 GEK262140 FUO262140 FKS262140 FAW262140 ERA262140 EHE262140 DXI262140 DNM262140 DDQ262140 CTU262140 CJY262140 CAC262140 BQG262140 BGK262140 AWO262140 AMS262140 ACW262140 TA262140 JE262140 I262140 WVQ196604 WLU196604 WBY196604 VSC196604 VIG196604 UYK196604 UOO196604 UES196604 TUW196604 TLA196604 TBE196604 SRI196604 SHM196604 RXQ196604 RNU196604 RDY196604 QUC196604 QKG196604 QAK196604 PQO196604 PGS196604 OWW196604 ONA196604 ODE196604 NTI196604 NJM196604 MZQ196604 MPU196604 MFY196604 LWC196604 LMG196604 LCK196604 KSO196604 KIS196604 JYW196604 JPA196604 JFE196604 IVI196604 ILM196604 IBQ196604 HRU196604 HHY196604 GYC196604 GOG196604 GEK196604 FUO196604 FKS196604 FAW196604 ERA196604 EHE196604 DXI196604 DNM196604 DDQ196604 CTU196604 CJY196604 CAC196604 BQG196604 BGK196604 AWO196604 AMS196604 ACW196604 TA196604 JE196604 I196604 WVQ131068 WLU131068 WBY131068 VSC131068 VIG131068 UYK131068 UOO131068 UES131068 TUW131068 TLA131068 TBE131068 SRI131068 SHM131068 RXQ131068 RNU131068 RDY131068 QUC131068 QKG131068 QAK131068 PQO131068 PGS131068 OWW131068 ONA131068 ODE131068 NTI131068 NJM131068 MZQ131068 MPU131068 MFY131068 LWC131068 LMG131068 LCK131068 KSO131068 KIS131068 JYW131068 JPA131068 JFE131068 IVI131068 ILM131068 IBQ131068 HRU131068 HHY131068 GYC131068 GOG131068 GEK131068 FUO131068 FKS131068 FAW131068 ERA131068 EHE131068 DXI131068 DNM131068 DDQ131068 CTU131068 CJY131068 CAC131068 BQG131068 BGK131068 AWO131068 AMS131068 ACW131068 TA131068 JE131068 I131068 WVQ65532 WLU65532 WBY65532 VSC65532 VIG65532 UYK65532 UOO65532 UES65532 TUW65532 TLA65532 TBE65532 SRI65532 SHM65532 RXQ65532 RNU65532 RDY65532 QUC65532 QKG65532 QAK65532 PQO65532 PGS65532 OWW65532 ONA65532 ODE65532 NTI65532 NJM65532 MZQ65532 MPU65532 MFY65532 LWC65532 LMG65532 LCK65532 KSO65532 KIS65532 JYW65532 JPA65532 JFE65532 IVI65532 ILM65532 IBQ65532 HRU65532 HHY65532 GYC65532 GOG65532 GEK65532 FUO65532 FKS65532 FAW65532 ERA65532 EHE65532 DXI65532 DNM65532 DDQ65532 CTU65532 CJY65532 CAC65532 BQG65532 BGK65532 AWO65532 AMS65532 ACW65532 TA65532 JE65532 I65532 WVQ983030 WLU983030 WBY983030 VSC983030 VIG983030 UYK983030 UOO983030 UES983030 TUW983030 TLA983030 TBE983030 SRI983030 SHM983030 RXQ983030 RNU983030 RDY983030 QUC983030 QKG983030 QAK983030 PQO983030 PGS983030 OWW983030 ONA983030 ODE983030 NTI983030 NJM983030 MZQ983030 MPU983030 MFY983030 LWC983030 LMG983030 LCK983030 KSO983030 KIS983030 JYW983030 JPA983030 JFE983030 IVI983030 ILM983030 IBQ983030 HRU983030 HHY983030 GYC983030 GOG983030 GEK983030 FUO983030 FKS983030 FAW983030 ERA983030 EHE983030 DXI983030 DNM983030 DDQ983030 CTU983030 CJY983030 CAC983030 BQG983030 BGK983030 AWO983030 AMS983030 ACW983030 TA983030 JE983030 I983030 WVQ917494 WLU917494 WBY917494 VSC917494 VIG917494 UYK917494 UOO917494 UES917494 TUW917494 TLA917494 TBE917494 SRI917494 SHM917494 RXQ917494 RNU917494 RDY917494 QUC917494 QKG917494 QAK917494 PQO917494 PGS917494 OWW917494 ONA917494 ODE917494 NTI917494 NJM917494 MZQ917494 MPU917494 MFY917494 LWC917494 LMG917494 LCK917494 KSO917494 KIS917494 JYW917494 JPA917494 JFE917494 IVI917494 ILM917494 IBQ917494 HRU917494 HHY917494 GYC917494 GOG917494 GEK917494 FUO917494 FKS917494 FAW917494 ERA917494 EHE917494 DXI917494 DNM917494 DDQ917494 CTU917494 CJY917494 CAC917494 BQG917494 BGK917494 AWO917494 AMS917494 ACW917494 TA917494 JE917494 I917494 WVQ851958 WLU851958 WBY851958 VSC851958 VIG851958 UYK851958 UOO851958 UES851958 TUW851958 TLA851958 TBE851958 SRI851958 SHM851958 RXQ851958 RNU851958 RDY851958 QUC851958 QKG851958 QAK851958 PQO851958 PGS851958 OWW851958 ONA851958 ODE851958 NTI851958 NJM851958 MZQ851958 MPU851958 MFY851958 LWC851958 LMG851958 LCK851958 KSO851958 KIS851958 JYW851958 JPA851958 JFE851958 IVI851958 ILM851958 IBQ851958 HRU851958 HHY851958 GYC851958 GOG851958 GEK851958 FUO851958 FKS851958 FAW851958 ERA851958 EHE851958 DXI851958 DNM851958 DDQ851958 CTU851958 CJY851958 CAC851958 BQG851958 BGK851958 AWO851958 AMS851958 ACW851958 TA851958 JE851958 I851958 WVQ786422 WLU786422 WBY786422 VSC786422 VIG786422 UYK786422 UOO786422 UES786422 TUW786422 TLA786422 TBE786422 SRI786422 SHM786422 RXQ786422 RNU786422 RDY786422 QUC786422 QKG786422 QAK786422 PQO786422 PGS786422 OWW786422 ONA786422 ODE786422 NTI786422 NJM786422 MZQ786422 MPU786422 MFY786422 LWC786422 LMG786422 LCK786422 KSO786422 KIS786422 JYW786422 JPA786422 JFE786422 IVI786422 ILM786422 IBQ786422 HRU786422 HHY786422 GYC786422 GOG786422 GEK786422 FUO786422 FKS786422 FAW786422 ERA786422 EHE786422 DXI786422 DNM786422 DDQ786422 CTU786422 CJY786422 CAC786422 BQG786422 BGK786422 AWO786422 AMS786422 ACW786422 TA786422 JE786422 I786422 WVQ720886 WLU720886 WBY720886 VSC720886 VIG720886 UYK720886 UOO720886 UES720886 TUW720886 TLA720886 TBE720886 SRI720886 SHM720886 RXQ720886 RNU720886 RDY720886 QUC720886 QKG720886 QAK720886 PQO720886 PGS720886 OWW720886 ONA720886 ODE720886 NTI720886 NJM720886 MZQ720886 MPU720886 MFY720886 LWC720886 LMG720886 LCK720886 KSO720886 KIS720886 JYW720886 JPA720886 JFE720886 IVI720886 ILM720886 IBQ720886 HRU720886 HHY720886 GYC720886 GOG720886 GEK720886 FUO720886 FKS720886 FAW720886 ERA720886 EHE720886 DXI720886 DNM720886 DDQ720886 CTU720886 CJY720886 CAC720886 BQG720886 BGK720886 AWO720886 AMS720886 ACW720886 TA720886 JE720886 I720886 WVQ655350 WLU655350 WBY655350 VSC655350 VIG655350 UYK655350 UOO655350 UES655350 TUW655350 TLA655350 TBE655350 SRI655350 SHM655350 RXQ655350 RNU655350 RDY655350 QUC655350 QKG655350 QAK655350 PQO655350 PGS655350 OWW655350 ONA655350 ODE655350 NTI655350 NJM655350 MZQ655350 MPU655350 MFY655350 LWC655350 LMG655350 LCK655350 KSO655350 KIS655350 JYW655350 JPA655350 JFE655350 IVI655350 ILM655350 IBQ655350 HRU655350 HHY655350 GYC655350 GOG655350 GEK655350 FUO655350 FKS655350 FAW655350 ERA655350 EHE655350 DXI655350 DNM655350 DDQ655350 CTU655350 CJY655350 CAC655350 BQG655350 BGK655350 AWO655350 AMS655350 ACW655350 TA655350 JE655350 I655350 WVQ589814 WLU589814 WBY589814 VSC589814 VIG589814 UYK589814 UOO589814 UES589814 TUW589814 TLA589814 TBE589814 SRI589814 SHM589814 RXQ589814 RNU589814 RDY589814 QUC589814 QKG589814 QAK589814 PQO589814 PGS589814 OWW589814 ONA589814 ODE589814 NTI589814 NJM589814 MZQ589814 MPU589814 MFY589814 LWC589814 LMG589814 LCK589814 KSO589814 KIS589814 JYW589814 JPA589814 JFE589814 IVI589814 ILM589814 IBQ589814 HRU589814 HHY589814 GYC589814 GOG589814 GEK589814 FUO589814 FKS589814 FAW589814 ERA589814 EHE589814 DXI589814 DNM589814 DDQ589814 CTU589814 CJY589814 CAC589814 BQG589814 BGK589814 AWO589814 AMS589814 ACW589814 TA589814 JE589814 I589814 WVQ524278 WLU524278 WBY524278 VSC524278 VIG524278 UYK524278 UOO524278 UES524278 TUW524278 TLA524278 TBE524278 SRI524278 SHM524278 RXQ524278 RNU524278 RDY524278 QUC524278 QKG524278 QAK524278 PQO524278 PGS524278 OWW524278 ONA524278 ODE524278 NTI524278 NJM524278 MZQ524278 MPU524278 MFY524278 LWC524278 LMG524278 LCK524278 KSO524278 KIS524278 JYW524278 JPA524278 JFE524278 IVI524278 ILM524278 IBQ524278 HRU524278 HHY524278 GYC524278 GOG524278 GEK524278 FUO524278 FKS524278 FAW524278 ERA524278 EHE524278 DXI524278 DNM524278 DDQ524278 CTU524278 CJY524278 CAC524278 BQG524278 BGK524278 AWO524278 AMS524278 ACW524278 TA524278 JE524278 I524278 WVQ458742 WLU458742 WBY458742 VSC458742 VIG458742 UYK458742 UOO458742 UES458742 TUW458742 TLA458742 TBE458742 SRI458742 SHM458742 RXQ458742 RNU458742 RDY458742 QUC458742 QKG458742 QAK458742 PQO458742 PGS458742 OWW458742 ONA458742 ODE458742 NTI458742 NJM458742 MZQ458742 MPU458742 MFY458742 LWC458742 LMG458742 LCK458742 KSO458742 KIS458742 JYW458742 JPA458742 JFE458742 IVI458742 ILM458742 IBQ458742 HRU458742 HHY458742 GYC458742 GOG458742 GEK458742 FUO458742 FKS458742 FAW458742 ERA458742 EHE458742 DXI458742 DNM458742 DDQ458742 CTU458742 CJY458742 CAC458742 BQG458742 BGK458742 AWO458742 AMS458742 ACW458742 TA458742 JE458742 I458742 WVQ393206 WLU393206 WBY393206 VSC393206 VIG393206 UYK393206 UOO393206 UES393206 TUW393206 TLA393206 TBE393206 SRI393206 SHM393206 RXQ393206 RNU393206 RDY393206 QUC393206 QKG393206 QAK393206 PQO393206 PGS393206 OWW393206 ONA393206 ODE393206 NTI393206 NJM393206 MZQ393206 MPU393206 MFY393206 LWC393206 LMG393206 LCK393206 KSO393206 KIS393206 JYW393206 JPA393206 JFE393206 IVI393206 ILM393206 IBQ393206 HRU393206 HHY393206 GYC393206 GOG393206 GEK393206 FUO393206 FKS393206 FAW393206 ERA393206 EHE393206 DXI393206 DNM393206 DDQ393206 CTU393206 CJY393206 CAC393206 BQG393206 BGK393206 AWO393206 AMS393206 ACW393206 TA393206 JE393206 I393206 WVQ327670 WLU327670 WBY327670 VSC327670 VIG327670 UYK327670 UOO327670 UES327670 TUW327670 TLA327670 TBE327670 SRI327670 SHM327670 RXQ327670 RNU327670 RDY327670 QUC327670 QKG327670 QAK327670 PQO327670 PGS327670 OWW327670 ONA327670 ODE327670 NTI327670 NJM327670 MZQ327670 MPU327670 MFY327670 LWC327670 LMG327670 LCK327670 KSO327670 KIS327670 JYW327670 JPA327670 JFE327670 IVI327670 ILM327670 IBQ327670 HRU327670 HHY327670 GYC327670 GOG327670 GEK327670 FUO327670 FKS327670 FAW327670 ERA327670 EHE327670 DXI327670 DNM327670 DDQ327670 CTU327670 CJY327670 CAC327670 BQG327670 BGK327670 AWO327670 AMS327670 ACW327670 TA327670 JE327670 I327670 WVQ262134 WLU262134 WBY262134 VSC262134 VIG262134 UYK262134 UOO262134 UES262134 TUW262134 TLA262134 TBE262134 SRI262134 SHM262134 RXQ262134 RNU262134 RDY262134 QUC262134 QKG262134 QAK262134 PQO262134 PGS262134 OWW262134 ONA262134 ODE262134 NTI262134 NJM262134 MZQ262134 MPU262134 MFY262134 LWC262134 LMG262134 LCK262134 KSO262134 KIS262134 JYW262134 JPA262134 JFE262134 IVI262134 ILM262134 IBQ262134 HRU262134 HHY262134 GYC262134 GOG262134 GEK262134 FUO262134 FKS262134 FAW262134 ERA262134 EHE262134 DXI262134 DNM262134 DDQ262134 CTU262134 CJY262134 CAC262134 BQG262134 BGK262134 AWO262134 AMS262134 ACW262134 TA262134 JE262134 I262134 WVQ196598 WLU196598 WBY196598 VSC196598 VIG196598 UYK196598 UOO196598 UES196598 TUW196598 TLA196598 TBE196598 SRI196598 SHM196598 RXQ196598 RNU196598 RDY196598 QUC196598 QKG196598 QAK196598 PQO196598 PGS196598 OWW196598 ONA196598 ODE196598 NTI196598 NJM196598 MZQ196598 MPU196598 MFY196598 LWC196598 LMG196598 LCK196598 KSO196598 KIS196598 JYW196598 JPA196598 JFE196598 IVI196598 ILM196598 IBQ196598 HRU196598 HHY196598 GYC196598 GOG196598 GEK196598 FUO196598 FKS196598 FAW196598 ERA196598 EHE196598 DXI196598 DNM196598 DDQ196598 CTU196598 CJY196598 CAC196598 BQG196598 BGK196598 AWO196598 AMS196598 ACW196598 TA196598 JE196598 I196598 WVQ131062 WLU131062 WBY131062 VSC131062 VIG131062 UYK131062 UOO131062 UES131062 TUW131062 TLA131062 TBE131062 SRI131062 SHM131062 RXQ131062 RNU131062 RDY131062 QUC131062 QKG131062 QAK131062 PQO131062 PGS131062 OWW131062 ONA131062 ODE131062 NTI131062 NJM131062 MZQ131062 MPU131062 MFY131062 LWC131062 LMG131062 LCK131062 KSO131062 KIS131062 JYW131062 JPA131062 JFE131062 IVI131062 ILM131062 IBQ131062 HRU131062 HHY131062 GYC131062 GOG131062 GEK131062 FUO131062 FKS131062 FAW131062 ERA131062 EHE131062 DXI131062 DNM131062 DDQ131062 CTU131062 CJY131062 CAC131062 BQG131062 BGK131062 AWO131062 AMS131062 ACW131062 TA131062 JE131062 I131062 WVQ65526 WLU65526 WBY65526 VSC65526 VIG65526 UYK65526 UOO65526 UES65526 TUW65526 TLA65526 TBE65526 SRI65526 SHM65526 RXQ65526 RNU65526 RDY65526 QUC65526 QKG65526 QAK65526 PQO65526 PGS65526 OWW65526 ONA65526 ODE65526 NTI65526 NJM65526 MZQ65526 MPU65526 MFY65526 LWC65526 LMG65526 LCK65526 KSO65526 KIS65526 JYW65526 JPA65526 JFE65526 IVI65526 ILM65526 IBQ65526 HRU65526 HHY65526 GYC65526 GOG65526 GEK65526 FUO65526 FKS65526 FAW65526 ERA65526 EHE65526 DXI65526 DNM65526 DDQ65526 CTU65526 CJY65526 CAC65526 BQG65526 BGK65526 AWO65526 AMS65526 ACW65526 TA65526 JE65526 I65526 WVQ983023 WLU983023 WBY983023 VSC983023 VIG983023 UYK983023 UOO983023 UES983023 TUW983023 TLA983023 TBE983023 SRI983023 SHM983023 RXQ983023 RNU983023 RDY983023 QUC983023 QKG983023 QAK983023 PQO983023 PGS983023 OWW983023 ONA983023 ODE983023 NTI983023 NJM983023 MZQ983023 MPU983023 MFY983023 LWC983023 LMG983023 LCK983023 KSO983023 KIS983023 JYW983023 JPA983023 JFE983023 IVI983023 ILM983023 IBQ983023 HRU983023 HHY983023 GYC983023 GOG983023 GEK983023 FUO983023 FKS983023 FAW983023 ERA983023 EHE983023 DXI983023 DNM983023 DDQ983023 CTU983023 CJY983023 CAC983023 BQG983023 BGK983023 AWO983023 AMS983023 ACW983023 TA983023 JE983023 I983023 WVQ917487 WLU917487 WBY917487 VSC917487 VIG917487 UYK917487 UOO917487 UES917487 TUW917487 TLA917487 TBE917487 SRI917487 SHM917487 RXQ917487 RNU917487 RDY917487 QUC917487 QKG917487 QAK917487 PQO917487 PGS917487 OWW917487 ONA917487 ODE917487 NTI917487 NJM917487 MZQ917487 MPU917487 MFY917487 LWC917487 LMG917487 LCK917487 KSO917487 KIS917487 JYW917487 JPA917487 JFE917487 IVI917487 ILM917487 IBQ917487 HRU917487 HHY917487 GYC917487 GOG917487 GEK917487 FUO917487 FKS917487 FAW917487 ERA917487 EHE917487 DXI917487 DNM917487 DDQ917487 CTU917487 CJY917487 CAC917487 BQG917487 BGK917487 AWO917487 AMS917487 ACW917487 TA917487 JE917487 I917487 WVQ851951 WLU851951 WBY851951 VSC851951 VIG851951 UYK851951 UOO851951 UES851951 TUW851951 TLA851951 TBE851951 SRI851951 SHM851951 RXQ851951 RNU851951 RDY851951 QUC851951 QKG851951 QAK851951 PQO851951 PGS851951 OWW851951 ONA851951 ODE851951 NTI851951 NJM851951 MZQ851951 MPU851951 MFY851951 LWC851951 LMG851951 LCK851951 KSO851951 KIS851951 JYW851951 JPA851951 JFE851951 IVI851951 ILM851951 IBQ851951 HRU851951 HHY851951 GYC851951 GOG851951 GEK851951 FUO851951 FKS851951 FAW851951 ERA851951 EHE851951 DXI851951 DNM851951 DDQ851951 CTU851951 CJY851951 CAC851951 BQG851951 BGK851951 AWO851951 AMS851951 ACW851951 TA851951 JE851951 I851951 WVQ786415 WLU786415 WBY786415 VSC786415 VIG786415 UYK786415 UOO786415 UES786415 TUW786415 TLA786415 TBE786415 SRI786415 SHM786415 RXQ786415 RNU786415 RDY786415 QUC786415 QKG786415 QAK786415 PQO786415 PGS786415 OWW786415 ONA786415 ODE786415 NTI786415 NJM786415 MZQ786415 MPU786415 MFY786415 LWC786415 LMG786415 LCK786415 KSO786415 KIS786415 JYW786415 JPA786415 JFE786415 IVI786415 ILM786415 IBQ786415 HRU786415 HHY786415 GYC786415 GOG786415 GEK786415 FUO786415 FKS786415 FAW786415 ERA786415 EHE786415 DXI786415 DNM786415 DDQ786415 CTU786415 CJY786415 CAC786415 BQG786415 BGK786415 AWO786415 AMS786415 ACW786415 TA786415 JE786415 I786415 WVQ720879 WLU720879 WBY720879 VSC720879 VIG720879 UYK720879 UOO720879 UES720879 TUW720879 TLA720879 TBE720879 SRI720879 SHM720879 RXQ720879 RNU720879 RDY720879 QUC720879 QKG720879 QAK720879 PQO720879 PGS720879 OWW720879 ONA720879 ODE720879 NTI720879 NJM720879 MZQ720879 MPU720879 MFY720879 LWC720879 LMG720879 LCK720879 KSO720879 KIS720879 JYW720879 JPA720879 JFE720879 IVI720879 ILM720879 IBQ720879 HRU720879 HHY720879 GYC720879 GOG720879 GEK720879 FUO720879 FKS720879 FAW720879 ERA720879 EHE720879 DXI720879 DNM720879 DDQ720879 CTU720879 CJY720879 CAC720879 BQG720879 BGK720879 AWO720879 AMS720879 ACW720879 TA720879 JE720879 I720879 WVQ655343 WLU655343 WBY655343 VSC655343 VIG655343 UYK655343 UOO655343 UES655343 TUW655343 TLA655343 TBE655343 SRI655343 SHM655343 RXQ655343 RNU655343 RDY655343 QUC655343 QKG655343 QAK655343 PQO655343 PGS655343 OWW655343 ONA655343 ODE655343 NTI655343 NJM655343 MZQ655343 MPU655343 MFY655343 LWC655343 LMG655343 LCK655343 KSO655343 KIS655343 JYW655343 JPA655343 JFE655343 IVI655343 ILM655343 IBQ655343 HRU655343 HHY655343 GYC655343 GOG655343 GEK655343 FUO655343 FKS655343 FAW655343 ERA655343 EHE655343 DXI655343 DNM655343 DDQ655343 CTU655343 CJY655343 CAC655343 BQG655343 BGK655343 AWO655343 AMS655343 ACW655343 TA655343 JE655343 I655343 WVQ589807 WLU589807 WBY589807 VSC589807 VIG589807 UYK589807 UOO589807 UES589807 TUW589807 TLA589807 TBE589807 SRI589807 SHM589807 RXQ589807 RNU589807 RDY589807 QUC589807 QKG589807 QAK589807 PQO589807 PGS589807 OWW589807 ONA589807 ODE589807 NTI589807 NJM589807 MZQ589807 MPU589807 MFY589807 LWC589807 LMG589807 LCK589807 KSO589807 KIS589807 JYW589807 JPA589807 JFE589807 IVI589807 ILM589807 IBQ589807 HRU589807 HHY589807 GYC589807 GOG589807 GEK589807 FUO589807 FKS589807 FAW589807 ERA589807 EHE589807 DXI589807 DNM589807 DDQ589807 CTU589807 CJY589807 CAC589807 BQG589807 BGK589807 AWO589807 AMS589807 ACW589807 TA589807 JE589807 I589807 WVQ524271 WLU524271 WBY524271 VSC524271 VIG524271 UYK524271 UOO524271 UES524271 TUW524271 TLA524271 TBE524271 SRI524271 SHM524271 RXQ524271 RNU524271 RDY524271 QUC524271 QKG524271 QAK524271 PQO524271 PGS524271 OWW524271 ONA524271 ODE524271 NTI524271 NJM524271 MZQ524271 MPU524271 MFY524271 LWC524271 LMG524271 LCK524271 KSO524271 KIS524271 JYW524271 JPA524271 JFE524271 IVI524271 ILM524271 IBQ524271 HRU524271 HHY524271 GYC524271 GOG524271 GEK524271 FUO524271 FKS524271 FAW524271 ERA524271 EHE524271 DXI524271 DNM524271 DDQ524271 CTU524271 CJY524271 CAC524271 BQG524271 BGK524271 AWO524271 AMS524271 ACW524271 TA524271 JE524271 I524271 WVQ458735 WLU458735 WBY458735 VSC458735 VIG458735 UYK458735 UOO458735 UES458735 TUW458735 TLA458735 TBE458735 SRI458735 SHM458735 RXQ458735 RNU458735 RDY458735 QUC458735 QKG458735 QAK458735 PQO458735 PGS458735 OWW458735 ONA458735 ODE458735 NTI458735 NJM458735 MZQ458735 MPU458735 MFY458735 LWC458735 LMG458735 LCK458735 KSO458735 KIS458735 JYW458735 JPA458735 JFE458735 IVI458735 ILM458735 IBQ458735 HRU458735 HHY458735 GYC458735 GOG458735 GEK458735 FUO458735 FKS458735 FAW458735 ERA458735 EHE458735 DXI458735 DNM458735 DDQ458735 CTU458735 CJY458735 CAC458735 BQG458735 BGK458735 AWO458735 AMS458735 ACW458735 TA458735 JE458735 I458735 WVQ393199 WLU393199 WBY393199 VSC393199 VIG393199 UYK393199 UOO393199 UES393199 TUW393199 TLA393199 TBE393199 SRI393199 SHM393199 RXQ393199 RNU393199 RDY393199 QUC393199 QKG393199 QAK393199 PQO393199 PGS393199 OWW393199 ONA393199 ODE393199 NTI393199 NJM393199 MZQ393199 MPU393199 MFY393199 LWC393199 LMG393199 LCK393199 KSO393199 KIS393199 JYW393199 JPA393199 JFE393199 IVI393199 ILM393199 IBQ393199 HRU393199 HHY393199 GYC393199 GOG393199 GEK393199 FUO393199 FKS393199 FAW393199 ERA393199 EHE393199 DXI393199 DNM393199 DDQ393199 CTU393199 CJY393199 CAC393199 BQG393199 BGK393199 AWO393199 AMS393199 ACW393199 TA393199 JE393199 I393199 WVQ327663 WLU327663 WBY327663 VSC327663 VIG327663 UYK327663 UOO327663 UES327663 TUW327663 TLA327663 TBE327663 SRI327663 SHM327663 RXQ327663 RNU327663 RDY327663 QUC327663 QKG327663 QAK327663 PQO327663 PGS327663 OWW327663 ONA327663 ODE327663 NTI327663 NJM327663 MZQ327663 MPU327663 MFY327663 LWC327663 LMG327663 LCK327663 KSO327663 KIS327663 JYW327663 JPA327663 JFE327663 IVI327663 ILM327663 IBQ327663 HRU327663 HHY327663 GYC327663 GOG327663 GEK327663 FUO327663 FKS327663 FAW327663 ERA327663 EHE327663 DXI327663 DNM327663 DDQ327663 CTU327663 CJY327663 CAC327663 BQG327663 BGK327663 AWO327663 AMS327663 ACW327663 TA327663 JE327663 I327663 WVQ262127 WLU262127 WBY262127 VSC262127 VIG262127 UYK262127 UOO262127 UES262127 TUW262127 TLA262127 TBE262127 SRI262127 SHM262127 RXQ262127 RNU262127 RDY262127 QUC262127 QKG262127 QAK262127 PQO262127 PGS262127 OWW262127 ONA262127 ODE262127 NTI262127 NJM262127 MZQ262127 MPU262127 MFY262127 LWC262127 LMG262127 LCK262127 KSO262127 KIS262127 JYW262127 JPA262127 JFE262127 IVI262127 ILM262127 IBQ262127 HRU262127 HHY262127 GYC262127 GOG262127 GEK262127 FUO262127 FKS262127 FAW262127 ERA262127 EHE262127 DXI262127 DNM262127 DDQ262127 CTU262127 CJY262127 CAC262127 BQG262127 BGK262127 AWO262127 AMS262127 ACW262127 TA262127 JE262127 I262127 WVQ196591 WLU196591 WBY196591 VSC196591 VIG196591 UYK196591 UOO196591 UES196591 TUW196591 TLA196591 TBE196591 SRI196591 SHM196591 RXQ196591 RNU196591 RDY196591 QUC196591 QKG196591 QAK196591 PQO196591 PGS196591 OWW196591 ONA196591 ODE196591 NTI196591 NJM196591 MZQ196591 MPU196591 MFY196591 LWC196591 LMG196591 LCK196591 KSO196591 KIS196591 JYW196591 JPA196591 JFE196591 IVI196591 ILM196591 IBQ196591 HRU196591 HHY196591 GYC196591 GOG196591 GEK196591 FUO196591 FKS196591 FAW196591 ERA196591 EHE196591 DXI196591 DNM196591 DDQ196591 CTU196591 CJY196591 CAC196591 BQG196591 BGK196591 AWO196591 AMS196591 ACW196591 TA196591 JE196591 I196591 WVQ131055 WLU131055 WBY131055 VSC131055 VIG131055 UYK131055 UOO131055 UES131055 TUW131055 TLA131055 TBE131055 SRI131055 SHM131055 RXQ131055 RNU131055 RDY131055 QUC131055 QKG131055 QAK131055 PQO131055 PGS131055 OWW131055 ONA131055 ODE131055 NTI131055 NJM131055 MZQ131055 MPU131055 MFY131055 LWC131055 LMG131055 LCK131055 KSO131055 KIS131055 JYW131055 JPA131055 JFE131055 IVI131055 ILM131055 IBQ131055 HRU131055 HHY131055 GYC131055 GOG131055 GEK131055 FUO131055 FKS131055 FAW131055 ERA131055 EHE131055 DXI131055 DNM131055 DDQ131055 CTU131055 CJY131055 CAC131055 BQG131055 BGK131055 AWO131055 AMS131055 ACW131055 TA131055 JE131055 I131055 WVQ65519 WLU65519 WBY65519 VSC65519 VIG65519 UYK65519 UOO65519 UES65519 TUW65519 TLA65519 TBE65519 SRI65519 SHM65519 RXQ65519 RNU65519 RDY65519 QUC65519 QKG65519 QAK65519 PQO65519 PGS65519 OWW65519 ONA65519 ODE65519 NTI65519 NJM65519 MZQ65519 MPU65519 MFY65519 LWC65519 LMG65519 LCK65519 KSO65519 KIS65519 JYW65519 JPA65519 JFE65519 IVI65519 ILM65519 IBQ65519 HRU65519 HHY65519 GYC65519 GOG65519 GEK65519 FUO65519 FKS65519 FAW65519 ERA65519 EHE65519 DXI65519 DNM65519 DDQ65519 CTU65519 CJY65519 CAC65519 BQG65519 BGK65519 AWO65519 AMS65519 ACW65519 TA65519 JE65519 I65519 WVQ8 WLU8 WBY8 VSC8 VIG8 UYK8 UOO8 UES8 TUW8 TLA8 TBE8 SRI8 SHM8 RXQ8 RNU8 RDY8 QUC8 QKG8 QAK8 PQO8 PGS8 OWW8 ONA8 ODE8 NTI8 NJM8 MZQ8 MPU8 MFY8 LWC8 LMG8 LCK8 KSO8 KIS8 JYW8 JPA8 JFE8 IVI8 ILM8 IBQ8 HRU8 HHY8 GYC8 GOG8 GEK8 FUO8 FKS8 FAW8 ERA8 EHE8 DXI8 DNM8 DDQ8 CTU8 CJY8 CAC8 BQG8 BGK8 AWO8 AMS8 ACW8 TA8 JE8">
      <formula1>$X$20:$X$21</formula1>
    </dataValidation>
    <dataValidation type="list" allowBlank="1" showInputMessage="1" showErrorMessage="1" sqref="WWN983023:WWN983050 KB8:KB10 TX8:TX10 ADT8:ADT10 ANP8:ANP10 AXL8:AXL10 BHH8:BHH10 BRD8:BRD10 CAZ8:CAZ10 CKV8:CKV10 CUR8:CUR10 DEN8:DEN10 DOJ8:DOJ10 DYF8:DYF10 EIB8:EIB10 ERX8:ERX10 FBT8:FBT10 FLP8:FLP10 FVL8:FVL10 GFH8:GFH10 GPD8:GPD10 GYZ8:GYZ10 HIV8:HIV10 HSR8:HSR10 ICN8:ICN10 IMJ8:IMJ10 IWF8:IWF10 JGB8:JGB10 JPX8:JPX10 JZT8:JZT10 KJP8:KJP10 KTL8:KTL10 LDH8:LDH10 LND8:LND10 LWZ8:LWZ10 MGV8:MGV10 MQR8:MQR10 NAN8:NAN10 NKJ8:NKJ10 NUF8:NUF10 OEB8:OEB10 ONX8:ONX10 OXT8:OXT10 PHP8:PHP10 PRL8:PRL10 QBH8:QBH10 QLD8:QLD10 QUZ8:QUZ10 REV8:REV10 ROR8:ROR10 RYN8:RYN10 SIJ8:SIJ10 SSF8:SSF10 TCB8:TCB10 TLX8:TLX10 TVT8:TVT10 UFP8:UFP10 UPL8:UPL10 UZH8:UZH10 VJD8:VJD10 VSZ8:VSZ10 WCV8:WCV10 WMR8:WMR10 WWN8:WWN10 AF65519:AF65546 KB65519:KB65546 TX65519:TX65546 ADT65519:ADT65546 ANP65519:ANP65546 AXL65519:AXL65546 BHH65519:BHH65546 BRD65519:BRD65546 CAZ65519:CAZ65546 CKV65519:CKV65546 CUR65519:CUR65546 DEN65519:DEN65546 DOJ65519:DOJ65546 DYF65519:DYF65546 EIB65519:EIB65546 ERX65519:ERX65546 FBT65519:FBT65546 FLP65519:FLP65546 FVL65519:FVL65546 GFH65519:GFH65546 GPD65519:GPD65546 GYZ65519:GYZ65546 HIV65519:HIV65546 HSR65519:HSR65546 ICN65519:ICN65546 IMJ65519:IMJ65546 IWF65519:IWF65546 JGB65519:JGB65546 JPX65519:JPX65546 JZT65519:JZT65546 KJP65519:KJP65546 KTL65519:KTL65546 LDH65519:LDH65546 LND65519:LND65546 LWZ65519:LWZ65546 MGV65519:MGV65546 MQR65519:MQR65546 NAN65519:NAN65546 NKJ65519:NKJ65546 NUF65519:NUF65546 OEB65519:OEB65546 ONX65519:ONX65546 OXT65519:OXT65546 PHP65519:PHP65546 PRL65519:PRL65546 QBH65519:QBH65546 QLD65519:QLD65546 QUZ65519:QUZ65546 REV65519:REV65546 ROR65519:ROR65546 RYN65519:RYN65546 SIJ65519:SIJ65546 SSF65519:SSF65546 TCB65519:TCB65546 TLX65519:TLX65546 TVT65519:TVT65546 UFP65519:UFP65546 UPL65519:UPL65546 UZH65519:UZH65546 VJD65519:VJD65546 VSZ65519:VSZ65546 WCV65519:WCV65546 WMR65519:WMR65546 WWN65519:WWN65546 AF131055:AF131082 KB131055:KB131082 TX131055:TX131082 ADT131055:ADT131082 ANP131055:ANP131082 AXL131055:AXL131082 BHH131055:BHH131082 BRD131055:BRD131082 CAZ131055:CAZ131082 CKV131055:CKV131082 CUR131055:CUR131082 DEN131055:DEN131082 DOJ131055:DOJ131082 DYF131055:DYF131082 EIB131055:EIB131082 ERX131055:ERX131082 FBT131055:FBT131082 FLP131055:FLP131082 FVL131055:FVL131082 GFH131055:GFH131082 GPD131055:GPD131082 GYZ131055:GYZ131082 HIV131055:HIV131082 HSR131055:HSR131082 ICN131055:ICN131082 IMJ131055:IMJ131082 IWF131055:IWF131082 JGB131055:JGB131082 JPX131055:JPX131082 JZT131055:JZT131082 KJP131055:KJP131082 KTL131055:KTL131082 LDH131055:LDH131082 LND131055:LND131082 LWZ131055:LWZ131082 MGV131055:MGV131082 MQR131055:MQR131082 NAN131055:NAN131082 NKJ131055:NKJ131082 NUF131055:NUF131082 OEB131055:OEB131082 ONX131055:ONX131082 OXT131055:OXT131082 PHP131055:PHP131082 PRL131055:PRL131082 QBH131055:QBH131082 QLD131055:QLD131082 QUZ131055:QUZ131082 REV131055:REV131082 ROR131055:ROR131082 RYN131055:RYN131082 SIJ131055:SIJ131082 SSF131055:SSF131082 TCB131055:TCB131082 TLX131055:TLX131082 TVT131055:TVT131082 UFP131055:UFP131082 UPL131055:UPL131082 UZH131055:UZH131082 VJD131055:VJD131082 VSZ131055:VSZ131082 WCV131055:WCV131082 WMR131055:WMR131082 WWN131055:WWN131082 AF196591:AF196618 KB196591:KB196618 TX196591:TX196618 ADT196591:ADT196618 ANP196591:ANP196618 AXL196591:AXL196618 BHH196591:BHH196618 BRD196591:BRD196618 CAZ196591:CAZ196618 CKV196591:CKV196618 CUR196591:CUR196618 DEN196591:DEN196618 DOJ196591:DOJ196618 DYF196591:DYF196618 EIB196591:EIB196618 ERX196591:ERX196618 FBT196591:FBT196618 FLP196591:FLP196618 FVL196591:FVL196618 GFH196591:GFH196618 GPD196591:GPD196618 GYZ196591:GYZ196618 HIV196591:HIV196618 HSR196591:HSR196618 ICN196591:ICN196618 IMJ196591:IMJ196618 IWF196591:IWF196618 JGB196591:JGB196618 JPX196591:JPX196618 JZT196591:JZT196618 KJP196591:KJP196618 KTL196591:KTL196618 LDH196591:LDH196618 LND196591:LND196618 LWZ196591:LWZ196618 MGV196591:MGV196618 MQR196591:MQR196618 NAN196591:NAN196618 NKJ196591:NKJ196618 NUF196591:NUF196618 OEB196591:OEB196618 ONX196591:ONX196618 OXT196591:OXT196618 PHP196591:PHP196618 PRL196591:PRL196618 QBH196591:QBH196618 QLD196591:QLD196618 QUZ196591:QUZ196618 REV196591:REV196618 ROR196591:ROR196618 RYN196591:RYN196618 SIJ196591:SIJ196618 SSF196591:SSF196618 TCB196591:TCB196618 TLX196591:TLX196618 TVT196591:TVT196618 UFP196591:UFP196618 UPL196591:UPL196618 UZH196591:UZH196618 VJD196591:VJD196618 VSZ196591:VSZ196618 WCV196591:WCV196618 WMR196591:WMR196618 WWN196591:WWN196618 AF262127:AF262154 KB262127:KB262154 TX262127:TX262154 ADT262127:ADT262154 ANP262127:ANP262154 AXL262127:AXL262154 BHH262127:BHH262154 BRD262127:BRD262154 CAZ262127:CAZ262154 CKV262127:CKV262154 CUR262127:CUR262154 DEN262127:DEN262154 DOJ262127:DOJ262154 DYF262127:DYF262154 EIB262127:EIB262154 ERX262127:ERX262154 FBT262127:FBT262154 FLP262127:FLP262154 FVL262127:FVL262154 GFH262127:GFH262154 GPD262127:GPD262154 GYZ262127:GYZ262154 HIV262127:HIV262154 HSR262127:HSR262154 ICN262127:ICN262154 IMJ262127:IMJ262154 IWF262127:IWF262154 JGB262127:JGB262154 JPX262127:JPX262154 JZT262127:JZT262154 KJP262127:KJP262154 KTL262127:KTL262154 LDH262127:LDH262154 LND262127:LND262154 LWZ262127:LWZ262154 MGV262127:MGV262154 MQR262127:MQR262154 NAN262127:NAN262154 NKJ262127:NKJ262154 NUF262127:NUF262154 OEB262127:OEB262154 ONX262127:ONX262154 OXT262127:OXT262154 PHP262127:PHP262154 PRL262127:PRL262154 QBH262127:QBH262154 QLD262127:QLD262154 QUZ262127:QUZ262154 REV262127:REV262154 ROR262127:ROR262154 RYN262127:RYN262154 SIJ262127:SIJ262154 SSF262127:SSF262154 TCB262127:TCB262154 TLX262127:TLX262154 TVT262127:TVT262154 UFP262127:UFP262154 UPL262127:UPL262154 UZH262127:UZH262154 VJD262127:VJD262154 VSZ262127:VSZ262154 WCV262127:WCV262154 WMR262127:WMR262154 WWN262127:WWN262154 AF327663:AF327690 KB327663:KB327690 TX327663:TX327690 ADT327663:ADT327690 ANP327663:ANP327690 AXL327663:AXL327690 BHH327663:BHH327690 BRD327663:BRD327690 CAZ327663:CAZ327690 CKV327663:CKV327690 CUR327663:CUR327690 DEN327663:DEN327690 DOJ327663:DOJ327690 DYF327663:DYF327690 EIB327663:EIB327690 ERX327663:ERX327690 FBT327663:FBT327690 FLP327663:FLP327690 FVL327663:FVL327690 GFH327663:GFH327690 GPD327663:GPD327690 GYZ327663:GYZ327690 HIV327663:HIV327690 HSR327663:HSR327690 ICN327663:ICN327690 IMJ327663:IMJ327690 IWF327663:IWF327690 JGB327663:JGB327690 JPX327663:JPX327690 JZT327663:JZT327690 KJP327663:KJP327690 KTL327663:KTL327690 LDH327663:LDH327690 LND327663:LND327690 LWZ327663:LWZ327690 MGV327663:MGV327690 MQR327663:MQR327690 NAN327663:NAN327690 NKJ327663:NKJ327690 NUF327663:NUF327690 OEB327663:OEB327690 ONX327663:ONX327690 OXT327663:OXT327690 PHP327663:PHP327690 PRL327663:PRL327690 QBH327663:QBH327690 QLD327663:QLD327690 QUZ327663:QUZ327690 REV327663:REV327690 ROR327663:ROR327690 RYN327663:RYN327690 SIJ327663:SIJ327690 SSF327663:SSF327690 TCB327663:TCB327690 TLX327663:TLX327690 TVT327663:TVT327690 UFP327663:UFP327690 UPL327663:UPL327690 UZH327663:UZH327690 VJD327663:VJD327690 VSZ327663:VSZ327690 WCV327663:WCV327690 WMR327663:WMR327690 WWN327663:WWN327690 AF393199:AF393226 KB393199:KB393226 TX393199:TX393226 ADT393199:ADT393226 ANP393199:ANP393226 AXL393199:AXL393226 BHH393199:BHH393226 BRD393199:BRD393226 CAZ393199:CAZ393226 CKV393199:CKV393226 CUR393199:CUR393226 DEN393199:DEN393226 DOJ393199:DOJ393226 DYF393199:DYF393226 EIB393199:EIB393226 ERX393199:ERX393226 FBT393199:FBT393226 FLP393199:FLP393226 FVL393199:FVL393226 GFH393199:GFH393226 GPD393199:GPD393226 GYZ393199:GYZ393226 HIV393199:HIV393226 HSR393199:HSR393226 ICN393199:ICN393226 IMJ393199:IMJ393226 IWF393199:IWF393226 JGB393199:JGB393226 JPX393199:JPX393226 JZT393199:JZT393226 KJP393199:KJP393226 KTL393199:KTL393226 LDH393199:LDH393226 LND393199:LND393226 LWZ393199:LWZ393226 MGV393199:MGV393226 MQR393199:MQR393226 NAN393199:NAN393226 NKJ393199:NKJ393226 NUF393199:NUF393226 OEB393199:OEB393226 ONX393199:ONX393226 OXT393199:OXT393226 PHP393199:PHP393226 PRL393199:PRL393226 QBH393199:QBH393226 QLD393199:QLD393226 QUZ393199:QUZ393226 REV393199:REV393226 ROR393199:ROR393226 RYN393199:RYN393226 SIJ393199:SIJ393226 SSF393199:SSF393226 TCB393199:TCB393226 TLX393199:TLX393226 TVT393199:TVT393226 UFP393199:UFP393226 UPL393199:UPL393226 UZH393199:UZH393226 VJD393199:VJD393226 VSZ393199:VSZ393226 WCV393199:WCV393226 WMR393199:WMR393226 WWN393199:WWN393226 AF458735:AF458762 KB458735:KB458762 TX458735:TX458762 ADT458735:ADT458762 ANP458735:ANP458762 AXL458735:AXL458762 BHH458735:BHH458762 BRD458735:BRD458762 CAZ458735:CAZ458762 CKV458735:CKV458762 CUR458735:CUR458762 DEN458735:DEN458762 DOJ458735:DOJ458762 DYF458735:DYF458762 EIB458735:EIB458762 ERX458735:ERX458762 FBT458735:FBT458762 FLP458735:FLP458762 FVL458735:FVL458762 GFH458735:GFH458762 GPD458735:GPD458762 GYZ458735:GYZ458762 HIV458735:HIV458762 HSR458735:HSR458762 ICN458735:ICN458762 IMJ458735:IMJ458762 IWF458735:IWF458762 JGB458735:JGB458762 JPX458735:JPX458762 JZT458735:JZT458762 KJP458735:KJP458762 KTL458735:KTL458762 LDH458735:LDH458762 LND458735:LND458762 LWZ458735:LWZ458762 MGV458735:MGV458762 MQR458735:MQR458762 NAN458735:NAN458762 NKJ458735:NKJ458762 NUF458735:NUF458762 OEB458735:OEB458762 ONX458735:ONX458762 OXT458735:OXT458762 PHP458735:PHP458762 PRL458735:PRL458762 QBH458735:QBH458762 QLD458735:QLD458762 QUZ458735:QUZ458762 REV458735:REV458762 ROR458735:ROR458762 RYN458735:RYN458762 SIJ458735:SIJ458762 SSF458735:SSF458762 TCB458735:TCB458762 TLX458735:TLX458762 TVT458735:TVT458762 UFP458735:UFP458762 UPL458735:UPL458762 UZH458735:UZH458762 VJD458735:VJD458762 VSZ458735:VSZ458762 WCV458735:WCV458762 WMR458735:WMR458762 WWN458735:WWN458762 AF524271:AF524298 KB524271:KB524298 TX524271:TX524298 ADT524271:ADT524298 ANP524271:ANP524298 AXL524271:AXL524298 BHH524271:BHH524298 BRD524271:BRD524298 CAZ524271:CAZ524298 CKV524271:CKV524298 CUR524271:CUR524298 DEN524271:DEN524298 DOJ524271:DOJ524298 DYF524271:DYF524298 EIB524271:EIB524298 ERX524271:ERX524298 FBT524271:FBT524298 FLP524271:FLP524298 FVL524271:FVL524298 GFH524271:GFH524298 GPD524271:GPD524298 GYZ524271:GYZ524298 HIV524271:HIV524298 HSR524271:HSR524298 ICN524271:ICN524298 IMJ524271:IMJ524298 IWF524271:IWF524298 JGB524271:JGB524298 JPX524271:JPX524298 JZT524271:JZT524298 KJP524271:KJP524298 KTL524271:KTL524298 LDH524271:LDH524298 LND524271:LND524298 LWZ524271:LWZ524298 MGV524271:MGV524298 MQR524271:MQR524298 NAN524271:NAN524298 NKJ524271:NKJ524298 NUF524271:NUF524298 OEB524271:OEB524298 ONX524271:ONX524298 OXT524271:OXT524298 PHP524271:PHP524298 PRL524271:PRL524298 QBH524271:QBH524298 QLD524271:QLD524298 QUZ524271:QUZ524298 REV524271:REV524298 ROR524271:ROR524298 RYN524271:RYN524298 SIJ524271:SIJ524298 SSF524271:SSF524298 TCB524271:TCB524298 TLX524271:TLX524298 TVT524271:TVT524298 UFP524271:UFP524298 UPL524271:UPL524298 UZH524271:UZH524298 VJD524271:VJD524298 VSZ524271:VSZ524298 WCV524271:WCV524298 WMR524271:WMR524298 WWN524271:WWN524298 AF589807:AF589834 KB589807:KB589834 TX589807:TX589834 ADT589807:ADT589834 ANP589807:ANP589834 AXL589807:AXL589834 BHH589807:BHH589834 BRD589807:BRD589834 CAZ589807:CAZ589834 CKV589807:CKV589834 CUR589807:CUR589834 DEN589807:DEN589834 DOJ589807:DOJ589834 DYF589807:DYF589834 EIB589807:EIB589834 ERX589807:ERX589834 FBT589807:FBT589834 FLP589807:FLP589834 FVL589807:FVL589834 GFH589807:GFH589834 GPD589807:GPD589834 GYZ589807:GYZ589834 HIV589807:HIV589834 HSR589807:HSR589834 ICN589807:ICN589834 IMJ589807:IMJ589834 IWF589807:IWF589834 JGB589807:JGB589834 JPX589807:JPX589834 JZT589807:JZT589834 KJP589807:KJP589834 KTL589807:KTL589834 LDH589807:LDH589834 LND589807:LND589834 LWZ589807:LWZ589834 MGV589807:MGV589834 MQR589807:MQR589834 NAN589807:NAN589834 NKJ589807:NKJ589834 NUF589807:NUF589834 OEB589807:OEB589834 ONX589807:ONX589834 OXT589807:OXT589834 PHP589807:PHP589834 PRL589807:PRL589834 QBH589807:QBH589834 QLD589807:QLD589834 QUZ589807:QUZ589834 REV589807:REV589834 ROR589807:ROR589834 RYN589807:RYN589834 SIJ589807:SIJ589834 SSF589807:SSF589834 TCB589807:TCB589834 TLX589807:TLX589834 TVT589807:TVT589834 UFP589807:UFP589834 UPL589807:UPL589834 UZH589807:UZH589834 VJD589807:VJD589834 VSZ589807:VSZ589834 WCV589807:WCV589834 WMR589807:WMR589834 WWN589807:WWN589834 AF655343:AF655370 KB655343:KB655370 TX655343:TX655370 ADT655343:ADT655370 ANP655343:ANP655370 AXL655343:AXL655370 BHH655343:BHH655370 BRD655343:BRD655370 CAZ655343:CAZ655370 CKV655343:CKV655370 CUR655343:CUR655370 DEN655343:DEN655370 DOJ655343:DOJ655370 DYF655343:DYF655370 EIB655343:EIB655370 ERX655343:ERX655370 FBT655343:FBT655370 FLP655343:FLP655370 FVL655343:FVL655370 GFH655343:GFH655370 GPD655343:GPD655370 GYZ655343:GYZ655370 HIV655343:HIV655370 HSR655343:HSR655370 ICN655343:ICN655370 IMJ655343:IMJ655370 IWF655343:IWF655370 JGB655343:JGB655370 JPX655343:JPX655370 JZT655343:JZT655370 KJP655343:KJP655370 KTL655343:KTL655370 LDH655343:LDH655370 LND655343:LND655370 LWZ655343:LWZ655370 MGV655343:MGV655370 MQR655343:MQR655370 NAN655343:NAN655370 NKJ655343:NKJ655370 NUF655343:NUF655370 OEB655343:OEB655370 ONX655343:ONX655370 OXT655343:OXT655370 PHP655343:PHP655370 PRL655343:PRL655370 QBH655343:QBH655370 QLD655343:QLD655370 QUZ655343:QUZ655370 REV655343:REV655370 ROR655343:ROR655370 RYN655343:RYN655370 SIJ655343:SIJ655370 SSF655343:SSF655370 TCB655343:TCB655370 TLX655343:TLX655370 TVT655343:TVT655370 UFP655343:UFP655370 UPL655343:UPL655370 UZH655343:UZH655370 VJD655343:VJD655370 VSZ655343:VSZ655370 WCV655343:WCV655370 WMR655343:WMR655370 WWN655343:WWN655370 AF720879:AF720906 KB720879:KB720906 TX720879:TX720906 ADT720879:ADT720906 ANP720879:ANP720906 AXL720879:AXL720906 BHH720879:BHH720906 BRD720879:BRD720906 CAZ720879:CAZ720906 CKV720879:CKV720906 CUR720879:CUR720906 DEN720879:DEN720906 DOJ720879:DOJ720906 DYF720879:DYF720906 EIB720879:EIB720906 ERX720879:ERX720906 FBT720879:FBT720906 FLP720879:FLP720906 FVL720879:FVL720906 GFH720879:GFH720906 GPD720879:GPD720906 GYZ720879:GYZ720906 HIV720879:HIV720906 HSR720879:HSR720906 ICN720879:ICN720906 IMJ720879:IMJ720906 IWF720879:IWF720906 JGB720879:JGB720906 JPX720879:JPX720906 JZT720879:JZT720906 KJP720879:KJP720906 KTL720879:KTL720906 LDH720879:LDH720906 LND720879:LND720906 LWZ720879:LWZ720906 MGV720879:MGV720906 MQR720879:MQR720906 NAN720879:NAN720906 NKJ720879:NKJ720906 NUF720879:NUF720906 OEB720879:OEB720906 ONX720879:ONX720906 OXT720879:OXT720906 PHP720879:PHP720906 PRL720879:PRL720906 QBH720879:QBH720906 QLD720879:QLD720906 QUZ720879:QUZ720906 REV720879:REV720906 ROR720879:ROR720906 RYN720879:RYN720906 SIJ720879:SIJ720906 SSF720879:SSF720906 TCB720879:TCB720906 TLX720879:TLX720906 TVT720879:TVT720906 UFP720879:UFP720906 UPL720879:UPL720906 UZH720879:UZH720906 VJD720879:VJD720906 VSZ720879:VSZ720906 WCV720879:WCV720906 WMR720879:WMR720906 WWN720879:WWN720906 AF786415:AF786442 KB786415:KB786442 TX786415:TX786442 ADT786415:ADT786442 ANP786415:ANP786442 AXL786415:AXL786442 BHH786415:BHH786442 BRD786415:BRD786442 CAZ786415:CAZ786442 CKV786415:CKV786442 CUR786415:CUR786442 DEN786415:DEN786442 DOJ786415:DOJ786442 DYF786415:DYF786442 EIB786415:EIB786442 ERX786415:ERX786442 FBT786415:FBT786442 FLP786415:FLP786442 FVL786415:FVL786442 GFH786415:GFH786442 GPD786415:GPD786442 GYZ786415:GYZ786442 HIV786415:HIV786442 HSR786415:HSR786442 ICN786415:ICN786442 IMJ786415:IMJ786442 IWF786415:IWF786442 JGB786415:JGB786442 JPX786415:JPX786442 JZT786415:JZT786442 KJP786415:KJP786442 KTL786415:KTL786442 LDH786415:LDH786442 LND786415:LND786442 LWZ786415:LWZ786442 MGV786415:MGV786442 MQR786415:MQR786442 NAN786415:NAN786442 NKJ786415:NKJ786442 NUF786415:NUF786442 OEB786415:OEB786442 ONX786415:ONX786442 OXT786415:OXT786442 PHP786415:PHP786442 PRL786415:PRL786442 QBH786415:QBH786442 QLD786415:QLD786442 QUZ786415:QUZ786442 REV786415:REV786442 ROR786415:ROR786442 RYN786415:RYN786442 SIJ786415:SIJ786442 SSF786415:SSF786442 TCB786415:TCB786442 TLX786415:TLX786442 TVT786415:TVT786442 UFP786415:UFP786442 UPL786415:UPL786442 UZH786415:UZH786442 VJD786415:VJD786442 VSZ786415:VSZ786442 WCV786415:WCV786442 WMR786415:WMR786442 WWN786415:WWN786442 AF851951:AF851978 KB851951:KB851978 TX851951:TX851978 ADT851951:ADT851978 ANP851951:ANP851978 AXL851951:AXL851978 BHH851951:BHH851978 BRD851951:BRD851978 CAZ851951:CAZ851978 CKV851951:CKV851978 CUR851951:CUR851978 DEN851951:DEN851978 DOJ851951:DOJ851978 DYF851951:DYF851978 EIB851951:EIB851978 ERX851951:ERX851978 FBT851951:FBT851978 FLP851951:FLP851978 FVL851951:FVL851978 GFH851951:GFH851978 GPD851951:GPD851978 GYZ851951:GYZ851978 HIV851951:HIV851978 HSR851951:HSR851978 ICN851951:ICN851978 IMJ851951:IMJ851978 IWF851951:IWF851978 JGB851951:JGB851978 JPX851951:JPX851978 JZT851951:JZT851978 KJP851951:KJP851978 KTL851951:KTL851978 LDH851951:LDH851978 LND851951:LND851978 LWZ851951:LWZ851978 MGV851951:MGV851978 MQR851951:MQR851978 NAN851951:NAN851978 NKJ851951:NKJ851978 NUF851951:NUF851978 OEB851951:OEB851978 ONX851951:ONX851978 OXT851951:OXT851978 PHP851951:PHP851978 PRL851951:PRL851978 QBH851951:QBH851978 QLD851951:QLD851978 QUZ851951:QUZ851978 REV851951:REV851978 ROR851951:ROR851978 RYN851951:RYN851978 SIJ851951:SIJ851978 SSF851951:SSF851978 TCB851951:TCB851978 TLX851951:TLX851978 TVT851951:TVT851978 UFP851951:UFP851978 UPL851951:UPL851978 UZH851951:UZH851978 VJD851951:VJD851978 VSZ851951:VSZ851978 WCV851951:WCV851978 WMR851951:WMR851978 WWN851951:WWN851978 AF917487:AF917514 KB917487:KB917514 TX917487:TX917514 ADT917487:ADT917514 ANP917487:ANP917514 AXL917487:AXL917514 BHH917487:BHH917514 BRD917487:BRD917514 CAZ917487:CAZ917514 CKV917487:CKV917514 CUR917487:CUR917514 DEN917487:DEN917514 DOJ917487:DOJ917514 DYF917487:DYF917514 EIB917487:EIB917514 ERX917487:ERX917514 FBT917487:FBT917514 FLP917487:FLP917514 FVL917487:FVL917514 GFH917487:GFH917514 GPD917487:GPD917514 GYZ917487:GYZ917514 HIV917487:HIV917514 HSR917487:HSR917514 ICN917487:ICN917514 IMJ917487:IMJ917514 IWF917487:IWF917514 JGB917487:JGB917514 JPX917487:JPX917514 JZT917487:JZT917514 KJP917487:KJP917514 KTL917487:KTL917514 LDH917487:LDH917514 LND917487:LND917514 LWZ917487:LWZ917514 MGV917487:MGV917514 MQR917487:MQR917514 NAN917487:NAN917514 NKJ917487:NKJ917514 NUF917487:NUF917514 OEB917487:OEB917514 ONX917487:ONX917514 OXT917487:OXT917514 PHP917487:PHP917514 PRL917487:PRL917514 QBH917487:QBH917514 QLD917487:QLD917514 QUZ917487:QUZ917514 REV917487:REV917514 ROR917487:ROR917514 RYN917487:RYN917514 SIJ917487:SIJ917514 SSF917487:SSF917514 TCB917487:TCB917514 TLX917487:TLX917514 TVT917487:TVT917514 UFP917487:UFP917514 UPL917487:UPL917514 UZH917487:UZH917514 VJD917487:VJD917514 VSZ917487:VSZ917514 WCV917487:WCV917514 WMR917487:WMR917514 WWN917487:WWN917514 AF983023:AF983050 KB983023:KB983050 TX983023:TX983050 ADT983023:ADT983050 ANP983023:ANP983050 AXL983023:AXL983050 BHH983023:BHH983050 BRD983023:BRD983050 CAZ983023:CAZ983050 CKV983023:CKV983050 CUR983023:CUR983050 DEN983023:DEN983050 DOJ983023:DOJ983050 DYF983023:DYF983050 EIB983023:EIB983050 ERX983023:ERX983050 FBT983023:FBT983050 FLP983023:FLP983050 FVL983023:FVL983050 GFH983023:GFH983050 GPD983023:GPD983050 GYZ983023:GYZ983050 HIV983023:HIV983050 HSR983023:HSR983050 ICN983023:ICN983050 IMJ983023:IMJ983050 IWF983023:IWF983050 JGB983023:JGB983050 JPX983023:JPX983050 JZT983023:JZT983050 KJP983023:KJP983050 KTL983023:KTL983050 LDH983023:LDH983050 LND983023:LND983050 LWZ983023:LWZ983050 MGV983023:MGV983050 MQR983023:MQR983050 NAN983023:NAN983050 NKJ983023:NKJ983050 NUF983023:NUF983050 OEB983023:OEB983050 ONX983023:ONX983050 OXT983023:OXT983050 PHP983023:PHP983050 PRL983023:PRL983050 QBH983023:QBH983050 QLD983023:QLD983050 QUZ983023:QUZ983050 REV983023:REV983050 ROR983023:ROR983050 RYN983023:RYN983050 SIJ983023:SIJ983050 SSF983023:SSF983050 TCB983023:TCB983050 TLX983023:TLX983050 TVT983023:TVT983050 UFP983023:UFP983050 UPL983023:UPL983050 UZH983023:UZH983050 VJD983023:VJD983050 VSZ983023:VSZ983050 WCV983023:WCV983050 WMR983023:WMR983050 AF8:AF10">
      <formula1>$AJ$1:$AJ$4</formula1>
    </dataValidation>
    <dataValidation type="list" allowBlank="1" showInputMessage="1" showErrorMessage="1" sqref="WWM983023 AE8:AE10 WMQ983023 WCU983023 VSY983023 VJC983023 UZG983023 UPK983023 UFO983023 TVS983023 TLW983023 TCA983023 SSE983023 SII983023 RYM983023 ROQ983023 REU983023 QUY983023 QLC983023 QBG983023 PRK983023 PHO983023 OXS983023 ONW983023 OEA983023 NUE983023 NKI983023 NAM983023 MQQ983023 MGU983023 LWY983023 LNC983023 LDG983023 KTK983023 KJO983023 JZS983023 JPW983023 JGA983023 IWE983023 IMI983023 ICM983023 HSQ983023 HIU983023 GYY983023 GPC983023 GFG983023 FVK983023 FLO983023 FBS983023 ERW983023 EIA983023 DYE983023 DOI983023 DEM983023 CUQ983023 CKU983023 CAY983023 BRC983023 BHG983023 AXK983023 ANO983023 ADS983023 TW983023 KA983023 AE983023 WWM917487 WMQ917487 WCU917487 VSY917487 VJC917487 UZG917487 UPK917487 UFO917487 TVS917487 TLW917487 TCA917487 SSE917487 SII917487 RYM917487 ROQ917487 REU917487 QUY917487 QLC917487 QBG917487 PRK917487 PHO917487 OXS917487 ONW917487 OEA917487 NUE917487 NKI917487 NAM917487 MQQ917487 MGU917487 LWY917487 LNC917487 LDG917487 KTK917487 KJO917487 JZS917487 JPW917487 JGA917487 IWE917487 IMI917487 ICM917487 HSQ917487 HIU917487 GYY917487 GPC917487 GFG917487 FVK917487 FLO917487 FBS917487 ERW917487 EIA917487 DYE917487 DOI917487 DEM917487 CUQ917487 CKU917487 CAY917487 BRC917487 BHG917487 AXK917487 ANO917487 ADS917487 TW917487 KA917487 AE917487 WWM851951 WMQ851951 WCU851951 VSY851951 VJC851951 UZG851951 UPK851951 UFO851951 TVS851951 TLW851951 TCA851951 SSE851951 SII851951 RYM851951 ROQ851951 REU851951 QUY851951 QLC851951 QBG851951 PRK851951 PHO851951 OXS851951 ONW851951 OEA851951 NUE851951 NKI851951 NAM851951 MQQ851951 MGU851951 LWY851951 LNC851951 LDG851951 KTK851951 KJO851951 JZS851951 JPW851951 JGA851951 IWE851951 IMI851951 ICM851951 HSQ851951 HIU851951 GYY851951 GPC851951 GFG851951 FVK851951 FLO851951 FBS851951 ERW851951 EIA851951 DYE851951 DOI851951 DEM851951 CUQ851951 CKU851951 CAY851951 BRC851951 BHG851951 AXK851951 ANO851951 ADS851951 TW851951 KA851951 AE851951 WWM786415 WMQ786415 WCU786415 VSY786415 VJC786415 UZG786415 UPK786415 UFO786415 TVS786415 TLW786415 TCA786415 SSE786415 SII786415 RYM786415 ROQ786415 REU786415 QUY786415 QLC786415 QBG786415 PRK786415 PHO786415 OXS786415 ONW786415 OEA786415 NUE786415 NKI786415 NAM786415 MQQ786415 MGU786415 LWY786415 LNC786415 LDG786415 KTK786415 KJO786415 JZS786415 JPW786415 JGA786415 IWE786415 IMI786415 ICM786415 HSQ786415 HIU786415 GYY786415 GPC786415 GFG786415 FVK786415 FLO786415 FBS786415 ERW786415 EIA786415 DYE786415 DOI786415 DEM786415 CUQ786415 CKU786415 CAY786415 BRC786415 BHG786415 AXK786415 ANO786415 ADS786415 TW786415 KA786415 AE786415 WWM720879 WMQ720879 WCU720879 VSY720879 VJC720879 UZG720879 UPK720879 UFO720879 TVS720879 TLW720879 TCA720879 SSE720879 SII720879 RYM720879 ROQ720879 REU720879 QUY720879 QLC720879 QBG720879 PRK720879 PHO720879 OXS720879 ONW720879 OEA720879 NUE720879 NKI720879 NAM720879 MQQ720879 MGU720879 LWY720879 LNC720879 LDG720879 KTK720879 KJO720879 JZS720879 JPW720879 JGA720879 IWE720879 IMI720879 ICM720879 HSQ720879 HIU720879 GYY720879 GPC720879 GFG720879 FVK720879 FLO720879 FBS720879 ERW720879 EIA720879 DYE720879 DOI720879 DEM720879 CUQ720879 CKU720879 CAY720879 BRC720879 BHG720879 AXK720879 ANO720879 ADS720879 TW720879 KA720879 AE720879 WWM655343 WMQ655343 WCU655343 VSY655343 VJC655343 UZG655343 UPK655343 UFO655343 TVS655343 TLW655343 TCA655343 SSE655343 SII655343 RYM655343 ROQ655343 REU655343 QUY655343 QLC655343 QBG655343 PRK655343 PHO655343 OXS655343 ONW655343 OEA655343 NUE655343 NKI655343 NAM655343 MQQ655343 MGU655343 LWY655343 LNC655343 LDG655343 KTK655343 KJO655343 JZS655343 JPW655343 JGA655343 IWE655343 IMI655343 ICM655343 HSQ655343 HIU655343 GYY655343 GPC655343 GFG655343 FVK655343 FLO655343 FBS655343 ERW655343 EIA655343 DYE655343 DOI655343 DEM655343 CUQ655343 CKU655343 CAY655343 BRC655343 BHG655343 AXK655343 ANO655343 ADS655343 TW655343 KA655343 AE655343 WWM589807 WMQ589807 WCU589807 VSY589807 VJC589807 UZG589807 UPK589807 UFO589807 TVS589807 TLW589807 TCA589807 SSE589807 SII589807 RYM589807 ROQ589807 REU589807 QUY589807 QLC589807 QBG589807 PRK589807 PHO589807 OXS589807 ONW589807 OEA589807 NUE589807 NKI589807 NAM589807 MQQ589807 MGU589807 LWY589807 LNC589807 LDG589807 KTK589807 KJO589807 JZS589807 JPW589807 JGA589807 IWE589807 IMI589807 ICM589807 HSQ589807 HIU589807 GYY589807 GPC589807 GFG589807 FVK589807 FLO589807 FBS589807 ERW589807 EIA589807 DYE589807 DOI589807 DEM589807 CUQ589807 CKU589807 CAY589807 BRC589807 BHG589807 AXK589807 ANO589807 ADS589807 TW589807 KA589807 AE589807 WWM524271 WMQ524271 WCU524271 VSY524271 VJC524271 UZG524271 UPK524271 UFO524271 TVS524271 TLW524271 TCA524271 SSE524271 SII524271 RYM524271 ROQ524271 REU524271 QUY524271 QLC524271 QBG524271 PRK524271 PHO524271 OXS524271 ONW524271 OEA524271 NUE524271 NKI524271 NAM524271 MQQ524271 MGU524271 LWY524271 LNC524271 LDG524271 KTK524271 KJO524271 JZS524271 JPW524271 JGA524271 IWE524271 IMI524271 ICM524271 HSQ524271 HIU524271 GYY524271 GPC524271 GFG524271 FVK524271 FLO524271 FBS524271 ERW524271 EIA524271 DYE524271 DOI524271 DEM524271 CUQ524271 CKU524271 CAY524271 BRC524271 BHG524271 AXK524271 ANO524271 ADS524271 TW524271 KA524271 AE524271 WWM458735 WMQ458735 WCU458735 VSY458735 VJC458735 UZG458735 UPK458735 UFO458735 TVS458735 TLW458735 TCA458735 SSE458735 SII458735 RYM458735 ROQ458735 REU458735 QUY458735 QLC458735 QBG458735 PRK458735 PHO458735 OXS458735 ONW458735 OEA458735 NUE458735 NKI458735 NAM458735 MQQ458735 MGU458735 LWY458735 LNC458735 LDG458735 KTK458735 KJO458735 JZS458735 JPW458735 JGA458735 IWE458735 IMI458735 ICM458735 HSQ458735 HIU458735 GYY458735 GPC458735 GFG458735 FVK458735 FLO458735 FBS458735 ERW458735 EIA458735 DYE458735 DOI458735 DEM458735 CUQ458735 CKU458735 CAY458735 BRC458735 BHG458735 AXK458735 ANO458735 ADS458735 TW458735 KA458735 AE458735 WWM393199 WMQ393199 WCU393199 VSY393199 VJC393199 UZG393199 UPK393199 UFO393199 TVS393199 TLW393199 TCA393199 SSE393199 SII393199 RYM393199 ROQ393199 REU393199 QUY393199 QLC393199 QBG393199 PRK393199 PHO393199 OXS393199 ONW393199 OEA393199 NUE393199 NKI393199 NAM393199 MQQ393199 MGU393199 LWY393199 LNC393199 LDG393199 KTK393199 KJO393199 JZS393199 JPW393199 JGA393199 IWE393199 IMI393199 ICM393199 HSQ393199 HIU393199 GYY393199 GPC393199 GFG393199 FVK393199 FLO393199 FBS393199 ERW393199 EIA393199 DYE393199 DOI393199 DEM393199 CUQ393199 CKU393199 CAY393199 BRC393199 BHG393199 AXK393199 ANO393199 ADS393199 TW393199 KA393199 AE393199 WWM327663 WMQ327663 WCU327663 VSY327663 VJC327663 UZG327663 UPK327663 UFO327663 TVS327663 TLW327663 TCA327663 SSE327663 SII327663 RYM327663 ROQ327663 REU327663 QUY327663 QLC327663 QBG327663 PRK327663 PHO327663 OXS327663 ONW327663 OEA327663 NUE327663 NKI327663 NAM327663 MQQ327663 MGU327663 LWY327663 LNC327663 LDG327663 KTK327663 KJO327663 JZS327663 JPW327663 JGA327663 IWE327663 IMI327663 ICM327663 HSQ327663 HIU327663 GYY327663 GPC327663 GFG327663 FVK327663 FLO327663 FBS327663 ERW327663 EIA327663 DYE327663 DOI327663 DEM327663 CUQ327663 CKU327663 CAY327663 BRC327663 BHG327663 AXK327663 ANO327663 ADS327663 TW327663 KA327663 AE327663 WWM262127 WMQ262127 WCU262127 VSY262127 VJC262127 UZG262127 UPK262127 UFO262127 TVS262127 TLW262127 TCA262127 SSE262127 SII262127 RYM262127 ROQ262127 REU262127 QUY262127 QLC262127 QBG262127 PRK262127 PHO262127 OXS262127 ONW262127 OEA262127 NUE262127 NKI262127 NAM262127 MQQ262127 MGU262127 LWY262127 LNC262127 LDG262127 KTK262127 KJO262127 JZS262127 JPW262127 JGA262127 IWE262127 IMI262127 ICM262127 HSQ262127 HIU262127 GYY262127 GPC262127 GFG262127 FVK262127 FLO262127 FBS262127 ERW262127 EIA262127 DYE262127 DOI262127 DEM262127 CUQ262127 CKU262127 CAY262127 BRC262127 BHG262127 AXK262127 ANO262127 ADS262127 TW262127 KA262127 AE262127 WWM196591 WMQ196591 WCU196591 VSY196591 VJC196591 UZG196591 UPK196591 UFO196591 TVS196591 TLW196591 TCA196591 SSE196591 SII196591 RYM196591 ROQ196591 REU196591 QUY196591 QLC196591 QBG196591 PRK196591 PHO196591 OXS196591 ONW196591 OEA196591 NUE196591 NKI196591 NAM196591 MQQ196591 MGU196591 LWY196591 LNC196591 LDG196591 KTK196591 KJO196591 JZS196591 JPW196591 JGA196591 IWE196591 IMI196591 ICM196591 HSQ196591 HIU196591 GYY196591 GPC196591 GFG196591 FVK196591 FLO196591 FBS196591 ERW196591 EIA196591 DYE196591 DOI196591 DEM196591 CUQ196591 CKU196591 CAY196591 BRC196591 BHG196591 AXK196591 ANO196591 ADS196591 TW196591 KA196591 AE196591 WWM131055 WMQ131055 WCU131055 VSY131055 VJC131055 UZG131055 UPK131055 UFO131055 TVS131055 TLW131055 TCA131055 SSE131055 SII131055 RYM131055 ROQ131055 REU131055 QUY131055 QLC131055 QBG131055 PRK131055 PHO131055 OXS131055 ONW131055 OEA131055 NUE131055 NKI131055 NAM131055 MQQ131055 MGU131055 LWY131055 LNC131055 LDG131055 KTK131055 KJO131055 JZS131055 JPW131055 JGA131055 IWE131055 IMI131055 ICM131055 HSQ131055 HIU131055 GYY131055 GPC131055 GFG131055 FVK131055 FLO131055 FBS131055 ERW131055 EIA131055 DYE131055 DOI131055 DEM131055 CUQ131055 CKU131055 CAY131055 BRC131055 BHG131055 AXK131055 ANO131055 ADS131055 TW131055 KA131055 AE131055 WWM65519 WMQ65519 WCU65519 VSY65519 VJC65519 UZG65519 UPK65519 UFO65519 TVS65519 TLW65519 TCA65519 SSE65519 SII65519 RYM65519 ROQ65519 REU65519 QUY65519 QLC65519 QBG65519 PRK65519 PHO65519 OXS65519 ONW65519 OEA65519 NUE65519 NKI65519 NAM65519 MQQ65519 MGU65519 LWY65519 LNC65519 LDG65519 KTK65519 KJO65519 JZS65519 JPW65519 JGA65519 IWE65519 IMI65519 ICM65519 HSQ65519 HIU65519 GYY65519 GPC65519 GFG65519 FVK65519 FLO65519 FBS65519 ERW65519 EIA65519 DYE65519 DOI65519 DEM65519 CUQ65519 CKU65519 CAY65519 BRC65519 BHG65519 AXK65519 ANO65519 ADS65519 TW65519 KA65519 AE65519 WWM8 WMQ8 WCU8 VSY8 VJC8 UZG8 UPK8 UFO8 TVS8 TLW8 TCA8 SSE8 SII8 RYM8 ROQ8 REU8 QUY8 QLC8 QBG8 PRK8 PHO8 OXS8 ONW8 OEA8 NUE8 NKI8 NAM8 MQQ8 MGU8 LWY8 LNC8 LDG8 KTK8 KJO8 JZS8 JPW8 JGA8 IWE8 IMI8 ICM8 HSQ8 HIU8 GYY8 GPC8 GFG8 FVK8 FLO8 FBS8 ERW8 EIA8 DYE8 DOI8 DEM8 CUQ8 CKU8 CAY8 BRC8 BHG8 AXK8 ANO8 ADS8 TW8 KA8">
      <formula1>$B$20:$B$22</formula1>
    </dataValidation>
    <dataValidation type="list" allowBlank="1" showInputMessage="1" showErrorMessage="1" sqref="H8 WVP983049 WLT983049 WBX983049 VSB983049 VIF983049 UYJ983049 UON983049 UER983049 TUV983049 TKZ983049 TBD983049 SRH983049 SHL983049 RXP983049 RNT983049 RDX983049 QUB983049 QKF983049 QAJ983049 PQN983049 PGR983049 OWV983049 OMZ983049 ODD983049 NTH983049 NJL983049 MZP983049 MPT983049 MFX983049 LWB983049 LMF983049 LCJ983049 KSN983049 KIR983049 JYV983049 JOZ983049 JFD983049 IVH983049 ILL983049 IBP983049 HRT983049 HHX983049 GYB983049 GOF983049 GEJ983049 FUN983049 FKR983049 FAV983049 EQZ983049 EHD983049 DXH983049 DNL983049 DDP983049 CTT983049 CJX983049 CAB983049 BQF983049 BGJ983049 AWN983049 AMR983049 ACV983049 SZ983049 JD983049 H983049 WVP917513 WLT917513 WBX917513 VSB917513 VIF917513 UYJ917513 UON917513 UER917513 TUV917513 TKZ917513 TBD917513 SRH917513 SHL917513 RXP917513 RNT917513 RDX917513 QUB917513 QKF917513 QAJ917513 PQN917513 PGR917513 OWV917513 OMZ917513 ODD917513 NTH917513 NJL917513 MZP917513 MPT917513 MFX917513 LWB917513 LMF917513 LCJ917513 KSN917513 KIR917513 JYV917513 JOZ917513 JFD917513 IVH917513 ILL917513 IBP917513 HRT917513 HHX917513 GYB917513 GOF917513 GEJ917513 FUN917513 FKR917513 FAV917513 EQZ917513 EHD917513 DXH917513 DNL917513 DDP917513 CTT917513 CJX917513 CAB917513 BQF917513 BGJ917513 AWN917513 AMR917513 ACV917513 SZ917513 JD917513 H917513 WVP851977 WLT851977 WBX851977 VSB851977 VIF851977 UYJ851977 UON851977 UER851977 TUV851977 TKZ851977 TBD851977 SRH851977 SHL851977 RXP851977 RNT851977 RDX851977 QUB851977 QKF851977 QAJ851977 PQN851977 PGR851977 OWV851977 OMZ851977 ODD851977 NTH851977 NJL851977 MZP851977 MPT851977 MFX851977 LWB851977 LMF851977 LCJ851977 KSN851977 KIR851977 JYV851977 JOZ851977 JFD851977 IVH851977 ILL851977 IBP851977 HRT851977 HHX851977 GYB851977 GOF851977 GEJ851977 FUN851977 FKR851977 FAV851977 EQZ851977 EHD851977 DXH851977 DNL851977 DDP851977 CTT851977 CJX851977 CAB851977 BQF851977 BGJ851977 AWN851977 AMR851977 ACV851977 SZ851977 JD851977 H851977 WVP786441 WLT786441 WBX786441 VSB786441 VIF786441 UYJ786441 UON786441 UER786441 TUV786441 TKZ786441 TBD786441 SRH786441 SHL786441 RXP786441 RNT786441 RDX786441 QUB786441 QKF786441 QAJ786441 PQN786441 PGR786441 OWV786441 OMZ786441 ODD786441 NTH786441 NJL786441 MZP786441 MPT786441 MFX786441 LWB786441 LMF786441 LCJ786441 KSN786441 KIR786441 JYV786441 JOZ786441 JFD786441 IVH786441 ILL786441 IBP786441 HRT786441 HHX786441 GYB786441 GOF786441 GEJ786441 FUN786441 FKR786441 FAV786441 EQZ786441 EHD786441 DXH786441 DNL786441 DDP786441 CTT786441 CJX786441 CAB786441 BQF786441 BGJ786441 AWN786441 AMR786441 ACV786441 SZ786441 JD786441 H786441 WVP720905 WLT720905 WBX720905 VSB720905 VIF720905 UYJ720905 UON720905 UER720905 TUV720905 TKZ720905 TBD720905 SRH720905 SHL720905 RXP720905 RNT720905 RDX720905 QUB720905 QKF720905 QAJ720905 PQN720905 PGR720905 OWV720905 OMZ720905 ODD720905 NTH720905 NJL720905 MZP720905 MPT720905 MFX720905 LWB720905 LMF720905 LCJ720905 KSN720905 KIR720905 JYV720905 JOZ720905 JFD720905 IVH720905 ILL720905 IBP720905 HRT720905 HHX720905 GYB720905 GOF720905 GEJ720905 FUN720905 FKR720905 FAV720905 EQZ720905 EHD720905 DXH720905 DNL720905 DDP720905 CTT720905 CJX720905 CAB720905 BQF720905 BGJ720905 AWN720905 AMR720905 ACV720905 SZ720905 JD720905 H720905 WVP655369 WLT655369 WBX655369 VSB655369 VIF655369 UYJ655369 UON655369 UER655369 TUV655369 TKZ655369 TBD655369 SRH655369 SHL655369 RXP655369 RNT655369 RDX655369 QUB655369 QKF655369 QAJ655369 PQN655369 PGR655369 OWV655369 OMZ655369 ODD655369 NTH655369 NJL655369 MZP655369 MPT655369 MFX655369 LWB655369 LMF655369 LCJ655369 KSN655369 KIR655369 JYV655369 JOZ655369 JFD655369 IVH655369 ILL655369 IBP655369 HRT655369 HHX655369 GYB655369 GOF655369 GEJ655369 FUN655369 FKR655369 FAV655369 EQZ655369 EHD655369 DXH655369 DNL655369 DDP655369 CTT655369 CJX655369 CAB655369 BQF655369 BGJ655369 AWN655369 AMR655369 ACV655369 SZ655369 JD655369 H655369 WVP589833 WLT589833 WBX589833 VSB589833 VIF589833 UYJ589833 UON589833 UER589833 TUV589833 TKZ589833 TBD589833 SRH589833 SHL589833 RXP589833 RNT589833 RDX589833 QUB589833 QKF589833 QAJ589833 PQN589833 PGR589833 OWV589833 OMZ589833 ODD589833 NTH589833 NJL589833 MZP589833 MPT589833 MFX589833 LWB589833 LMF589833 LCJ589833 KSN589833 KIR589833 JYV589833 JOZ589833 JFD589833 IVH589833 ILL589833 IBP589833 HRT589833 HHX589833 GYB589833 GOF589833 GEJ589833 FUN589833 FKR589833 FAV589833 EQZ589833 EHD589833 DXH589833 DNL589833 DDP589833 CTT589833 CJX589833 CAB589833 BQF589833 BGJ589833 AWN589833 AMR589833 ACV589833 SZ589833 JD589833 H589833 WVP524297 WLT524297 WBX524297 VSB524297 VIF524297 UYJ524297 UON524297 UER524297 TUV524297 TKZ524297 TBD524297 SRH524297 SHL524297 RXP524297 RNT524297 RDX524297 QUB524297 QKF524297 QAJ524297 PQN524297 PGR524297 OWV524297 OMZ524297 ODD524297 NTH524297 NJL524297 MZP524297 MPT524297 MFX524297 LWB524297 LMF524297 LCJ524297 KSN524297 KIR524297 JYV524297 JOZ524297 JFD524297 IVH524297 ILL524297 IBP524297 HRT524297 HHX524297 GYB524297 GOF524297 GEJ524297 FUN524297 FKR524297 FAV524297 EQZ524297 EHD524297 DXH524297 DNL524297 DDP524297 CTT524297 CJX524297 CAB524297 BQF524297 BGJ524297 AWN524297 AMR524297 ACV524297 SZ524297 JD524297 H524297 WVP458761 WLT458761 WBX458761 VSB458761 VIF458761 UYJ458761 UON458761 UER458761 TUV458761 TKZ458761 TBD458761 SRH458761 SHL458761 RXP458761 RNT458761 RDX458761 QUB458761 QKF458761 QAJ458761 PQN458761 PGR458761 OWV458761 OMZ458761 ODD458761 NTH458761 NJL458761 MZP458761 MPT458761 MFX458761 LWB458761 LMF458761 LCJ458761 KSN458761 KIR458761 JYV458761 JOZ458761 JFD458761 IVH458761 ILL458761 IBP458761 HRT458761 HHX458761 GYB458761 GOF458761 GEJ458761 FUN458761 FKR458761 FAV458761 EQZ458761 EHD458761 DXH458761 DNL458761 DDP458761 CTT458761 CJX458761 CAB458761 BQF458761 BGJ458761 AWN458761 AMR458761 ACV458761 SZ458761 JD458761 H458761 WVP393225 WLT393225 WBX393225 VSB393225 VIF393225 UYJ393225 UON393225 UER393225 TUV393225 TKZ393225 TBD393225 SRH393225 SHL393225 RXP393225 RNT393225 RDX393225 QUB393225 QKF393225 QAJ393225 PQN393225 PGR393225 OWV393225 OMZ393225 ODD393225 NTH393225 NJL393225 MZP393225 MPT393225 MFX393225 LWB393225 LMF393225 LCJ393225 KSN393225 KIR393225 JYV393225 JOZ393225 JFD393225 IVH393225 ILL393225 IBP393225 HRT393225 HHX393225 GYB393225 GOF393225 GEJ393225 FUN393225 FKR393225 FAV393225 EQZ393225 EHD393225 DXH393225 DNL393225 DDP393225 CTT393225 CJX393225 CAB393225 BQF393225 BGJ393225 AWN393225 AMR393225 ACV393225 SZ393225 JD393225 H393225 WVP327689 WLT327689 WBX327689 VSB327689 VIF327689 UYJ327689 UON327689 UER327689 TUV327689 TKZ327689 TBD327689 SRH327689 SHL327689 RXP327689 RNT327689 RDX327689 QUB327689 QKF327689 QAJ327689 PQN327689 PGR327689 OWV327689 OMZ327689 ODD327689 NTH327689 NJL327689 MZP327689 MPT327689 MFX327689 LWB327689 LMF327689 LCJ327689 KSN327689 KIR327689 JYV327689 JOZ327689 JFD327689 IVH327689 ILL327689 IBP327689 HRT327689 HHX327689 GYB327689 GOF327689 GEJ327689 FUN327689 FKR327689 FAV327689 EQZ327689 EHD327689 DXH327689 DNL327689 DDP327689 CTT327689 CJX327689 CAB327689 BQF327689 BGJ327689 AWN327689 AMR327689 ACV327689 SZ327689 JD327689 H327689 WVP262153 WLT262153 WBX262153 VSB262153 VIF262153 UYJ262153 UON262153 UER262153 TUV262153 TKZ262153 TBD262153 SRH262153 SHL262153 RXP262153 RNT262153 RDX262153 QUB262153 QKF262153 QAJ262153 PQN262153 PGR262153 OWV262153 OMZ262153 ODD262153 NTH262153 NJL262153 MZP262153 MPT262153 MFX262153 LWB262153 LMF262153 LCJ262153 KSN262153 KIR262153 JYV262153 JOZ262153 JFD262153 IVH262153 ILL262153 IBP262153 HRT262153 HHX262153 GYB262153 GOF262153 GEJ262153 FUN262153 FKR262153 FAV262153 EQZ262153 EHD262153 DXH262153 DNL262153 DDP262153 CTT262153 CJX262153 CAB262153 BQF262153 BGJ262153 AWN262153 AMR262153 ACV262153 SZ262153 JD262153 H262153 WVP196617 WLT196617 WBX196617 VSB196617 VIF196617 UYJ196617 UON196617 UER196617 TUV196617 TKZ196617 TBD196617 SRH196617 SHL196617 RXP196617 RNT196617 RDX196617 QUB196617 QKF196617 QAJ196617 PQN196617 PGR196617 OWV196617 OMZ196617 ODD196617 NTH196617 NJL196617 MZP196617 MPT196617 MFX196617 LWB196617 LMF196617 LCJ196617 KSN196617 KIR196617 JYV196617 JOZ196617 JFD196617 IVH196617 ILL196617 IBP196617 HRT196617 HHX196617 GYB196617 GOF196617 GEJ196617 FUN196617 FKR196617 FAV196617 EQZ196617 EHD196617 DXH196617 DNL196617 DDP196617 CTT196617 CJX196617 CAB196617 BQF196617 BGJ196617 AWN196617 AMR196617 ACV196617 SZ196617 JD196617 H196617 WVP131081 WLT131081 WBX131081 VSB131081 VIF131081 UYJ131081 UON131081 UER131081 TUV131081 TKZ131081 TBD131081 SRH131081 SHL131081 RXP131081 RNT131081 RDX131081 QUB131081 QKF131081 QAJ131081 PQN131081 PGR131081 OWV131081 OMZ131081 ODD131081 NTH131081 NJL131081 MZP131081 MPT131081 MFX131081 LWB131081 LMF131081 LCJ131081 KSN131081 KIR131081 JYV131081 JOZ131081 JFD131081 IVH131081 ILL131081 IBP131081 HRT131081 HHX131081 GYB131081 GOF131081 GEJ131081 FUN131081 FKR131081 FAV131081 EQZ131081 EHD131081 DXH131081 DNL131081 DDP131081 CTT131081 CJX131081 CAB131081 BQF131081 BGJ131081 AWN131081 AMR131081 ACV131081 SZ131081 JD131081 H131081 WVP65545 WLT65545 WBX65545 VSB65545 VIF65545 UYJ65545 UON65545 UER65545 TUV65545 TKZ65545 TBD65545 SRH65545 SHL65545 RXP65545 RNT65545 RDX65545 QUB65545 QKF65545 QAJ65545 PQN65545 PGR65545 OWV65545 OMZ65545 ODD65545 NTH65545 NJL65545 MZP65545 MPT65545 MFX65545 LWB65545 LMF65545 LCJ65545 KSN65545 KIR65545 JYV65545 JOZ65545 JFD65545 IVH65545 ILL65545 IBP65545 HRT65545 HHX65545 GYB65545 GOF65545 GEJ65545 FUN65545 FKR65545 FAV65545 EQZ65545 EHD65545 DXH65545 DNL65545 DDP65545 CTT65545 CJX65545 CAB65545 BQF65545 BGJ65545 AWN65545 AMR65545 ACV65545 SZ65545 JD65545 H65545 WVP983046 WLT983046 WBX983046 VSB983046 VIF983046 UYJ983046 UON983046 UER983046 TUV983046 TKZ983046 TBD983046 SRH983046 SHL983046 RXP983046 RNT983046 RDX983046 QUB983046 QKF983046 QAJ983046 PQN983046 PGR983046 OWV983046 OMZ983046 ODD983046 NTH983046 NJL983046 MZP983046 MPT983046 MFX983046 LWB983046 LMF983046 LCJ983046 KSN983046 KIR983046 JYV983046 JOZ983046 JFD983046 IVH983046 ILL983046 IBP983046 HRT983046 HHX983046 GYB983046 GOF983046 GEJ983046 FUN983046 FKR983046 FAV983046 EQZ983046 EHD983046 DXH983046 DNL983046 DDP983046 CTT983046 CJX983046 CAB983046 BQF983046 BGJ983046 AWN983046 AMR983046 ACV983046 SZ983046 JD983046 H983046 WVP917510 WLT917510 WBX917510 VSB917510 VIF917510 UYJ917510 UON917510 UER917510 TUV917510 TKZ917510 TBD917510 SRH917510 SHL917510 RXP917510 RNT917510 RDX917510 QUB917510 QKF917510 QAJ917510 PQN917510 PGR917510 OWV917510 OMZ917510 ODD917510 NTH917510 NJL917510 MZP917510 MPT917510 MFX917510 LWB917510 LMF917510 LCJ917510 KSN917510 KIR917510 JYV917510 JOZ917510 JFD917510 IVH917510 ILL917510 IBP917510 HRT917510 HHX917510 GYB917510 GOF917510 GEJ917510 FUN917510 FKR917510 FAV917510 EQZ917510 EHD917510 DXH917510 DNL917510 DDP917510 CTT917510 CJX917510 CAB917510 BQF917510 BGJ917510 AWN917510 AMR917510 ACV917510 SZ917510 JD917510 H917510 WVP851974 WLT851974 WBX851974 VSB851974 VIF851974 UYJ851974 UON851974 UER851974 TUV851974 TKZ851974 TBD851974 SRH851974 SHL851974 RXP851974 RNT851974 RDX851974 QUB851974 QKF851974 QAJ851974 PQN851974 PGR851974 OWV851974 OMZ851974 ODD851974 NTH851974 NJL851974 MZP851974 MPT851974 MFX851974 LWB851974 LMF851974 LCJ851974 KSN851974 KIR851974 JYV851974 JOZ851974 JFD851974 IVH851974 ILL851974 IBP851974 HRT851974 HHX851974 GYB851974 GOF851974 GEJ851974 FUN851974 FKR851974 FAV851974 EQZ851974 EHD851974 DXH851974 DNL851974 DDP851974 CTT851974 CJX851974 CAB851974 BQF851974 BGJ851974 AWN851974 AMR851974 ACV851974 SZ851974 JD851974 H851974 WVP786438 WLT786438 WBX786438 VSB786438 VIF786438 UYJ786438 UON786438 UER786438 TUV786438 TKZ786438 TBD786438 SRH786438 SHL786438 RXP786438 RNT786438 RDX786438 QUB786438 QKF786438 QAJ786438 PQN786438 PGR786438 OWV786438 OMZ786438 ODD786438 NTH786438 NJL786438 MZP786438 MPT786438 MFX786438 LWB786438 LMF786438 LCJ786438 KSN786438 KIR786438 JYV786438 JOZ786438 JFD786438 IVH786438 ILL786438 IBP786438 HRT786438 HHX786438 GYB786438 GOF786438 GEJ786438 FUN786438 FKR786438 FAV786438 EQZ786438 EHD786438 DXH786438 DNL786438 DDP786438 CTT786438 CJX786438 CAB786438 BQF786438 BGJ786438 AWN786438 AMR786438 ACV786438 SZ786438 JD786438 H786438 WVP720902 WLT720902 WBX720902 VSB720902 VIF720902 UYJ720902 UON720902 UER720902 TUV720902 TKZ720902 TBD720902 SRH720902 SHL720902 RXP720902 RNT720902 RDX720902 QUB720902 QKF720902 QAJ720902 PQN720902 PGR720902 OWV720902 OMZ720902 ODD720902 NTH720902 NJL720902 MZP720902 MPT720902 MFX720902 LWB720902 LMF720902 LCJ720902 KSN720902 KIR720902 JYV720902 JOZ720902 JFD720902 IVH720902 ILL720902 IBP720902 HRT720902 HHX720902 GYB720902 GOF720902 GEJ720902 FUN720902 FKR720902 FAV720902 EQZ720902 EHD720902 DXH720902 DNL720902 DDP720902 CTT720902 CJX720902 CAB720902 BQF720902 BGJ720902 AWN720902 AMR720902 ACV720902 SZ720902 JD720902 H720902 WVP655366 WLT655366 WBX655366 VSB655366 VIF655366 UYJ655366 UON655366 UER655366 TUV655366 TKZ655366 TBD655366 SRH655366 SHL655366 RXP655366 RNT655366 RDX655366 QUB655366 QKF655366 QAJ655366 PQN655366 PGR655366 OWV655366 OMZ655366 ODD655366 NTH655366 NJL655366 MZP655366 MPT655366 MFX655366 LWB655366 LMF655366 LCJ655366 KSN655366 KIR655366 JYV655366 JOZ655366 JFD655366 IVH655366 ILL655366 IBP655366 HRT655366 HHX655366 GYB655366 GOF655366 GEJ655366 FUN655366 FKR655366 FAV655366 EQZ655366 EHD655366 DXH655366 DNL655366 DDP655366 CTT655366 CJX655366 CAB655366 BQF655366 BGJ655366 AWN655366 AMR655366 ACV655366 SZ655366 JD655366 H655366 WVP589830 WLT589830 WBX589830 VSB589830 VIF589830 UYJ589830 UON589830 UER589830 TUV589830 TKZ589830 TBD589830 SRH589830 SHL589830 RXP589830 RNT589830 RDX589830 QUB589830 QKF589830 QAJ589830 PQN589830 PGR589830 OWV589830 OMZ589830 ODD589830 NTH589830 NJL589830 MZP589830 MPT589830 MFX589830 LWB589830 LMF589830 LCJ589830 KSN589830 KIR589830 JYV589830 JOZ589830 JFD589830 IVH589830 ILL589830 IBP589830 HRT589830 HHX589830 GYB589830 GOF589830 GEJ589830 FUN589830 FKR589830 FAV589830 EQZ589830 EHD589830 DXH589830 DNL589830 DDP589830 CTT589830 CJX589830 CAB589830 BQF589830 BGJ589830 AWN589830 AMR589830 ACV589830 SZ589830 JD589830 H589830 WVP524294 WLT524294 WBX524294 VSB524294 VIF524294 UYJ524294 UON524294 UER524294 TUV524294 TKZ524294 TBD524294 SRH524294 SHL524294 RXP524294 RNT524294 RDX524294 QUB524294 QKF524294 QAJ524294 PQN524294 PGR524294 OWV524294 OMZ524294 ODD524294 NTH524294 NJL524294 MZP524294 MPT524294 MFX524294 LWB524294 LMF524294 LCJ524294 KSN524294 KIR524294 JYV524294 JOZ524294 JFD524294 IVH524294 ILL524294 IBP524294 HRT524294 HHX524294 GYB524294 GOF524294 GEJ524294 FUN524294 FKR524294 FAV524294 EQZ524294 EHD524294 DXH524294 DNL524294 DDP524294 CTT524294 CJX524294 CAB524294 BQF524294 BGJ524294 AWN524294 AMR524294 ACV524294 SZ524294 JD524294 H524294 WVP458758 WLT458758 WBX458758 VSB458758 VIF458758 UYJ458758 UON458758 UER458758 TUV458758 TKZ458758 TBD458758 SRH458758 SHL458758 RXP458758 RNT458758 RDX458758 QUB458758 QKF458758 QAJ458758 PQN458758 PGR458758 OWV458758 OMZ458758 ODD458758 NTH458758 NJL458758 MZP458758 MPT458758 MFX458758 LWB458758 LMF458758 LCJ458758 KSN458758 KIR458758 JYV458758 JOZ458758 JFD458758 IVH458758 ILL458758 IBP458758 HRT458758 HHX458758 GYB458758 GOF458758 GEJ458758 FUN458758 FKR458758 FAV458758 EQZ458758 EHD458758 DXH458758 DNL458758 DDP458758 CTT458758 CJX458758 CAB458758 BQF458758 BGJ458758 AWN458758 AMR458758 ACV458758 SZ458758 JD458758 H458758 WVP393222 WLT393222 WBX393222 VSB393222 VIF393222 UYJ393222 UON393222 UER393222 TUV393222 TKZ393222 TBD393222 SRH393222 SHL393222 RXP393222 RNT393222 RDX393222 QUB393222 QKF393222 QAJ393222 PQN393222 PGR393222 OWV393222 OMZ393222 ODD393222 NTH393222 NJL393222 MZP393222 MPT393222 MFX393222 LWB393222 LMF393222 LCJ393222 KSN393222 KIR393222 JYV393222 JOZ393222 JFD393222 IVH393222 ILL393222 IBP393222 HRT393222 HHX393222 GYB393222 GOF393222 GEJ393222 FUN393222 FKR393222 FAV393222 EQZ393222 EHD393222 DXH393222 DNL393222 DDP393222 CTT393222 CJX393222 CAB393222 BQF393222 BGJ393222 AWN393222 AMR393222 ACV393222 SZ393222 JD393222 H393222 WVP327686 WLT327686 WBX327686 VSB327686 VIF327686 UYJ327686 UON327686 UER327686 TUV327686 TKZ327686 TBD327686 SRH327686 SHL327686 RXP327686 RNT327686 RDX327686 QUB327686 QKF327686 QAJ327686 PQN327686 PGR327686 OWV327686 OMZ327686 ODD327686 NTH327686 NJL327686 MZP327686 MPT327686 MFX327686 LWB327686 LMF327686 LCJ327686 KSN327686 KIR327686 JYV327686 JOZ327686 JFD327686 IVH327686 ILL327686 IBP327686 HRT327686 HHX327686 GYB327686 GOF327686 GEJ327686 FUN327686 FKR327686 FAV327686 EQZ327686 EHD327686 DXH327686 DNL327686 DDP327686 CTT327686 CJX327686 CAB327686 BQF327686 BGJ327686 AWN327686 AMR327686 ACV327686 SZ327686 JD327686 H327686 WVP262150 WLT262150 WBX262150 VSB262150 VIF262150 UYJ262150 UON262150 UER262150 TUV262150 TKZ262150 TBD262150 SRH262150 SHL262150 RXP262150 RNT262150 RDX262150 QUB262150 QKF262150 QAJ262150 PQN262150 PGR262150 OWV262150 OMZ262150 ODD262150 NTH262150 NJL262150 MZP262150 MPT262150 MFX262150 LWB262150 LMF262150 LCJ262150 KSN262150 KIR262150 JYV262150 JOZ262150 JFD262150 IVH262150 ILL262150 IBP262150 HRT262150 HHX262150 GYB262150 GOF262150 GEJ262150 FUN262150 FKR262150 FAV262150 EQZ262150 EHD262150 DXH262150 DNL262150 DDP262150 CTT262150 CJX262150 CAB262150 BQF262150 BGJ262150 AWN262150 AMR262150 ACV262150 SZ262150 JD262150 H262150 WVP196614 WLT196614 WBX196614 VSB196614 VIF196614 UYJ196614 UON196614 UER196614 TUV196614 TKZ196614 TBD196614 SRH196614 SHL196614 RXP196614 RNT196614 RDX196614 QUB196614 QKF196614 QAJ196614 PQN196614 PGR196614 OWV196614 OMZ196614 ODD196614 NTH196614 NJL196614 MZP196614 MPT196614 MFX196614 LWB196614 LMF196614 LCJ196614 KSN196614 KIR196614 JYV196614 JOZ196614 JFD196614 IVH196614 ILL196614 IBP196614 HRT196614 HHX196614 GYB196614 GOF196614 GEJ196614 FUN196614 FKR196614 FAV196614 EQZ196614 EHD196614 DXH196614 DNL196614 DDP196614 CTT196614 CJX196614 CAB196614 BQF196614 BGJ196614 AWN196614 AMR196614 ACV196614 SZ196614 JD196614 H196614 WVP131078 WLT131078 WBX131078 VSB131078 VIF131078 UYJ131078 UON131078 UER131078 TUV131078 TKZ131078 TBD131078 SRH131078 SHL131078 RXP131078 RNT131078 RDX131078 QUB131078 QKF131078 QAJ131078 PQN131078 PGR131078 OWV131078 OMZ131078 ODD131078 NTH131078 NJL131078 MZP131078 MPT131078 MFX131078 LWB131078 LMF131078 LCJ131078 KSN131078 KIR131078 JYV131078 JOZ131078 JFD131078 IVH131078 ILL131078 IBP131078 HRT131078 HHX131078 GYB131078 GOF131078 GEJ131078 FUN131078 FKR131078 FAV131078 EQZ131078 EHD131078 DXH131078 DNL131078 DDP131078 CTT131078 CJX131078 CAB131078 BQF131078 BGJ131078 AWN131078 AMR131078 ACV131078 SZ131078 JD131078 H131078 WVP65542 WLT65542 WBX65542 VSB65542 VIF65542 UYJ65542 UON65542 UER65542 TUV65542 TKZ65542 TBD65542 SRH65542 SHL65542 RXP65542 RNT65542 RDX65542 QUB65542 QKF65542 QAJ65542 PQN65542 PGR65542 OWV65542 OMZ65542 ODD65542 NTH65542 NJL65542 MZP65542 MPT65542 MFX65542 LWB65542 LMF65542 LCJ65542 KSN65542 KIR65542 JYV65542 JOZ65542 JFD65542 IVH65542 ILL65542 IBP65542 HRT65542 HHX65542 GYB65542 GOF65542 GEJ65542 FUN65542 FKR65542 FAV65542 EQZ65542 EHD65542 DXH65542 DNL65542 DDP65542 CTT65542 CJX65542 CAB65542 BQF65542 BGJ65542 AWN65542 AMR65542 ACV65542 SZ65542 JD65542 H65542 WVP983042 WLT983042 WBX983042 VSB983042 VIF983042 UYJ983042 UON983042 UER983042 TUV983042 TKZ983042 TBD983042 SRH983042 SHL983042 RXP983042 RNT983042 RDX983042 QUB983042 QKF983042 QAJ983042 PQN983042 PGR983042 OWV983042 OMZ983042 ODD983042 NTH983042 NJL983042 MZP983042 MPT983042 MFX983042 LWB983042 LMF983042 LCJ983042 KSN983042 KIR983042 JYV983042 JOZ983042 JFD983042 IVH983042 ILL983042 IBP983042 HRT983042 HHX983042 GYB983042 GOF983042 GEJ983042 FUN983042 FKR983042 FAV983042 EQZ983042 EHD983042 DXH983042 DNL983042 DDP983042 CTT983042 CJX983042 CAB983042 BQF983042 BGJ983042 AWN983042 AMR983042 ACV983042 SZ983042 JD983042 H983042 WVP917506 WLT917506 WBX917506 VSB917506 VIF917506 UYJ917506 UON917506 UER917506 TUV917506 TKZ917506 TBD917506 SRH917506 SHL917506 RXP917506 RNT917506 RDX917506 QUB917506 QKF917506 QAJ917506 PQN917506 PGR917506 OWV917506 OMZ917506 ODD917506 NTH917506 NJL917506 MZP917506 MPT917506 MFX917506 LWB917506 LMF917506 LCJ917506 KSN917506 KIR917506 JYV917506 JOZ917506 JFD917506 IVH917506 ILL917506 IBP917506 HRT917506 HHX917506 GYB917506 GOF917506 GEJ917506 FUN917506 FKR917506 FAV917506 EQZ917506 EHD917506 DXH917506 DNL917506 DDP917506 CTT917506 CJX917506 CAB917506 BQF917506 BGJ917506 AWN917506 AMR917506 ACV917506 SZ917506 JD917506 H917506 WVP851970 WLT851970 WBX851970 VSB851970 VIF851970 UYJ851970 UON851970 UER851970 TUV851970 TKZ851970 TBD851970 SRH851970 SHL851970 RXP851970 RNT851970 RDX851970 QUB851970 QKF851970 QAJ851970 PQN851970 PGR851970 OWV851970 OMZ851970 ODD851970 NTH851970 NJL851970 MZP851970 MPT851970 MFX851970 LWB851970 LMF851970 LCJ851970 KSN851970 KIR851970 JYV851970 JOZ851970 JFD851970 IVH851970 ILL851970 IBP851970 HRT851970 HHX851970 GYB851970 GOF851970 GEJ851970 FUN851970 FKR851970 FAV851970 EQZ851970 EHD851970 DXH851970 DNL851970 DDP851970 CTT851970 CJX851970 CAB851970 BQF851970 BGJ851970 AWN851970 AMR851970 ACV851970 SZ851970 JD851970 H851970 WVP786434 WLT786434 WBX786434 VSB786434 VIF786434 UYJ786434 UON786434 UER786434 TUV786434 TKZ786434 TBD786434 SRH786434 SHL786434 RXP786434 RNT786434 RDX786434 QUB786434 QKF786434 QAJ786434 PQN786434 PGR786434 OWV786434 OMZ786434 ODD786434 NTH786434 NJL786434 MZP786434 MPT786434 MFX786434 LWB786434 LMF786434 LCJ786434 KSN786434 KIR786434 JYV786434 JOZ786434 JFD786434 IVH786434 ILL786434 IBP786434 HRT786434 HHX786434 GYB786434 GOF786434 GEJ786434 FUN786434 FKR786434 FAV786434 EQZ786434 EHD786434 DXH786434 DNL786434 DDP786434 CTT786434 CJX786434 CAB786434 BQF786434 BGJ786434 AWN786434 AMR786434 ACV786434 SZ786434 JD786434 H786434 WVP720898 WLT720898 WBX720898 VSB720898 VIF720898 UYJ720898 UON720898 UER720898 TUV720898 TKZ720898 TBD720898 SRH720898 SHL720898 RXP720898 RNT720898 RDX720898 QUB720898 QKF720898 QAJ720898 PQN720898 PGR720898 OWV720898 OMZ720898 ODD720898 NTH720898 NJL720898 MZP720898 MPT720898 MFX720898 LWB720898 LMF720898 LCJ720898 KSN720898 KIR720898 JYV720898 JOZ720898 JFD720898 IVH720898 ILL720898 IBP720898 HRT720898 HHX720898 GYB720898 GOF720898 GEJ720898 FUN720898 FKR720898 FAV720898 EQZ720898 EHD720898 DXH720898 DNL720898 DDP720898 CTT720898 CJX720898 CAB720898 BQF720898 BGJ720898 AWN720898 AMR720898 ACV720898 SZ720898 JD720898 H720898 WVP655362 WLT655362 WBX655362 VSB655362 VIF655362 UYJ655362 UON655362 UER655362 TUV655362 TKZ655362 TBD655362 SRH655362 SHL655362 RXP655362 RNT655362 RDX655362 QUB655362 QKF655362 QAJ655362 PQN655362 PGR655362 OWV655362 OMZ655362 ODD655362 NTH655362 NJL655362 MZP655362 MPT655362 MFX655362 LWB655362 LMF655362 LCJ655362 KSN655362 KIR655362 JYV655362 JOZ655362 JFD655362 IVH655362 ILL655362 IBP655362 HRT655362 HHX655362 GYB655362 GOF655362 GEJ655362 FUN655362 FKR655362 FAV655362 EQZ655362 EHD655362 DXH655362 DNL655362 DDP655362 CTT655362 CJX655362 CAB655362 BQF655362 BGJ655362 AWN655362 AMR655362 ACV655362 SZ655362 JD655362 H655362 WVP589826 WLT589826 WBX589826 VSB589826 VIF589826 UYJ589826 UON589826 UER589826 TUV589826 TKZ589826 TBD589826 SRH589826 SHL589826 RXP589826 RNT589826 RDX589826 QUB589826 QKF589826 QAJ589826 PQN589826 PGR589826 OWV589826 OMZ589826 ODD589826 NTH589826 NJL589826 MZP589826 MPT589826 MFX589826 LWB589826 LMF589826 LCJ589826 KSN589826 KIR589826 JYV589826 JOZ589826 JFD589826 IVH589826 ILL589826 IBP589826 HRT589826 HHX589826 GYB589826 GOF589826 GEJ589826 FUN589826 FKR589826 FAV589826 EQZ589826 EHD589826 DXH589826 DNL589826 DDP589826 CTT589826 CJX589826 CAB589826 BQF589826 BGJ589826 AWN589826 AMR589826 ACV589826 SZ589826 JD589826 H589826 WVP524290 WLT524290 WBX524290 VSB524290 VIF524290 UYJ524290 UON524290 UER524290 TUV524290 TKZ524290 TBD524290 SRH524290 SHL524290 RXP524290 RNT524290 RDX524290 QUB524290 QKF524290 QAJ524290 PQN524290 PGR524290 OWV524290 OMZ524290 ODD524290 NTH524290 NJL524290 MZP524290 MPT524290 MFX524290 LWB524290 LMF524290 LCJ524290 KSN524290 KIR524290 JYV524290 JOZ524290 JFD524290 IVH524290 ILL524290 IBP524290 HRT524290 HHX524290 GYB524290 GOF524290 GEJ524290 FUN524290 FKR524290 FAV524290 EQZ524290 EHD524290 DXH524290 DNL524290 DDP524290 CTT524290 CJX524290 CAB524290 BQF524290 BGJ524290 AWN524290 AMR524290 ACV524290 SZ524290 JD524290 H524290 WVP458754 WLT458754 WBX458754 VSB458754 VIF458754 UYJ458754 UON458754 UER458754 TUV458754 TKZ458754 TBD458754 SRH458754 SHL458754 RXP458754 RNT458754 RDX458754 QUB458754 QKF458754 QAJ458754 PQN458754 PGR458754 OWV458754 OMZ458754 ODD458754 NTH458754 NJL458754 MZP458754 MPT458754 MFX458754 LWB458754 LMF458754 LCJ458754 KSN458754 KIR458754 JYV458754 JOZ458754 JFD458754 IVH458754 ILL458754 IBP458754 HRT458754 HHX458754 GYB458754 GOF458754 GEJ458754 FUN458754 FKR458754 FAV458754 EQZ458754 EHD458754 DXH458754 DNL458754 DDP458754 CTT458754 CJX458754 CAB458754 BQF458754 BGJ458754 AWN458754 AMR458754 ACV458754 SZ458754 JD458754 H458754 WVP393218 WLT393218 WBX393218 VSB393218 VIF393218 UYJ393218 UON393218 UER393218 TUV393218 TKZ393218 TBD393218 SRH393218 SHL393218 RXP393218 RNT393218 RDX393218 QUB393218 QKF393218 QAJ393218 PQN393218 PGR393218 OWV393218 OMZ393218 ODD393218 NTH393218 NJL393218 MZP393218 MPT393218 MFX393218 LWB393218 LMF393218 LCJ393218 KSN393218 KIR393218 JYV393218 JOZ393218 JFD393218 IVH393218 ILL393218 IBP393218 HRT393218 HHX393218 GYB393218 GOF393218 GEJ393218 FUN393218 FKR393218 FAV393218 EQZ393218 EHD393218 DXH393218 DNL393218 DDP393218 CTT393218 CJX393218 CAB393218 BQF393218 BGJ393218 AWN393218 AMR393218 ACV393218 SZ393218 JD393218 H393218 WVP327682 WLT327682 WBX327682 VSB327682 VIF327682 UYJ327682 UON327682 UER327682 TUV327682 TKZ327682 TBD327682 SRH327682 SHL327682 RXP327682 RNT327682 RDX327682 QUB327682 QKF327682 QAJ327682 PQN327682 PGR327682 OWV327682 OMZ327682 ODD327682 NTH327682 NJL327682 MZP327682 MPT327682 MFX327682 LWB327682 LMF327682 LCJ327682 KSN327682 KIR327682 JYV327682 JOZ327682 JFD327682 IVH327682 ILL327682 IBP327682 HRT327682 HHX327682 GYB327682 GOF327682 GEJ327682 FUN327682 FKR327682 FAV327682 EQZ327682 EHD327682 DXH327682 DNL327682 DDP327682 CTT327682 CJX327682 CAB327682 BQF327682 BGJ327682 AWN327682 AMR327682 ACV327682 SZ327682 JD327682 H327682 WVP262146 WLT262146 WBX262146 VSB262146 VIF262146 UYJ262146 UON262146 UER262146 TUV262146 TKZ262146 TBD262146 SRH262146 SHL262146 RXP262146 RNT262146 RDX262146 QUB262146 QKF262146 QAJ262146 PQN262146 PGR262146 OWV262146 OMZ262146 ODD262146 NTH262146 NJL262146 MZP262146 MPT262146 MFX262146 LWB262146 LMF262146 LCJ262146 KSN262146 KIR262146 JYV262146 JOZ262146 JFD262146 IVH262146 ILL262146 IBP262146 HRT262146 HHX262146 GYB262146 GOF262146 GEJ262146 FUN262146 FKR262146 FAV262146 EQZ262146 EHD262146 DXH262146 DNL262146 DDP262146 CTT262146 CJX262146 CAB262146 BQF262146 BGJ262146 AWN262146 AMR262146 ACV262146 SZ262146 JD262146 H262146 WVP196610 WLT196610 WBX196610 VSB196610 VIF196610 UYJ196610 UON196610 UER196610 TUV196610 TKZ196610 TBD196610 SRH196610 SHL196610 RXP196610 RNT196610 RDX196610 QUB196610 QKF196610 QAJ196610 PQN196610 PGR196610 OWV196610 OMZ196610 ODD196610 NTH196610 NJL196610 MZP196610 MPT196610 MFX196610 LWB196610 LMF196610 LCJ196610 KSN196610 KIR196610 JYV196610 JOZ196610 JFD196610 IVH196610 ILL196610 IBP196610 HRT196610 HHX196610 GYB196610 GOF196610 GEJ196610 FUN196610 FKR196610 FAV196610 EQZ196610 EHD196610 DXH196610 DNL196610 DDP196610 CTT196610 CJX196610 CAB196610 BQF196610 BGJ196610 AWN196610 AMR196610 ACV196610 SZ196610 JD196610 H196610 WVP131074 WLT131074 WBX131074 VSB131074 VIF131074 UYJ131074 UON131074 UER131074 TUV131074 TKZ131074 TBD131074 SRH131074 SHL131074 RXP131074 RNT131074 RDX131074 QUB131074 QKF131074 QAJ131074 PQN131074 PGR131074 OWV131074 OMZ131074 ODD131074 NTH131074 NJL131074 MZP131074 MPT131074 MFX131074 LWB131074 LMF131074 LCJ131074 KSN131074 KIR131074 JYV131074 JOZ131074 JFD131074 IVH131074 ILL131074 IBP131074 HRT131074 HHX131074 GYB131074 GOF131074 GEJ131074 FUN131074 FKR131074 FAV131074 EQZ131074 EHD131074 DXH131074 DNL131074 DDP131074 CTT131074 CJX131074 CAB131074 BQF131074 BGJ131074 AWN131074 AMR131074 ACV131074 SZ131074 JD131074 H131074 WVP65538 WLT65538 WBX65538 VSB65538 VIF65538 UYJ65538 UON65538 UER65538 TUV65538 TKZ65538 TBD65538 SRH65538 SHL65538 RXP65538 RNT65538 RDX65538 QUB65538 QKF65538 QAJ65538 PQN65538 PGR65538 OWV65538 OMZ65538 ODD65538 NTH65538 NJL65538 MZP65538 MPT65538 MFX65538 LWB65538 LMF65538 LCJ65538 KSN65538 KIR65538 JYV65538 JOZ65538 JFD65538 IVH65538 ILL65538 IBP65538 HRT65538 HHX65538 GYB65538 GOF65538 GEJ65538 FUN65538 FKR65538 FAV65538 EQZ65538 EHD65538 DXH65538 DNL65538 DDP65538 CTT65538 CJX65538 CAB65538 BQF65538 BGJ65538 AWN65538 AMR65538 ACV65538 SZ65538 JD65538 H65538 WVP983033 WLT983033 WBX983033 VSB983033 VIF983033 UYJ983033 UON983033 UER983033 TUV983033 TKZ983033 TBD983033 SRH983033 SHL983033 RXP983033 RNT983033 RDX983033 QUB983033 QKF983033 QAJ983033 PQN983033 PGR983033 OWV983033 OMZ983033 ODD983033 NTH983033 NJL983033 MZP983033 MPT983033 MFX983033 LWB983033 LMF983033 LCJ983033 KSN983033 KIR983033 JYV983033 JOZ983033 JFD983033 IVH983033 ILL983033 IBP983033 HRT983033 HHX983033 GYB983033 GOF983033 GEJ983033 FUN983033 FKR983033 FAV983033 EQZ983033 EHD983033 DXH983033 DNL983033 DDP983033 CTT983033 CJX983033 CAB983033 BQF983033 BGJ983033 AWN983033 AMR983033 ACV983033 SZ983033 JD983033 H983033 WVP917497 WLT917497 WBX917497 VSB917497 VIF917497 UYJ917497 UON917497 UER917497 TUV917497 TKZ917497 TBD917497 SRH917497 SHL917497 RXP917497 RNT917497 RDX917497 QUB917497 QKF917497 QAJ917497 PQN917497 PGR917497 OWV917497 OMZ917497 ODD917497 NTH917497 NJL917497 MZP917497 MPT917497 MFX917497 LWB917497 LMF917497 LCJ917497 KSN917497 KIR917497 JYV917497 JOZ917497 JFD917497 IVH917497 ILL917497 IBP917497 HRT917497 HHX917497 GYB917497 GOF917497 GEJ917497 FUN917497 FKR917497 FAV917497 EQZ917497 EHD917497 DXH917497 DNL917497 DDP917497 CTT917497 CJX917497 CAB917497 BQF917497 BGJ917497 AWN917497 AMR917497 ACV917497 SZ917497 JD917497 H917497 WVP851961 WLT851961 WBX851961 VSB851961 VIF851961 UYJ851961 UON851961 UER851961 TUV851961 TKZ851961 TBD851961 SRH851961 SHL851961 RXP851961 RNT851961 RDX851961 QUB851961 QKF851961 QAJ851961 PQN851961 PGR851961 OWV851961 OMZ851961 ODD851961 NTH851961 NJL851961 MZP851961 MPT851961 MFX851961 LWB851961 LMF851961 LCJ851961 KSN851961 KIR851961 JYV851961 JOZ851961 JFD851961 IVH851961 ILL851961 IBP851961 HRT851961 HHX851961 GYB851961 GOF851961 GEJ851961 FUN851961 FKR851961 FAV851961 EQZ851961 EHD851961 DXH851961 DNL851961 DDP851961 CTT851961 CJX851961 CAB851961 BQF851961 BGJ851961 AWN851961 AMR851961 ACV851961 SZ851961 JD851961 H851961 WVP786425 WLT786425 WBX786425 VSB786425 VIF786425 UYJ786425 UON786425 UER786425 TUV786425 TKZ786425 TBD786425 SRH786425 SHL786425 RXP786425 RNT786425 RDX786425 QUB786425 QKF786425 QAJ786425 PQN786425 PGR786425 OWV786425 OMZ786425 ODD786425 NTH786425 NJL786425 MZP786425 MPT786425 MFX786425 LWB786425 LMF786425 LCJ786425 KSN786425 KIR786425 JYV786425 JOZ786425 JFD786425 IVH786425 ILL786425 IBP786425 HRT786425 HHX786425 GYB786425 GOF786425 GEJ786425 FUN786425 FKR786425 FAV786425 EQZ786425 EHD786425 DXH786425 DNL786425 DDP786425 CTT786425 CJX786425 CAB786425 BQF786425 BGJ786425 AWN786425 AMR786425 ACV786425 SZ786425 JD786425 H786425 WVP720889 WLT720889 WBX720889 VSB720889 VIF720889 UYJ720889 UON720889 UER720889 TUV720889 TKZ720889 TBD720889 SRH720889 SHL720889 RXP720889 RNT720889 RDX720889 QUB720889 QKF720889 QAJ720889 PQN720889 PGR720889 OWV720889 OMZ720889 ODD720889 NTH720889 NJL720889 MZP720889 MPT720889 MFX720889 LWB720889 LMF720889 LCJ720889 KSN720889 KIR720889 JYV720889 JOZ720889 JFD720889 IVH720889 ILL720889 IBP720889 HRT720889 HHX720889 GYB720889 GOF720889 GEJ720889 FUN720889 FKR720889 FAV720889 EQZ720889 EHD720889 DXH720889 DNL720889 DDP720889 CTT720889 CJX720889 CAB720889 BQF720889 BGJ720889 AWN720889 AMR720889 ACV720889 SZ720889 JD720889 H720889 WVP655353 WLT655353 WBX655353 VSB655353 VIF655353 UYJ655353 UON655353 UER655353 TUV655353 TKZ655353 TBD655353 SRH655353 SHL655353 RXP655353 RNT655353 RDX655353 QUB655353 QKF655353 QAJ655353 PQN655353 PGR655353 OWV655353 OMZ655353 ODD655353 NTH655353 NJL655353 MZP655353 MPT655353 MFX655353 LWB655353 LMF655353 LCJ655353 KSN655353 KIR655353 JYV655353 JOZ655353 JFD655353 IVH655353 ILL655353 IBP655353 HRT655353 HHX655353 GYB655353 GOF655353 GEJ655353 FUN655353 FKR655353 FAV655353 EQZ655353 EHD655353 DXH655353 DNL655353 DDP655353 CTT655353 CJX655353 CAB655353 BQF655353 BGJ655353 AWN655353 AMR655353 ACV655353 SZ655353 JD655353 H655353 WVP589817 WLT589817 WBX589817 VSB589817 VIF589817 UYJ589817 UON589817 UER589817 TUV589817 TKZ589817 TBD589817 SRH589817 SHL589817 RXP589817 RNT589817 RDX589817 QUB589817 QKF589817 QAJ589817 PQN589817 PGR589817 OWV589817 OMZ589817 ODD589817 NTH589817 NJL589817 MZP589817 MPT589817 MFX589817 LWB589817 LMF589817 LCJ589817 KSN589817 KIR589817 JYV589817 JOZ589817 JFD589817 IVH589817 ILL589817 IBP589817 HRT589817 HHX589817 GYB589817 GOF589817 GEJ589817 FUN589817 FKR589817 FAV589817 EQZ589817 EHD589817 DXH589817 DNL589817 DDP589817 CTT589817 CJX589817 CAB589817 BQF589817 BGJ589817 AWN589817 AMR589817 ACV589817 SZ589817 JD589817 H589817 WVP524281 WLT524281 WBX524281 VSB524281 VIF524281 UYJ524281 UON524281 UER524281 TUV524281 TKZ524281 TBD524281 SRH524281 SHL524281 RXP524281 RNT524281 RDX524281 QUB524281 QKF524281 QAJ524281 PQN524281 PGR524281 OWV524281 OMZ524281 ODD524281 NTH524281 NJL524281 MZP524281 MPT524281 MFX524281 LWB524281 LMF524281 LCJ524281 KSN524281 KIR524281 JYV524281 JOZ524281 JFD524281 IVH524281 ILL524281 IBP524281 HRT524281 HHX524281 GYB524281 GOF524281 GEJ524281 FUN524281 FKR524281 FAV524281 EQZ524281 EHD524281 DXH524281 DNL524281 DDP524281 CTT524281 CJX524281 CAB524281 BQF524281 BGJ524281 AWN524281 AMR524281 ACV524281 SZ524281 JD524281 H524281 WVP458745 WLT458745 WBX458745 VSB458745 VIF458745 UYJ458745 UON458745 UER458745 TUV458745 TKZ458745 TBD458745 SRH458745 SHL458745 RXP458745 RNT458745 RDX458745 QUB458745 QKF458745 QAJ458745 PQN458745 PGR458745 OWV458745 OMZ458745 ODD458745 NTH458745 NJL458745 MZP458745 MPT458745 MFX458745 LWB458745 LMF458745 LCJ458745 KSN458745 KIR458745 JYV458745 JOZ458745 JFD458745 IVH458745 ILL458745 IBP458745 HRT458745 HHX458745 GYB458745 GOF458745 GEJ458745 FUN458745 FKR458745 FAV458745 EQZ458745 EHD458745 DXH458745 DNL458745 DDP458745 CTT458745 CJX458745 CAB458745 BQF458745 BGJ458745 AWN458745 AMR458745 ACV458745 SZ458745 JD458745 H458745 WVP393209 WLT393209 WBX393209 VSB393209 VIF393209 UYJ393209 UON393209 UER393209 TUV393209 TKZ393209 TBD393209 SRH393209 SHL393209 RXP393209 RNT393209 RDX393209 QUB393209 QKF393209 QAJ393209 PQN393209 PGR393209 OWV393209 OMZ393209 ODD393209 NTH393209 NJL393209 MZP393209 MPT393209 MFX393209 LWB393209 LMF393209 LCJ393209 KSN393209 KIR393209 JYV393209 JOZ393209 JFD393209 IVH393209 ILL393209 IBP393209 HRT393209 HHX393209 GYB393209 GOF393209 GEJ393209 FUN393209 FKR393209 FAV393209 EQZ393209 EHD393209 DXH393209 DNL393209 DDP393209 CTT393209 CJX393209 CAB393209 BQF393209 BGJ393209 AWN393209 AMR393209 ACV393209 SZ393209 JD393209 H393209 WVP327673 WLT327673 WBX327673 VSB327673 VIF327673 UYJ327673 UON327673 UER327673 TUV327673 TKZ327673 TBD327673 SRH327673 SHL327673 RXP327673 RNT327673 RDX327673 QUB327673 QKF327673 QAJ327673 PQN327673 PGR327673 OWV327673 OMZ327673 ODD327673 NTH327673 NJL327673 MZP327673 MPT327673 MFX327673 LWB327673 LMF327673 LCJ327673 KSN327673 KIR327673 JYV327673 JOZ327673 JFD327673 IVH327673 ILL327673 IBP327673 HRT327673 HHX327673 GYB327673 GOF327673 GEJ327673 FUN327673 FKR327673 FAV327673 EQZ327673 EHD327673 DXH327673 DNL327673 DDP327673 CTT327673 CJX327673 CAB327673 BQF327673 BGJ327673 AWN327673 AMR327673 ACV327673 SZ327673 JD327673 H327673 WVP262137 WLT262137 WBX262137 VSB262137 VIF262137 UYJ262137 UON262137 UER262137 TUV262137 TKZ262137 TBD262137 SRH262137 SHL262137 RXP262137 RNT262137 RDX262137 QUB262137 QKF262137 QAJ262137 PQN262137 PGR262137 OWV262137 OMZ262137 ODD262137 NTH262137 NJL262137 MZP262137 MPT262137 MFX262137 LWB262137 LMF262137 LCJ262137 KSN262137 KIR262137 JYV262137 JOZ262137 JFD262137 IVH262137 ILL262137 IBP262137 HRT262137 HHX262137 GYB262137 GOF262137 GEJ262137 FUN262137 FKR262137 FAV262137 EQZ262137 EHD262137 DXH262137 DNL262137 DDP262137 CTT262137 CJX262137 CAB262137 BQF262137 BGJ262137 AWN262137 AMR262137 ACV262137 SZ262137 JD262137 H262137 WVP196601 WLT196601 WBX196601 VSB196601 VIF196601 UYJ196601 UON196601 UER196601 TUV196601 TKZ196601 TBD196601 SRH196601 SHL196601 RXP196601 RNT196601 RDX196601 QUB196601 QKF196601 QAJ196601 PQN196601 PGR196601 OWV196601 OMZ196601 ODD196601 NTH196601 NJL196601 MZP196601 MPT196601 MFX196601 LWB196601 LMF196601 LCJ196601 KSN196601 KIR196601 JYV196601 JOZ196601 JFD196601 IVH196601 ILL196601 IBP196601 HRT196601 HHX196601 GYB196601 GOF196601 GEJ196601 FUN196601 FKR196601 FAV196601 EQZ196601 EHD196601 DXH196601 DNL196601 DDP196601 CTT196601 CJX196601 CAB196601 BQF196601 BGJ196601 AWN196601 AMR196601 ACV196601 SZ196601 JD196601 H196601 WVP131065 WLT131065 WBX131065 VSB131065 VIF131065 UYJ131065 UON131065 UER131065 TUV131065 TKZ131065 TBD131065 SRH131065 SHL131065 RXP131065 RNT131065 RDX131065 QUB131065 QKF131065 QAJ131065 PQN131065 PGR131065 OWV131065 OMZ131065 ODD131065 NTH131065 NJL131065 MZP131065 MPT131065 MFX131065 LWB131065 LMF131065 LCJ131065 KSN131065 KIR131065 JYV131065 JOZ131065 JFD131065 IVH131065 ILL131065 IBP131065 HRT131065 HHX131065 GYB131065 GOF131065 GEJ131065 FUN131065 FKR131065 FAV131065 EQZ131065 EHD131065 DXH131065 DNL131065 DDP131065 CTT131065 CJX131065 CAB131065 BQF131065 BGJ131065 AWN131065 AMR131065 ACV131065 SZ131065 JD131065 H131065 WVP65529 WLT65529 WBX65529 VSB65529 VIF65529 UYJ65529 UON65529 UER65529 TUV65529 TKZ65529 TBD65529 SRH65529 SHL65529 RXP65529 RNT65529 RDX65529 QUB65529 QKF65529 QAJ65529 PQN65529 PGR65529 OWV65529 OMZ65529 ODD65529 NTH65529 NJL65529 MZP65529 MPT65529 MFX65529 LWB65529 LMF65529 LCJ65529 KSN65529 KIR65529 JYV65529 JOZ65529 JFD65529 IVH65529 ILL65529 IBP65529 HRT65529 HHX65529 GYB65529 GOF65529 GEJ65529 FUN65529 FKR65529 FAV65529 EQZ65529 EHD65529 DXH65529 DNL65529 DDP65529 CTT65529 CJX65529 CAB65529 BQF65529 BGJ65529 AWN65529 AMR65529 ACV65529 SZ65529 JD65529 H65529 WVP983036 WLT983036 WBX983036 VSB983036 VIF983036 UYJ983036 UON983036 UER983036 TUV983036 TKZ983036 TBD983036 SRH983036 SHL983036 RXP983036 RNT983036 RDX983036 QUB983036 QKF983036 QAJ983036 PQN983036 PGR983036 OWV983036 OMZ983036 ODD983036 NTH983036 NJL983036 MZP983036 MPT983036 MFX983036 LWB983036 LMF983036 LCJ983036 KSN983036 KIR983036 JYV983036 JOZ983036 JFD983036 IVH983036 ILL983036 IBP983036 HRT983036 HHX983036 GYB983036 GOF983036 GEJ983036 FUN983036 FKR983036 FAV983036 EQZ983036 EHD983036 DXH983036 DNL983036 DDP983036 CTT983036 CJX983036 CAB983036 BQF983036 BGJ983036 AWN983036 AMR983036 ACV983036 SZ983036 JD983036 H983036 WVP917500 WLT917500 WBX917500 VSB917500 VIF917500 UYJ917500 UON917500 UER917500 TUV917500 TKZ917500 TBD917500 SRH917500 SHL917500 RXP917500 RNT917500 RDX917500 QUB917500 QKF917500 QAJ917500 PQN917500 PGR917500 OWV917500 OMZ917500 ODD917500 NTH917500 NJL917500 MZP917500 MPT917500 MFX917500 LWB917500 LMF917500 LCJ917500 KSN917500 KIR917500 JYV917500 JOZ917500 JFD917500 IVH917500 ILL917500 IBP917500 HRT917500 HHX917500 GYB917500 GOF917500 GEJ917500 FUN917500 FKR917500 FAV917500 EQZ917500 EHD917500 DXH917500 DNL917500 DDP917500 CTT917500 CJX917500 CAB917500 BQF917500 BGJ917500 AWN917500 AMR917500 ACV917500 SZ917500 JD917500 H917500 WVP851964 WLT851964 WBX851964 VSB851964 VIF851964 UYJ851964 UON851964 UER851964 TUV851964 TKZ851964 TBD851964 SRH851964 SHL851964 RXP851964 RNT851964 RDX851964 QUB851964 QKF851964 QAJ851964 PQN851964 PGR851964 OWV851964 OMZ851964 ODD851964 NTH851964 NJL851964 MZP851964 MPT851964 MFX851964 LWB851964 LMF851964 LCJ851964 KSN851964 KIR851964 JYV851964 JOZ851964 JFD851964 IVH851964 ILL851964 IBP851964 HRT851964 HHX851964 GYB851964 GOF851964 GEJ851964 FUN851964 FKR851964 FAV851964 EQZ851964 EHD851964 DXH851964 DNL851964 DDP851964 CTT851964 CJX851964 CAB851964 BQF851964 BGJ851964 AWN851964 AMR851964 ACV851964 SZ851964 JD851964 H851964 WVP786428 WLT786428 WBX786428 VSB786428 VIF786428 UYJ786428 UON786428 UER786428 TUV786428 TKZ786428 TBD786428 SRH786428 SHL786428 RXP786428 RNT786428 RDX786428 QUB786428 QKF786428 QAJ786428 PQN786428 PGR786428 OWV786428 OMZ786428 ODD786428 NTH786428 NJL786428 MZP786428 MPT786428 MFX786428 LWB786428 LMF786428 LCJ786428 KSN786428 KIR786428 JYV786428 JOZ786428 JFD786428 IVH786428 ILL786428 IBP786428 HRT786428 HHX786428 GYB786428 GOF786428 GEJ786428 FUN786428 FKR786428 FAV786428 EQZ786428 EHD786428 DXH786428 DNL786428 DDP786428 CTT786428 CJX786428 CAB786428 BQF786428 BGJ786428 AWN786428 AMR786428 ACV786428 SZ786428 JD786428 H786428 WVP720892 WLT720892 WBX720892 VSB720892 VIF720892 UYJ720892 UON720892 UER720892 TUV720892 TKZ720892 TBD720892 SRH720892 SHL720892 RXP720892 RNT720892 RDX720892 QUB720892 QKF720892 QAJ720892 PQN720892 PGR720892 OWV720892 OMZ720892 ODD720892 NTH720892 NJL720892 MZP720892 MPT720892 MFX720892 LWB720892 LMF720892 LCJ720892 KSN720892 KIR720892 JYV720892 JOZ720892 JFD720892 IVH720892 ILL720892 IBP720892 HRT720892 HHX720892 GYB720892 GOF720892 GEJ720892 FUN720892 FKR720892 FAV720892 EQZ720892 EHD720892 DXH720892 DNL720892 DDP720892 CTT720892 CJX720892 CAB720892 BQF720892 BGJ720892 AWN720892 AMR720892 ACV720892 SZ720892 JD720892 H720892 WVP655356 WLT655356 WBX655356 VSB655356 VIF655356 UYJ655356 UON655356 UER655356 TUV655356 TKZ655356 TBD655356 SRH655356 SHL655356 RXP655356 RNT655356 RDX655356 QUB655356 QKF655356 QAJ655356 PQN655356 PGR655356 OWV655356 OMZ655356 ODD655356 NTH655356 NJL655356 MZP655356 MPT655356 MFX655356 LWB655356 LMF655356 LCJ655356 KSN655356 KIR655356 JYV655356 JOZ655356 JFD655356 IVH655356 ILL655356 IBP655356 HRT655356 HHX655356 GYB655356 GOF655356 GEJ655356 FUN655356 FKR655356 FAV655356 EQZ655356 EHD655356 DXH655356 DNL655356 DDP655356 CTT655356 CJX655356 CAB655356 BQF655356 BGJ655356 AWN655356 AMR655356 ACV655356 SZ655356 JD655356 H655356 WVP589820 WLT589820 WBX589820 VSB589820 VIF589820 UYJ589820 UON589820 UER589820 TUV589820 TKZ589820 TBD589820 SRH589820 SHL589820 RXP589820 RNT589820 RDX589820 QUB589820 QKF589820 QAJ589820 PQN589820 PGR589820 OWV589820 OMZ589820 ODD589820 NTH589820 NJL589820 MZP589820 MPT589820 MFX589820 LWB589820 LMF589820 LCJ589820 KSN589820 KIR589820 JYV589820 JOZ589820 JFD589820 IVH589820 ILL589820 IBP589820 HRT589820 HHX589820 GYB589820 GOF589820 GEJ589820 FUN589820 FKR589820 FAV589820 EQZ589820 EHD589820 DXH589820 DNL589820 DDP589820 CTT589820 CJX589820 CAB589820 BQF589820 BGJ589820 AWN589820 AMR589820 ACV589820 SZ589820 JD589820 H589820 WVP524284 WLT524284 WBX524284 VSB524284 VIF524284 UYJ524284 UON524284 UER524284 TUV524284 TKZ524284 TBD524284 SRH524284 SHL524284 RXP524284 RNT524284 RDX524284 QUB524284 QKF524284 QAJ524284 PQN524284 PGR524284 OWV524284 OMZ524284 ODD524284 NTH524284 NJL524284 MZP524284 MPT524284 MFX524284 LWB524284 LMF524284 LCJ524284 KSN524284 KIR524284 JYV524284 JOZ524284 JFD524284 IVH524284 ILL524284 IBP524284 HRT524284 HHX524284 GYB524284 GOF524284 GEJ524284 FUN524284 FKR524284 FAV524284 EQZ524284 EHD524284 DXH524284 DNL524284 DDP524284 CTT524284 CJX524284 CAB524284 BQF524284 BGJ524284 AWN524284 AMR524284 ACV524284 SZ524284 JD524284 H524284 WVP458748 WLT458748 WBX458748 VSB458748 VIF458748 UYJ458748 UON458748 UER458748 TUV458748 TKZ458748 TBD458748 SRH458748 SHL458748 RXP458748 RNT458748 RDX458748 QUB458748 QKF458748 QAJ458748 PQN458748 PGR458748 OWV458748 OMZ458748 ODD458748 NTH458748 NJL458748 MZP458748 MPT458748 MFX458748 LWB458748 LMF458748 LCJ458748 KSN458748 KIR458748 JYV458748 JOZ458748 JFD458748 IVH458748 ILL458748 IBP458748 HRT458748 HHX458748 GYB458748 GOF458748 GEJ458748 FUN458748 FKR458748 FAV458748 EQZ458748 EHD458748 DXH458748 DNL458748 DDP458748 CTT458748 CJX458748 CAB458748 BQF458748 BGJ458748 AWN458748 AMR458748 ACV458748 SZ458748 JD458748 H458748 WVP393212 WLT393212 WBX393212 VSB393212 VIF393212 UYJ393212 UON393212 UER393212 TUV393212 TKZ393212 TBD393212 SRH393212 SHL393212 RXP393212 RNT393212 RDX393212 QUB393212 QKF393212 QAJ393212 PQN393212 PGR393212 OWV393212 OMZ393212 ODD393212 NTH393212 NJL393212 MZP393212 MPT393212 MFX393212 LWB393212 LMF393212 LCJ393212 KSN393212 KIR393212 JYV393212 JOZ393212 JFD393212 IVH393212 ILL393212 IBP393212 HRT393212 HHX393212 GYB393212 GOF393212 GEJ393212 FUN393212 FKR393212 FAV393212 EQZ393212 EHD393212 DXH393212 DNL393212 DDP393212 CTT393212 CJX393212 CAB393212 BQF393212 BGJ393212 AWN393212 AMR393212 ACV393212 SZ393212 JD393212 H393212 WVP327676 WLT327676 WBX327676 VSB327676 VIF327676 UYJ327676 UON327676 UER327676 TUV327676 TKZ327676 TBD327676 SRH327676 SHL327676 RXP327676 RNT327676 RDX327676 QUB327676 QKF327676 QAJ327676 PQN327676 PGR327676 OWV327676 OMZ327676 ODD327676 NTH327676 NJL327676 MZP327676 MPT327676 MFX327676 LWB327676 LMF327676 LCJ327676 KSN327676 KIR327676 JYV327676 JOZ327676 JFD327676 IVH327676 ILL327676 IBP327676 HRT327676 HHX327676 GYB327676 GOF327676 GEJ327676 FUN327676 FKR327676 FAV327676 EQZ327676 EHD327676 DXH327676 DNL327676 DDP327676 CTT327676 CJX327676 CAB327676 BQF327676 BGJ327676 AWN327676 AMR327676 ACV327676 SZ327676 JD327676 H327676 WVP262140 WLT262140 WBX262140 VSB262140 VIF262140 UYJ262140 UON262140 UER262140 TUV262140 TKZ262140 TBD262140 SRH262140 SHL262140 RXP262140 RNT262140 RDX262140 QUB262140 QKF262140 QAJ262140 PQN262140 PGR262140 OWV262140 OMZ262140 ODD262140 NTH262140 NJL262140 MZP262140 MPT262140 MFX262140 LWB262140 LMF262140 LCJ262140 KSN262140 KIR262140 JYV262140 JOZ262140 JFD262140 IVH262140 ILL262140 IBP262140 HRT262140 HHX262140 GYB262140 GOF262140 GEJ262140 FUN262140 FKR262140 FAV262140 EQZ262140 EHD262140 DXH262140 DNL262140 DDP262140 CTT262140 CJX262140 CAB262140 BQF262140 BGJ262140 AWN262140 AMR262140 ACV262140 SZ262140 JD262140 H262140 WVP196604 WLT196604 WBX196604 VSB196604 VIF196604 UYJ196604 UON196604 UER196604 TUV196604 TKZ196604 TBD196604 SRH196604 SHL196604 RXP196604 RNT196604 RDX196604 QUB196604 QKF196604 QAJ196604 PQN196604 PGR196604 OWV196604 OMZ196604 ODD196604 NTH196604 NJL196604 MZP196604 MPT196604 MFX196604 LWB196604 LMF196604 LCJ196604 KSN196604 KIR196604 JYV196604 JOZ196604 JFD196604 IVH196604 ILL196604 IBP196604 HRT196604 HHX196604 GYB196604 GOF196604 GEJ196604 FUN196604 FKR196604 FAV196604 EQZ196604 EHD196604 DXH196604 DNL196604 DDP196604 CTT196604 CJX196604 CAB196604 BQF196604 BGJ196604 AWN196604 AMR196604 ACV196604 SZ196604 JD196604 H196604 WVP131068 WLT131068 WBX131068 VSB131068 VIF131068 UYJ131068 UON131068 UER131068 TUV131068 TKZ131068 TBD131068 SRH131068 SHL131068 RXP131068 RNT131068 RDX131068 QUB131068 QKF131068 QAJ131068 PQN131068 PGR131068 OWV131068 OMZ131068 ODD131068 NTH131068 NJL131068 MZP131068 MPT131068 MFX131068 LWB131068 LMF131068 LCJ131068 KSN131068 KIR131068 JYV131068 JOZ131068 JFD131068 IVH131068 ILL131068 IBP131068 HRT131068 HHX131068 GYB131068 GOF131068 GEJ131068 FUN131068 FKR131068 FAV131068 EQZ131068 EHD131068 DXH131068 DNL131068 DDP131068 CTT131068 CJX131068 CAB131068 BQF131068 BGJ131068 AWN131068 AMR131068 ACV131068 SZ131068 JD131068 H131068 WVP65532 WLT65532 WBX65532 VSB65532 VIF65532 UYJ65532 UON65532 UER65532 TUV65532 TKZ65532 TBD65532 SRH65532 SHL65532 RXP65532 RNT65532 RDX65532 QUB65532 QKF65532 QAJ65532 PQN65532 PGR65532 OWV65532 OMZ65532 ODD65532 NTH65532 NJL65532 MZP65532 MPT65532 MFX65532 LWB65532 LMF65532 LCJ65532 KSN65532 KIR65532 JYV65532 JOZ65532 JFD65532 IVH65532 ILL65532 IBP65532 HRT65532 HHX65532 GYB65532 GOF65532 GEJ65532 FUN65532 FKR65532 FAV65532 EQZ65532 EHD65532 DXH65532 DNL65532 DDP65532 CTT65532 CJX65532 CAB65532 BQF65532 BGJ65532 AWN65532 AMR65532 ACV65532 SZ65532 JD65532 H65532 WVP983030 WLT983030 WBX983030 VSB983030 VIF983030 UYJ983030 UON983030 UER983030 TUV983030 TKZ983030 TBD983030 SRH983030 SHL983030 RXP983030 RNT983030 RDX983030 QUB983030 QKF983030 QAJ983030 PQN983030 PGR983030 OWV983030 OMZ983030 ODD983030 NTH983030 NJL983030 MZP983030 MPT983030 MFX983030 LWB983030 LMF983030 LCJ983030 KSN983030 KIR983030 JYV983030 JOZ983030 JFD983030 IVH983030 ILL983030 IBP983030 HRT983030 HHX983030 GYB983030 GOF983030 GEJ983030 FUN983030 FKR983030 FAV983030 EQZ983030 EHD983030 DXH983030 DNL983030 DDP983030 CTT983030 CJX983030 CAB983030 BQF983030 BGJ983030 AWN983030 AMR983030 ACV983030 SZ983030 JD983030 H983030 WVP917494 WLT917494 WBX917494 VSB917494 VIF917494 UYJ917494 UON917494 UER917494 TUV917494 TKZ917494 TBD917494 SRH917494 SHL917494 RXP917494 RNT917494 RDX917494 QUB917494 QKF917494 QAJ917494 PQN917494 PGR917494 OWV917494 OMZ917494 ODD917494 NTH917494 NJL917494 MZP917494 MPT917494 MFX917494 LWB917494 LMF917494 LCJ917494 KSN917494 KIR917494 JYV917494 JOZ917494 JFD917494 IVH917494 ILL917494 IBP917494 HRT917494 HHX917494 GYB917494 GOF917494 GEJ917494 FUN917494 FKR917494 FAV917494 EQZ917494 EHD917494 DXH917494 DNL917494 DDP917494 CTT917494 CJX917494 CAB917494 BQF917494 BGJ917494 AWN917494 AMR917494 ACV917494 SZ917494 JD917494 H917494 WVP851958 WLT851958 WBX851958 VSB851958 VIF851958 UYJ851958 UON851958 UER851958 TUV851958 TKZ851958 TBD851958 SRH851958 SHL851958 RXP851958 RNT851958 RDX851958 QUB851958 QKF851958 QAJ851958 PQN851958 PGR851958 OWV851958 OMZ851958 ODD851958 NTH851958 NJL851958 MZP851958 MPT851958 MFX851958 LWB851958 LMF851958 LCJ851958 KSN851958 KIR851958 JYV851958 JOZ851958 JFD851958 IVH851958 ILL851958 IBP851958 HRT851958 HHX851958 GYB851958 GOF851958 GEJ851958 FUN851958 FKR851958 FAV851958 EQZ851958 EHD851958 DXH851958 DNL851958 DDP851958 CTT851958 CJX851958 CAB851958 BQF851958 BGJ851958 AWN851958 AMR851958 ACV851958 SZ851958 JD851958 H851958 WVP786422 WLT786422 WBX786422 VSB786422 VIF786422 UYJ786422 UON786422 UER786422 TUV786422 TKZ786422 TBD786422 SRH786422 SHL786422 RXP786422 RNT786422 RDX786422 QUB786422 QKF786422 QAJ786422 PQN786422 PGR786422 OWV786422 OMZ786422 ODD786422 NTH786422 NJL786422 MZP786422 MPT786422 MFX786422 LWB786422 LMF786422 LCJ786422 KSN786422 KIR786422 JYV786422 JOZ786422 JFD786422 IVH786422 ILL786422 IBP786422 HRT786422 HHX786422 GYB786422 GOF786422 GEJ786422 FUN786422 FKR786422 FAV786422 EQZ786422 EHD786422 DXH786422 DNL786422 DDP786422 CTT786422 CJX786422 CAB786422 BQF786422 BGJ786422 AWN786422 AMR786422 ACV786422 SZ786422 JD786422 H786422 WVP720886 WLT720886 WBX720886 VSB720886 VIF720886 UYJ720886 UON720886 UER720886 TUV720886 TKZ720886 TBD720886 SRH720886 SHL720886 RXP720886 RNT720886 RDX720886 QUB720886 QKF720886 QAJ720886 PQN720886 PGR720886 OWV720886 OMZ720886 ODD720886 NTH720886 NJL720886 MZP720886 MPT720886 MFX720886 LWB720886 LMF720886 LCJ720886 KSN720886 KIR720886 JYV720886 JOZ720886 JFD720886 IVH720886 ILL720886 IBP720886 HRT720886 HHX720886 GYB720886 GOF720886 GEJ720886 FUN720886 FKR720886 FAV720886 EQZ720886 EHD720886 DXH720886 DNL720886 DDP720886 CTT720886 CJX720886 CAB720886 BQF720886 BGJ720886 AWN720886 AMR720886 ACV720886 SZ720886 JD720886 H720886 WVP655350 WLT655350 WBX655350 VSB655350 VIF655350 UYJ655350 UON655350 UER655350 TUV655350 TKZ655350 TBD655350 SRH655350 SHL655350 RXP655350 RNT655350 RDX655350 QUB655350 QKF655350 QAJ655350 PQN655350 PGR655350 OWV655350 OMZ655350 ODD655350 NTH655350 NJL655350 MZP655350 MPT655350 MFX655350 LWB655350 LMF655350 LCJ655350 KSN655350 KIR655350 JYV655350 JOZ655350 JFD655350 IVH655350 ILL655350 IBP655350 HRT655350 HHX655350 GYB655350 GOF655350 GEJ655350 FUN655350 FKR655350 FAV655350 EQZ655350 EHD655350 DXH655350 DNL655350 DDP655350 CTT655350 CJX655350 CAB655350 BQF655350 BGJ655350 AWN655350 AMR655350 ACV655350 SZ655350 JD655350 H655350 WVP589814 WLT589814 WBX589814 VSB589814 VIF589814 UYJ589814 UON589814 UER589814 TUV589814 TKZ589814 TBD589814 SRH589814 SHL589814 RXP589814 RNT589814 RDX589814 QUB589814 QKF589814 QAJ589814 PQN589814 PGR589814 OWV589814 OMZ589814 ODD589814 NTH589814 NJL589814 MZP589814 MPT589814 MFX589814 LWB589814 LMF589814 LCJ589814 KSN589814 KIR589814 JYV589814 JOZ589814 JFD589814 IVH589814 ILL589814 IBP589814 HRT589814 HHX589814 GYB589814 GOF589814 GEJ589814 FUN589814 FKR589814 FAV589814 EQZ589814 EHD589814 DXH589814 DNL589814 DDP589814 CTT589814 CJX589814 CAB589814 BQF589814 BGJ589814 AWN589814 AMR589814 ACV589814 SZ589814 JD589814 H589814 WVP524278 WLT524278 WBX524278 VSB524278 VIF524278 UYJ524278 UON524278 UER524278 TUV524278 TKZ524278 TBD524278 SRH524278 SHL524278 RXP524278 RNT524278 RDX524278 QUB524278 QKF524278 QAJ524278 PQN524278 PGR524278 OWV524278 OMZ524278 ODD524278 NTH524278 NJL524278 MZP524278 MPT524278 MFX524278 LWB524278 LMF524278 LCJ524278 KSN524278 KIR524278 JYV524278 JOZ524278 JFD524278 IVH524278 ILL524278 IBP524278 HRT524278 HHX524278 GYB524278 GOF524278 GEJ524278 FUN524278 FKR524278 FAV524278 EQZ524278 EHD524278 DXH524278 DNL524278 DDP524278 CTT524278 CJX524278 CAB524278 BQF524278 BGJ524278 AWN524278 AMR524278 ACV524278 SZ524278 JD524278 H524278 WVP458742 WLT458742 WBX458742 VSB458742 VIF458742 UYJ458742 UON458742 UER458742 TUV458742 TKZ458742 TBD458742 SRH458742 SHL458742 RXP458742 RNT458742 RDX458742 QUB458742 QKF458742 QAJ458742 PQN458742 PGR458742 OWV458742 OMZ458742 ODD458742 NTH458742 NJL458742 MZP458742 MPT458742 MFX458742 LWB458742 LMF458742 LCJ458742 KSN458742 KIR458742 JYV458742 JOZ458742 JFD458742 IVH458742 ILL458742 IBP458742 HRT458742 HHX458742 GYB458742 GOF458742 GEJ458742 FUN458742 FKR458742 FAV458742 EQZ458742 EHD458742 DXH458742 DNL458742 DDP458742 CTT458742 CJX458742 CAB458742 BQF458742 BGJ458742 AWN458742 AMR458742 ACV458742 SZ458742 JD458742 H458742 WVP393206 WLT393206 WBX393206 VSB393206 VIF393206 UYJ393206 UON393206 UER393206 TUV393206 TKZ393206 TBD393206 SRH393206 SHL393206 RXP393206 RNT393206 RDX393206 QUB393206 QKF393206 QAJ393206 PQN393206 PGR393206 OWV393206 OMZ393206 ODD393206 NTH393206 NJL393206 MZP393206 MPT393206 MFX393206 LWB393206 LMF393206 LCJ393206 KSN393206 KIR393206 JYV393206 JOZ393206 JFD393206 IVH393206 ILL393206 IBP393206 HRT393206 HHX393206 GYB393206 GOF393206 GEJ393206 FUN393206 FKR393206 FAV393206 EQZ393206 EHD393206 DXH393206 DNL393206 DDP393206 CTT393206 CJX393206 CAB393206 BQF393206 BGJ393206 AWN393206 AMR393206 ACV393206 SZ393206 JD393206 H393206 WVP327670 WLT327670 WBX327670 VSB327670 VIF327670 UYJ327670 UON327670 UER327670 TUV327670 TKZ327670 TBD327670 SRH327670 SHL327670 RXP327670 RNT327670 RDX327670 QUB327670 QKF327670 QAJ327670 PQN327670 PGR327670 OWV327670 OMZ327670 ODD327670 NTH327670 NJL327670 MZP327670 MPT327670 MFX327670 LWB327670 LMF327670 LCJ327670 KSN327670 KIR327670 JYV327670 JOZ327670 JFD327670 IVH327670 ILL327670 IBP327670 HRT327670 HHX327670 GYB327670 GOF327670 GEJ327670 FUN327670 FKR327670 FAV327670 EQZ327670 EHD327670 DXH327670 DNL327670 DDP327670 CTT327670 CJX327670 CAB327670 BQF327670 BGJ327670 AWN327670 AMR327670 ACV327670 SZ327670 JD327670 H327670 WVP262134 WLT262134 WBX262134 VSB262134 VIF262134 UYJ262134 UON262134 UER262134 TUV262134 TKZ262134 TBD262134 SRH262134 SHL262134 RXP262134 RNT262134 RDX262134 QUB262134 QKF262134 QAJ262134 PQN262134 PGR262134 OWV262134 OMZ262134 ODD262134 NTH262134 NJL262134 MZP262134 MPT262134 MFX262134 LWB262134 LMF262134 LCJ262134 KSN262134 KIR262134 JYV262134 JOZ262134 JFD262134 IVH262134 ILL262134 IBP262134 HRT262134 HHX262134 GYB262134 GOF262134 GEJ262134 FUN262134 FKR262134 FAV262134 EQZ262134 EHD262134 DXH262134 DNL262134 DDP262134 CTT262134 CJX262134 CAB262134 BQF262134 BGJ262134 AWN262134 AMR262134 ACV262134 SZ262134 JD262134 H262134 WVP196598 WLT196598 WBX196598 VSB196598 VIF196598 UYJ196598 UON196598 UER196598 TUV196598 TKZ196598 TBD196598 SRH196598 SHL196598 RXP196598 RNT196598 RDX196598 QUB196598 QKF196598 QAJ196598 PQN196598 PGR196598 OWV196598 OMZ196598 ODD196598 NTH196598 NJL196598 MZP196598 MPT196598 MFX196598 LWB196598 LMF196598 LCJ196598 KSN196598 KIR196598 JYV196598 JOZ196598 JFD196598 IVH196598 ILL196598 IBP196598 HRT196598 HHX196598 GYB196598 GOF196598 GEJ196598 FUN196598 FKR196598 FAV196598 EQZ196598 EHD196598 DXH196598 DNL196598 DDP196598 CTT196598 CJX196598 CAB196598 BQF196598 BGJ196598 AWN196598 AMR196598 ACV196598 SZ196598 JD196598 H196598 WVP131062 WLT131062 WBX131062 VSB131062 VIF131062 UYJ131062 UON131062 UER131062 TUV131062 TKZ131062 TBD131062 SRH131062 SHL131062 RXP131062 RNT131062 RDX131062 QUB131062 QKF131062 QAJ131062 PQN131062 PGR131062 OWV131062 OMZ131062 ODD131062 NTH131062 NJL131062 MZP131062 MPT131062 MFX131062 LWB131062 LMF131062 LCJ131062 KSN131062 KIR131062 JYV131062 JOZ131062 JFD131062 IVH131062 ILL131062 IBP131062 HRT131062 HHX131062 GYB131062 GOF131062 GEJ131062 FUN131062 FKR131062 FAV131062 EQZ131062 EHD131062 DXH131062 DNL131062 DDP131062 CTT131062 CJX131062 CAB131062 BQF131062 BGJ131062 AWN131062 AMR131062 ACV131062 SZ131062 JD131062 H131062 WVP65526 WLT65526 WBX65526 VSB65526 VIF65526 UYJ65526 UON65526 UER65526 TUV65526 TKZ65526 TBD65526 SRH65526 SHL65526 RXP65526 RNT65526 RDX65526 QUB65526 QKF65526 QAJ65526 PQN65526 PGR65526 OWV65526 OMZ65526 ODD65526 NTH65526 NJL65526 MZP65526 MPT65526 MFX65526 LWB65526 LMF65526 LCJ65526 KSN65526 KIR65526 JYV65526 JOZ65526 JFD65526 IVH65526 ILL65526 IBP65526 HRT65526 HHX65526 GYB65526 GOF65526 GEJ65526 FUN65526 FKR65526 FAV65526 EQZ65526 EHD65526 DXH65526 DNL65526 DDP65526 CTT65526 CJX65526 CAB65526 BQF65526 BGJ65526 AWN65526 AMR65526 ACV65526 SZ65526 JD65526 H65526 WVP983023 WLT983023 WBX983023 VSB983023 VIF983023 UYJ983023 UON983023 UER983023 TUV983023 TKZ983023 TBD983023 SRH983023 SHL983023 RXP983023 RNT983023 RDX983023 QUB983023 QKF983023 QAJ983023 PQN983023 PGR983023 OWV983023 OMZ983023 ODD983023 NTH983023 NJL983023 MZP983023 MPT983023 MFX983023 LWB983023 LMF983023 LCJ983023 KSN983023 KIR983023 JYV983023 JOZ983023 JFD983023 IVH983023 ILL983023 IBP983023 HRT983023 HHX983023 GYB983023 GOF983023 GEJ983023 FUN983023 FKR983023 FAV983023 EQZ983023 EHD983023 DXH983023 DNL983023 DDP983023 CTT983023 CJX983023 CAB983023 BQF983023 BGJ983023 AWN983023 AMR983023 ACV983023 SZ983023 JD983023 H983023 WVP917487 WLT917487 WBX917487 VSB917487 VIF917487 UYJ917487 UON917487 UER917487 TUV917487 TKZ917487 TBD917487 SRH917487 SHL917487 RXP917487 RNT917487 RDX917487 QUB917487 QKF917487 QAJ917487 PQN917487 PGR917487 OWV917487 OMZ917487 ODD917487 NTH917487 NJL917487 MZP917487 MPT917487 MFX917487 LWB917487 LMF917487 LCJ917487 KSN917487 KIR917487 JYV917487 JOZ917487 JFD917487 IVH917487 ILL917487 IBP917487 HRT917487 HHX917487 GYB917487 GOF917487 GEJ917487 FUN917487 FKR917487 FAV917487 EQZ917487 EHD917487 DXH917487 DNL917487 DDP917487 CTT917487 CJX917487 CAB917487 BQF917487 BGJ917487 AWN917487 AMR917487 ACV917487 SZ917487 JD917487 H917487 WVP851951 WLT851951 WBX851951 VSB851951 VIF851951 UYJ851951 UON851951 UER851951 TUV851951 TKZ851951 TBD851951 SRH851951 SHL851951 RXP851951 RNT851951 RDX851951 QUB851951 QKF851951 QAJ851951 PQN851951 PGR851951 OWV851951 OMZ851951 ODD851951 NTH851951 NJL851951 MZP851951 MPT851951 MFX851951 LWB851951 LMF851951 LCJ851951 KSN851951 KIR851951 JYV851951 JOZ851951 JFD851951 IVH851951 ILL851951 IBP851951 HRT851951 HHX851951 GYB851951 GOF851951 GEJ851951 FUN851951 FKR851951 FAV851951 EQZ851951 EHD851951 DXH851951 DNL851951 DDP851951 CTT851951 CJX851951 CAB851951 BQF851951 BGJ851951 AWN851951 AMR851951 ACV851951 SZ851951 JD851951 H851951 WVP786415 WLT786415 WBX786415 VSB786415 VIF786415 UYJ786415 UON786415 UER786415 TUV786415 TKZ786415 TBD786415 SRH786415 SHL786415 RXP786415 RNT786415 RDX786415 QUB786415 QKF786415 QAJ786415 PQN786415 PGR786415 OWV786415 OMZ786415 ODD786415 NTH786415 NJL786415 MZP786415 MPT786415 MFX786415 LWB786415 LMF786415 LCJ786415 KSN786415 KIR786415 JYV786415 JOZ786415 JFD786415 IVH786415 ILL786415 IBP786415 HRT786415 HHX786415 GYB786415 GOF786415 GEJ786415 FUN786415 FKR786415 FAV786415 EQZ786415 EHD786415 DXH786415 DNL786415 DDP786415 CTT786415 CJX786415 CAB786415 BQF786415 BGJ786415 AWN786415 AMR786415 ACV786415 SZ786415 JD786415 H786415 WVP720879 WLT720879 WBX720879 VSB720879 VIF720879 UYJ720879 UON720879 UER720879 TUV720879 TKZ720879 TBD720879 SRH720879 SHL720879 RXP720879 RNT720879 RDX720879 QUB720879 QKF720879 QAJ720879 PQN720879 PGR720879 OWV720879 OMZ720879 ODD720879 NTH720879 NJL720879 MZP720879 MPT720879 MFX720879 LWB720879 LMF720879 LCJ720879 KSN720879 KIR720879 JYV720879 JOZ720879 JFD720879 IVH720879 ILL720879 IBP720879 HRT720879 HHX720879 GYB720879 GOF720879 GEJ720879 FUN720879 FKR720879 FAV720879 EQZ720879 EHD720879 DXH720879 DNL720879 DDP720879 CTT720879 CJX720879 CAB720879 BQF720879 BGJ720879 AWN720879 AMR720879 ACV720879 SZ720879 JD720879 H720879 WVP655343 WLT655343 WBX655343 VSB655343 VIF655343 UYJ655343 UON655343 UER655343 TUV655343 TKZ655343 TBD655343 SRH655343 SHL655343 RXP655343 RNT655343 RDX655343 QUB655343 QKF655343 QAJ655343 PQN655343 PGR655343 OWV655343 OMZ655343 ODD655343 NTH655343 NJL655343 MZP655343 MPT655343 MFX655343 LWB655343 LMF655343 LCJ655343 KSN655343 KIR655343 JYV655343 JOZ655343 JFD655343 IVH655343 ILL655343 IBP655343 HRT655343 HHX655343 GYB655343 GOF655343 GEJ655343 FUN655343 FKR655343 FAV655343 EQZ655343 EHD655343 DXH655343 DNL655343 DDP655343 CTT655343 CJX655343 CAB655343 BQF655343 BGJ655343 AWN655343 AMR655343 ACV655343 SZ655343 JD655343 H655343 WVP589807 WLT589807 WBX589807 VSB589807 VIF589807 UYJ589807 UON589807 UER589807 TUV589807 TKZ589807 TBD589807 SRH589807 SHL589807 RXP589807 RNT589807 RDX589807 QUB589807 QKF589807 QAJ589807 PQN589807 PGR589807 OWV589807 OMZ589807 ODD589807 NTH589807 NJL589807 MZP589807 MPT589807 MFX589807 LWB589807 LMF589807 LCJ589807 KSN589807 KIR589807 JYV589807 JOZ589807 JFD589807 IVH589807 ILL589807 IBP589807 HRT589807 HHX589807 GYB589807 GOF589807 GEJ589807 FUN589807 FKR589807 FAV589807 EQZ589807 EHD589807 DXH589807 DNL589807 DDP589807 CTT589807 CJX589807 CAB589807 BQF589807 BGJ589807 AWN589807 AMR589807 ACV589807 SZ589807 JD589807 H589807 WVP524271 WLT524271 WBX524271 VSB524271 VIF524271 UYJ524271 UON524271 UER524271 TUV524271 TKZ524271 TBD524271 SRH524271 SHL524271 RXP524271 RNT524271 RDX524271 QUB524271 QKF524271 QAJ524271 PQN524271 PGR524271 OWV524271 OMZ524271 ODD524271 NTH524271 NJL524271 MZP524271 MPT524271 MFX524271 LWB524271 LMF524271 LCJ524271 KSN524271 KIR524271 JYV524271 JOZ524271 JFD524271 IVH524271 ILL524271 IBP524271 HRT524271 HHX524271 GYB524271 GOF524271 GEJ524271 FUN524271 FKR524271 FAV524271 EQZ524271 EHD524271 DXH524271 DNL524271 DDP524271 CTT524271 CJX524271 CAB524271 BQF524271 BGJ524271 AWN524271 AMR524271 ACV524271 SZ524271 JD524271 H524271 WVP458735 WLT458735 WBX458735 VSB458735 VIF458735 UYJ458735 UON458735 UER458735 TUV458735 TKZ458735 TBD458735 SRH458735 SHL458735 RXP458735 RNT458735 RDX458735 QUB458735 QKF458735 QAJ458735 PQN458735 PGR458735 OWV458735 OMZ458735 ODD458735 NTH458735 NJL458735 MZP458735 MPT458735 MFX458735 LWB458735 LMF458735 LCJ458735 KSN458735 KIR458735 JYV458735 JOZ458735 JFD458735 IVH458735 ILL458735 IBP458735 HRT458735 HHX458735 GYB458735 GOF458735 GEJ458735 FUN458735 FKR458735 FAV458735 EQZ458735 EHD458735 DXH458735 DNL458735 DDP458735 CTT458735 CJX458735 CAB458735 BQF458735 BGJ458735 AWN458735 AMR458735 ACV458735 SZ458735 JD458735 H458735 WVP393199 WLT393199 WBX393199 VSB393199 VIF393199 UYJ393199 UON393199 UER393199 TUV393199 TKZ393199 TBD393199 SRH393199 SHL393199 RXP393199 RNT393199 RDX393199 QUB393199 QKF393199 QAJ393199 PQN393199 PGR393199 OWV393199 OMZ393199 ODD393199 NTH393199 NJL393199 MZP393199 MPT393199 MFX393199 LWB393199 LMF393199 LCJ393199 KSN393199 KIR393199 JYV393199 JOZ393199 JFD393199 IVH393199 ILL393199 IBP393199 HRT393199 HHX393199 GYB393199 GOF393199 GEJ393199 FUN393199 FKR393199 FAV393199 EQZ393199 EHD393199 DXH393199 DNL393199 DDP393199 CTT393199 CJX393199 CAB393199 BQF393199 BGJ393199 AWN393199 AMR393199 ACV393199 SZ393199 JD393199 H393199 WVP327663 WLT327663 WBX327663 VSB327663 VIF327663 UYJ327663 UON327663 UER327663 TUV327663 TKZ327663 TBD327663 SRH327663 SHL327663 RXP327663 RNT327663 RDX327663 QUB327663 QKF327663 QAJ327663 PQN327663 PGR327663 OWV327663 OMZ327663 ODD327663 NTH327663 NJL327663 MZP327663 MPT327663 MFX327663 LWB327663 LMF327663 LCJ327663 KSN327663 KIR327663 JYV327663 JOZ327663 JFD327663 IVH327663 ILL327663 IBP327663 HRT327663 HHX327663 GYB327663 GOF327663 GEJ327663 FUN327663 FKR327663 FAV327663 EQZ327663 EHD327663 DXH327663 DNL327663 DDP327663 CTT327663 CJX327663 CAB327663 BQF327663 BGJ327663 AWN327663 AMR327663 ACV327663 SZ327663 JD327663 H327663 WVP262127 WLT262127 WBX262127 VSB262127 VIF262127 UYJ262127 UON262127 UER262127 TUV262127 TKZ262127 TBD262127 SRH262127 SHL262127 RXP262127 RNT262127 RDX262127 QUB262127 QKF262127 QAJ262127 PQN262127 PGR262127 OWV262127 OMZ262127 ODD262127 NTH262127 NJL262127 MZP262127 MPT262127 MFX262127 LWB262127 LMF262127 LCJ262127 KSN262127 KIR262127 JYV262127 JOZ262127 JFD262127 IVH262127 ILL262127 IBP262127 HRT262127 HHX262127 GYB262127 GOF262127 GEJ262127 FUN262127 FKR262127 FAV262127 EQZ262127 EHD262127 DXH262127 DNL262127 DDP262127 CTT262127 CJX262127 CAB262127 BQF262127 BGJ262127 AWN262127 AMR262127 ACV262127 SZ262127 JD262127 H262127 WVP196591 WLT196591 WBX196591 VSB196591 VIF196591 UYJ196591 UON196591 UER196591 TUV196591 TKZ196591 TBD196591 SRH196591 SHL196591 RXP196591 RNT196591 RDX196591 QUB196591 QKF196591 QAJ196591 PQN196591 PGR196591 OWV196591 OMZ196591 ODD196591 NTH196591 NJL196591 MZP196591 MPT196591 MFX196591 LWB196591 LMF196591 LCJ196591 KSN196591 KIR196591 JYV196591 JOZ196591 JFD196591 IVH196591 ILL196591 IBP196591 HRT196591 HHX196591 GYB196591 GOF196591 GEJ196591 FUN196591 FKR196591 FAV196591 EQZ196591 EHD196591 DXH196591 DNL196591 DDP196591 CTT196591 CJX196591 CAB196591 BQF196591 BGJ196591 AWN196591 AMR196591 ACV196591 SZ196591 JD196591 H196591 WVP131055 WLT131055 WBX131055 VSB131055 VIF131055 UYJ131055 UON131055 UER131055 TUV131055 TKZ131055 TBD131055 SRH131055 SHL131055 RXP131055 RNT131055 RDX131055 QUB131055 QKF131055 QAJ131055 PQN131055 PGR131055 OWV131055 OMZ131055 ODD131055 NTH131055 NJL131055 MZP131055 MPT131055 MFX131055 LWB131055 LMF131055 LCJ131055 KSN131055 KIR131055 JYV131055 JOZ131055 JFD131055 IVH131055 ILL131055 IBP131055 HRT131055 HHX131055 GYB131055 GOF131055 GEJ131055 FUN131055 FKR131055 FAV131055 EQZ131055 EHD131055 DXH131055 DNL131055 DDP131055 CTT131055 CJX131055 CAB131055 BQF131055 BGJ131055 AWN131055 AMR131055 ACV131055 SZ131055 JD131055 H131055 WVP65519 WLT65519 WBX65519 VSB65519 VIF65519 UYJ65519 UON65519 UER65519 TUV65519 TKZ65519 TBD65519 SRH65519 SHL65519 RXP65519 RNT65519 RDX65519 QUB65519 QKF65519 QAJ65519 PQN65519 PGR65519 OWV65519 OMZ65519 ODD65519 NTH65519 NJL65519 MZP65519 MPT65519 MFX65519 LWB65519 LMF65519 LCJ65519 KSN65519 KIR65519 JYV65519 JOZ65519 JFD65519 IVH65519 ILL65519 IBP65519 HRT65519 HHX65519 GYB65519 GOF65519 GEJ65519 FUN65519 FKR65519 FAV65519 EQZ65519 EHD65519 DXH65519 DNL65519 DDP65519 CTT65519 CJX65519 CAB65519 BQF65519 BGJ65519 AWN65519 AMR65519 ACV65519 SZ65519 JD65519 H65519 WVP8 WLT8 WBX8 VSB8 VIF8 UYJ8 UON8 UER8 TUV8 TKZ8 TBD8 SRH8 SHL8 RXP8 RNT8 RDX8 QUB8 QKF8 QAJ8 PQN8 PGR8 OWV8 OMZ8 ODD8 NTH8 NJL8 MZP8 MPT8 MFX8 LWB8 LMF8 LCJ8 KSN8 KIR8 JYV8 JOZ8 JFD8 IVH8 ILL8 IBP8 HRT8 HHX8 GYB8 GOF8 GEJ8 FUN8 FKR8 FAV8 EQZ8 EHD8 DXH8 DNL8 DDP8 CTT8 CJX8 CAB8 BQF8 BGJ8 AWN8 AMR8 ACV8 SZ8 JD8">
      <formula1>$H$18:$H$22</formula1>
    </dataValidation>
  </dataValidations>
  <printOptions horizontalCentered="1"/>
  <pageMargins left="0.25" right="0.25" top="0.75" bottom="0.75" header="0.3" footer="0.3"/>
  <pageSetup scale="45" orientation="landscape" copies="2" r:id="rId1"/>
  <headerFooter>
    <oddFooter>&amp;C&amp;"Tahoma,Cursiva"&amp;9Si usted ha accedido a este formato a través de un medio diferente al sitio web del Sistema de Control Documental del SIGEC asegúrese que ésta es la versión vigente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M39"/>
  <sheetViews>
    <sheetView topLeftCell="F3" zoomScale="70" zoomScaleNormal="70" zoomScaleSheetLayoutView="100" zoomScalePageLayoutView="60" workbookViewId="0">
      <selection activeCell="Y11" sqref="Y11:AA11"/>
    </sheetView>
  </sheetViews>
  <sheetFormatPr baseColWidth="10" defaultRowHeight="12.75"/>
  <cols>
    <col min="1" max="1" width="10.28515625" style="2" customWidth="1"/>
    <col min="2" max="2" width="13.42578125" style="2" customWidth="1"/>
    <col min="3" max="3" width="4.28515625" style="2" customWidth="1"/>
    <col min="4" max="4" width="4" style="2" customWidth="1"/>
    <col min="5" max="5" width="19.42578125" style="2" customWidth="1"/>
    <col min="6" max="6" width="4.140625" style="2" customWidth="1"/>
    <col min="7" max="7" width="11.28515625" style="2" customWidth="1"/>
    <col min="8" max="8" width="16.140625" style="2" customWidth="1"/>
    <col min="9" max="9" width="11" style="2" customWidth="1"/>
    <col min="10" max="11" width="2.140625" style="2" customWidth="1"/>
    <col min="12" max="12" width="3.28515625" style="2" customWidth="1"/>
    <col min="13" max="13" width="0.28515625" style="2" hidden="1" customWidth="1"/>
    <col min="14" max="14" width="0.42578125" style="2" hidden="1" customWidth="1"/>
    <col min="15" max="15" width="2.85546875" style="2" customWidth="1"/>
    <col min="16" max="16" width="3.28515625" style="2" customWidth="1"/>
    <col min="17" max="17" width="1.42578125" style="2" customWidth="1"/>
    <col min="18" max="18" width="1.85546875" style="2" hidden="1" customWidth="1"/>
    <col min="19" max="19" width="6.85546875" style="2" customWidth="1"/>
    <col min="20" max="20" width="3" style="2" hidden="1" customWidth="1"/>
    <col min="21" max="22" width="6.28515625" style="2" customWidth="1"/>
    <col min="23" max="23" width="24.85546875" style="2" customWidth="1"/>
    <col min="24" max="24" width="23.85546875" style="2" customWidth="1"/>
    <col min="25" max="25" width="10.85546875" style="2" customWidth="1"/>
    <col min="26" max="26" width="22.85546875" style="2" customWidth="1"/>
    <col min="27" max="27" width="0.42578125" style="2" hidden="1" customWidth="1"/>
    <col min="28" max="28" width="13" style="2" customWidth="1"/>
    <col min="29" max="29" width="13.140625" style="2" customWidth="1"/>
    <col min="30" max="31" width="14" style="2" customWidth="1"/>
    <col min="32" max="32" width="11.42578125" style="2" customWidth="1"/>
    <col min="33" max="33" width="15.85546875" style="2" customWidth="1"/>
    <col min="34" max="34" width="23.7109375" style="2" customWidth="1"/>
    <col min="35" max="35" width="12" style="2" customWidth="1"/>
    <col min="36" max="37" width="0.28515625" style="2" customWidth="1"/>
    <col min="38" max="38" width="1.42578125" style="2" customWidth="1"/>
    <col min="39" max="39" width="1.28515625" style="2" hidden="1" customWidth="1"/>
    <col min="40" max="256" width="11.42578125" style="2"/>
    <col min="257" max="257" width="10.28515625" style="2" customWidth="1"/>
    <col min="258" max="258" width="13.42578125" style="2" customWidth="1"/>
    <col min="259" max="259" width="4.28515625" style="2" customWidth="1"/>
    <col min="260" max="260" width="4" style="2" customWidth="1"/>
    <col min="261" max="261" width="15" style="2" customWidth="1"/>
    <col min="262" max="262" width="4.140625" style="2" customWidth="1"/>
    <col min="263" max="263" width="11.28515625" style="2" customWidth="1"/>
    <col min="264" max="264" width="16.140625" style="2" customWidth="1"/>
    <col min="265" max="265" width="11" style="2" customWidth="1"/>
    <col min="266" max="267" width="2.140625" style="2" customWidth="1"/>
    <col min="268" max="268" width="3.28515625" style="2" customWidth="1"/>
    <col min="269" max="270" width="0" style="2" hidden="1" customWidth="1"/>
    <col min="271" max="271" width="2.85546875" style="2" customWidth="1"/>
    <col min="272" max="272" width="3.28515625" style="2" customWidth="1"/>
    <col min="273" max="273" width="1.42578125" style="2" customWidth="1"/>
    <col min="274" max="274" width="0" style="2" hidden="1" customWidth="1"/>
    <col min="275" max="275" width="6.85546875" style="2" customWidth="1"/>
    <col min="276" max="276" width="0" style="2" hidden="1" customWidth="1"/>
    <col min="277" max="278" width="6.28515625" style="2" customWidth="1"/>
    <col min="279" max="280" width="13.85546875" style="2" customWidth="1"/>
    <col min="281" max="281" width="10.85546875" style="2" customWidth="1"/>
    <col min="282" max="282" width="14.140625" style="2" customWidth="1"/>
    <col min="283" max="283" width="0" style="2" hidden="1" customWidth="1"/>
    <col min="284" max="284" width="13" style="2" customWidth="1"/>
    <col min="285" max="285" width="13.140625" style="2" customWidth="1"/>
    <col min="286" max="287" width="14" style="2" customWidth="1"/>
    <col min="288" max="288" width="11.42578125" style="2" customWidth="1"/>
    <col min="289" max="289" width="15.85546875" style="2" customWidth="1"/>
    <col min="290" max="290" width="23.7109375" style="2" customWidth="1"/>
    <col min="291" max="291" width="12" style="2" customWidth="1"/>
    <col min="292" max="293" width="0.28515625" style="2" customWidth="1"/>
    <col min="294" max="294" width="1.42578125" style="2" customWidth="1"/>
    <col min="295" max="295" width="0" style="2" hidden="1" customWidth="1"/>
    <col min="296" max="512" width="11.42578125" style="2"/>
    <col min="513" max="513" width="10.28515625" style="2" customWidth="1"/>
    <col min="514" max="514" width="13.42578125" style="2" customWidth="1"/>
    <col min="515" max="515" width="4.28515625" style="2" customWidth="1"/>
    <col min="516" max="516" width="4" style="2" customWidth="1"/>
    <col min="517" max="517" width="15" style="2" customWidth="1"/>
    <col min="518" max="518" width="4.140625" style="2" customWidth="1"/>
    <col min="519" max="519" width="11.28515625" style="2" customWidth="1"/>
    <col min="520" max="520" width="16.140625" style="2" customWidth="1"/>
    <col min="521" max="521" width="11" style="2" customWidth="1"/>
    <col min="522" max="523" width="2.140625" style="2" customWidth="1"/>
    <col min="524" max="524" width="3.28515625" style="2" customWidth="1"/>
    <col min="525" max="526" width="0" style="2" hidden="1" customWidth="1"/>
    <col min="527" max="527" width="2.85546875" style="2" customWidth="1"/>
    <col min="528" max="528" width="3.28515625" style="2" customWidth="1"/>
    <col min="529" max="529" width="1.42578125" style="2" customWidth="1"/>
    <col min="530" max="530" width="0" style="2" hidden="1" customWidth="1"/>
    <col min="531" max="531" width="6.85546875" style="2" customWidth="1"/>
    <col min="532" max="532" width="0" style="2" hidden="1" customWidth="1"/>
    <col min="533" max="534" width="6.28515625" style="2" customWidth="1"/>
    <col min="535" max="536" width="13.85546875" style="2" customWidth="1"/>
    <col min="537" max="537" width="10.85546875" style="2" customWidth="1"/>
    <col min="538" max="538" width="14.140625" style="2" customWidth="1"/>
    <col min="539" max="539" width="0" style="2" hidden="1" customWidth="1"/>
    <col min="540" max="540" width="13" style="2" customWidth="1"/>
    <col min="541" max="541" width="13.140625" style="2" customWidth="1"/>
    <col min="542" max="543" width="14" style="2" customWidth="1"/>
    <col min="544" max="544" width="11.42578125" style="2" customWidth="1"/>
    <col min="545" max="545" width="15.85546875" style="2" customWidth="1"/>
    <col min="546" max="546" width="23.7109375" style="2" customWidth="1"/>
    <col min="547" max="547" width="12" style="2" customWidth="1"/>
    <col min="548" max="549" width="0.28515625" style="2" customWidth="1"/>
    <col min="550" max="550" width="1.42578125" style="2" customWidth="1"/>
    <col min="551" max="551" width="0" style="2" hidden="1" customWidth="1"/>
    <col min="552" max="768" width="11.42578125" style="2"/>
    <col min="769" max="769" width="10.28515625" style="2" customWidth="1"/>
    <col min="770" max="770" width="13.42578125" style="2" customWidth="1"/>
    <col min="771" max="771" width="4.28515625" style="2" customWidth="1"/>
    <col min="772" max="772" width="4" style="2" customWidth="1"/>
    <col min="773" max="773" width="15" style="2" customWidth="1"/>
    <col min="774" max="774" width="4.140625" style="2" customWidth="1"/>
    <col min="775" max="775" width="11.28515625" style="2" customWidth="1"/>
    <col min="776" max="776" width="16.140625" style="2" customWidth="1"/>
    <col min="777" max="777" width="11" style="2" customWidth="1"/>
    <col min="778" max="779" width="2.140625" style="2" customWidth="1"/>
    <col min="780" max="780" width="3.28515625" style="2" customWidth="1"/>
    <col min="781" max="782" width="0" style="2" hidden="1" customWidth="1"/>
    <col min="783" max="783" width="2.85546875" style="2" customWidth="1"/>
    <col min="784" max="784" width="3.28515625" style="2" customWidth="1"/>
    <col min="785" max="785" width="1.42578125" style="2" customWidth="1"/>
    <col min="786" max="786" width="0" style="2" hidden="1" customWidth="1"/>
    <col min="787" max="787" width="6.85546875" style="2" customWidth="1"/>
    <col min="788" max="788" width="0" style="2" hidden="1" customWidth="1"/>
    <col min="789" max="790" width="6.28515625" style="2" customWidth="1"/>
    <col min="791" max="792" width="13.85546875" style="2" customWidth="1"/>
    <col min="793" max="793" width="10.85546875" style="2" customWidth="1"/>
    <col min="794" max="794" width="14.140625" style="2" customWidth="1"/>
    <col min="795" max="795" width="0" style="2" hidden="1" customWidth="1"/>
    <col min="796" max="796" width="13" style="2" customWidth="1"/>
    <col min="797" max="797" width="13.140625" style="2" customWidth="1"/>
    <col min="798" max="799" width="14" style="2" customWidth="1"/>
    <col min="800" max="800" width="11.42578125" style="2" customWidth="1"/>
    <col min="801" max="801" width="15.85546875" style="2" customWidth="1"/>
    <col min="802" max="802" width="23.7109375" style="2" customWidth="1"/>
    <col min="803" max="803" width="12" style="2" customWidth="1"/>
    <col min="804" max="805" width="0.28515625" style="2" customWidth="1"/>
    <col min="806" max="806" width="1.42578125" style="2" customWidth="1"/>
    <col min="807" max="807" width="0" style="2" hidden="1" customWidth="1"/>
    <col min="808" max="1024" width="11.42578125" style="2"/>
    <col min="1025" max="1025" width="10.28515625" style="2" customWidth="1"/>
    <col min="1026" max="1026" width="13.42578125" style="2" customWidth="1"/>
    <col min="1027" max="1027" width="4.28515625" style="2" customWidth="1"/>
    <col min="1028" max="1028" width="4" style="2" customWidth="1"/>
    <col min="1029" max="1029" width="15" style="2" customWidth="1"/>
    <col min="1030" max="1030" width="4.140625" style="2" customWidth="1"/>
    <col min="1031" max="1031" width="11.28515625" style="2" customWidth="1"/>
    <col min="1032" max="1032" width="16.140625" style="2" customWidth="1"/>
    <col min="1033" max="1033" width="11" style="2" customWidth="1"/>
    <col min="1034" max="1035" width="2.140625" style="2" customWidth="1"/>
    <col min="1036" max="1036" width="3.28515625" style="2" customWidth="1"/>
    <col min="1037" max="1038" width="0" style="2" hidden="1" customWidth="1"/>
    <col min="1039" max="1039" width="2.85546875" style="2" customWidth="1"/>
    <col min="1040" max="1040" width="3.28515625" style="2" customWidth="1"/>
    <col min="1041" max="1041" width="1.42578125" style="2" customWidth="1"/>
    <col min="1042" max="1042" width="0" style="2" hidden="1" customWidth="1"/>
    <col min="1043" max="1043" width="6.85546875" style="2" customWidth="1"/>
    <col min="1044" max="1044" width="0" style="2" hidden="1" customWidth="1"/>
    <col min="1045" max="1046" width="6.28515625" style="2" customWidth="1"/>
    <col min="1047" max="1048" width="13.85546875" style="2" customWidth="1"/>
    <col min="1049" max="1049" width="10.85546875" style="2" customWidth="1"/>
    <col min="1050" max="1050" width="14.140625" style="2" customWidth="1"/>
    <col min="1051" max="1051" width="0" style="2" hidden="1" customWidth="1"/>
    <col min="1052" max="1052" width="13" style="2" customWidth="1"/>
    <col min="1053" max="1053" width="13.140625" style="2" customWidth="1"/>
    <col min="1054" max="1055" width="14" style="2" customWidth="1"/>
    <col min="1056" max="1056" width="11.42578125" style="2" customWidth="1"/>
    <col min="1057" max="1057" width="15.85546875" style="2" customWidth="1"/>
    <col min="1058" max="1058" width="23.7109375" style="2" customWidth="1"/>
    <col min="1059" max="1059" width="12" style="2" customWidth="1"/>
    <col min="1060" max="1061" width="0.28515625" style="2" customWidth="1"/>
    <col min="1062" max="1062" width="1.42578125" style="2" customWidth="1"/>
    <col min="1063" max="1063" width="0" style="2" hidden="1" customWidth="1"/>
    <col min="1064" max="1280" width="11.42578125" style="2"/>
    <col min="1281" max="1281" width="10.28515625" style="2" customWidth="1"/>
    <col min="1282" max="1282" width="13.42578125" style="2" customWidth="1"/>
    <col min="1283" max="1283" width="4.28515625" style="2" customWidth="1"/>
    <col min="1284" max="1284" width="4" style="2" customWidth="1"/>
    <col min="1285" max="1285" width="15" style="2" customWidth="1"/>
    <col min="1286" max="1286" width="4.140625" style="2" customWidth="1"/>
    <col min="1287" max="1287" width="11.28515625" style="2" customWidth="1"/>
    <col min="1288" max="1288" width="16.140625" style="2" customWidth="1"/>
    <col min="1289" max="1289" width="11" style="2" customWidth="1"/>
    <col min="1290" max="1291" width="2.140625" style="2" customWidth="1"/>
    <col min="1292" max="1292" width="3.28515625" style="2" customWidth="1"/>
    <col min="1293" max="1294" width="0" style="2" hidden="1" customWidth="1"/>
    <col min="1295" max="1295" width="2.85546875" style="2" customWidth="1"/>
    <col min="1296" max="1296" width="3.28515625" style="2" customWidth="1"/>
    <col min="1297" max="1297" width="1.42578125" style="2" customWidth="1"/>
    <col min="1298" max="1298" width="0" style="2" hidden="1" customWidth="1"/>
    <col min="1299" max="1299" width="6.85546875" style="2" customWidth="1"/>
    <col min="1300" max="1300" width="0" style="2" hidden="1" customWidth="1"/>
    <col min="1301" max="1302" width="6.28515625" style="2" customWidth="1"/>
    <col min="1303" max="1304" width="13.85546875" style="2" customWidth="1"/>
    <col min="1305" max="1305" width="10.85546875" style="2" customWidth="1"/>
    <col min="1306" max="1306" width="14.140625" style="2" customWidth="1"/>
    <col min="1307" max="1307" width="0" style="2" hidden="1" customWidth="1"/>
    <col min="1308" max="1308" width="13" style="2" customWidth="1"/>
    <col min="1309" max="1309" width="13.140625" style="2" customWidth="1"/>
    <col min="1310" max="1311" width="14" style="2" customWidth="1"/>
    <col min="1312" max="1312" width="11.42578125" style="2" customWidth="1"/>
    <col min="1313" max="1313" width="15.85546875" style="2" customWidth="1"/>
    <col min="1314" max="1314" width="23.7109375" style="2" customWidth="1"/>
    <col min="1315" max="1315" width="12" style="2" customWidth="1"/>
    <col min="1316" max="1317" width="0.28515625" style="2" customWidth="1"/>
    <col min="1318" max="1318" width="1.42578125" style="2" customWidth="1"/>
    <col min="1319" max="1319" width="0" style="2" hidden="1" customWidth="1"/>
    <col min="1320" max="1536" width="11.42578125" style="2"/>
    <col min="1537" max="1537" width="10.28515625" style="2" customWidth="1"/>
    <col min="1538" max="1538" width="13.42578125" style="2" customWidth="1"/>
    <col min="1539" max="1539" width="4.28515625" style="2" customWidth="1"/>
    <col min="1540" max="1540" width="4" style="2" customWidth="1"/>
    <col min="1541" max="1541" width="15" style="2" customWidth="1"/>
    <col min="1542" max="1542" width="4.140625" style="2" customWidth="1"/>
    <col min="1543" max="1543" width="11.28515625" style="2" customWidth="1"/>
    <col min="1544" max="1544" width="16.140625" style="2" customWidth="1"/>
    <col min="1545" max="1545" width="11" style="2" customWidth="1"/>
    <col min="1546" max="1547" width="2.140625" style="2" customWidth="1"/>
    <col min="1548" max="1548" width="3.28515625" style="2" customWidth="1"/>
    <col min="1549" max="1550" width="0" style="2" hidden="1" customWidth="1"/>
    <col min="1551" max="1551" width="2.85546875" style="2" customWidth="1"/>
    <col min="1552" max="1552" width="3.28515625" style="2" customWidth="1"/>
    <col min="1553" max="1553" width="1.42578125" style="2" customWidth="1"/>
    <col min="1554" max="1554" width="0" style="2" hidden="1" customWidth="1"/>
    <col min="1555" max="1555" width="6.85546875" style="2" customWidth="1"/>
    <col min="1556" max="1556" width="0" style="2" hidden="1" customWidth="1"/>
    <col min="1557" max="1558" width="6.28515625" style="2" customWidth="1"/>
    <col min="1559" max="1560" width="13.85546875" style="2" customWidth="1"/>
    <col min="1561" max="1561" width="10.85546875" style="2" customWidth="1"/>
    <col min="1562" max="1562" width="14.140625" style="2" customWidth="1"/>
    <col min="1563" max="1563" width="0" style="2" hidden="1" customWidth="1"/>
    <col min="1564" max="1564" width="13" style="2" customWidth="1"/>
    <col min="1565" max="1565" width="13.140625" style="2" customWidth="1"/>
    <col min="1566" max="1567" width="14" style="2" customWidth="1"/>
    <col min="1568" max="1568" width="11.42578125" style="2" customWidth="1"/>
    <col min="1569" max="1569" width="15.85546875" style="2" customWidth="1"/>
    <col min="1570" max="1570" width="23.7109375" style="2" customWidth="1"/>
    <col min="1571" max="1571" width="12" style="2" customWidth="1"/>
    <col min="1572" max="1573" width="0.28515625" style="2" customWidth="1"/>
    <col min="1574" max="1574" width="1.42578125" style="2" customWidth="1"/>
    <col min="1575" max="1575" width="0" style="2" hidden="1" customWidth="1"/>
    <col min="1576" max="1792" width="11.42578125" style="2"/>
    <col min="1793" max="1793" width="10.28515625" style="2" customWidth="1"/>
    <col min="1794" max="1794" width="13.42578125" style="2" customWidth="1"/>
    <col min="1795" max="1795" width="4.28515625" style="2" customWidth="1"/>
    <col min="1796" max="1796" width="4" style="2" customWidth="1"/>
    <col min="1797" max="1797" width="15" style="2" customWidth="1"/>
    <col min="1798" max="1798" width="4.140625" style="2" customWidth="1"/>
    <col min="1799" max="1799" width="11.28515625" style="2" customWidth="1"/>
    <col min="1800" max="1800" width="16.140625" style="2" customWidth="1"/>
    <col min="1801" max="1801" width="11" style="2" customWidth="1"/>
    <col min="1802" max="1803" width="2.140625" style="2" customWidth="1"/>
    <col min="1804" max="1804" width="3.28515625" style="2" customWidth="1"/>
    <col min="1805" max="1806" width="0" style="2" hidden="1" customWidth="1"/>
    <col min="1807" max="1807" width="2.85546875" style="2" customWidth="1"/>
    <col min="1808" max="1808" width="3.28515625" style="2" customWidth="1"/>
    <col min="1809" max="1809" width="1.42578125" style="2" customWidth="1"/>
    <col min="1810" max="1810" width="0" style="2" hidden="1" customWidth="1"/>
    <col min="1811" max="1811" width="6.85546875" style="2" customWidth="1"/>
    <col min="1812" max="1812" width="0" style="2" hidden="1" customWidth="1"/>
    <col min="1813" max="1814" width="6.28515625" style="2" customWidth="1"/>
    <col min="1815" max="1816" width="13.85546875" style="2" customWidth="1"/>
    <col min="1817" max="1817" width="10.85546875" style="2" customWidth="1"/>
    <col min="1818" max="1818" width="14.140625" style="2" customWidth="1"/>
    <col min="1819" max="1819" width="0" style="2" hidden="1" customWidth="1"/>
    <col min="1820" max="1820" width="13" style="2" customWidth="1"/>
    <col min="1821" max="1821" width="13.140625" style="2" customWidth="1"/>
    <col min="1822" max="1823" width="14" style="2" customWidth="1"/>
    <col min="1824" max="1824" width="11.42578125" style="2" customWidth="1"/>
    <col min="1825" max="1825" width="15.85546875" style="2" customWidth="1"/>
    <col min="1826" max="1826" width="23.7109375" style="2" customWidth="1"/>
    <col min="1827" max="1827" width="12" style="2" customWidth="1"/>
    <col min="1828" max="1829" width="0.28515625" style="2" customWidth="1"/>
    <col min="1830" max="1830" width="1.42578125" style="2" customWidth="1"/>
    <col min="1831" max="1831" width="0" style="2" hidden="1" customWidth="1"/>
    <col min="1832" max="2048" width="11.42578125" style="2"/>
    <col min="2049" max="2049" width="10.28515625" style="2" customWidth="1"/>
    <col min="2050" max="2050" width="13.42578125" style="2" customWidth="1"/>
    <col min="2051" max="2051" width="4.28515625" style="2" customWidth="1"/>
    <col min="2052" max="2052" width="4" style="2" customWidth="1"/>
    <col min="2053" max="2053" width="15" style="2" customWidth="1"/>
    <col min="2054" max="2054" width="4.140625" style="2" customWidth="1"/>
    <col min="2055" max="2055" width="11.28515625" style="2" customWidth="1"/>
    <col min="2056" max="2056" width="16.140625" style="2" customWidth="1"/>
    <col min="2057" max="2057" width="11" style="2" customWidth="1"/>
    <col min="2058" max="2059" width="2.140625" style="2" customWidth="1"/>
    <col min="2060" max="2060" width="3.28515625" style="2" customWidth="1"/>
    <col min="2061" max="2062" width="0" style="2" hidden="1" customWidth="1"/>
    <col min="2063" max="2063" width="2.85546875" style="2" customWidth="1"/>
    <col min="2064" max="2064" width="3.28515625" style="2" customWidth="1"/>
    <col min="2065" max="2065" width="1.42578125" style="2" customWidth="1"/>
    <col min="2066" max="2066" width="0" style="2" hidden="1" customWidth="1"/>
    <col min="2067" max="2067" width="6.85546875" style="2" customWidth="1"/>
    <col min="2068" max="2068" width="0" style="2" hidden="1" customWidth="1"/>
    <col min="2069" max="2070" width="6.28515625" style="2" customWidth="1"/>
    <col min="2071" max="2072" width="13.85546875" style="2" customWidth="1"/>
    <col min="2073" max="2073" width="10.85546875" style="2" customWidth="1"/>
    <col min="2074" max="2074" width="14.140625" style="2" customWidth="1"/>
    <col min="2075" max="2075" width="0" style="2" hidden="1" customWidth="1"/>
    <col min="2076" max="2076" width="13" style="2" customWidth="1"/>
    <col min="2077" max="2077" width="13.140625" style="2" customWidth="1"/>
    <col min="2078" max="2079" width="14" style="2" customWidth="1"/>
    <col min="2080" max="2080" width="11.42578125" style="2" customWidth="1"/>
    <col min="2081" max="2081" width="15.85546875" style="2" customWidth="1"/>
    <col min="2082" max="2082" width="23.7109375" style="2" customWidth="1"/>
    <col min="2083" max="2083" width="12" style="2" customWidth="1"/>
    <col min="2084" max="2085" width="0.28515625" style="2" customWidth="1"/>
    <col min="2086" max="2086" width="1.42578125" style="2" customWidth="1"/>
    <col min="2087" max="2087" width="0" style="2" hidden="1" customWidth="1"/>
    <col min="2088" max="2304" width="11.42578125" style="2"/>
    <col min="2305" max="2305" width="10.28515625" style="2" customWidth="1"/>
    <col min="2306" max="2306" width="13.42578125" style="2" customWidth="1"/>
    <col min="2307" max="2307" width="4.28515625" style="2" customWidth="1"/>
    <col min="2308" max="2308" width="4" style="2" customWidth="1"/>
    <col min="2309" max="2309" width="15" style="2" customWidth="1"/>
    <col min="2310" max="2310" width="4.140625" style="2" customWidth="1"/>
    <col min="2311" max="2311" width="11.28515625" style="2" customWidth="1"/>
    <col min="2312" max="2312" width="16.140625" style="2" customWidth="1"/>
    <col min="2313" max="2313" width="11" style="2" customWidth="1"/>
    <col min="2314" max="2315" width="2.140625" style="2" customWidth="1"/>
    <col min="2316" max="2316" width="3.28515625" style="2" customWidth="1"/>
    <col min="2317" max="2318" width="0" style="2" hidden="1" customWidth="1"/>
    <col min="2319" max="2319" width="2.85546875" style="2" customWidth="1"/>
    <col min="2320" max="2320" width="3.28515625" style="2" customWidth="1"/>
    <col min="2321" max="2321" width="1.42578125" style="2" customWidth="1"/>
    <col min="2322" max="2322" width="0" style="2" hidden="1" customWidth="1"/>
    <col min="2323" max="2323" width="6.85546875" style="2" customWidth="1"/>
    <col min="2324" max="2324" width="0" style="2" hidden="1" customWidth="1"/>
    <col min="2325" max="2326" width="6.28515625" style="2" customWidth="1"/>
    <col min="2327" max="2328" width="13.85546875" style="2" customWidth="1"/>
    <col min="2329" max="2329" width="10.85546875" style="2" customWidth="1"/>
    <col min="2330" max="2330" width="14.140625" style="2" customWidth="1"/>
    <col min="2331" max="2331" width="0" style="2" hidden="1" customWidth="1"/>
    <col min="2332" max="2332" width="13" style="2" customWidth="1"/>
    <col min="2333" max="2333" width="13.140625" style="2" customWidth="1"/>
    <col min="2334" max="2335" width="14" style="2" customWidth="1"/>
    <col min="2336" max="2336" width="11.42578125" style="2" customWidth="1"/>
    <col min="2337" max="2337" width="15.85546875" style="2" customWidth="1"/>
    <col min="2338" max="2338" width="23.7109375" style="2" customWidth="1"/>
    <col min="2339" max="2339" width="12" style="2" customWidth="1"/>
    <col min="2340" max="2341" width="0.28515625" style="2" customWidth="1"/>
    <col min="2342" max="2342" width="1.42578125" style="2" customWidth="1"/>
    <col min="2343" max="2343" width="0" style="2" hidden="1" customWidth="1"/>
    <col min="2344" max="2560" width="11.42578125" style="2"/>
    <col min="2561" max="2561" width="10.28515625" style="2" customWidth="1"/>
    <col min="2562" max="2562" width="13.42578125" style="2" customWidth="1"/>
    <col min="2563" max="2563" width="4.28515625" style="2" customWidth="1"/>
    <col min="2564" max="2564" width="4" style="2" customWidth="1"/>
    <col min="2565" max="2565" width="15" style="2" customWidth="1"/>
    <col min="2566" max="2566" width="4.140625" style="2" customWidth="1"/>
    <col min="2567" max="2567" width="11.28515625" style="2" customWidth="1"/>
    <col min="2568" max="2568" width="16.140625" style="2" customWidth="1"/>
    <col min="2569" max="2569" width="11" style="2" customWidth="1"/>
    <col min="2570" max="2571" width="2.140625" style="2" customWidth="1"/>
    <col min="2572" max="2572" width="3.28515625" style="2" customWidth="1"/>
    <col min="2573" max="2574" width="0" style="2" hidden="1" customWidth="1"/>
    <col min="2575" max="2575" width="2.85546875" style="2" customWidth="1"/>
    <col min="2576" max="2576" width="3.28515625" style="2" customWidth="1"/>
    <col min="2577" max="2577" width="1.42578125" style="2" customWidth="1"/>
    <col min="2578" max="2578" width="0" style="2" hidden="1" customWidth="1"/>
    <col min="2579" max="2579" width="6.85546875" style="2" customWidth="1"/>
    <col min="2580" max="2580" width="0" style="2" hidden="1" customWidth="1"/>
    <col min="2581" max="2582" width="6.28515625" style="2" customWidth="1"/>
    <col min="2583" max="2584" width="13.85546875" style="2" customWidth="1"/>
    <col min="2585" max="2585" width="10.85546875" style="2" customWidth="1"/>
    <col min="2586" max="2586" width="14.140625" style="2" customWidth="1"/>
    <col min="2587" max="2587" width="0" style="2" hidden="1" customWidth="1"/>
    <col min="2588" max="2588" width="13" style="2" customWidth="1"/>
    <col min="2589" max="2589" width="13.140625" style="2" customWidth="1"/>
    <col min="2590" max="2591" width="14" style="2" customWidth="1"/>
    <col min="2592" max="2592" width="11.42578125" style="2" customWidth="1"/>
    <col min="2593" max="2593" width="15.85546875" style="2" customWidth="1"/>
    <col min="2594" max="2594" width="23.7109375" style="2" customWidth="1"/>
    <col min="2595" max="2595" width="12" style="2" customWidth="1"/>
    <col min="2596" max="2597" width="0.28515625" style="2" customWidth="1"/>
    <col min="2598" max="2598" width="1.42578125" style="2" customWidth="1"/>
    <col min="2599" max="2599" width="0" style="2" hidden="1" customWidth="1"/>
    <col min="2600" max="2816" width="11.42578125" style="2"/>
    <col min="2817" max="2817" width="10.28515625" style="2" customWidth="1"/>
    <col min="2818" max="2818" width="13.42578125" style="2" customWidth="1"/>
    <col min="2819" max="2819" width="4.28515625" style="2" customWidth="1"/>
    <col min="2820" max="2820" width="4" style="2" customWidth="1"/>
    <col min="2821" max="2821" width="15" style="2" customWidth="1"/>
    <col min="2822" max="2822" width="4.140625" style="2" customWidth="1"/>
    <col min="2823" max="2823" width="11.28515625" style="2" customWidth="1"/>
    <col min="2824" max="2824" width="16.140625" style="2" customWidth="1"/>
    <col min="2825" max="2825" width="11" style="2" customWidth="1"/>
    <col min="2826" max="2827" width="2.140625" style="2" customWidth="1"/>
    <col min="2828" max="2828" width="3.28515625" style="2" customWidth="1"/>
    <col min="2829" max="2830" width="0" style="2" hidden="1" customWidth="1"/>
    <col min="2831" max="2831" width="2.85546875" style="2" customWidth="1"/>
    <col min="2832" max="2832" width="3.28515625" style="2" customWidth="1"/>
    <col min="2833" max="2833" width="1.42578125" style="2" customWidth="1"/>
    <col min="2834" max="2834" width="0" style="2" hidden="1" customWidth="1"/>
    <col min="2835" max="2835" width="6.85546875" style="2" customWidth="1"/>
    <col min="2836" max="2836" width="0" style="2" hidden="1" customWidth="1"/>
    <col min="2837" max="2838" width="6.28515625" style="2" customWidth="1"/>
    <col min="2839" max="2840" width="13.85546875" style="2" customWidth="1"/>
    <col min="2841" max="2841" width="10.85546875" style="2" customWidth="1"/>
    <col min="2842" max="2842" width="14.140625" style="2" customWidth="1"/>
    <col min="2843" max="2843" width="0" style="2" hidden="1" customWidth="1"/>
    <col min="2844" max="2844" width="13" style="2" customWidth="1"/>
    <col min="2845" max="2845" width="13.140625" style="2" customWidth="1"/>
    <col min="2846" max="2847" width="14" style="2" customWidth="1"/>
    <col min="2848" max="2848" width="11.42578125" style="2" customWidth="1"/>
    <col min="2849" max="2849" width="15.85546875" style="2" customWidth="1"/>
    <col min="2850" max="2850" width="23.7109375" style="2" customWidth="1"/>
    <col min="2851" max="2851" width="12" style="2" customWidth="1"/>
    <col min="2852" max="2853" width="0.28515625" style="2" customWidth="1"/>
    <col min="2854" max="2854" width="1.42578125" style="2" customWidth="1"/>
    <col min="2855" max="2855" width="0" style="2" hidden="1" customWidth="1"/>
    <col min="2856" max="3072" width="11.42578125" style="2"/>
    <col min="3073" max="3073" width="10.28515625" style="2" customWidth="1"/>
    <col min="3074" max="3074" width="13.42578125" style="2" customWidth="1"/>
    <col min="3075" max="3075" width="4.28515625" style="2" customWidth="1"/>
    <col min="3076" max="3076" width="4" style="2" customWidth="1"/>
    <col min="3077" max="3077" width="15" style="2" customWidth="1"/>
    <col min="3078" max="3078" width="4.140625" style="2" customWidth="1"/>
    <col min="3079" max="3079" width="11.28515625" style="2" customWidth="1"/>
    <col min="3080" max="3080" width="16.140625" style="2" customWidth="1"/>
    <col min="3081" max="3081" width="11" style="2" customWidth="1"/>
    <col min="3082" max="3083" width="2.140625" style="2" customWidth="1"/>
    <col min="3084" max="3084" width="3.28515625" style="2" customWidth="1"/>
    <col min="3085" max="3086" width="0" style="2" hidden="1" customWidth="1"/>
    <col min="3087" max="3087" width="2.85546875" style="2" customWidth="1"/>
    <col min="3088" max="3088" width="3.28515625" style="2" customWidth="1"/>
    <col min="3089" max="3089" width="1.42578125" style="2" customWidth="1"/>
    <col min="3090" max="3090" width="0" style="2" hidden="1" customWidth="1"/>
    <col min="3091" max="3091" width="6.85546875" style="2" customWidth="1"/>
    <col min="3092" max="3092" width="0" style="2" hidden="1" customWidth="1"/>
    <col min="3093" max="3094" width="6.28515625" style="2" customWidth="1"/>
    <col min="3095" max="3096" width="13.85546875" style="2" customWidth="1"/>
    <col min="3097" max="3097" width="10.85546875" style="2" customWidth="1"/>
    <col min="3098" max="3098" width="14.140625" style="2" customWidth="1"/>
    <col min="3099" max="3099" width="0" style="2" hidden="1" customWidth="1"/>
    <col min="3100" max="3100" width="13" style="2" customWidth="1"/>
    <col min="3101" max="3101" width="13.140625" style="2" customWidth="1"/>
    <col min="3102" max="3103" width="14" style="2" customWidth="1"/>
    <col min="3104" max="3104" width="11.42578125" style="2" customWidth="1"/>
    <col min="3105" max="3105" width="15.85546875" style="2" customWidth="1"/>
    <col min="3106" max="3106" width="23.7109375" style="2" customWidth="1"/>
    <col min="3107" max="3107" width="12" style="2" customWidth="1"/>
    <col min="3108" max="3109" width="0.28515625" style="2" customWidth="1"/>
    <col min="3110" max="3110" width="1.42578125" style="2" customWidth="1"/>
    <col min="3111" max="3111" width="0" style="2" hidden="1" customWidth="1"/>
    <col min="3112" max="3328" width="11.42578125" style="2"/>
    <col min="3329" max="3329" width="10.28515625" style="2" customWidth="1"/>
    <col min="3330" max="3330" width="13.42578125" style="2" customWidth="1"/>
    <col min="3331" max="3331" width="4.28515625" style="2" customWidth="1"/>
    <col min="3332" max="3332" width="4" style="2" customWidth="1"/>
    <col min="3333" max="3333" width="15" style="2" customWidth="1"/>
    <col min="3334" max="3334" width="4.140625" style="2" customWidth="1"/>
    <col min="3335" max="3335" width="11.28515625" style="2" customWidth="1"/>
    <col min="3336" max="3336" width="16.140625" style="2" customWidth="1"/>
    <col min="3337" max="3337" width="11" style="2" customWidth="1"/>
    <col min="3338" max="3339" width="2.140625" style="2" customWidth="1"/>
    <col min="3340" max="3340" width="3.28515625" style="2" customWidth="1"/>
    <col min="3341" max="3342" width="0" style="2" hidden="1" customWidth="1"/>
    <col min="3343" max="3343" width="2.85546875" style="2" customWidth="1"/>
    <col min="3344" max="3344" width="3.28515625" style="2" customWidth="1"/>
    <col min="3345" max="3345" width="1.42578125" style="2" customWidth="1"/>
    <col min="3346" max="3346" width="0" style="2" hidden="1" customWidth="1"/>
    <col min="3347" max="3347" width="6.85546875" style="2" customWidth="1"/>
    <col min="3348" max="3348" width="0" style="2" hidden="1" customWidth="1"/>
    <col min="3349" max="3350" width="6.28515625" style="2" customWidth="1"/>
    <col min="3351" max="3352" width="13.85546875" style="2" customWidth="1"/>
    <col min="3353" max="3353" width="10.85546875" style="2" customWidth="1"/>
    <col min="3354" max="3354" width="14.140625" style="2" customWidth="1"/>
    <col min="3355" max="3355" width="0" style="2" hidden="1" customWidth="1"/>
    <col min="3356" max="3356" width="13" style="2" customWidth="1"/>
    <col min="3357" max="3357" width="13.140625" style="2" customWidth="1"/>
    <col min="3358" max="3359" width="14" style="2" customWidth="1"/>
    <col min="3360" max="3360" width="11.42578125" style="2" customWidth="1"/>
    <col min="3361" max="3361" width="15.85546875" style="2" customWidth="1"/>
    <col min="3362" max="3362" width="23.7109375" style="2" customWidth="1"/>
    <col min="3363" max="3363" width="12" style="2" customWidth="1"/>
    <col min="3364" max="3365" width="0.28515625" style="2" customWidth="1"/>
    <col min="3366" max="3366" width="1.42578125" style="2" customWidth="1"/>
    <col min="3367" max="3367" width="0" style="2" hidden="1" customWidth="1"/>
    <col min="3368" max="3584" width="11.42578125" style="2"/>
    <col min="3585" max="3585" width="10.28515625" style="2" customWidth="1"/>
    <col min="3586" max="3586" width="13.42578125" style="2" customWidth="1"/>
    <col min="3587" max="3587" width="4.28515625" style="2" customWidth="1"/>
    <col min="3588" max="3588" width="4" style="2" customWidth="1"/>
    <col min="3589" max="3589" width="15" style="2" customWidth="1"/>
    <col min="3590" max="3590" width="4.140625" style="2" customWidth="1"/>
    <col min="3591" max="3591" width="11.28515625" style="2" customWidth="1"/>
    <col min="3592" max="3592" width="16.140625" style="2" customWidth="1"/>
    <col min="3593" max="3593" width="11" style="2" customWidth="1"/>
    <col min="3594" max="3595" width="2.140625" style="2" customWidth="1"/>
    <col min="3596" max="3596" width="3.28515625" style="2" customWidth="1"/>
    <col min="3597" max="3598" width="0" style="2" hidden="1" customWidth="1"/>
    <col min="3599" max="3599" width="2.85546875" style="2" customWidth="1"/>
    <col min="3600" max="3600" width="3.28515625" style="2" customWidth="1"/>
    <col min="3601" max="3601" width="1.42578125" style="2" customWidth="1"/>
    <col min="3602" max="3602" width="0" style="2" hidden="1" customWidth="1"/>
    <col min="3603" max="3603" width="6.85546875" style="2" customWidth="1"/>
    <col min="3604" max="3604" width="0" style="2" hidden="1" customWidth="1"/>
    <col min="3605" max="3606" width="6.28515625" style="2" customWidth="1"/>
    <col min="3607" max="3608" width="13.85546875" style="2" customWidth="1"/>
    <col min="3609" max="3609" width="10.85546875" style="2" customWidth="1"/>
    <col min="3610" max="3610" width="14.140625" style="2" customWidth="1"/>
    <col min="3611" max="3611" width="0" style="2" hidden="1" customWidth="1"/>
    <col min="3612" max="3612" width="13" style="2" customWidth="1"/>
    <col min="3613" max="3613" width="13.140625" style="2" customWidth="1"/>
    <col min="3614" max="3615" width="14" style="2" customWidth="1"/>
    <col min="3616" max="3616" width="11.42578125" style="2" customWidth="1"/>
    <col min="3617" max="3617" width="15.85546875" style="2" customWidth="1"/>
    <col min="3618" max="3618" width="23.7109375" style="2" customWidth="1"/>
    <col min="3619" max="3619" width="12" style="2" customWidth="1"/>
    <col min="3620" max="3621" width="0.28515625" style="2" customWidth="1"/>
    <col min="3622" max="3622" width="1.42578125" style="2" customWidth="1"/>
    <col min="3623" max="3623" width="0" style="2" hidden="1" customWidth="1"/>
    <col min="3624" max="3840" width="11.42578125" style="2"/>
    <col min="3841" max="3841" width="10.28515625" style="2" customWidth="1"/>
    <col min="3842" max="3842" width="13.42578125" style="2" customWidth="1"/>
    <col min="3843" max="3843" width="4.28515625" style="2" customWidth="1"/>
    <col min="3844" max="3844" width="4" style="2" customWidth="1"/>
    <col min="3845" max="3845" width="15" style="2" customWidth="1"/>
    <col min="3846" max="3846" width="4.140625" style="2" customWidth="1"/>
    <col min="3847" max="3847" width="11.28515625" style="2" customWidth="1"/>
    <col min="3848" max="3848" width="16.140625" style="2" customWidth="1"/>
    <col min="3849" max="3849" width="11" style="2" customWidth="1"/>
    <col min="3850" max="3851" width="2.140625" style="2" customWidth="1"/>
    <col min="3852" max="3852" width="3.28515625" style="2" customWidth="1"/>
    <col min="3853" max="3854" width="0" style="2" hidden="1" customWidth="1"/>
    <col min="3855" max="3855" width="2.85546875" style="2" customWidth="1"/>
    <col min="3856" max="3856" width="3.28515625" style="2" customWidth="1"/>
    <col min="3857" max="3857" width="1.42578125" style="2" customWidth="1"/>
    <col min="3858" max="3858" width="0" style="2" hidden="1" customWidth="1"/>
    <col min="3859" max="3859" width="6.85546875" style="2" customWidth="1"/>
    <col min="3860" max="3860" width="0" style="2" hidden="1" customWidth="1"/>
    <col min="3861" max="3862" width="6.28515625" style="2" customWidth="1"/>
    <col min="3863" max="3864" width="13.85546875" style="2" customWidth="1"/>
    <col min="3865" max="3865" width="10.85546875" style="2" customWidth="1"/>
    <col min="3866" max="3866" width="14.140625" style="2" customWidth="1"/>
    <col min="3867" max="3867" width="0" style="2" hidden="1" customWidth="1"/>
    <col min="3868" max="3868" width="13" style="2" customWidth="1"/>
    <col min="3869" max="3869" width="13.140625" style="2" customWidth="1"/>
    <col min="3870" max="3871" width="14" style="2" customWidth="1"/>
    <col min="3872" max="3872" width="11.42578125" style="2" customWidth="1"/>
    <col min="3873" max="3873" width="15.85546875" style="2" customWidth="1"/>
    <col min="3874" max="3874" width="23.7109375" style="2" customWidth="1"/>
    <col min="3875" max="3875" width="12" style="2" customWidth="1"/>
    <col min="3876" max="3877" width="0.28515625" style="2" customWidth="1"/>
    <col min="3878" max="3878" width="1.42578125" style="2" customWidth="1"/>
    <col min="3879" max="3879" width="0" style="2" hidden="1" customWidth="1"/>
    <col min="3880" max="4096" width="11.42578125" style="2"/>
    <col min="4097" max="4097" width="10.28515625" style="2" customWidth="1"/>
    <col min="4098" max="4098" width="13.42578125" style="2" customWidth="1"/>
    <col min="4099" max="4099" width="4.28515625" style="2" customWidth="1"/>
    <col min="4100" max="4100" width="4" style="2" customWidth="1"/>
    <col min="4101" max="4101" width="15" style="2" customWidth="1"/>
    <col min="4102" max="4102" width="4.140625" style="2" customWidth="1"/>
    <col min="4103" max="4103" width="11.28515625" style="2" customWidth="1"/>
    <col min="4104" max="4104" width="16.140625" style="2" customWidth="1"/>
    <col min="4105" max="4105" width="11" style="2" customWidth="1"/>
    <col min="4106" max="4107" width="2.140625" style="2" customWidth="1"/>
    <col min="4108" max="4108" width="3.28515625" style="2" customWidth="1"/>
    <col min="4109" max="4110" width="0" style="2" hidden="1" customWidth="1"/>
    <col min="4111" max="4111" width="2.85546875" style="2" customWidth="1"/>
    <col min="4112" max="4112" width="3.28515625" style="2" customWidth="1"/>
    <col min="4113" max="4113" width="1.42578125" style="2" customWidth="1"/>
    <col min="4114" max="4114" width="0" style="2" hidden="1" customWidth="1"/>
    <col min="4115" max="4115" width="6.85546875" style="2" customWidth="1"/>
    <col min="4116" max="4116" width="0" style="2" hidden="1" customWidth="1"/>
    <col min="4117" max="4118" width="6.28515625" style="2" customWidth="1"/>
    <col min="4119" max="4120" width="13.85546875" style="2" customWidth="1"/>
    <col min="4121" max="4121" width="10.85546875" style="2" customWidth="1"/>
    <col min="4122" max="4122" width="14.140625" style="2" customWidth="1"/>
    <col min="4123" max="4123" width="0" style="2" hidden="1" customWidth="1"/>
    <col min="4124" max="4124" width="13" style="2" customWidth="1"/>
    <col min="4125" max="4125" width="13.140625" style="2" customWidth="1"/>
    <col min="4126" max="4127" width="14" style="2" customWidth="1"/>
    <col min="4128" max="4128" width="11.42578125" style="2" customWidth="1"/>
    <col min="4129" max="4129" width="15.85546875" style="2" customWidth="1"/>
    <col min="4130" max="4130" width="23.7109375" style="2" customWidth="1"/>
    <col min="4131" max="4131" width="12" style="2" customWidth="1"/>
    <col min="4132" max="4133" width="0.28515625" style="2" customWidth="1"/>
    <col min="4134" max="4134" width="1.42578125" style="2" customWidth="1"/>
    <col min="4135" max="4135" width="0" style="2" hidden="1" customWidth="1"/>
    <col min="4136" max="4352" width="11.42578125" style="2"/>
    <col min="4353" max="4353" width="10.28515625" style="2" customWidth="1"/>
    <col min="4354" max="4354" width="13.42578125" style="2" customWidth="1"/>
    <col min="4355" max="4355" width="4.28515625" style="2" customWidth="1"/>
    <col min="4356" max="4356" width="4" style="2" customWidth="1"/>
    <col min="4357" max="4357" width="15" style="2" customWidth="1"/>
    <col min="4358" max="4358" width="4.140625" style="2" customWidth="1"/>
    <col min="4359" max="4359" width="11.28515625" style="2" customWidth="1"/>
    <col min="4360" max="4360" width="16.140625" style="2" customWidth="1"/>
    <col min="4361" max="4361" width="11" style="2" customWidth="1"/>
    <col min="4362" max="4363" width="2.140625" style="2" customWidth="1"/>
    <col min="4364" max="4364" width="3.28515625" style="2" customWidth="1"/>
    <col min="4365" max="4366" width="0" style="2" hidden="1" customWidth="1"/>
    <col min="4367" max="4367" width="2.85546875" style="2" customWidth="1"/>
    <col min="4368" max="4368" width="3.28515625" style="2" customWidth="1"/>
    <col min="4369" max="4369" width="1.42578125" style="2" customWidth="1"/>
    <col min="4370" max="4370" width="0" style="2" hidden="1" customWidth="1"/>
    <col min="4371" max="4371" width="6.85546875" style="2" customWidth="1"/>
    <col min="4372" max="4372" width="0" style="2" hidden="1" customWidth="1"/>
    <col min="4373" max="4374" width="6.28515625" style="2" customWidth="1"/>
    <col min="4375" max="4376" width="13.85546875" style="2" customWidth="1"/>
    <col min="4377" max="4377" width="10.85546875" style="2" customWidth="1"/>
    <col min="4378" max="4378" width="14.140625" style="2" customWidth="1"/>
    <col min="4379" max="4379" width="0" style="2" hidden="1" customWidth="1"/>
    <col min="4380" max="4380" width="13" style="2" customWidth="1"/>
    <col min="4381" max="4381" width="13.140625" style="2" customWidth="1"/>
    <col min="4382" max="4383" width="14" style="2" customWidth="1"/>
    <col min="4384" max="4384" width="11.42578125" style="2" customWidth="1"/>
    <col min="4385" max="4385" width="15.85546875" style="2" customWidth="1"/>
    <col min="4386" max="4386" width="23.7109375" style="2" customWidth="1"/>
    <col min="4387" max="4387" width="12" style="2" customWidth="1"/>
    <col min="4388" max="4389" width="0.28515625" style="2" customWidth="1"/>
    <col min="4390" max="4390" width="1.42578125" style="2" customWidth="1"/>
    <col min="4391" max="4391" width="0" style="2" hidden="1" customWidth="1"/>
    <col min="4392" max="4608" width="11.42578125" style="2"/>
    <col min="4609" max="4609" width="10.28515625" style="2" customWidth="1"/>
    <col min="4610" max="4610" width="13.42578125" style="2" customWidth="1"/>
    <col min="4611" max="4611" width="4.28515625" style="2" customWidth="1"/>
    <col min="4612" max="4612" width="4" style="2" customWidth="1"/>
    <col min="4613" max="4613" width="15" style="2" customWidth="1"/>
    <col min="4614" max="4614" width="4.140625" style="2" customWidth="1"/>
    <col min="4615" max="4615" width="11.28515625" style="2" customWidth="1"/>
    <col min="4616" max="4616" width="16.140625" style="2" customWidth="1"/>
    <col min="4617" max="4617" width="11" style="2" customWidth="1"/>
    <col min="4618" max="4619" width="2.140625" style="2" customWidth="1"/>
    <col min="4620" max="4620" width="3.28515625" style="2" customWidth="1"/>
    <col min="4621" max="4622" width="0" style="2" hidden="1" customWidth="1"/>
    <col min="4623" max="4623" width="2.85546875" style="2" customWidth="1"/>
    <col min="4624" max="4624" width="3.28515625" style="2" customWidth="1"/>
    <col min="4625" max="4625" width="1.42578125" style="2" customWidth="1"/>
    <col min="4626" max="4626" width="0" style="2" hidden="1" customWidth="1"/>
    <col min="4627" max="4627" width="6.85546875" style="2" customWidth="1"/>
    <col min="4628" max="4628" width="0" style="2" hidden="1" customWidth="1"/>
    <col min="4629" max="4630" width="6.28515625" style="2" customWidth="1"/>
    <col min="4631" max="4632" width="13.85546875" style="2" customWidth="1"/>
    <col min="4633" max="4633" width="10.85546875" style="2" customWidth="1"/>
    <col min="4634" max="4634" width="14.140625" style="2" customWidth="1"/>
    <col min="4635" max="4635" width="0" style="2" hidden="1" customWidth="1"/>
    <col min="4636" max="4636" width="13" style="2" customWidth="1"/>
    <col min="4637" max="4637" width="13.140625" style="2" customWidth="1"/>
    <col min="4638" max="4639" width="14" style="2" customWidth="1"/>
    <col min="4640" max="4640" width="11.42578125" style="2" customWidth="1"/>
    <col min="4641" max="4641" width="15.85546875" style="2" customWidth="1"/>
    <col min="4642" max="4642" width="23.7109375" style="2" customWidth="1"/>
    <col min="4643" max="4643" width="12" style="2" customWidth="1"/>
    <col min="4644" max="4645" width="0.28515625" style="2" customWidth="1"/>
    <col min="4646" max="4646" width="1.42578125" style="2" customWidth="1"/>
    <col min="4647" max="4647" width="0" style="2" hidden="1" customWidth="1"/>
    <col min="4648" max="4864" width="11.42578125" style="2"/>
    <col min="4865" max="4865" width="10.28515625" style="2" customWidth="1"/>
    <col min="4866" max="4866" width="13.42578125" style="2" customWidth="1"/>
    <col min="4867" max="4867" width="4.28515625" style="2" customWidth="1"/>
    <col min="4868" max="4868" width="4" style="2" customWidth="1"/>
    <col min="4869" max="4869" width="15" style="2" customWidth="1"/>
    <col min="4870" max="4870" width="4.140625" style="2" customWidth="1"/>
    <col min="4871" max="4871" width="11.28515625" style="2" customWidth="1"/>
    <col min="4872" max="4872" width="16.140625" style="2" customWidth="1"/>
    <col min="4873" max="4873" width="11" style="2" customWidth="1"/>
    <col min="4874" max="4875" width="2.140625" style="2" customWidth="1"/>
    <col min="4876" max="4876" width="3.28515625" style="2" customWidth="1"/>
    <col min="4877" max="4878" width="0" style="2" hidden="1" customWidth="1"/>
    <col min="4879" max="4879" width="2.85546875" style="2" customWidth="1"/>
    <col min="4880" max="4880" width="3.28515625" style="2" customWidth="1"/>
    <col min="4881" max="4881" width="1.42578125" style="2" customWidth="1"/>
    <col min="4882" max="4882" width="0" style="2" hidden="1" customWidth="1"/>
    <col min="4883" max="4883" width="6.85546875" style="2" customWidth="1"/>
    <col min="4884" max="4884" width="0" style="2" hidden="1" customWidth="1"/>
    <col min="4885" max="4886" width="6.28515625" style="2" customWidth="1"/>
    <col min="4887" max="4888" width="13.85546875" style="2" customWidth="1"/>
    <col min="4889" max="4889" width="10.85546875" style="2" customWidth="1"/>
    <col min="4890" max="4890" width="14.140625" style="2" customWidth="1"/>
    <col min="4891" max="4891" width="0" style="2" hidden="1" customWidth="1"/>
    <col min="4892" max="4892" width="13" style="2" customWidth="1"/>
    <col min="4893" max="4893" width="13.140625" style="2" customWidth="1"/>
    <col min="4894" max="4895" width="14" style="2" customWidth="1"/>
    <col min="4896" max="4896" width="11.42578125" style="2" customWidth="1"/>
    <col min="4897" max="4897" width="15.85546875" style="2" customWidth="1"/>
    <col min="4898" max="4898" width="23.7109375" style="2" customWidth="1"/>
    <col min="4899" max="4899" width="12" style="2" customWidth="1"/>
    <col min="4900" max="4901" width="0.28515625" style="2" customWidth="1"/>
    <col min="4902" max="4902" width="1.42578125" style="2" customWidth="1"/>
    <col min="4903" max="4903" width="0" style="2" hidden="1" customWidth="1"/>
    <col min="4904" max="5120" width="11.42578125" style="2"/>
    <col min="5121" max="5121" width="10.28515625" style="2" customWidth="1"/>
    <col min="5122" max="5122" width="13.42578125" style="2" customWidth="1"/>
    <col min="5123" max="5123" width="4.28515625" style="2" customWidth="1"/>
    <col min="5124" max="5124" width="4" style="2" customWidth="1"/>
    <col min="5125" max="5125" width="15" style="2" customWidth="1"/>
    <col min="5126" max="5126" width="4.140625" style="2" customWidth="1"/>
    <col min="5127" max="5127" width="11.28515625" style="2" customWidth="1"/>
    <col min="5128" max="5128" width="16.140625" style="2" customWidth="1"/>
    <col min="5129" max="5129" width="11" style="2" customWidth="1"/>
    <col min="5130" max="5131" width="2.140625" style="2" customWidth="1"/>
    <col min="5132" max="5132" width="3.28515625" style="2" customWidth="1"/>
    <col min="5133" max="5134" width="0" style="2" hidden="1" customWidth="1"/>
    <col min="5135" max="5135" width="2.85546875" style="2" customWidth="1"/>
    <col min="5136" max="5136" width="3.28515625" style="2" customWidth="1"/>
    <col min="5137" max="5137" width="1.42578125" style="2" customWidth="1"/>
    <col min="5138" max="5138" width="0" style="2" hidden="1" customWidth="1"/>
    <col min="5139" max="5139" width="6.85546875" style="2" customWidth="1"/>
    <col min="5140" max="5140" width="0" style="2" hidden="1" customWidth="1"/>
    <col min="5141" max="5142" width="6.28515625" style="2" customWidth="1"/>
    <col min="5143" max="5144" width="13.85546875" style="2" customWidth="1"/>
    <col min="5145" max="5145" width="10.85546875" style="2" customWidth="1"/>
    <col min="5146" max="5146" width="14.140625" style="2" customWidth="1"/>
    <col min="5147" max="5147" width="0" style="2" hidden="1" customWidth="1"/>
    <col min="5148" max="5148" width="13" style="2" customWidth="1"/>
    <col min="5149" max="5149" width="13.140625" style="2" customWidth="1"/>
    <col min="5150" max="5151" width="14" style="2" customWidth="1"/>
    <col min="5152" max="5152" width="11.42578125" style="2" customWidth="1"/>
    <col min="5153" max="5153" width="15.85546875" style="2" customWidth="1"/>
    <col min="5154" max="5154" width="23.7109375" style="2" customWidth="1"/>
    <col min="5155" max="5155" width="12" style="2" customWidth="1"/>
    <col min="5156" max="5157" width="0.28515625" style="2" customWidth="1"/>
    <col min="5158" max="5158" width="1.42578125" style="2" customWidth="1"/>
    <col min="5159" max="5159" width="0" style="2" hidden="1" customWidth="1"/>
    <col min="5160" max="5376" width="11.42578125" style="2"/>
    <col min="5377" max="5377" width="10.28515625" style="2" customWidth="1"/>
    <col min="5378" max="5378" width="13.42578125" style="2" customWidth="1"/>
    <col min="5379" max="5379" width="4.28515625" style="2" customWidth="1"/>
    <col min="5380" max="5380" width="4" style="2" customWidth="1"/>
    <col min="5381" max="5381" width="15" style="2" customWidth="1"/>
    <col min="5382" max="5382" width="4.140625" style="2" customWidth="1"/>
    <col min="5383" max="5383" width="11.28515625" style="2" customWidth="1"/>
    <col min="5384" max="5384" width="16.140625" style="2" customWidth="1"/>
    <col min="5385" max="5385" width="11" style="2" customWidth="1"/>
    <col min="5386" max="5387" width="2.140625" style="2" customWidth="1"/>
    <col min="5388" max="5388" width="3.28515625" style="2" customWidth="1"/>
    <col min="5389" max="5390" width="0" style="2" hidden="1" customWidth="1"/>
    <col min="5391" max="5391" width="2.85546875" style="2" customWidth="1"/>
    <col min="5392" max="5392" width="3.28515625" style="2" customWidth="1"/>
    <col min="5393" max="5393" width="1.42578125" style="2" customWidth="1"/>
    <col min="5394" max="5394" width="0" style="2" hidden="1" customWidth="1"/>
    <col min="5395" max="5395" width="6.85546875" style="2" customWidth="1"/>
    <col min="5396" max="5396" width="0" style="2" hidden="1" customWidth="1"/>
    <col min="5397" max="5398" width="6.28515625" style="2" customWidth="1"/>
    <col min="5399" max="5400" width="13.85546875" style="2" customWidth="1"/>
    <col min="5401" max="5401" width="10.85546875" style="2" customWidth="1"/>
    <col min="5402" max="5402" width="14.140625" style="2" customWidth="1"/>
    <col min="5403" max="5403" width="0" style="2" hidden="1" customWidth="1"/>
    <col min="5404" max="5404" width="13" style="2" customWidth="1"/>
    <col min="5405" max="5405" width="13.140625" style="2" customWidth="1"/>
    <col min="5406" max="5407" width="14" style="2" customWidth="1"/>
    <col min="5408" max="5408" width="11.42578125" style="2" customWidth="1"/>
    <col min="5409" max="5409" width="15.85546875" style="2" customWidth="1"/>
    <col min="5410" max="5410" width="23.7109375" style="2" customWidth="1"/>
    <col min="5411" max="5411" width="12" style="2" customWidth="1"/>
    <col min="5412" max="5413" width="0.28515625" style="2" customWidth="1"/>
    <col min="5414" max="5414" width="1.42578125" style="2" customWidth="1"/>
    <col min="5415" max="5415" width="0" style="2" hidden="1" customWidth="1"/>
    <col min="5416" max="5632" width="11.42578125" style="2"/>
    <col min="5633" max="5633" width="10.28515625" style="2" customWidth="1"/>
    <col min="5634" max="5634" width="13.42578125" style="2" customWidth="1"/>
    <col min="5635" max="5635" width="4.28515625" style="2" customWidth="1"/>
    <col min="5636" max="5636" width="4" style="2" customWidth="1"/>
    <col min="5637" max="5637" width="15" style="2" customWidth="1"/>
    <col min="5638" max="5638" width="4.140625" style="2" customWidth="1"/>
    <col min="5639" max="5639" width="11.28515625" style="2" customWidth="1"/>
    <col min="5640" max="5640" width="16.140625" style="2" customWidth="1"/>
    <col min="5641" max="5641" width="11" style="2" customWidth="1"/>
    <col min="5642" max="5643" width="2.140625" style="2" customWidth="1"/>
    <col min="5644" max="5644" width="3.28515625" style="2" customWidth="1"/>
    <col min="5645" max="5646" width="0" style="2" hidden="1" customWidth="1"/>
    <col min="5647" max="5647" width="2.85546875" style="2" customWidth="1"/>
    <col min="5648" max="5648" width="3.28515625" style="2" customWidth="1"/>
    <col min="5649" max="5649" width="1.42578125" style="2" customWidth="1"/>
    <col min="5650" max="5650" width="0" style="2" hidden="1" customWidth="1"/>
    <col min="5651" max="5651" width="6.85546875" style="2" customWidth="1"/>
    <col min="5652" max="5652" width="0" style="2" hidden="1" customWidth="1"/>
    <col min="5653" max="5654" width="6.28515625" style="2" customWidth="1"/>
    <col min="5655" max="5656" width="13.85546875" style="2" customWidth="1"/>
    <col min="5657" max="5657" width="10.85546875" style="2" customWidth="1"/>
    <col min="5658" max="5658" width="14.140625" style="2" customWidth="1"/>
    <col min="5659" max="5659" width="0" style="2" hidden="1" customWidth="1"/>
    <col min="5660" max="5660" width="13" style="2" customWidth="1"/>
    <col min="5661" max="5661" width="13.140625" style="2" customWidth="1"/>
    <col min="5662" max="5663" width="14" style="2" customWidth="1"/>
    <col min="5664" max="5664" width="11.42578125" style="2" customWidth="1"/>
    <col min="5665" max="5665" width="15.85546875" style="2" customWidth="1"/>
    <col min="5666" max="5666" width="23.7109375" style="2" customWidth="1"/>
    <col min="5667" max="5667" width="12" style="2" customWidth="1"/>
    <col min="5668" max="5669" width="0.28515625" style="2" customWidth="1"/>
    <col min="5670" max="5670" width="1.42578125" style="2" customWidth="1"/>
    <col min="5671" max="5671" width="0" style="2" hidden="1" customWidth="1"/>
    <col min="5672" max="5888" width="11.42578125" style="2"/>
    <col min="5889" max="5889" width="10.28515625" style="2" customWidth="1"/>
    <col min="5890" max="5890" width="13.42578125" style="2" customWidth="1"/>
    <col min="5891" max="5891" width="4.28515625" style="2" customWidth="1"/>
    <col min="5892" max="5892" width="4" style="2" customWidth="1"/>
    <col min="5893" max="5893" width="15" style="2" customWidth="1"/>
    <col min="5894" max="5894" width="4.140625" style="2" customWidth="1"/>
    <col min="5895" max="5895" width="11.28515625" style="2" customWidth="1"/>
    <col min="5896" max="5896" width="16.140625" style="2" customWidth="1"/>
    <col min="5897" max="5897" width="11" style="2" customWidth="1"/>
    <col min="5898" max="5899" width="2.140625" style="2" customWidth="1"/>
    <col min="5900" max="5900" width="3.28515625" style="2" customWidth="1"/>
    <col min="5901" max="5902" width="0" style="2" hidden="1" customWidth="1"/>
    <col min="5903" max="5903" width="2.85546875" style="2" customWidth="1"/>
    <col min="5904" max="5904" width="3.28515625" style="2" customWidth="1"/>
    <col min="5905" max="5905" width="1.42578125" style="2" customWidth="1"/>
    <col min="5906" max="5906" width="0" style="2" hidden="1" customWidth="1"/>
    <col min="5907" max="5907" width="6.85546875" style="2" customWidth="1"/>
    <col min="5908" max="5908" width="0" style="2" hidden="1" customWidth="1"/>
    <col min="5909" max="5910" width="6.28515625" style="2" customWidth="1"/>
    <col min="5911" max="5912" width="13.85546875" style="2" customWidth="1"/>
    <col min="5913" max="5913" width="10.85546875" style="2" customWidth="1"/>
    <col min="5914" max="5914" width="14.140625" style="2" customWidth="1"/>
    <col min="5915" max="5915" width="0" style="2" hidden="1" customWidth="1"/>
    <col min="5916" max="5916" width="13" style="2" customWidth="1"/>
    <col min="5917" max="5917" width="13.140625" style="2" customWidth="1"/>
    <col min="5918" max="5919" width="14" style="2" customWidth="1"/>
    <col min="5920" max="5920" width="11.42578125" style="2" customWidth="1"/>
    <col min="5921" max="5921" width="15.85546875" style="2" customWidth="1"/>
    <col min="5922" max="5922" width="23.7109375" style="2" customWidth="1"/>
    <col min="5923" max="5923" width="12" style="2" customWidth="1"/>
    <col min="5924" max="5925" width="0.28515625" style="2" customWidth="1"/>
    <col min="5926" max="5926" width="1.42578125" style="2" customWidth="1"/>
    <col min="5927" max="5927" width="0" style="2" hidden="1" customWidth="1"/>
    <col min="5928" max="6144" width="11.42578125" style="2"/>
    <col min="6145" max="6145" width="10.28515625" style="2" customWidth="1"/>
    <col min="6146" max="6146" width="13.42578125" style="2" customWidth="1"/>
    <col min="6147" max="6147" width="4.28515625" style="2" customWidth="1"/>
    <col min="6148" max="6148" width="4" style="2" customWidth="1"/>
    <col min="6149" max="6149" width="15" style="2" customWidth="1"/>
    <col min="6150" max="6150" width="4.140625" style="2" customWidth="1"/>
    <col min="6151" max="6151" width="11.28515625" style="2" customWidth="1"/>
    <col min="6152" max="6152" width="16.140625" style="2" customWidth="1"/>
    <col min="6153" max="6153" width="11" style="2" customWidth="1"/>
    <col min="6154" max="6155" width="2.140625" style="2" customWidth="1"/>
    <col min="6156" max="6156" width="3.28515625" style="2" customWidth="1"/>
    <col min="6157" max="6158" width="0" style="2" hidden="1" customWidth="1"/>
    <col min="6159" max="6159" width="2.85546875" style="2" customWidth="1"/>
    <col min="6160" max="6160" width="3.28515625" style="2" customWidth="1"/>
    <col min="6161" max="6161" width="1.42578125" style="2" customWidth="1"/>
    <col min="6162" max="6162" width="0" style="2" hidden="1" customWidth="1"/>
    <col min="6163" max="6163" width="6.85546875" style="2" customWidth="1"/>
    <col min="6164" max="6164" width="0" style="2" hidden="1" customWidth="1"/>
    <col min="6165" max="6166" width="6.28515625" style="2" customWidth="1"/>
    <col min="6167" max="6168" width="13.85546875" style="2" customWidth="1"/>
    <col min="6169" max="6169" width="10.85546875" style="2" customWidth="1"/>
    <col min="6170" max="6170" width="14.140625" style="2" customWidth="1"/>
    <col min="6171" max="6171" width="0" style="2" hidden="1" customWidth="1"/>
    <col min="6172" max="6172" width="13" style="2" customWidth="1"/>
    <col min="6173" max="6173" width="13.140625" style="2" customWidth="1"/>
    <col min="6174" max="6175" width="14" style="2" customWidth="1"/>
    <col min="6176" max="6176" width="11.42578125" style="2" customWidth="1"/>
    <col min="6177" max="6177" width="15.85546875" style="2" customWidth="1"/>
    <col min="6178" max="6178" width="23.7109375" style="2" customWidth="1"/>
    <col min="6179" max="6179" width="12" style="2" customWidth="1"/>
    <col min="6180" max="6181" width="0.28515625" style="2" customWidth="1"/>
    <col min="6182" max="6182" width="1.42578125" style="2" customWidth="1"/>
    <col min="6183" max="6183" width="0" style="2" hidden="1" customWidth="1"/>
    <col min="6184" max="6400" width="11.42578125" style="2"/>
    <col min="6401" max="6401" width="10.28515625" style="2" customWidth="1"/>
    <col min="6402" max="6402" width="13.42578125" style="2" customWidth="1"/>
    <col min="6403" max="6403" width="4.28515625" style="2" customWidth="1"/>
    <col min="6404" max="6404" width="4" style="2" customWidth="1"/>
    <col min="6405" max="6405" width="15" style="2" customWidth="1"/>
    <col min="6406" max="6406" width="4.140625" style="2" customWidth="1"/>
    <col min="6407" max="6407" width="11.28515625" style="2" customWidth="1"/>
    <col min="6408" max="6408" width="16.140625" style="2" customWidth="1"/>
    <col min="6409" max="6409" width="11" style="2" customWidth="1"/>
    <col min="6410" max="6411" width="2.140625" style="2" customWidth="1"/>
    <col min="6412" max="6412" width="3.28515625" style="2" customWidth="1"/>
    <col min="6413" max="6414" width="0" style="2" hidden="1" customWidth="1"/>
    <col min="6415" max="6415" width="2.85546875" style="2" customWidth="1"/>
    <col min="6416" max="6416" width="3.28515625" style="2" customWidth="1"/>
    <col min="6417" max="6417" width="1.42578125" style="2" customWidth="1"/>
    <col min="6418" max="6418" width="0" style="2" hidden="1" customWidth="1"/>
    <col min="6419" max="6419" width="6.85546875" style="2" customWidth="1"/>
    <col min="6420" max="6420" width="0" style="2" hidden="1" customWidth="1"/>
    <col min="6421" max="6422" width="6.28515625" style="2" customWidth="1"/>
    <col min="6423" max="6424" width="13.85546875" style="2" customWidth="1"/>
    <col min="6425" max="6425" width="10.85546875" style="2" customWidth="1"/>
    <col min="6426" max="6426" width="14.140625" style="2" customWidth="1"/>
    <col min="6427" max="6427" width="0" style="2" hidden="1" customWidth="1"/>
    <col min="6428" max="6428" width="13" style="2" customWidth="1"/>
    <col min="6429" max="6429" width="13.140625" style="2" customWidth="1"/>
    <col min="6430" max="6431" width="14" style="2" customWidth="1"/>
    <col min="6432" max="6432" width="11.42578125" style="2" customWidth="1"/>
    <col min="6433" max="6433" width="15.85546875" style="2" customWidth="1"/>
    <col min="6434" max="6434" width="23.7109375" style="2" customWidth="1"/>
    <col min="6435" max="6435" width="12" style="2" customWidth="1"/>
    <col min="6436" max="6437" width="0.28515625" style="2" customWidth="1"/>
    <col min="6438" max="6438" width="1.42578125" style="2" customWidth="1"/>
    <col min="6439" max="6439" width="0" style="2" hidden="1" customWidth="1"/>
    <col min="6440" max="6656" width="11.42578125" style="2"/>
    <col min="6657" max="6657" width="10.28515625" style="2" customWidth="1"/>
    <col min="6658" max="6658" width="13.42578125" style="2" customWidth="1"/>
    <col min="6659" max="6659" width="4.28515625" style="2" customWidth="1"/>
    <col min="6660" max="6660" width="4" style="2" customWidth="1"/>
    <col min="6661" max="6661" width="15" style="2" customWidth="1"/>
    <col min="6662" max="6662" width="4.140625" style="2" customWidth="1"/>
    <col min="6663" max="6663" width="11.28515625" style="2" customWidth="1"/>
    <col min="6664" max="6664" width="16.140625" style="2" customWidth="1"/>
    <col min="6665" max="6665" width="11" style="2" customWidth="1"/>
    <col min="6666" max="6667" width="2.140625" style="2" customWidth="1"/>
    <col min="6668" max="6668" width="3.28515625" style="2" customWidth="1"/>
    <col min="6669" max="6670" width="0" style="2" hidden="1" customWidth="1"/>
    <col min="6671" max="6671" width="2.85546875" style="2" customWidth="1"/>
    <col min="6672" max="6672" width="3.28515625" style="2" customWidth="1"/>
    <col min="6673" max="6673" width="1.42578125" style="2" customWidth="1"/>
    <col min="6674" max="6674" width="0" style="2" hidden="1" customWidth="1"/>
    <col min="6675" max="6675" width="6.85546875" style="2" customWidth="1"/>
    <col min="6676" max="6676" width="0" style="2" hidden="1" customWidth="1"/>
    <col min="6677" max="6678" width="6.28515625" style="2" customWidth="1"/>
    <col min="6679" max="6680" width="13.85546875" style="2" customWidth="1"/>
    <col min="6681" max="6681" width="10.85546875" style="2" customWidth="1"/>
    <col min="6682" max="6682" width="14.140625" style="2" customWidth="1"/>
    <col min="6683" max="6683" width="0" style="2" hidden="1" customWidth="1"/>
    <col min="6684" max="6684" width="13" style="2" customWidth="1"/>
    <col min="6685" max="6685" width="13.140625" style="2" customWidth="1"/>
    <col min="6686" max="6687" width="14" style="2" customWidth="1"/>
    <col min="6688" max="6688" width="11.42578125" style="2" customWidth="1"/>
    <col min="6689" max="6689" width="15.85546875" style="2" customWidth="1"/>
    <col min="6690" max="6690" width="23.7109375" style="2" customWidth="1"/>
    <col min="6691" max="6691" width="12" style="2" customWidth="1"/>
    <col min="6692" max="6693" width="0.28515625" style="2" customWidth="1"/>
    <col min="6694" max="6694" width="1.42578125" style="2" customWidth="1"/>
    <col min="6695" max="6695" width="0" style="2" hidden="1" customWidth="1"/>
    <col min="6696" max="6912" width="11.42578125" style="2"/>
    <col min="6913" max="6913" width="10.28515625" style="2" customWidth="1"/>
    <col min="6914" max="6914" width="13.42578125" style="2" customWidth="1"/>
    <col min="6915" max="6915" width="4.28515625" style="2" customWidth="1"/>
    <col min="6916" max="6916" width="4" style="2" customWidth="1"/>
    <col min="6917" max="6917" width="15" style="2" customWidth="1"/>
    <col min="6918" max="6918" width="4.140625" style="2" customWidth="1"/>
    <col min="6919" max="6919" width="11.28515625" style="2" customWidth="1"/>
    <col min="6920" max="6920" width="16.140625" style="2" customWidth="1"/>
    <col min="6921" max="6921" width="11" style="2" customWidth="1"/>
    <col min="6922" max="6923" width="2.140625" style="2" customWidth="1"/>
    <col min="6924" max="6924" width="3.28515625" style="2" customWidth="1"/>
    <col min="6925" max="6926" width="0" style="2" hidden="1" customWidth="1"/>
    <col min="6927" max="6927" width="2.85546875" style="2" customWidth="1"/>
    <col min="6928" max="6928" width="3.28515625" style="2" customWidth="1"/>
    <col min="6929" max="6929" width="1.42578125" style="2" customWidth="1"/>
    <col min="6930" max="6930" width="0" style="2" hidden="1" customWidth="1"/>
    <col min="6931" max="6931" width="6.85546875" style="2" customWidth="1"/>
    <col min="6932" max="6932" width="0" style="2" hidden="1" customWidth="1"/>
    <col min="6933" max="6934" width="6.28515625" style="2" customWidth="1"/>
    <col min="6935" max="6936" width="13.85546875" style="2" customWidth="1"/>
    <col min="6937" max="6937" width="10.85546875" style="2" customWidth="1"/>
    <col min="6938" max="6938" width="14.140625" style="2" customWidth="1"/>
    <col min="6939" max="6939" width="0" style="2" hidden="1" customWidth="1"/>
    <col min="6940" max="6940" width="13" style="2" customWidth="1"/>
    <col min="6941" max="6941" width="13.140625" style="2" customWidth="1"/>
    <col min="6942" max="6943" width="14" style="2" customWidth="1"/>
    <col min="6944" max="6944" width="11.42578125" style="2" customWidth="1"/>
    <col min="6945" max="6945" width="15.85546875" style="2" customWidth="1"/>
    <col min="6946" max="6946" width="23.7109375" style="2" customWidth="1"/>
    <col min="6947" max="6947" width="12" style="2" customWidth="1"/>
    <col min="6948" max="6949" width="0.28515625" style="2" customWidth="1"/>
    <col min="6950" max="6950" width="1.42578125" style="2" customWidth="1"/>
    <col min="6951" max="6951" width="0" style="2" hidden="1" customWidth="1"/>
    <col min="6952" max="7168" width="11.42578125" style="2"/>
    <col min="7169" max="7169" width="10.28515625" style="2" customWidth="1"/>
    <col min="7170" max="7170" width="13.42578125" style="2" customWidth="1"/>
    <col min="7171" max="7171" width="4.28515625" style="2" customWidth="1"/>
    <col min="7172" max="7172" width="4" style="2" customWidth="1"/>
    <col min="7173" max="7173" width="15" style="2" customWidth="1"/>
    <col min="7174" max="7174" width="4.140625" style="2" customWidth="1"/>
    <col min="7175" max="7175" width="11.28515625" style="2" customWidth="1"/>
    <col min="7176" max="7176" width="16.140625" style="2" customWidth="1"/>
    <col min="7177" max="7177" width="11" style="2" customWidth="1"/>
    <col min="7178" max="7179" width="2.140625" style="2" customWidth="1"/>
    <col min="7180" max="7180" width="3.28515625" style="2" customWidth="1"/>
    <col min="7181" max="7182" width="0" style="2" hidden="1" customWidth="1"/>
    <col min="7183" max="7183" width="2.85546875" style="2" customWidth="1"/>
    <col min="7184" max="7184" width="3.28515625" style="2" customWidth="1"/>
    <col min="7185" max="7185" width="1.42578125" style="2" customWidth="1"/>
    <col min="7186" max="7186" width="0" style="2" hidden="1" customWidth="1"/>
    <col min="7187" max="7187" width="6.85546875" style="2" customWidth="1"/>
    <col min="7188" max="7188" width="0" style="2" hidden="1" customWidth="1"/>
    <col min="7189" max="7190" width="6.28515625" style="2" customWidth="1"/>
    <col min="7191" max="7192" width="13.85546875" style="2" customWidth="1"/>
    <col min="7193" max="7193" width="10.85546875" style="2" customWidth="1"/>
    <col min="7194" max="7194" width="14.140625" style="2" customWidth="1"/>
    <col min="7195" max="7195" width="0" style="2" hidden="1" customWidth="1"/>
    <col min="7196" max="7196" width="13" style="2" customWidth="1"/>
    <col min="7197" max="7197" width="13.140625" style="2" customWidth="1"/>
    <col min="7198" max="7199" width="14" style="2" customWidth="1"/>
    <col min="7200" max="7200" width="11.42578125" style="2" customWidth="1"/>
    <col min="7201" max="7201" width="15.85546875" style="2" customWidth="1"/>
    <col min="7202" max="7202" width="23.7109375" style="2" customWidth="1"/>
    <col min="7203" max="7203" width="12" style="2" customWidth="1"/>
    <col min="7204" max="7205" width="0.28515625" style="2" customWidth="1"/>
    <col min="7206" max="7206" width="1.42578125" style="2" customWidth="1"/>
    <col min="7207" max="7207" width="0" style="2" hidden="1" customWidth="1"/>
    <col min="7208" max="7424" width="11.42578125" style="2"/>
    <col min="7425" max="7425" width="10.28515625" style="2" customWidth="1"/>
    <col min="7426" max="7426" width="13.42578125" style="2" customWidth="1"/>
    <col min="7427" max="7427" width="4.28515625" style="2" customWidth="1"/>
    <col min="7428" max="7428" width="4" style="2" customWidth="1"/>
    <col min="7429" max="7429" width="15" style="2" customWidth="1"/>
    <col min="7430" max="7430" width="4.140625" style="2" customWidth="1"/>
    <col min="7431" max="7431" width="11.28515625" style="2" customWidth="1"/>
    <col min="7432" max="7432" width="16.140625" style="2" customWidth="1"/>
    <col min="7433" max="7433" width="11" style="2" customWidth="1"/>
    <col min="7434" max="7435" width="2.140625" style="2" customWidth="1"/>
    <col min="7436" max="7436" width="3.28515625" style="2" customWidth="1"/>
    <col min="7437" max="7438" width="0" style="2" hidden="1" customWidth="1"/>
    <col min="7439" max="7439" width="2.85546875" style="2" customWidth="1"/>
    <col min="7440" max="7440" width="3.28515625" style="2" customWidth="1"/>
    <col min="7441" max="7441" width="1.42578125" style="2" customWidth="1"/>
    <col min="7442" max="7442" width="0" style="2" hidden="1" customWidth="1"/>
    <col min="7443" max="7443" width="6.85546875" style="2" customWidth="1"/>
    <col min="7444" max="7444" width="0" style="2" hidden="1" customWidth="1"/>
    <col min="7445" max="7446" width="6.28515625" style="2" customWidth="1"/>
    <col min="7447" max="7448" width="13.85546875" style="2" customWidth="1"/>
    <col min="7449" max="7449" width="10.85546875" style="2" customWidth="1"/>
    <col min="7450" max="7450" width="14.140625" style="2" customWidth="1"/>
    <col min="7451" max="7451" width="0" style="2" hidden="1" customWidth="1"/>
    <col min="7452" max="7452" width="13" style="2" customWidth="1"/>
    <col min="7453" max="7453" width="13.140625" style="2" customWidth="1"/>
    <col min="7454" max="7455" width="14" style="2" customWidth="1"/>
    <col min="7456" max="7456" width="11.42578125" style="2" customWidth="1"/>
    <col min="7457" max="7457" width="15.85546875" style="2" customWidth="1"/>
    <col min="7458" max="7458" width="23.7109375" style="2" customWidth="1"/>
    <col min="7459" max="7459" width="12" style="2" customWidth="1"/>
    <col min="7460" max="7461" width="0.28515625" style="2" customWidth="1"/>
    <col min="7462" max="7462" width="1.42578125" style="2" customWidth="1"/>
    <col min="7463" max="7463" width="0" style="2" hidden="1" customWidth="1"/>
    <col min="7464" max="7680" width="11.42578125" style="2"/>
    <col min="7681" max="7681" width="10.28515625" style="2" customWidth="1"/>
    <col min="7682" max="7682" width="13.42578125" style="2" customWidth="1"/>
    <col min="7683" max="7683" width="4.28515625" style="2" customWidth="1"/>
    <col min="7684" max="7684" width="4" style="2" customWidth="1"/>
    <col min="7685" max="7685" width="15" style="2" customWidth="1"/>
    <col min="7686" max="7686" width="4.140625" style="2" customWidth="1"/>
    <col min="7687" max="7687" width="11.28515625" style="2" customWidth="1"/>
    <col min="7688" max="7688" width="16.140625" style="2" customWidth="1"/>
    <col min="7689" max="7689" width="11" style="2" customWidth="1"/>
    <col min="7690" max="7691" width="2.140625" style="2" customWidth="1"/>
    <col min="7692" max="7692" width="3.28515625" style="2" customWidth="1"/>
    <col min="7693" max="7694" width="0" style="2" hidden="1" customWidth="1"/>
    <col min="7695" max="7695" width="2.85546875" style="2" customWidth="1"/>
    <col min="7696" max="7696" width="3.28515625" style="2" customWidth="1"/>
    <col min="7697" max="7697" width="1.42578125" style="2" customWidth="1"/>
    <col min="7698" max="7698" width="0" style="2" hidden="1" customWidth="1"/>
    <col min="7699" max="7699" width="6.85546875" style="2" customWidth="1"/>
    <col min="7700" max="7700" width="0" style="2" hidden="1" customWidth="1"/>
    <col min="7701" max="7702" width="6.28515625" style="2" customWidth="1"/>
    <col min="7703" max="7704" width="13.85546875" style="2" customWidth="1"/>
    <col min="7705" max="7705" width="10.85546875" style="2" customWidth="1"/>
    <col min="7706" max="7706" width="14.140625" style="2" customWidth="1"/>
    <col min="7707" max="7707" width="0" style="2" hidden="1" customWidth="1"/>
    <col min="7708" max="7708" width="13" style="2" customWidth="1"/>
    <col min="7709" max="7709" width="13.140625" style="2" customWidth="1"/>
    <col min="7710" max="7711" width="14" style="2" customWidth="1"/>
    <col min="7712" max="7712" width="11.42578125" style="2" customWidth="1"/>
    <col min="7713" max="7713" width="15.85546875" style="2" customWidth="1"/>
    <col min="7714" max="7714" width="23.7109375" style="2" customWidth="1"/>
    <col min="7715" max="7715" width="12" style="2" customWidth="1"/>
    <col min="7716" max="7717" width="0.28515625" style="2" customWidth="1"/>
    <col min="7718" max="7718" width="1.42578125" style="2" customWidth="1"/>
    <col min="7719" max="7719" width="0" style="2" hidden="1" customWidth="1"/>
    <col min="7720" max="7936" width="11.42578125" style="2"/>
    <col min="7937" max="7937" width="10.28515625" style="2" customWidth="1"/>
    <col min="7938" max="7938" width="13.42578125" style="2" customWidth="1"/>
    <col min="7939" max="7939" width="4.28515625" style="2" customWidth="1"/>
    <col min="7940" max="7940" width="4" style="2" customWidth="1"/>
    <col min="7941" max="7941" width="15" style="2" customWidth="1"/>
    <col min="7942" max="7942" width="4.140625" style="2" customWidth="1"/>
    <col min="7943" max="7943" width="11.28515625" style="2" customWidth="1"/>
    <col min="7944" max="7944" width="16.140625" style="2" customWidth="1"/>
    <col min="7945" max="7945" width="11" style="2" customWidth="1"/>
    <col min="7946" max="7947" width="2.140625" style="2" customWidth="1"/>
    <col min="7948" max="7948" width="3.28515625" style="2" customWidth="1"/>
    <col min="7949" max="7950" width="0" style="2" hidden="1" customWidth="1"/>
    <col min="7951" max="7951" width="2.85546875" style="2" customWidth="1"/>
    <col min="7952" max="7952" width="3.28515625" style="2" customWidth="1"/>
    <col min="7953" max="7953" width="1.42578125" style="2" customWidth="1"/>
    <col min="7954" max="7954" width="0" style="2" hidden="1" customWidth="1"/>
    <col min="7955" max="7955" width="6.85546875" style="2" customWidth="1"/>
    <col min="7956" max="7956" width="0" style="2" hidden="1" customWidth="1"/>
    <col min="7957" max="7958" width="6.28515625" style="2" customWidth="1"/>
    <col min="7959" max="7960" width="13.85546875" style="2" customWidth="1"/>
    <col min="7961" max="7961" width="10.85546875" style="2" customWidth="1"/>
    <col min="7962" max="7962" width="14.140625" style="2" customWidth="1"/>
    <col min="7963" max="7963" width="0" style="2" hidden="1" customWidth="1"/>
    <col min="7964" max="7964" width="13" style="2" customWidth="1"/>
    <col min="7965" max="7965" width="13.140625" style="2" customWidth="1"/>
    <col min="7966" max="7967" width="14" style="2" customWidth="1"/>
    <col min="7968" max="7968" width="11.42578125" style="2" customWidth="1"/>
    <col min="7969" max="7969" width="15.85546875" style="2" customWidth="1"/>
    <col min="7970" max="7970" width="23.7109375" style="2" customWidth="1"/>
    <col min="7971" max="7971" width="12" style="2" customWidth="1"/>
    <col min="7972" max="7973" width="0.28515625" style="2" customWidth="1"/>
    <col min="7974" max="7974" width="1.42578125" style="2" customWidth="1"/>
    <col min="7975" max="7975" width="0" style="2" hidden="1" customWidth="1"/>
    <col min="7976" max="8192" width="11.42578125" style="2"/>
    <col min="8193" max="8193" width="10.28515625" style="2" customWidth="1"/>
    <col min="8194" max="8194" width="13.42578125" style="2" customWidth="1"/>
    <col min="8195" max="8195" width="4.28515625" style="2" customWidth="1"/>
    <col min="8196" max="8196" width="4" style="2" customWidth="1"/>
    <col min="8197" max="8197" width="15" style="2" customWidth="1"/>
    <col min="8198" max="8198" width="4.140625" style="2" customWidth="1"/>
    <col min="8199" max="8199" width="11.28515625" style="2" customWidth="1"/>
    <col min="8200" max="8200" width="16.140625" style="2" customWidth="1"/>
    <col min="8201" max="8201" width="11" style="2" customWidth="1"/>
    <col min="8202" max="8203" width="2.140625" style="2" customWidth="1"/>
    <col min="8204" max="8204" width="3.28515625" style="2" customWidth="1"/>
    <col min="8205" max="8206" width="0" style="2" hidden="1" customWidth="1"/>
    <col min="8207" max="8207" width="2.85546875" style="2" customWidth="1"/>
    <col min="8208" max="8208" width="3.28515625" style="2" customWidth="1"/>
    <col min="8209" max="8209" width="1.42578125" style="2" customWidth="1"/>
    <col min="8210" max="8210" width="0" style="2" hidden="1" customWidth="1"/>
    <col min="8211" max="8211" width="6.85546875" style="2" customWidth="1"/>
    <col min="8212" max="8212" width="0" style="2" hidden="1" customWidth="1"/>
    <col min="8213" max="8214" width="6.28515625" style="2" customWidth="1"/>
    <col min="8215" max="8216" width="13.85546875" style="2" customWidth="1"/>
    <col min="8217" max="8217" width="10.85546875" style="2" customWidth="1"/>
    <col min="8218" max="8218" width="14.140625" style="2" customWidth="1"/>
    <col min="8219" max="8219" width="0" style="2" hidden="1" customWidth="1"/>
    <col min="8220" max="8220" width="13" style="2" customWidth="1"/>
    <col min="8221" max="8221" width="13.140625" style="2" customWidth="1"/>
    <col min="8222" max="8223" width="14" style="2" customWidth="1"/>
    <col min="8224" max="8224" width="11.42578125" style="2" customWidth="1"/>
    <col min="8225" max="8225" width="15.85546875" style="2" customWidth="1"/>
    <col min="8226" max="8226" width="23.7109375" style="2" customWidth="1"/>
    <col min="8227" max="8227" width="12" style="2" customWidth="1"/>
    <col min="8228" max="8229" width="0.28515625" style="2" customWidth="1"/>
    <col min="8230" max="8230" width="1.42578125" style="2" customWidth="1"/>
    <col min="8231" max="8231" width="0" style="2" hidden="1" customWidth="1"/>
    <col min="8232" max="8448" width="11.42578125" style="2"/>
    <col min="8449" max="8449" width="10.28515625" style="2" customWidth="1"/>
    <col min="8450" max="8450" width="13.42578125" style="2" customWidth="1"/>
    <col min="8451" max="8451" width="4.28515625" style="2" customWidth="1"/>
    <col min="8452" max="8452" width="4" style="2" customWidth="1"/>
    <col min="8453" max="8453" width="15" style="2" customWidth="1"/>
    <col min="8454" max="8454" width="4.140625" style="2" customWidth="1"/>
    <col min="8455" max="8455" width="11.28515625" style="2" customWidth="1"/>
    <col min="8456" max="8456" width="16.140625" style="2" customWidth="1"/>
    <col min="8457" max="8457" width="11" style="2" customWidth="1"/>
    <col min="8458" max="8459" width="2.140625" style="2" customWidth="1"/>
    <col min="8460" max="8460" width="3.28515625" style="2" customWidth="1"/>
    <col min="8461" max="8462" width="0" style="2" hidden="1" customWidth="1"/>
    <col min="8463" max="8463" width="2.85546875" style="2" customWidth="1"/>
    <col min="8464" max="8464" width="3.28515625" style="2" customWidth="1"/>
    <col min="8465" max="8465" width="1.42578125" style="2" customWidth="1"/>
    <col min="8466" max="8466" width="0" style="2" hidden="1" customWidth="1"/>
    <col min="8467" max="8467" width="6.85546875" style="2" customWidth="1"/>
    <col min="8468" max="8468" width="0" style="2" hidden="1" customWidth="1"/>
    <col min="8469" max="8470" width="6.28515625" style="2" customWidth="1"/>
    <col min="8471" max="8472" width="13.85546875" style="2" customWidth="1"/>
    <col min="8473" max="8473" width="10.85546875" style="2" customWidth="1"/>
    <col min="8474" max="8474" width="14.140625" style="2" customWidth="1"/>
    <col min="8475" max="8475" width="0" style="2" hidden="1" customWidth="1"/>
    <col min="8476" max="8476" width="13" style="2" customWidth="1"/>
    <col min="8477" max="8477" width="13.140625" style="2" customWidth="1"/>
    <col min="8478" max="8479" width="14" style="2" customWidth="1"/>
    <col min="8480" max="8480" width="11.42578125" style="2" customWidth="1"/>
    <col min="8481" max="8481" width="15.85546875" style="2" customWidth="1"/>
    <col min="8482" max="8482" width="23.7109375" style="2" customWidth="1"/>
    <col min="8483" max="8483" width="12" style="2" customWidth="1"/>
    <col min="8484" max="8485" width="0.28515625" style="2" customWidth="1"/>
    <col min="8486" max="8486" width="1.42578125" style="2" customWidth="1"/>
    <col min="8487" max="8487" width="0" style="2" hidden="1" customWidth="1"/>
    <col min="8488" max="8704" width="11.42578125" style="2"/>
    <col min="8705" max="8705" width="10.28515625" style="2" customWidth="1"/>
    <col min="8706" max="8706" width="13.42578125" style="2" customWidth="1"/>
    <col min="8707" max="8707" width="4.28515625" style="2" customWidth="1"/>
    <col min="8708" max="8708" width="4" style="2" customWidth="1"/>
    <col min="8709" max="8709" width="15" style="2" customWidth="1"/>
    <col min="8710" max="8710" width="4.140625" style="2" customWidth="1"/>
    <col min="8711" max="8711" width="11.28515625" style="2" customWidth="1"/>
    <col min="8712" max="8712" width="16.140625" style="2" customWidth="1"/>
    <col min="8713" max="8713" width="11" style="2" customWidth="1"/>
    <col min="8714" max="8715" width="2.140625" style="2" customWidth="1"/>
    <col min="8716" max="8716" width="3.28515625" style="2" customWidth="1"/>
    <col min="8717" max="8718" width="0" style="2" hidden="1" customWidth="1"/>
    <col min="8719" max="8719" width="2.85546875" style="2" customWidth="1"/>
    <col min="8720" max="8720" width="3.28515625" style="2" customWidth="1"/>
    <col min="8721" max="8721" width="1.42578125" style="2" customWidth="1"/>
    <col min="8722" max="8722" width="0" style="2" hidden="1" customWidth="1"/>
    <col min="8723" max="8723" width="6.85546875" style="2" customWidth="1"/>
    <col min="8724" max="8724" width="0" style="2" hidden="1" customWidth="1"/>
    <col min="8725" max="8726" width="6.28515625" style="2" customWidth="1"/>
    <col min="8727" max="8728" width="13.85546875" style="2" customWidth="1"/>
    <col min="8729" max="8729" width="10.85546875" style="2" customWidth="1"/>
    <col min="8730" max="8730" width="14.140625" style="2" customWidth="1"/>
    <col min="8731" max="8731" width="0" style="2" hidden="1" customWidth="1"/>
    <col min="8732" max="8732" width="13" style="2" customWidth="1"/>
    <col min="8733" max="8733" width="13.140625" style="2" customWidth="1"/>
    <col min="8734" max="8735" width="14" style="2" customWidth="1"/>
    <col min="8736" max="8736" width="11.42578125" style="2" customWidth="1"/>
    <col min="8737" max="8737" width="15.85546875" style="2" customWidth="1"/>
    <col min="8738" max="8738" width="23.7109375" style="2" customWidth="1"/>
    <col min="8739" max="8739" width="12" style="2" customWidth="1"/>
    <col min="8740" max="8741" width="0.28515625" style="2" customWidth="1"/>
    <col min="8742" max="8742" width="1.42578125" style="2" customWidth="1"/>
    <col min="8743" max="8743" width="0" style="2" hidden="1" customWidth="1"/>
    <col min="8744" max="8960" width="11.42578125" style="2"/>
    <col min="8961" max="8961" width="10.28515625" style="2" customWidth="1"/>
    <col min="8962" max="8962" width="13.42578125" style="2" customWidth="1"/>
    <col min="8963" max="8963" width="4.28515625" style="2" customWidth="1"/>
    <col min="8964" max="8964" width="4" style="2" customWidth="1"/>
    <col min="8965" max="8965" width="15" style="2" customWidth="1"/>
    <col min="8966" max="8966" width="4.140625" style="2" customWidth="1"/>
    <col min="8967" max="8967" width="11.28515625" style="2" customWidth="1"/>
    <col min="8968" max="8968" width="16.140625" style="2" customWidth="1"/>
    <col min="8969" max="8969" width="11" style="2" customWidth="1"/>
    <col min="8970" max="8971" width="2.140625" style="2" customWidth="1"/>
    <col min="8972" max="8972" width="3.28515625" style="2" customWidth="1"/>
    <col min="8973" max="8974" width="0" style="2" hidden="1" customWidth="1"/>
    <col min="8975" max="8975" width="2.85546875" style="2" customWidth="1"/>
    <col min="8976" max="8976" width="3.28515625" style="2" customWidth="1"/>
    <col min="8977" max="8977" width="1.42578125" style="2" customWidth="1"/>
    <col min="8978" max="8978" width="0" style="2" hidden="1" customWidth="1"/>
    <col min="8979" max="8979" width="6.85546875" style="2" customWidth="1"/>
    <col min="8980" max="8980" width="0" style="2" hidden="1" customWidth="1"/>
    <col min="8981" max="8982" width="6.28515625" style="2" customWidth="1"/>
    <col min="8983" max="8984" width="13.85546875" style="2" customWidth="1"/>
    <col min="8985" max="8985" width="10.85546875" style="2" customWidth="1"/>
    <col min="8986" max="8986" width="14.140625" style="2" customWidth="1"/>
    <col min="8987" max="8987" width="0" style="2" hidden="1" customWidth="1"/>
    <col min="8988" max="8988" width="13" style="2" customWidth="1"/>
    <col min="8989" max="8989" width="13.140625" style="2" customWidth="1"/>
    <col min="8990" max="8991" width="14" style="2" customWidth="1"/>
    <col min="8992" max="8992" width="11.42578125" style="2" customWidth="1"/>
    <col min="8993" max="8993" width="15.85546875" style="2" customWidth="1"/>
    <col min="8994" max="8994" width="23.7109375" style="2" customWidth="1"/>
    <col min="8995" max="8995" width="12" style="2" customWidth="1"/>
    <col min="8996" max="8997" width="0.28515625" style="2" customWidth="1"/>
    <col min="8998" max="8998" width="1.42578125" style="2" customWidth="1"/>
    <col min="8999" max="8999" width="0" style="2" hidden="1" customWidth="1"/>
    <col min="9000" max="9216" width="11.42578125" style="2"/>
    <col min="9217" max="9217" width="10.28515625" style="2" customWidth="1"/>
    <col min="9218" max="9218" width="13.42578125" style="2" customWidth="1"/>
    <col min="9219" max="9219" width="4.28515625" style="2" customWidth="1"/>
    <col min="9220" max="9220" width="4" style="2" customWidth="1"/>
    <col min="9221" max="9221" width="15" style="2" customWidth="1"/>
    <col min="9222" max="9222" width="4.140625" style="2" customWidth="1"/>
    <col min="9223" max="9223" width="11.28515625" style="2" customWidth="1"/>
    <col min="9224" max="9224" width="16.140625" style="2" customWidth="1"/>
    <col min="9225" max="9225" width="11" style="2" customWidth="1"/>
    <col min="9226" max="9227" width="2.140625" style="2" customWidth="1"/>
    <col min="9228" max="9228" width="3.28515625" style="2" customWidth="1"/>
    <col min="9229" max="9230" width="0" style="2" hidden="1" customWidth="1"/>
    <col min="9231" max="9231" width="2.85546875" style="2" customWidth="1"/>
    <col min="9232" max="9232" width="3.28515625" style="2" customWidth="1"/>
    <col min="9233" max="9233" width="1.42578125" style="2" customWidth="1"/>
    <col min="9234" max="9234" width="0" style="2" hidden="1" customWidth="1"/>
    <col min="9235" max="9235" width="6.85546875" style="2" customWidth="1"/>
    <col min="9236" max="9236" width="0" style="2" hidden="1" customWidth="1"/>
    <col min="9237" max="9238" width="6.28515625" style="2" customWidth="1"/>
    <col min="9239" max="9240" width="13.85546875" style="2" customWidth="1"/>
    <col min="9241" max="9241" width="10.85546875" style="2" customWidth="1"/>
    <col min="9242" max="9242" width="14.140625" style="2" customWidth="1"/>
    <col min="9243" max="9243" width="0" style="2" hidden="1" customWidth="1"/>
    <col min="9244" max="9244" width="13" style="2" customWidth="1"/>
    <col min="9245" max="9245" width="13.140625" style="2" customWidth="1"/>
    <col min="9246" max="9247" width="14" style="2" customWidth="1"/>
    <col min="9248" max="9248" width="11.42578125" style="2" customWidth="1"/>
    <col min="9249" max="9249" width="15.85546875" style="2" customWidth="1"/>
    <col min="9250" max="9250" width="23.7109375" style="2" customWidth="1"/>
    <col min="9251" max="9251" width="12" style="2" customWidth="1"/>
    <col min="9252" max="9253" width="0.28515625" style="2" customWidth="1"/>
    <col min="9254" max="9254" width="1.42578125" style="2" customWidth="1"/>
    <col min="9255" max="9255" width="0" style="2" hidden="1" customWidth="1"/>
    <col min="9256" max="9472" width="11.42578125" style="2"/>
    <col min="9473" max="9473" width="10.28515625" style="2" customWidth="1"/>
    <col min="9474" max="9474" width="13.42578125" style="2" customWidth="1"/>
    <col min="9475" max="9475" width="4.28515625" style="2" customWidth="1"/>
    <col min="9476" max="9476" width="4" style="2" customWidth="1"/>
    <col min="9477" max="9477" width="15" style="2" customWidth="1"/>
    <col min="9478" max="9478" width="4.140625" style="2" customWidth="1"/>
    <col min="9479" max="9479" width="11.28515625" style="2" customWidth="1"/>
    <col min="9480" max="9480" width="16.140625" style="2" customWidth="1"/>
    <col min="9481" max="9481" width="11" style="2" customWidth="1"/>
    <col min="9482" max="9483" width="2.140625" style="2" customWidth="1"/>
    <col min="9484" max="9484" width="3.28515625" style="2" customWidth="1"/>
    <col min="9485" max="9486" width="0" style="2" hidden="1" customWidth="1"/>
    <col min="9487" max="9487" width="2.85546875" style="2" customWidth="1"/>
    <col min="9488" max="9488" width="3.28515625" style="2" customWidth="1"/>
    <col min="9489" max="9489" width="1.42578125" style="2" customWidth="1"/>
    <col min="9490" max="9490" width="0" style="2" hidden="1" customWidth="1"/>
    <col min="9491" max="9491" width="6.85546875" style="2" customWidth="1"/>
    <col min="9492" max="9492" width="0" style="2" hidden="1" customWidth="1"/>
    <col min="9493" max="9494" width="6.28515625" style="2" customWidth="1"/>
    <col min="9495" max="9496" width="13.85546875" style="2" customWidth="1"/>
    <col min="9497" max="9497" width="10.85546875" style="2" customWidth="1"/>
    <col min="9498" max="9498" width="14.140625" style="2" customWidth="1"/>
    <col min="9499" max="9499" width="0" style="2" hidden="1" customWidth="1"/>
    <col min="9500" max="9500" width="13" style="2" customWidth="1"/>
    <col min="9501" max="9501" width="13.140625" style="2" customWidth="1"/>
    <col min="9502" max="9503" width="14" style="2" customWidth="1"/>
    <col min="9504" max="9504" width="11.42578125" style="2" customWidth="1"/>
    <col min="9505" max="9505" width="15.85546875" style="2" customWidth="1"/>
    <col min="9506" max="9506" width="23.7109375" style="2" customWidth="1"/>
    <col min="9507" max="9507" width="12" style="2" customWidth="1"/>
    <col min="9508" max="9509" width="0.28515625" style="2" customWidth="1"/>
    <col min="9510" max="9510" width="1.42578125" style="2" customWidth="1"/>
    <col min="9511" max="9511" width="0" style="2" hidden="1" customWidth="1"/>
    <col min="9512" max="9728" width="11.42578125" style="2"/>
    <col min="9729" max="9729" width="10.28515625" style="2" customWidth="1"/>
    <col min="9730" max="9730" width="13.42578125" style="2" customWidth="1"/>
    <col min="9731" max="9731" width="4.28515625" style="2" customWidth="1"/>
    <col min="9732" max="9732" width="4" style="2" customWidth="1"/>
    <col min="9733" max="9733" width="15" style="2" customWidth="1"/>
    <col min="9734" max="9734" width="4.140625" style="2" customWidth="1"/>
    <col min="9735" max="9735" width="11.28515625" style="2" customWidth="1"/>
    <col min="9736" max="9736" width="16.140625" style="2" customWidth="1"/>
    <col min="9737" max="9737" width="11" style="2" customWidth="1"/>
    <col min="9738" max="9739" width="2.140625" style="2" customWidth="1"/>
    <col min="9740" max="9740" width="3.28515625" style="2" customWidth="1"/>
    <col min="9741" max="9742" width="0" style="2" hidden="1" customWidth="1"/>
    <col min="9743" max="9743" width="2.85546875" style="2" customWidth="1"/>
    <col min="9744" max="9744" width="3.28515625" style="2" customWidth="1"/>
    <col min="9745" max="9745" width="1.42578125" style="2" customWidth="1"/>
    <col min="9746" max="9746" width="0" style="2" hidden="1" customWidth="1"/>
    <col min="9747" max="9747" width="6.85546875" style="2" customWidth="1"/>
    <col min="9748" max="9748" width="0" style="2" hidden="1" customWidth="1"/>
    <col min="9749" max="9750" width="6.28515625" style="2" customWidth="1"/>
    <col min="9751" max="9752" width="13.85546875" style="2" customWidth="1"/>
    <col min="9753" max="9753" width="10.85546875" style="2" customWidth="1"/>
    <col min="9754" max="9754" width="14.140625" style="2" customWidth="1"/>
    <col min="9755" max="9755" width="0" style="2" hidden="1" customWidth="1"/>
    <col min="9756" max="9756" width="13" style="2" customWidth="1"/>
    <col min="9757" max="9757" width="13.140625" style="2" customWidth="1"/>
    <col min="9758" max="9759" width="14" style="2" customWidth="1"/>
    <col min="9760" max="9760" width="11.42578125" style="2" customWidth="1"/>
    <col min="9761" max="9761" width="15.85546875" style="2" customWidth="1"/>
    <col min="9762" max="9762" width="23.7109375" style="2" customWidth="1"/>
    <col min="9763" max="9763" width="12" style="2" customWidth="1"/>
    <col min="9764" max="9765" width="0.28515625" style="2" customWidth="1"/>
    <col min="9766" max="9766" width="1.42578125" style="2" customWidth="1"/>
    <col min="9767" max="9767" width="0" style="2" hidden="1" customWidth="1"/>
    <col min="9768" max="9984" width="11.42578125" style="2"/>
    <col min="9985" max="9985" width="10.28515625" style="2" customWidth="1"/>
    <col min="9986" max="9986" width="13.42578125" style="2" customWidth="1"/>
    <col min="9987" max="9987" width="4.28515625" style="2" customWidth="1"/>
    <col min="9988" max="9988" width="4" style="2" customWidth="1"/>
    <col min="9989" max="9989" width="15" style="2" customWidth="1"/>
    <col min="9990" max="9990" width="4.140625" style="2" customWidth="1"/>
    <col min="9991" max="9991" width="11.28515625" style="2" customWidth="1"/>
    <col min="9992" max="9992" width="16.140625" style="2" customWidth="1"/>
    <col min="9993" max="9993" width="11" style="2" customWidth="1"/>
    <col min="9994" max="9995" width="2.140625" style="2" customWidth="1"/>
    <col min="9996" max="9996" width="3.28515625" style="2" customWidth="1"/>
    <col min="9997" max="9998" width="0" style="2" hidden="1" customWidth="1"/>
    <col min="9999" max="9999" width="2.85546875" style="2" customWidth="1"/>
    <col min="10000" max="10000" width="3.28515625" style="2" customWidth="1"/>
    <col min="10001" max="10001" width="1.42578125" style="2" customWidth="1"/>
    <col min="10002" max="10002" width="0" style="2" hidden="1" customWidth="1"/>
    <col min="10003" max="10003" width="6.85546875" style="2" customWidth="1"/>
    <col min="10004" max="10004" width="0" style="2" hidden="1" customWidth="1"/>
    <col min="10005" max="10006" width="6.28515625" style="2" customWidth="1"/>
    <col min="10007" max="10008" width="13.85546875" style="2" customWidth="1"/>
    <col min="10009" max="10009" width="10.85546875" style="2" customWidth="1"/>
    <col min="10010" max="10010" width="14.140625" style="2" customWidth="1"/>
    <col min="10011" max="10011" width="0" style="2" hidden="1" customWidth="1"/>
    <col min="10012" max="10012" width="13" style="2" customWidth="1"/>
    <col min="10013" max="10013" width="13.140625" style="2" customWidth="1"/>
    <col min="10014" max="10015" width="14" style="2" customWidth="1"/>
    <col min="10016" max="10016" width="11.42578125" style="2" customWidth="1"/>
    <col min="10017" max="10017" width="15.85546875" style="2" customWidth="1"/>
    <col min="10018" max="10018" width="23.7109375" style="2" customWidth="1"/>
    <col min="10019" max="10019" width="12" style="2" customWidth="1"/>
    <col min="10020" max="10021" width="0.28515625" style="2" customWidth="1"/>
    <col min="10022" max="10022" width="1.42578125" style="2" customWidth="1"/>
    <col min="10023" max="10023" width="0" style="2" hidden="1" customWidth="1"/>
    <col min="10024" max="10240" width="11.42578125" style="2"/>
    <col min="10241" max="10241" width="10.28515625" style="2" customWidth="1"/>
    <col min="10242" max="10242" width="13.42578125" style="2" customWidth="1"/>
    <col min="10243" max="10243" width="4.28515625" style="2" customWidth="1"/>
    <col min="10244" max="10244" width="4" style="2" customWidth="1"/>
    <col min="10245" max="10245" width="15" style="2" customWidth="1"/>
    <col min="10246" max="10246" width="4.140625" style="2" customWidth="1"/>
    <col min="10247" max="10247" width="11.28515625" style="2" customWidth="1"/>
    <col min="10248" max="10248" width="16.140625" style="2" customWidth="1"/>
    <col min="10249" max="10249" width="11" style="2" customWidth="1"/>
    <col min="10250" max="10251" width="2.140625" style="2" customWidth="1"/>
    <col min="10252" max="10252" width="3.28515625" style="2" customWidth="1"/>
    <col min="10253" max="10254" width="0" style="2" hidden="1" customWidth="1"/>
    <col min="10255" max="10255" width="2.85546875" style="2" customWidth="1"/>
    <col min="10256" max="10256" width="3.28515625" style="2" customWidth="1"/>
    <col min="10257" max="10257" width="1.42578125" style="2" customWidth="1"/>
    <col min="10258" max="10258" width="0" style="2" hidden="1" customWidth="1"/>
    <col min="10259" max="10259" width="6.85546875" style="2" customWidth="1"/>
    <col min="10260" max="10260" width="0" style="2" hidden="1" customWidth="1"/>
    <col min="10261" max="10262" width="6.28515625" style="2" customWidth="1"/>
    <col min="10263" max="10264" width="13.85546875" style="2" customWidth="1"/>
    <col min="10265" max="10265" width="10.85546875" style="2" customWidth="1"/>
    <col min="10266" max="10266" width="14.140625" style="2" customWidth="1"/>
    <col min="10267" max="10267" width="0" style="2" hidden="1" customWidth="1"/>
    <col min="10268" max="10268" width="13" style="2" customWidth="1"/>
    <col min="10269" max="10269" width="13.140625" style="2" customWidth="1"/>
    <col min="10270" max="10271" width="14" style="2" customWidth="1"/>
    <col min="10272" max="10272" width="11.42578125" style="2" customWidth="1"/>
    <col min="10273" max="10273" width="15.85546875" style="2" customWidth="1"/>
    <col min="10274" max="10274" width="23.7109375" style="2" customWidth="1"/>
    <col min="10275" max="10275" width="12" style="2" customWidth="1"/>
    <col min="10276" max="10277" width="0.28515625" style="2" customWidth="1"/>
    <col min="10278" max="10278" width="1.42578125" style="2" customWidth="1"/>
    <col min="10279" max="10279" width="0" style="2" hidden="1" customWidth="1"/>
    <col min="10280" max="10496" width="11.42578125" style="2"/>
    <col min="10497" max="10497" width="10.28515625" style="2" customWidth="1"/>
    <col min="10498" max="10498" width="13.42578125" style="2" customWidth="1"/>
    <col min="10499" max="10499" width="4.28515625" style="2" customWidth="1"/>
    <col min="10500" max="10500" width="4" style="2" customWidth="1"/>
    <col min="10501" max="10501" width="15" style="2" customWidth="1"/>
    <col min="10502" max="10502" width="4.140625" style="2" customWidth="1"/>
    <col min="10503" max="10503" width="11.28515625" style="2" customWidth="1"/>
    <col min="10504" max="10504" width="16.140625" style="2" customWidth="1"/>
    <col min="10505" max="10505" width="11" style="2" customWidth="1"/>
    <col min="10506" max="10507" width="2.140625" style="2" customWidth="1"/>
    <col min="10508" max="10508" width="3.28515625" style="2" customWidth="1"/>
    <col min="10509" max="10510" width="0" style="2" hidden="1" customWidth="1"/>
    <col min="10511" max="10511" width="2.85546875" style="2" customWidth="1"/>
    <col min="10512" max="10512" width="3.28515625" style="2" customWidth="1"/>
    <col min="10513" max="10513" width="1.42578125" style="2" customWidth="1"/>
    <col min="10514" max="10514" width="0" style="2" hidden="1" customWidth="1"/>
    <col min="10515" max="10515" width="6.85546875" style="2" customWidth="1"/>
    <col min="10516" max="10516" width="0" style="2" hidden="1" customWidth="1"/>
    <col min="10517" max="10518" width="6.28515625" style="2" customWidth="1"/>
    <col min="10519" max="10520" width="13.85546875" style="2" customWidth="1"/>
    <col min="10521" max="10521" width="10.85546875" style="2" customWidth="1"/>
    <col min="10522" max="10522" width="14.140625" style="2" customWidth="1"/>
    <col min="10523" max="10523" width="0" style="2" hidden="1" customWidth="1"/>
    <col min="10524" max="10524" width="13" style="2" customWidth="1"/>
    <col min="10525" max="10525" width="13.140625" style="2" customWidth="1"/>
    <col min="10526" max="10527" width="14" style="2" customWidth="1"/>
    <col min="10528" max="10528" width="11.42578125" style="2" customWidth="1"/>
    <col min="10529" max="10529" width="15.85546875" style="2" customWidth="1"/>
    <col min="10530" max="10530" width="23.7109375" style="2" customWidth="1"/>
    <col min="10531" max="10531" width="12" style="2" customWidth="1"/>
    <col min="10532" max="10533" width="0.28515625" style="2" customWidth="1"/>
    <col min="10534" max="10534" width="1.42578125" style="2" customWidth="1"/>
    <col min="10535" max="10535" width="0" style="2" hidden="1" customWidth="1"/>
    <col min="10536" max="10752" width="11.42578125" style="2"/>
    <col min="10753" max="10753" width="10.28515625" style="2" customWidth="1"/>
    <col min="10754" max="10754" width="13.42578125" style="2" customWidth="1"/>
    <col min="10755" max="10755" width="4.28515625" style="2" customWidth="1"/>
    <col min="10756" max="10756" width="4" style="2" customWidth="1"/>
    <col min="10757" max="10757" width="15" style="2" customWidth="1"/>
    <col min="10758" max="10758" width="4.140625" style="2" customWidth="1"/>
    <col min="10759" max="10759" width="11.28515625" style="2" customWidth="1"/>
    <col min="10760" max="10760" width="16.140625" style="2" customWidth="1"/>
    <col min="10761" max="10761" width="11" style="2" customWidth="1"/>
    <col min="10762" max="10763" width="2.140625" style="2" customWidth="1"/>
    <col min="10764" max="10764" width="3.28515625" style="2" customWidth="1"/>
    <col min="10765" max="10766" width="0" style="2" hidden="1" customWidth="1"/>
    <col min="10767" max="10767" width="2.85546875" style="2" customWidth="1"/>
    <col min="10768" max="10768" width="3.28515625" style="2" customWidth="1"/>
    <col min="10769" max="10769" width="1.42578125" style="2" customWidth="1"/>
    <col min="10770" max="10770" width="0" style="2" hidden="1" customWidth="1"/>
    <col min="10771" max="10771" width="6.85546875" style="2" customWidth="1"/>
    <col min="10772" max="10772" width="0" style="2" hidden="1" customWidth="1"/>
    <col min="10773" max="10774" width="6.28515625" style="2" customWidth="1"/>
    <col min="10775" max="10776" width="13.85546875" style="2" customWidth="1"/>
    <col min="10777" max="10777" width="10.85546875" style="2" customWidth="1"/>
    <col min="10778" max="10778" width="14.140625" style="2" customWidth="1"/>
    <col min="10779" max="10779" width="0" style="2" hidden="1" customWidth="1"/>
    <col min="10780" max="10780" width="13" style="2" customWidth="1"/>
    <col min="10781" max="10781" width="13.140625" style="2" customWidth="1"/>
    <col min="10782" max="10783" width="14" style="2" customWidth="1"/>
    <col min="10784" max="10784" width="11.42578125" style="2" customWidth="1"/>
    <col min="10785" max="10785" width="15.85546875" style="2" customWidth="1"/>
    <col min="10786" max="10786" width="23.7109375" style="2" customWidth="1"/>
    <col min="10787" max="10787" width="12" style="2" customWidth="1"/>
    <col min="10788" max="10789" width="0.28515625" style="2" customWidth="1"/>
    <col min="10790" max="10790" width="1.42578125" style="2" customWidth="1"/>
    <col min="10791" max="10791" width="0" style="2" hidden="1" customWidth="1"/>
    <col min="10792" max="11008" width="11.42578125" style="2"/>
    <col min="11009" max="11009" width="10.28515625" style="2" customWidth="1"/>
    <col min="11010" max="11010" width="13.42578125" style="2" customWidth="1"/>
    <col min="11011" max="11011" width="4.28515625" style="2" customWidth="1"/>
    <col min="11012" max="11012" width="4" style="2" customWidth="1"/>
    <col min="11013" max="11013" width="15" style="2" customWidth="1"/>
    <col min="11014" max="11014" width="4.140625" style="2" customWidth="1"/>
    <col min="11015" max="11015" width="11.28515625" style="2" customWidth="1"/>
    <col min="11016" max="11016" width="16.140625" style="2" customWidth="1"/>
    <col min="11017" max="11017" width="11" style="2" customWidth="1"/>
    <col min="11018" max="11019" width="2.140625" style="2" customWidth="1"/>
    <col min="11020" max="11020" width="3.28515625" style="2" customWidth="1"/>
    <col min="11021" max="11022" width="0" style="2" hidden="1" customWidth="1"/>
    <col min="11023" max="11023" width="2.85546875" style="2" customWidth="1"/>
    <col min="11024" max="11024" width="3.28515625" style="2" customWidth="1"/>
    <col min="11025" max="11025" width="1.42578125" style="2" customWidth="1"/>
    <col min="11026" max="11026" width="0" style="2" hidden="1" customWidth="1"/>
    <col min="11027" max="11027" width="6.85546875" style="2" customWidth="1"/>
    <col min="11028" max="11028" width="0" style="2" hidden="1" customWidth="1"/>
    <col min="11029" max="11030" width="6.28515625" style="2" customWidth="1"/>
    <col min="11031" max="11032" width="13.85546875" style="2" customWidth="1"/>
    <col min="11033" max="11033" width="10.85546875" style="2" customWidth="1"/>
    <col min="11034" max="11034" width="14.140625" style="2" customWidth="1"/>
    <col min="11035" max="11035" width="0" style="2" hidden="1" customWidth="1"/>
    <col min="11036" max="11036" width="13" style="2" customWidth="1"/>
    <col min="11037" max="11037" width="13.140625" style="2" customWidth="1"/>
    <col min="11038" max="11039" width="14" style="2" customWidth="1"/>
    <col min="11040" max="11040" width="11.42578125" style="2" customWidth="1"/>
    <col min="11041" max="11041" width="15.85546875" style="2" customWidth="1"/>
    <col min="11042" max="11042" width="23.7109375" style="2" customWidth="1"/>
    <col min="11043" max="11043" width="12" style="2" customWidth="1"/>
    <col min="11044" max="11045" width="0.28515625" style="2" customWidth="1"/>
    <col min="11046" max="11046" width="1.42578125" style="2" customWidth="1"/>
    <col min="11047" max="11047" width="0" style="2" hidden="1" customWidth="1"/>
    <col min="11048" max="11264" width="11.42578125" style="2"/>
    <col min="11265" max="11265" width="10.28515625" style="2" customWidth="1"/>
    <col min="11266" max="11266" width="13.42578125" style="2" customWidth="1"/>
    <col min="11267" max="11267" width="4.28515625" style="2" customWidth="1"/>
    <col min="11268" max="11268" width="4" style="2" customWidth="1"/>
    <col min="11269" max="11269" width="15" style="2" customWidth="1"/>
    <col min="11270" max="11270" width="4.140625" style="2" customWidth="1"/>
    <col min="11271" max="11271" width="11.28515625" style="2" customWidth="1"/>
    <col min="11272" max="11272" width="16.140625" style="2" customWidth="1"/>
    <col min="11273" max="11273" width="11" style="2" customWidth="1"/>
    <col min="11274" max="11275" width="2.140625" style="2" customWidth="1"/>
    <col min="11276" max="11276" width="3.28515625" style="2" customWidth="1"/>
    <col min="11277" max="11278" width="0" style="2" hidden="1" customWidth="1"/>
    <col min="11279" max="11279" width="2.85546875" style="2" customWidth="1"/>
    <col min="11280" max="11280" width="3.28515625" style="2" customWidth="1"/>
    <col min="11281" max="11281" width="1.42578125" style="2" customWidth="1"/>
    <col min="11282" max="11282" width="0" style="2" hidden="1" customWidth="1"/>
    <col min="11283" max="11283" width="6.85546875" style="2" customWidth="1"/>
    <col min="11284" max="11284" width="0" style="2" hidden="1" customWidth="1"/>
    <col min="11285" max="11286" width="6.28515625" style="2" customWidth="1"/>
    <col min="11287" max="11288" width="13.85546875" style="2" customWidth="1"/>
    <col min="11289" max="11289" width="10.85546875" style="2" customWidth="1"/>
    <col min="11290" max="11290" width="14.140625" style="2" customWidth="1"/>
    <col min="11291" max="11291" width="0" style="2" hidden="1" customWidth="1"/>
    <col min="11292" max="11292" width="13" style="2" customWidth="1"/>
    <col min="11293" max="11293" width="13.140625" style="2" customWidth="1"/>
    <col min="11294" max="11295" width="14" style="2" customWidth="1"/>
    <col min="11296" max="11296" width="11.42578125" style="2" customWidth="1"/>
    <col min="11297" max="11297" width="15.85546875" style="2" customWidth="1"/>
    <col min="11298" max="11298" width="23.7109375" style="2" customWidth="1"/>
    <col min="11299" max="11299" width="12" style="2" customWidth="1"/>
    <col min="11300" max="11301" width="0.28515625" style="2" customWidth="1"/>
    <col min="11302" max="11302" width="1.42578125" style="2" customWidth="1"/>
    <col min="11303" max="11303" width="0" style="2" hidden="1" customWidth="1"/>
    <col min="11304" max="11520" width="11.42578125" style="2"/>
    <col min="11521" max="11521" width="10.28515625" style="2" customWidth="1"/>
    <col min="11522" max="11522" width="13.42578125" style="2" customWidth="1"/>
    <col min="11523" max="11523" width="4.28515625" style="2" customWidth="1"/>
    <col min="11524" max="11524" width="4" style="2" customWidth="1"/>
    <col min="11525" max="11525" width="15" style="2" customWidth="1"/>
    <col min="11526" max="11526" width="4.140625" style="2" customWidth="1"/>
    <col min="11527" max="11527" width="11.28515625" style="2" customWidth="1"/>
    <col min="11528" max="11528" width="16.140625" style="2" customWidth="1"/>
    <col min="11529" max="11529" width="11" style="2" customWidth="1"/>
    <col min="11530" max="11531" width="2.140625" style="2" customWidth="1"/>
    <col min="11532" max="11532" width="3.28515625" style="2" customWidth="1"/>
    <col min="11533" max="11534" width="0" style="2" hidden="1" customWidth="1"/>
    <col min="11535" max="11535" width="2.85546875" style="2" customWidth="1"/>
    <col min="11536" max="11536" width="3.28515625" style="2" customWidth="1"/>
    <col min="11537" max="11537" width="1.42578125" style="2" customWidth="1"/>
    <col min="11538" max="11538" width="0" style="2" hidden="1" customWidth="1"/>
    <col min="11539" max="11539" width="6.85546875" style="2" customWidth="1"/>
    <col min="11540" max="11540" width="0" style="2" hidden="1" customWidth="1"/>
    <col min="11541" max="11542" width="6.28515625" style="2" customWidth="1"/>
    <col min="11543" max="11544" width="13.85546875" style="2" customWidth="1"/>
    <col min="11545" max="11545" width="10.85546875" style="2" customWidth="1"/>
    <col min="11546" max="11546" width="14.140625" style="2" customWidth="1"/>
    <col min="11547" max="11547" width="0" style="2" hidden="1" customWidth="1"/>
    <col min="11548" max="11548" width="13" style="2" customWidth="1"/>
    <col min="11549" max="11549" width="13.140625" style="2" customWidth="1"/>
    <col min="11550" max="11551" width="14" style="2" customWidth="1"/>
    <col min="11552" max="11552" width="11.42578125" style="2" customWidth="1"/>
    <col min="11553" max="11553" width="15.85546875" style="2" customWidth="1"/>
    <col min="11554" max="11554" width="23.7109375" style="2" customWidth="1"/>
    <col min="11555" max="11555" width="12" style="2" customWidth="1"/>
    <col min="11556" max="11557" width="0.28515625" style="2" customWidth="1"/>
    <col min="11558" max="11558" width="1.42578125" style="2" customWidth="1"/>
    <col min="11559" max="11559" width="0" style="2" hidden="1" customWidth="1"/>
    <col min="11560" max="11776" width="11.42578125" style="2"/>
    <col min="11777" max="11777" width="10.28515625" style="2" customWidth="1"/>
    <col min="11778" max="11778" width="13.42578125" style="2" customWidth="1"/>
    <col min="11779" max="11779" width="4.28515625" style="2" customWidth="1"/>
    <col min="11780" max="11780" width="4" style="2" customWidth="1"/>
    <col min="11781" max="11781" width="15" style="2" customWidth="1"/>
    <col min="11782" max="11782" width="4.140625" style="2" customWidth="1"/>
    <col min="11783" max="11783" width="11.28515625" style="2" customWidth="1"/>
    <col min="11784" max="11784" width="16.140625" style="2" customWidth="1"/>
    <col min="11785" max="11785" width="11" style="2" customWidth="1"/>
    <col min="11786" max="11787" width="2.140625" style="2" customWidth="1"/>
    <col min="11788" max="11788" width="3.28515625" style="2" customWidth="1"/>
    <col min="11789" max="11790" width="0" style="2" hidden="1" customWidth="1"/>
    <col min="11791" max="11791" width="2.85546875" style="2" customWidth="1"/>
    <col min="11792" max="11792" width="3.28515625" style="2" customWidth="1"/>
    <col min="11793" max="11793" width="1.42578125" style="2" customWidth="1"/>
    <col min="11794" max="11794" width="0" style="2" hidden="1" customWidth="1"/>
    <col min="11795" max="11795" width="6.85546875" style="2" customWidth="1"/>
    <col min="11796" max="11796" width="0" style="2" hidden="1" customWidth="1"/>
    <col min="11797" max="11798" width="6.28515625" style="2" customWidth="1"/>
    <col min="11799" max="11800" width="13.85546875" style="2" customWidth="1"/>
    <col min="11801" max="11801" width="10.85546875" style="2" customWidth="1"/>
    <col min="11802" max="11802" width="14.140625" style="2" customWidth="1"/>
    <col min="11803" max="11803" width="0" style="2" hidden="1" customWidth="1"/>
    <col min="11804" max="11804" width="13" style="2" customWidth="1"/>
    <col min="11805" max="11805" width="13.140625" style="2" customWidth="1"/>
    <col min="11806" max="11807" width="14" style="2" customWidth="1"/>
    <col min="11808" max="11808" width="11.42578125" style="2" customWidth="1"/>
    <col min="11809" max="11809" width="15.85546875" style="2" customWidth="1"/>
    <col min="11810" max="11810" width="23.7109375" style="2" customWidth="1"/>
    <col min="11811" max="11811" width="12" style="2" customWidth="1"/>
    <col min="11812" max="11813" width="0.28515625" style="2" customWidth="1"/>
    <col min="11814" max="11814" width="1.42578125" style="2" customWidth="1"/>
    <col min="11815" max="11815" width="0" style="2" hidden="1" customWidth="1"/>
    <col min="11816" max="12032" width="11.42578125" style="2"/>
    <col min="12033" max="12033" width="10.28515625" style="2" customWidth="1"/>
    <col min="12034" max="12034" width="13.42578125" style="2" customWidth="1"/>
    <col min="12035" max="12035" width="4.28515625" style="2" customWidth="1"/>
    <col min="12036" max="12036" width="4" style="2" customWidth="1"/>
    <col min="12037" max="12037" width="15" style="2" customWidth="1"/>
    <col min="12038" max="12038" width="4.140625" style="2" customWidth="1"/>
    <col min="12039" max="12039" width="11.28515625" style="2" customWidth="1"/>
    <col min="12040" max="12040" width="16.140625" style="2" customWidth="1"/>
    <col min="12041" max="12041" width="11" style="2" customWidth="1"/>
    <col min="12042" max="12043" width="2.140625" style="2" customWidth="1"/>
    <col min="12044" max="12044" width="3.28515625" style="2" customWidth="1"/>
    <col min="12045" max="12046" width="0" style="2" hidden="1" customWidth="1"/>
    <col min="12047" max="12047" width="2.85546875" style="2" customWidth="1"/>
    <col min="12048" max="12048" width="3.28515625" style="2" customWidth="1"/>
    <col min="12049" max="12049" width="1.42578125" style="2" customWidth="1"/>
    <col min="12050" max="12050" width="0" style="2" hidden="1" customWidth="1"/>
    <col min="12051" max="12051" width="6.85546875" style="2" customWidth="1"/>
    <col min="12052" max="12052" width="0" style="2" hidden="1" customWidth="1"/>
    <col min="12053" max="12054" width="6.28515625" style="2" customWidth="1"/>
    <col min="12055" max="12056" width="13.85546875" style="2" customWidth="1"/>
    <col min="12057" max="12057" width="10.85546875" style="2" customWidth="1"/>
    <col min="12058" max="12058" width="14.140625" style="2" customWidth="1"/>
    <col min="12059" max="12059" width="0" style="2" hidden="1" customWidth="1"/>
    <col min="12060" max="12060" width="13" style="2" customWidth="1"/>
    <col min="12061" max="12061" width="13.140625" style="2" customWidth="1"/>
    <col min="12062" max="12063" width="14" style="2" customWidth="1"/>
    <col min="12064" max="12064" width="11.42578125" style="2" customWidth="1"/>
    <col min="12065" max="12065" width="15.85546875" style="2" customWidth="1"/>
    <col min="12066" max="12066" width="23.7109375" style="2" customWidth="1"/>
    <col min="12067" max="12067" width="12" style="2" customWidth="1"/>
    <col min="12068" max="12069" width="0.28515625" style="2" customWidth="1"/>
    <col min="12070" max="12070" width="1.42578125" style="2" customWidth="1"/>
    <col min="12071" max="12071" width="0" style="2" hidden="1" customWidth="1"/>
    <col min="12072" max="12288" width="11.42578125" style="2"/>
    <col min="12289" max="12289" width="10.28515625" style="2" customWidth="1"/>
    <col min="12290" max="12290" width="13.42578125" style="2" customWidth="1"/>
    <col min="12291" max="12291" width="4.28515625" style="2" customWidth="1"/>
    <col min="12292" max="12292" width="4" style="2" customWidth="1"/>
    <col min="12293" max="12293" width="15" style="2" customWidth="1"/>
    <col min="12294" max="12294" width="4.140625" style="2" customWidth="1"/>
    <col min="12295" max="12295" width="11.28515625" style="2" customWidth="1"/>
    <col min="12296" max="12296" width="16.140625" style="2" customWidth="1"/>
    <col min="12297" max="12297" width="11" style="2" customWidth="1"/>
    <col min="12298" max="12299" width="2.140625" style="2" customWidth="1"/>
    <col min="12300" max="12300" width="3.28515625" style="2" customWidth="1"/>
    <col min="12301" max="12302" width="0" style="2" hidden="1" customWidth="1"/>
    <col min="12303" max="12303" width="2.85546875" style="2" customWidth="1"/>
    <col min="12304" max="12304" width="3.28515625" style="2" customWidth="1"/>
    <col min="12305" max="12305" width="1.42578125" style="2" customWidth="1"/>
    <col min="12306" max="12306" width="0" style="2" hidden="1" customWidth="1"/>
    <col min="12307" max="12307" width="6.85546875" style="2" customWidth="1"/>
    <col min="12308" max="12308" width="0" style="2" hidden="1" customWidth="1"/>
    <col min="12309" max="12310" width="6.28515625" style="2" customWidth="1"/>
    <col min="12311" max="12312" width="13.85546875" style="2" customWidth="1"/>
    <col min="12313" max="12313" width="10.85546875" style="2" customWidth="1"/>
    <col min="12314" max="12314" width="14.140625" style="2" customWidth="1"/>
    <col min="12315" max="12315" width="0" style="2" hidden="1" customWidth="1"/>
    <col min="12316" max="12316" width="13" style="2" customWidth="1"/>
    <col min="12317" max="12317" width="13.140625" style="2" customWidth="1"/>
    <col min="12318" max="12319" width="14" style="2" customWidth="1"/>
    <col min="12320" max="12320" width="11.42578125" style="2" customWidth="1"/>
    <col min="12321" max="12321" width="15.85546875" style="2" customWidth="1"/>
    <col min="12322" max="12322" width="23.7109375" style="2" customWidth="1"/>
    <col min="12323" max="12323" width="12" style="2" customWidth="1"/>
    <col min="12324" max="12325" width="0.28515625" style="2" customWidth="1"/>
    <col min="12326" max="12326" width="1.42578125" style="2" customWidth="1"/>
    <col min="12327" max="12327" width="0" style="2" hidden="1" customWidth="1"/>
    <col min="12328" max="12544" width="11.42578125" style="2"/>
    <col min="12545" max="12545" width="10.28515625" style="2" customWidth="1"/>
    <col min="12546" max="12546" width="13.42578125" style="2" customWidth="1"/>
    <col min="12547" max="12547" width="4.28515625" style="2" customWidth="1"/>
    <col min="12548" max="12548" width="4" style="2" customWidth="1"/>
    <col min="12549" max="12549" width="15" style="2" customWidth="1"/>
    <col min="12550" max="12550" width="4.140625" style="2" customWidth="1"/>
    <col min="12551" max="12551" width="11.28515625" style="2" customWidth="1"/>
    <col min="12552" max="12552" width="16.140625" style="2" customWidth="1"/>
    <col min="12553" max="12553" width="11" style="2" customWidth="1"/>
    <col min="12554" max="12555" width="2.140625" style="2" customWidth="1"/>
    <col min="12556" max="12556" width="3.28515625" style="2" customWidth="1"/>
    <col min="12557" max="12558" width="0" style="2" hidden="1" customWidth="1"/>
    <col min="12559" max="12559" width="2.85546875" style="2" customWidth="1"/>
    <col min="12560" max="12560" width="3.28515625" style="2" customWidth="1"/>
    <col min="12561" max="12561" width="1.42578125" style="2" customWidth="1"/>
    <col min="12562" max="12562" width="0" style="2" hidden="1" customWidth="1"/>
    <col min="12563" max="12563" width="6.85546875" style="2" customWidth="1"/>
    <col min="12564" max="12564" width="0" style="2" hidden="1" customWidth="1"/>
    <col min="12565" max="12566" width="6.28515625" style="2" customWidth="1"/>
    <col min="12567" max="12568" width="13.85546875" style="2" customWidth="1"/>
    <col min="12569" max="12569" width="10.85546875" style="2" customWidth="1"/>
    <col min="12570" max="12570" width="14.140625" style="2" customWidth="1"/>
    <col min="12571" max="12571" width="0" style="2" hidden="1" customWidth="1"/>
    <col min="12572" max="12572" width="13" style="2" customWidth="1"/>
    <col min="12573" max="12573" width="13.140625" style="2" customWidth="1"/>
    <col min="12574" max="12575" width="14" style="2" customWidth="1"/>
    <col min="12576" max="12576" width="11.42578125" style="2" customWidth="1"/>
    <col min="12577" max="12577" width="15.85546875" style="2" customWidth="1"/>
    <col min="12578" max="12578" width="23.7109375" style="2" customWidth="1"/>
    <col min="12579" max="12579" width="12" style="2" customWidth="1"/>
    <col min="12580" max="12581" width="0.28515625" style="2" customWidth="1"/>
    <col min="12582" max="12582" width="1.42578125" style="2" customWidth="1"/>
    <col min="12583" max="12583" width="0" style="2" hidden="1" customWidth="1"/>
    <col min="12584" max="12800" width="11.42578125" style="2"/>
    <col min="12801" max="12801" width="10.28515625" style="2" customWidth="1"/>
    <col min="12802" max="12802" width="13.42578125" style="2" customWidth="1"/>
    <col min="12803" max="12803" width="4.28515625" style="2" customWidth="1"/>
    <col min="12804" max="12804" width="4" style="2" customWidth="1"/>
    <col min="12805" max="12805" width="15" style="2" customWidth="1"/>
    <col min="12806" max="12806" width="4.140625" style="2" customWidth="1"/>
    <col min="12807" max="12807" width="11.28515625" style="2" customWidth="1"/>
    <col min="12808" max="12808" width="16.140625" style="2" customWidth="1"/>
    <col min="12809" max="12809" width="11" style="2" customWidth="1"/>
    <col min="12810" max="12811" width="2.140625" style="2" customWidth="1"/>
    <col min="12812" max="12812" width="3.28515625" style="2" customWidth="1"/>
    <col min="12813" max="12814" width="0" style="2" hidden="1" customWidth="1"/>
    <col min="12815" max="12815" width="2.85546875" style="2" customWidth="1"/>
    <col min="12816" max="12816" width="3.28515625" style="2" customWidth="1"/>
    <col min="12817" max="12817" width="1.42578125" style="2" customWidth="1"/>
    <col min="12818" max="12818" width="0" style="2" hidden="1" customWidth="1"/>
    <col min="12819" max="12819" width="6.85546875" style="2" customWidth="1"/>
    <col min="12820" max="12820" width="0" style="2" hidden="1" customWidth="1"/>
    <col min="12821" max="12822" width="6.28515625" style="2" customWidth="1"/>
    <col min="12823" max="12824" width="13.85546875" style="2" customWidth="1"/>
    <col min="12825" max="12825" width="10.85546875" style="2" customWidth="1"/>
    <col min="12826" max="12826" width="14.140625" style="2" customWidth="1"/>
    <col min="12827" max="12827" width="0" style="2" hidden="1" customWidth="1"/>
    <col min="12828" max="12828" width="13" style="2" customWidth="1"/>
    <col min="12829" max="12829" width="13.140625" style="2" customWidth="1"/>
    <col min="12830" max="12831" width="14" style="2" customWidth="1"/>
    <col min="12832" max="12832" width="11.42578125" style="2" customWidth="1"/>
    <col min="12833" max="12833" width="15.85546875" style="2" customWidth="1"/>
    <col min="12834" max="12834" width="23.7109375" style="2" customWidth="1"/>
    <col min="12835" max="12835" width="12" style="2" customWidth="1"/>
    <col min="12836" max="12837" width="0.28515625" style="2" customWidth="1"/>
    <col min="12838" max="12838" width="1.42578125" style="2" customWidth="1"/>
    <col min="12839" max="12839" width="0" style="2" hidden="1" customWidth="1"/>
    <col min="12840" max="13056" width="11.42578125" style="2"/>
    <col min="13057" max="13057" width="10.28515625" style="2" customWidth="1"/>
    <col min="13058" max="13058" width="13.42578125" style="2" customWidth="1"/>
    <col min="13059" max="13059" width="4.28515625" style="2" customWidth="1"/>
    <col min="13060" max="13060" width="4" style="2" customWidth="1"/>
    <col min="13061" max="13061" width="15" style="2" customWidth="1"/>
    <col min="13062" max="13062" width="4.140625" style="2" customWidth="1"/>
    <col min="13063" max="13063" width="11.28515625" style="2" customWidth="1"/>
    <col min="13064" max="13064" width="16.140625" style="2" customWidth="1"/>
    <col min="13065" max="13065" width="11" style="2" customWidth="1"/>
    <col min="13066" max="13067" width="2.140625" style="2" customWidth="1"/>
    <col min="13068" max="13068" width="3.28515625" style="2" customWidth="1"/>
    <col min="13069" max="13070" width="0" style="2" hidden="1" customWidth="1"/>
    <col min="13071" max="13071" width="2.85546875" style="2" customWidth="1"/>
    <col min="13072" max="13072" width="3.28515625" style="2" customWidth="1"/>
    <col min="13073" max="13073" width="1.42578125" style="2" customWidth="1"/>
    <col min="13074" max="13074" width="0" style="2" hidden="1" customWidth="1"/>
    <col min="13075" max="13075" width="6.85546875" style="2" customWidth="1"/>
    <col min="13076" max="13076" width="0" style="2" hidden="1" customWidth="1"/>
    <col min="13077" max="13078" width="6.28515625" style="2" customWidth="1"/>
    <col min="13079" max="13080" width="13.85546875" style="2" customWidth="1"/>
    <col min="13081" max="13081" width="10.85546875" style="2" customWidth="1"/>
    <col min="13082" max="13082" width="14.140625" style="2" customWidth="1"/>
    <col min="13083" max="13083" width="0" style="2" hidden="1" customWidth="1"/>
    <col min="13084" max="13084" width="13" style="2" customWidth="1"/>
    <col min="13085" max="13085" width="13.140625" style="2" customWidth="1"/>
    <col min="13086" max="13087" width="14" style="2" customWidth="1"/>
    <col min="13088" max="13088" width="11.42578125" style="2" customWidth="1"/>
    <col min="13089" max="13089" width="15.85546875" style="2" customWidth="1"/>
    <col min="13090" max="13090" width="23.7109375" style="2" customWidth="1"/>
    <col min="13091" max="13091" width="12" style="2" customWidth="1"/>
    <col min="13092" max="13093" width="0.28515625" style="2" customWidth="1"/>
    <col min="13094" max="13094" width="1.42578125" style="2" customWidth="1"/>
    <col min="13095" max="13095" width="0" style="2" hidden="1" customWidth="1"/>
    <col min="13096" max="13312" width="11.42578125" style="2"/>
    <col min="13313" max="13313" width="10.28515625" style="2" customWidth="1"/>
    <col min="13314" max="13314" width="13.42578125" style="2" customWidth="1"/>
    <col min="13315" max="13315" width="4.28515625" style="2" customWidth="1"/>
    <col min="13316" max="13316" width="4" style="2" customWidth="1"/>
    <col min="13317" max="13317" width="15" style="2" customWidth="1"/>
    <col min="13318" max="13318" width="4.140625" style="2" customWidth="1"/>
    <col min="13319" max="13319" width="11.28515625" style="2" customWidth="1"/>
    <col min="13320" max="13320" width="16.140625" style="2" customWidth="1"/>
    <col min="13321" max="13321" width="11" style="2" customWidth="1"/>
    <col min="13322" max="13323" width="2.140625" style="2" customWidth="1"/>
    <col min="13324" max="13324" width="3.28515625" style="2" customWidth="1"/>
    <col min="13325" max="13326" width="0" style="2" hidden="1" customWidth="1"/>
    <col min="13327" max="13327" width="2.85546875" style="2" customWidth="1"/>
    <col min="13328" max="13328" width="3.28515625" style="2" customWidth="1"/>
    <col min="13329" max="13329" width="1.42578125" style="2" customWidth="1"/>
    <col min="13330" max="13330" width="0" style="2" hidden="1" customWidth="1"/>
    <col min="13331" max="13331" width="6.85546875" style="2" customWidth="1"/>
    <col min="13332" max="13332" width="0" style="2" hidden="1" customWidth="1"/>
    <col min="13333" max="13334" width="6.28515625" style="2" customWidth="1"/>
    <col min="13335" max="13336" width="13.85546875" style="2" customWidth="1"/>
    <col min="13337" max="13337" width="10.85546875" style="2" customWidth="1"/>
    <col min="13338" max="13338" width="14.140625" style="2" customWidth="1"/>
    <col min="13339" max="13339" width="0" style="2" hidden="1" customWidth="1"/>
    <col min="13340" max="13340" width="13" style="2" customWidth="1"/>
    <col min="13341" max="13341" width="13.140625" style="2" customWidth="1"/>
    <col min="13342" max="13343" width="14" style="2" customWidth="1"/>
    <col min="13344" max="13344" width="11.42578125" style="2" customWidth="1"/>
    <col min="13345" max="13345" width="15.85546875" style="2" customWidth="1"/>
    <col min="13346" max="13346" width="23.7109375" style="2" customWidth="1"/>
    <col min="13347" max="13347" width="12" style="2" customWidth="1"/>
    <col min="13348" max="13349" width="0.28515625" style="2" customWidth="1"/>
    <col min="13350" max="13350" width="1.42578125" style="2" customWidth="1"/>
    <col min="13351" max="13351" width="0" style="2" hidden="1" customWidth="1"/>
    <col min="13352" max="13568" width="11.42578125" style="2"/>
    <col min="13569" max="13569" width="10.28515625" style="2" customWidth="1"/>
    <col min="13570" max="13570" width="13.42578125" style="2" customWidth="1"/>
    <col min="13571" max="13571" width="4.28515625" style="2" customWidth="1"/>
    <col min="13572" max="13572" width="4" style="2" customWidth="1"/>
    <col min="13573" max="13573" width="15" style="2" customWidth="1"/>
    <col min="13574" max="13574" width="4.140625" style="2" customWidth="1"/>
    <col min="13575" max="13575" width="11.28515625" style="2" customWidth="1"/>
    <col min="13576" max="13576" width="16.140625" style="2" customWidth="1"/>
    <col min="13577" max="13577" width="11" style="2" customWidth="1"/>
    <col min="13578" max="13579" width="2.140625" style="2" customWidth="1"/>
    <col min="13580" max="13580" width="3.28515625" style="2" customWidth="1"/>
    <col min="13581" max="13582" width="0" style="2" hidden="1" customWidth="1"/>
    <col min="13583" max="13583" width="2.85546875" style="2" customWidth="1"/>
    <col min="13584" max="13584" width="3.28515625" style="2" customWidth="1"/>
    <col min="13585" max="13585" width="1.42578125" style="2" customWidth="1"/>
    <col min="13586" max="13586" width="0" style="2" hidden="1" customWidth="1"/>
    <col min="13587" max="13587" width="6.85546875" style="2" customWidth="1"/>
    <col min="13588" max="13588" width="0" style="2" hidden="1" customWidth="1"/>
    <col min="13589" max="13590" width="6.28515625" style="2" customWidth="1"/>
    <col min="13591" max="13592" width="13.85546875" style="2" customWidth="1"/>
    <col min="13593" max="13593" width="10.85546875" style="2" customWidth="1"/>
    <col min="13594" max="13594" width="14.140625" style="2" customWidth="1"/>
    <col min="13595" max="13595" width="0" style="2" hidden="1" customWidth="1"/>
    <col min="13596" max="13596" width="13" style="2" customWidth="1"/>
    <col min="13597" max="13597" width="13.140625" style="2" customWidth="1"/>
    <col min="13598" max="13599" width="14" style="2" customWidth="1"/>
    <col min="13600" max="13600" width="11.42578125" style="2" customWidth="1"/>
    <col min="13601" max="13601" width="15.85546875" style="2" customWidth="1"/>
    <col min="13602" max="13602" width="23.7109375" style="2" customWidth="1"/>
    <col min="13603" max="13603" width="12" style="2" customWidth="1"/>
    <col min="13604" max="13605" width="0.28515625" style="2" customWidth="1"/>
    <col min="13606" max="13606" width="1.42578125" style="2" customWidth="1"/>
    <col min="13607" max="13607" width="0" style="2" hidden="1" customWidth="1"/>
    <col min="13608" max="13824" width="11.42578125" style="2"/>
    <col min="13825" max="13825" width="10.28515625" style="2" customWidth="1"/>
    <col min="13826" max="13826" width="13.42578125" style="2" customWidth="1"/>
    <col min="13827" max="13827" width="4.28515625" style="2" customWidth="1"/>
    <col min="13828" max="13828" width="4" style="2" customWidth="1"/>
    <col min="13829" max="13829" width="15" style="2" customWidth="1"/>
    <col min="13830" max="13830" width="4.140625" style="2" customWidth="1"/>
    <col min="13831" max="13831" width="11.28515625" style="2" customWidth="1"/>
    <col min="13832" max="13832" width="16.140625" style="2" customWidth="1"/>
    <col min="13833" max="13833" width="11" style="2" customWidth="1"/>
    <col min="13834" max="13835" width="2.140625" style="2" customWidth="1"/>
    <col min="13836" max="13836" width="3.28515625" style="2" customWidth="1"/>
    <col min="13837" max="13838" width="0" style="2" hidden="1" customWidth="1"/>
    <col min="13839" max="13839" width="2.85546875" style="2" customWidth="1"/>
    <col min="13840" max="13840" width="3.28515625" style="2" customWidth="1"/>
    <col min="13841" max="13841" width="1.42578125" style="2" customWidth="1"/>
    <col min="13842" max="13842" width="0" style="2" hidden="1" customWidth="1"/>
    <col min="13843" max="13843" width="6.85546875" style="2" customWidth="1"/>
    <col min="13844" max="13844" width="0" style="2" hidden="1" customWidth="1"/>
    <col min="13845" max="13846" width="6.28515625" style="2" customWidth="1"/>
    <col min="13847" max="13848" width="13.85546875" style="2" customWidth="1"/>
    <col min="13849" max="13849" width="10.85546875" style="2" customWidth="1"/>
    <col min="13850" max="13850" width="14.140625" style="2" customWidth="1"/>
    <col min="13851" max="13851" width="0" style="2" hidden="1" customWidth="1"/>
    <col min="13852" max="13852" width="13" style="2" customWidth="1"/>
    <col min="13853" max="13853" width="13.140625" style="2" customWidth="1"/>
    <col min="13854" max="13855" width="14" style="2" customWidth="1"/>
    <col min="13856" max="13856" width="11.42578125" style="2" customWidth="1"/>
    <col min="13857" max="13857" width="15.85546875" style="2" customWidth="1"/>
    <col min="13858" max="13858" width="23.7109375" style="2" customWidth="1"/>
    <col min="13859" max="13859" width="12" style="2" customWidth="1"/>
    <col min="13860" max="13861" width="0.28515625" style="2" customWidth="1"/>
    <col min="13862" max="13862" width="1.42578125" style="2" customWidth="1"/>
    <col min="13863" max="13863" width="0" style="2" hidden="1" customWidth="1"/>
    <col min="13864" max="14080" width="11.42578125" style="2"/>
    <col min="14081" max="14081" width="10.28515625" style="2" customWidth="1"/>
    <col min="14082" max="14082" width="13.42578125" style="2" customWidth="1"/>
    <col min="14083" max="14083" width="4.28515625" style="2" customWidth="1"/>
    <col min="14084" max="14084" width="4" style="2" customWidth="1"/>
    <col min="14085" max="14085" width="15" style="2" customWidth="1"/>
    <col min="14086" max="14086" width="4.140625" style="2" customWidth="1"/>
    <col min="14087" max="14087" width="11.28515625" style="2" customWidth="1"/>
    <col min="14088" max="14088" width="16.140625" style="2" customWidth="1"/>
    <col min="14089" max="14089" width="11" style="2" customWidth="1"/>
    <col min="14090" max="14091" width="2.140625" style="2" customWidth="1"/>
    <col min="14092" max="14092" width="3.28515625" style="2" customWidth="1"/>
    <col min="14093" max="14094" width="0" style="2" hidden="1" customWidth="1"/>
    <col min="14095" max="14095" width="2.85546875" style="2" customWidth="1"/>
    <col min="14096" max="14096" width="3.28515625" style="2" customWidth="1"/>
    <col min="14097" max="14097" width="1.42578125" style="2" customWidth="1"/>
    <col min="14098" max="14098" width="0" style="2" hidden="1" customWidth="1"/>
    <col min="14099" max="14099" width="6.85546875" style="2" customWidth="1"/>
    <col min="14100" max="14100" width="0" style="2" hidden="1" customWidth="1"/>
    <col min="14101" max="14102" width="6.28515625" style="2" customWidth="1"/>
    <col min="14103" max="14104" width="13.85546875" style="2" customWidth="1"/>
    <col min="14105" max="14105" width="10.85546875" style="2" customWidth="1"/>
    <col min="14106" max="14106" width="14.140625" style="2" customWidth="1"/>
    <col min="14107" max="14107" width="0" style="2" hidden="1" customWidth="1"/>
    <col min="14108" max="14108" width="13" style="2" customWidth="1"/>
    <col min="14109" max="14109" width="13.140625" style="2" customWidth="1"/>
    <col min="14110" max="14111" width="14" style="2" customWidth="1"/>
    <col min="14112" max="14112" width="11.42578125" style="2" customWidth="1"/>
    <col min="14113" max="14113" width="15.85546875" style="2" customWidth="1"/>
    <col min="14114" max="14114" width="23.7109375" style="2" customWidth="1"/>
    <col min="14115" max="14115" width="12" style="2" customWidth="1"/>
    <col min="14116" max="14117" width="0.28515625" style="2" customWidth="1"/>
    <col min="14118" max="14118" width="1.42578125" style="2" customWidth="1"/>
    <col min="14119" max="14119" width="0" style="2" hidden="1" customWidth="1"/>
    <col min="14120" max="14336" width="11.42578125" style="2"/>
    <col min="14337" max="14337" width="10.28515625" style="2" customWidth="1"/>
    <col min="14338" max="14338" width="13.42578125" style="2" customWidth="1"/>
    <col min="14339" max="14339" width="4.28515625" style="2" customWidth="1"/>
    <col min="14340" max="14340" width="4" style="2" customWidth="1"/>
    <col min="14341" max="14341" width="15" style="2" customWidth="1"/>
    <col min="14342" max="14342" width="4.140625" style="2" customWidth="1"/>
    <col min="14343" max="14343" width="11.28515625" style="2" customWidth="1"/>
    <col min="14344" max="14344" width="16.140625" style="2" customWidth="1"/>
    <col min="14345" max="14345" width="11" style="2" customWidth="1"/>
    <col min="14346" max="14347" width="2.140625" style="2" customWidth="1"/>
    <col min="14348" max="14348" width="3.28515625" style="2" customWidth="1"/>
    <col min="14349" max="14350" width="0" style="2" hidden="1" customWidth="1"/>
    <col min="14351" max="14351" width="2.85546875" style="2" customWidth="1"/>
    <col min="14352" max="14352" width="3.28515625" style="2" customWidth="1"/>
    <col min="14353" max="14353" width="1.42578125" style="2" customWidth="1"/>
    <col min="14354" max="14354" width="0" style="2" hidden="1" customWidth="1"/>
    <col min="14355" max="14355" width="6.85546875" style="2" customWidth="1"/>
    <col min="14356" max="14356" width="0" style="2" hidden="1" customWidth="1"/>
    <col min="14357" max="14358" width="6.28515625" style="2" customWidth="1"/>
    <col min="14359" max="14360" width="13.85546875" style="2" customWidth="1"/>
    <col min="14361" max="14361" width="10.85546875" style="2" customWidth="1"/>
    <col min="14362" max="14362" width="14.140625" style="2" customWidth="1"/>
    <col min="14363" max="14363" width="0" style="2" hidden="1" customWidth="1"/>
    <col min="14364" max="14364" width="13" style="2" customWidth="1"/>
    <col min="14365" max="14365" width="13.140625" style="2" customWidth="1"/>
    <col min="14366" max="14367" width="14" style="2" customWidth="1"/>
    <col min="14368" max="14368" width="11.42578125" style="2" customWidth="1"/>
    <col min="14369" max="14369" width="15.85546875" style="2" customWidth="1"/>
    <col min="14370" max="14370" width="23.7109375" style="2" customWidth="1"/>
    <col min="14371" max="14371" width="12" style="2" customWidth="1"/>
    <col min="14372" max="14373" width="0.28515625" style="2" customWidth="1"/>
    <col min="14374" max="14374" width="1.42578125" style="2" customWidth="1"/>
    <col min="14375" max="14375" width="0" style="2" hidden="1" customWidth="1"/>
    <col min="14376" max="14592" width="11.42578125" style="2"/>
    <col min="14593" max="14593" width="10.28515625" style="2" customWidth="1"/>
    <col min="14594" max="14594" width="13.42578125" style="2" customWidth="1"/>
    <col min="14595" max="14595" width="4.28515625" style="2" customWidth="1"/>
    <col min="14596" max="14596" width="4" style="2" customWidth="1"/>
    <col min="14597" max="14597" width="15" style="2" customWidth="1"/>
    <col min="14598" max="14598" width="4.140625" style="2" customWidth="1"/>
    <col min="14599" max="14599" width="11.28515625" style="2" customWidth="1"/>
    <col min="14600" max="14600" width="16.140625" style="2" customWidth="1"/>
    <col min="14601" max="14601" width="11" style="2" customWidth="1"/>
    <col min="14602" max="14603" width="2.140625" style="2" customWidth="1"/>
    <col min="14604" max="14604" width="3.28515625" style="2" customWidth="1"/>
    <col min="14605" max="14606" width="0" style="2" hidden="1" customWidth="1"/>
    <col min="14607" max="14607" width="2.85546875" style="2" customWidth="1"/>
    <col min="14608" max="14608" width="3.28515625" style="2" customWidth="1"/>
    <col min="14609" max="14609" width="1.42578125" style="2" customWidth="1"/>
    <col min="14610" max="14610" width="0" style="2" hidden="1" customWidth="1"/>
    <col min="14611" max="14611" width="6.85546875" style="2" customWidth="1"/>
    <col min="14612" max="14612" width="0" style="2" hidden="1" customWidth="1"/>
    <col min="14613" max="14614" width="6.28515625" style="2" customWidth="1"/>
    <col min="14615" max="14616" width="13.85546875" style="2" customWidth="1"/>
    <col min="14617" max="14617" width="10.85546875" style="2" customWidth="1"/>
    <col min="14618" max="14618" width="14.140625" style="2" customWidth="1"/>
    <col min="14619" max="14619" width="0" style="2" hidden="1" customWidth="1"/>
    <col min="14620" max="14620" width="13" style="2" customWidth="1"/>
    <col min="14621" max="14621" width="13.140625" style="2" customWidth="1"/>
    <col min="14622" max="14623" width="14" style="2" customWidth="1"/>
    <col min="14624" max="14624" width="11.42578125" style="2" customWidth="1"/>
    <col min="14625" max="14625" width="15.85546875" style="2" customWidth="1"/>
    <col min="14626" max="14626" width="23.7109375" style="2" customWidth="1"/>
    <col min="14627" max="14627" width="12" style="2" customWidth="1"/>
    <col min="14628" max="14629" width="0.28515625" style="2" customWidth="1"/>
    <col min="14630" max="14630" width="1.42578125" style="2" customWidth="1"/>
    <col min="14631" max="14631" width="0" style="2" hidden="1" customWidth="1"/>
    <col min="14632" max="14848" width="11.42578125" style="2"/>
    <col min="14849" max="14849" width="10.28515625" style="2" customWidth="1"/>
    <col min="14850" max="14850" width="13.42578125" style="2" customWidth="1"/>
    <col min="14851" max="14851" width="4.28515625" style="2" customWidth="1"/>
    <col min="14852" max="14852" width="4" style="2" customWidth="1"/>
    <col min="14853" max="14853" width="15" style="2" customWidth="1"/>
    <col min="14854" max="14854" width="4.140625" style="2" customWidth="1"/>
    <col min="14855" max="14855" width="11.28515625" style="2" customWidth="1"/>
    <col min="14856" max="14856" width="16.140625" style="2" customWidth="1"/>
    <col min="14857" max="14857" width="11" style="2" customWidth="1"/>
    <col min="14858" max="14859" width="2.140625" style="2" customWidth="1"/>
    <col min="14860" max="14860" width="3.28515625" style="2" customWidth="1"/>
    <col min="14861" max="14862" width="0" style="2" hidden="1" customWidth="1"/>
    <col min="14863" max="14863" width="2.85546875" style="2" customWidth="1"/>
    <col min="14864" max="14864" width="3.28515625" style="2" customWidth="1"/>
    <col min="14865" max="14865" width="1.42578125" style="2" customWidth="1"/>
    <col min="14866" max="14866" width="0" style="2" hidden="1" customWidth="1"/>
    <col min="14867" max="14867" width="6.85546875" style="2" customWidth="1"/>
    <col min="14868" max="14868" width="0" style="2" hidden="1" customWidth="1"/>
    <col min="14869" max="14870" width="6.28515625" style="2" customWidth="1"/>
    <col min="14871" max="14872" width="13.85546875" style="2" customWidth="1"/>
    <col min="14873" max="14873" width="10.85546875" style="2" customWidth="1"/>
    <col min="14874" max="14874" width="14.140625" style="2" customWidth="1"/>
    <col min="14875" max="14875" width="0" style="2" hidden="1" customWidth="1"/>
    <col min="14876" max="14876" width="13" style="2" customWidth="1"/>
    <col min="14877" max="14877" width="13.140625" style="2" customWidth="1"/>
    <col min="14878" max="14879" width="14" style="2" customWidth="1"/>
    <col min="14880" max="14880" width="11.42578125" style="2" customWidth="1"/>
    <col min="14881" max="14881" width="15.85546875" style="2" customWidth="1"/>
    <col min="14882" max="14882" width="23.7109375" style="2" customWidth="1"/>
    <col min="14883" max="14883" width="12" style="2" customWidth="1"/>
    <col min="14884" max="14885" width="0.28515625" style="2" customWidth="1"/>
    <col min="14886" max="14886" width="1.42578125" style="2" customWidth="1"/>
    <col min="14887" max="14887" width="0" style="2" hidden="1" customWidth="1"/>
    <col min="14888" max="15104" width="11.42578125" style="2"/>
    <col min="15105" max="15105" width="10.28515625" style="2" customWidth="1"/>
    <col min="15106" max="15106" width="13.42578125" style="2" customWidth="1"/>
    <col min="15107" max="15107" width="4.28515625" style="2" customWidth="1"/>
    <col min="15108" max="15108" width="4" style="2" customWidth="1"/>
    <col min="15109" max="15109" width="15" style="2" customWidth="1"/>
    <col min="15110" max="15110" width="4.140625" style="2" customWidth="1"/>
    <col min="15111" max="15111" width="11.28515625" style="2" customWidth="1"/>
    <col min="15112" max="15112" width="16.140625" style="2" customWidth="1"/>
    <col min="15113" max="15113" width="11" style="2" customWidth="1"/>
    <col min="15114" max="15115" width="2.140625" style="2" customWidth="1"/>
    <col min="15116" max="15116" width="3.28515625" style="2" customWidth="1"/>
    <col min="15117" max="15118" width="0" style="2" hidden="1" customWidth="1"/>
    <col min="15119" max="15119" width="2.85546875" style="2" customWidth="1"/>
    <col min="15120" max="15120" width="3.28515625" style="2" customWidth="1"/>
    <col min="15121" max="15121" width="1.42578125" style="2" customWidth="1"/>
    <col min="15122" max="15122" width="0" style="2" hidden="1" customWidth="1"/>
    <col min="15123" max="15123" width="6.85546875" style="2" customWidth="1"/>
    <col min="15124" max="15124" width="0" style="2" hidden="1" customWidth="1"/>
    <col min="15125" max="15126" width="6.28515625" style="2" customWidth="1"/>
    <col min="15127" max="15128" width="13.85546875" style="2" customWidth="1"/>
    <col min="15129" max="15129" width="10.85546875" style="2" customWidth="1"/>
    <col min="15130" max="15130" width="14.140625" style="2" customWidth="1"/>
    <col min="15131" max="15131" width="0" style="2" hidden="1" customWidth="1"/>
    <col min="15132" max="15132" width="13" style="2" customWidth="1"/>
    <col min="15133" max="15133" width="13.140625" style="2" customWidth="1"/>
    <col min="15134" max="15135" width="14" style="2" customWidth="1"/>
    <col min="15136" max="15136" width="11.42578125" style="2" customWidth="1"/>
    <col min="15137" max="15137" width="15.85546875" style="2" customWidth="1"/>
    <col min="15138" max="15138" width="23.7109375" style="2" customWidth="1"/>
    <col min="15139" max="15139" width="12" style="2" customWidth="1"/>
    <col min="15140" max="15141" width="0.28515625" style="2" customWidth="1"/>
    <col min="15142" max="15142" width="1.42578125" style="2" customWidth="1"/>
    <col min="15143" max="15143" width="0" style="2" hidden="1" customWidth="1"/>
    <col min="15144" max="15360" width="11.42578125" style="2"/>
    <col min="15361" max="15361" width="10.28515625" style="2" customWidth="1"/>
    <col min="15362" max="15362" width="13.42578125" style="2" customWidth="1"/>
    <col min="15363" max="15363" width="4.28515625" style="2" customWidth="1"/>
    <col min="15364" max="15364" width="4" style="2" customWidth="1"/>
    <col min="15365" max="15365" width="15" style="2" customWidth="1"/>
    <col min="15366" max="15366" width="4.140625" style="2" customWidth="1"/>
    <col min="15367" max="15367" width="11.28515625" style="2" customWidth="1"/>
    <col min="15368" max="15368" width="16.140625" style="2" customWidth="1"/>
    <col min="15369" max="15369" width="11" style="2" customWidth="1"/>
    <col min="15370" max="15371" width="2.140625" style="2" customWidth="1"/>
    <col min="15372" max="15372" width="3.28515625" style="2" customWidth="1"/>
    <col min="15373" max="15374" width="0" style="2" hidden="1" customWidth="1"/>
    <col min="15375" max="15375" width="2.85546875" style="2" customWidth="1"/>
    <col min="15376" max="15376" width="3.28515625" style="2" customWidth="1"/>
    <col min="15377" max="15377" width="1.42578125" style="2" customWidth="1"/>
    <col min="15378" max="15378" width="0" style="2" hidden="1" customWidth="1"/>
    <col min="15379" max="15379" width="6.85546875" style="2" customWidth="1"/>
    <col min="15380" max="15380" width="0" style="2" hidden="1" customWidth="1"/>
    <col min="15381" max="15382" width="6.28515625" style="2" customWidth="1"/>
    <col min="15383" max="15384" width="13.85546875" style="2" customWidth="1"/>
    <col min="15385" max="15385" width="10.85546875" style="2" customWidth="1"/>
    <col min="15386" max="15386" width="14.140625" style="2" customWidth="1"/>
    <col min="15387" max="15387" width="0" style="2" hidden="1" customWidth="1"/>
    <col min="15388" max="15388" width="13" style="2" customWidth="1"/>
    <col min="15389" max="15389" width="13.140625" style="2" customWidth="1"/>
    <col min="15390" max="15391" width="14" style="2" customWidth="1"/>
    <col min="15392" max="15392" width="11.42578125" style="2" customWidth="1"/>
    <col min="15393" max="15393" width="15.85546875" style="2" customWidth="1"/>
    <col min="15394" max="15394" width="23.7109375" style="2" customWidth="1"/>
    <col min="15395" max="15395" width="12" style="2" customWidth="1"/>
    <col min="15396" max="15397" width="0.28515625" style="2" customWidth="1"/>
    <col min="15398" max="15398" width="1.42578125" style="2" customWidth="1"/>
    <col min="15399" max="15399" width="0" style="2" hidden="1" customWidth="1"/>
    <col min="15400" max="15616" width="11.42578125" style="2"/>
    <col min="15617" max="15617" width="10.28515625" style="2" customWidth="1"/>
    <col min="15618" max="15618" width="13.42578125" style="2" customWidth="1"/>
    <col min="15619" max="15619" width="4.28515625" style="2" customWidth="1"/>
    <col min="15620" max="15620" width="4" style="2" customWidth="1"/>
    <col min="15621" max="15621" width="15" style="2" customWidth="1"/>
    <col min="15622" max="15622" width="4.140625" style="2" customWidth="1"/>
    <col min="15623" max="15623" width="11.28515625" style="2" customWidth="1"/>
    <col min="15624" max="15624" width="16.140625" style="2" customWidth="1"/>
    <col min="15625" max="15625" width="11" style="2" customWidth="1"/>
    <col min="15626" max="15627" width="2.140625" style="2" customWidth="1"/>
    <col min="15628" max="15628" width="3.28515625" style="2" customWidth="1"/>
    <col min="15629" max="15630" width="0" style="2" hidden="1" customWidth="1"/>
    <col min="15631" max="15631" width="2.85546875" style="2" customWidth="1"/>
    <col min="15632" max="15632" width="3.28515625" style="2" customWidth="1"/>
    <col min="15633" max="15633" width="1.42578125" style="2" customWidth="1"/>
    <col min="15634" max="15634" width="0" style="2" hidden="1" customWidth="1"/>
    <col min="15635" max="15635" width="6.85546875" style="2" customWidth="1"/>
    <col min="15636" max="15636" width="0" style="2" hidden="1" customWidth="1"/>
    <col min="15637" max="15638" width="6.28515625" style="2" customWidth="1"/>
    <col min="15639" max="15640" width="13.85546875" style="2" customWidth="1"/>
    <col min="15641" max="15641" width="10.85546875" style="2" customWidth="1"/>
    <col min="15642" max="15642" width="14.140625" style="2" customWidth="1"/>
    <col min="15643" max="15643" width="0" style="2" hidden="1" customWidth="1"/>
    <col min="15644" max="15644" width="13" style="2" customWidth="1"/>
    <col min="15645" max="15645" width="13.140625" style="2" customWidth="1"/>
    <col min="15646" max="15647" width="14" style="2" customWidth="1"/>
    <col min="15648" max="15648" width="11.42578125" style="2" customWidth="1"/>
    <col min="15649" max="15649" width="15.85546875" style="2" customWidth="1"/>
    <col min="15650" max="15650" width="23.7109375" style="2" customWidth="1"/>
    <col min="15651" max="15651" width="12" style="2" customWidth="1"/>
    <col min="15652" max="15653" width="0.28515625" style="2" customWidth="1"/>
    <col min="15654" max="15654" width="1.42578125" style="2" customWidth="1"/>
    <col min="15655" max="15655" width="0" style="2" hidden="1" customWidth="1"/>
    <col min="15656" max="15872" width="11.42578125" style="2"/>
    <col min="15873" max="15873" width="10.28515625" style="2" customWidth="1"/>
    <col min="15874" max="15874" width="13.42578125" style="2" customWidth="1"/>
    <col min="15875" max="15875" width="4.28515625" style="2" customWidth="1"/>
    <col min="15876" max="15876" width="4" style="2" customWidth="1"/>
    <col min="15877" max="15877" width="15" style="2" customWidth="1"/>
    <col min="15878" max="15878" width="4.140625" style="2" customWidth="1"/>
    <col min="15879" max="15879" width="11.28515625" style="2" customWidth="1"/>
    <col min="15880" max="15880" width="16.140625" style="2" customWidth="1"/>
    <col min="15881" max="15881" width="11" style="2" customWidth="1"/>
    <col min="15882" max="15883" width="2.140625" style="2" customWidth="1"/>
    <col min="15884" max="15884" width="3.28515625" style="2" customWidth="1"/>
    <col min="15885" max="15886" width="0" style="2" hidden="1" customWidth="1"/>
    <col min="15887" max="15887" width="2.85546875" style="2" customWidth="1"/>
    <col min="15888" max="15888" width="3.28515625" style="2" customWidth="1"/>
    <col min="15889" max="15889" width="1.42578125" style="2" customWidth="1"/>
    <col min="15890" max="15890" width="0" style="2" hidden="1" customWidth="1"/>
    <col min="15891" max="15891" width="6.85546875" style="2" customWidth="1"/>
    <col min="15892" max="15892" width="0" style="2" hidden="1" customWidth="1"/>
    <col min="15893" max="15894" width="6.28515625" style="2" customWidth="1"/>
    <col min="15895" max="15896" width="13.85546875" style="2" customWidth="1"/>
    <col min="15897" max="15897" width="10.85546875" style="2" customWidth="1"/>
    <col min="15898" max="15898" width="14.140625" style="2" customWidth="1"/>
    <col min="15899" max="15899" width="0" style="2" hidden="1" customWidth="1"/>
    <col min="15900" max="15900" width="13" style="2" customWidth="1"/>
    <col min="15901" max="15901" width="13.140625" style="2" customWidth="1"/>
    <col min="15902" max="15903" width="14" style="2" customWidth="1"/>
    <col min="15904" max="15904" width="11.42578125" style="2" customWidth="1"/>
    <col min="15905" max="15905" width="15.85546875" style="2" customWidth="1"/>
    <col min="15906" max="15906" width="23.7109375" style="2" customWidth="1"/>
    <col min="15907" max="15907" width="12" style="2" customWidth="1"/>
    <col min="15908" max="15909" width="0.28515625" style="2" customWidth="1"/>
    <col min="15910" max="15910" width="1.42578125" style="2" customWidth="1"/>
    <col min="15911" max="15911" width="0" style="2" hidden="1" customWidth="1"/>
    <col min="15912" max="16128" width="11.42578125" style="2"/>
    <col min="16129" max="16129" width="10.28515625" style="2" customWidth="1"/>
    <col min="16130" max="16130" width="13.42578125" style="2" customWidth="1"/>
    <col min="16131" max="16131" width="4.28515625" style="2" customWidth="1"/>
    <col min="16132" max="16132" width="4" style="2" customWidth="1"/>
    <col min="16133" max="16133" width="15" style="2" customWidth="1"/>
    <col min="16134" max="16134" width="4.140625" style="2" customWidth="1"/>
    <col min="16135" max="16135" width="11.28515625" style="2" customWidth="1"/>
    <col min="16136" max="16136" width="16.140625" style="2" customWidth="1"/>
    <col min="16137" max="16137" width="11" style="2" customWidth="1"/>
    <col min="16138" max="16139" width="2.140625" style="2" customWidth="1"/>
    <col min="16140" max="16140" width="3.28515625" style="2" customWidth="1"/>
    <col min="16141" max="16142" width="0" style="2" hidden="1" customWidth="1"/>
    <col min="16143" max="16143" width="2.85546875" style="2" customWidth="1"/>
    <col min="16144" max="16144" width="3.28515625" style="2" customWidth="1"/>
    <col min="16145" max="16145" width="1.42578125" style="2" customWidth="1"/>
    <col min="16146" max="16146" width="0" style="2" hidden="1" customWidth="1"/>
    <col min="16147" max="16147" width="6.85546875" style="2" customWidth="1"/>
    <col min="16148" max="16148" width="0" style="2" hidden="1" customWidth="1"/>
    <col min="16149" max="16150" width="6.28515625" style="2" customWidth="1"/>
    <col min="16151" max="16152" width="13.85546875" style="2" customWidth="1"/>
    <col min="16153" max="16153" width="10.85546875" style="2" customWidth="1"/>
    <col min="16154" max="16154" width="14.140625" style="2" customWidth="1"/>
    <col min="16155" max="16155" width="0" style="2" hidden="1" customWidth="1"/>
    <col min="16156" max="16156" width="13" style="2" customWidth="1"/>
    <col min="16157" max="16157" width="13.140625" style="2" customWidth="1"/>
    <col min="16158" max="16159" width="14" style="2" customWidth="1"/>
    <col min="16160" max="16160" width="11.42578125" style="2" customWidth="1"/>
    <col min="16161" max="16161" width="15.85546875" style="2" customWidth="1"/>
    <col min="16162" max="16162" width="23.7109375" style="2" customWidth="1"/>
    <col min="16163" max="16163" width="12" style="2" customWidth="1"/>
    <col min="16164" max="16165" width="0.28515625" style="2" customWidth="1"/>
    <col min="16166" max="16166" width="1.42578125" style="2" customWidth="1"/>
    <col min="16167" max="16167" width="0" style="2" hidden="1" customWidth="1"/>
    <col min="16168" max="16384" width="11.42578125" style="2"/>
  </cols>
  <sheetData>
    <row r="1" spans="1:37" ht="45" customHeight="1">
      <c r="A1" s="600"/>
      <c r="B1" s="600"/>
      <c r="C1" s="684" t="s">
        <v>0</v>
      </c>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6"/>
      <c r="AH1" s="689" t="s">
        <v>45</v>
      </c>
      <c r="AJ1" s="3" t="s">
        <v>17</v>
      </c>
      <c r="AK1" s="6" t="s">
        <v>23</v>
      </c>
    </row>
    <row r="2" spans="1:37" ht="45" customHeight="1">
      <c r="A2" s="600"/>
      <c r="B2" s="600"/>
      <c r="C2" s="690" t="s">
        <v>37</v>
      </c>
      <c r="D2" s="691"/>
      <c r="E2" s="691"/>
      <c r="F2" s="691"/>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2"/>
      <c r="AH2" s="689"/>
      <c r="AJ2" s="2" t="s">
        <v>18</v>
      </c>
      <c r="AK2" s="7" t="s">
        <v>24</v>
      </c>
    </row>
    <row r="3" spans="1:37"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G3" s="604"/>
      <c r="AH3" s="604"/>
      <c r="AJ3" s="3" t="s">
        <v>16</v>
      </c>
      <c r="AK3" s="6" t="s">
        <v>25</v>
      </c>
    </row>
    <row r="4" spans="1:37" ht="30.75" customHeight="1">
      <c r="A4" s="597" t="s">
        <v>5</v>
      </c>
      <c r="B4" s="597"/>
      <c r="C4" s="597"/>
      <c r="D4" s="597"/>
      <c r="E4" s="598"/>
      <c r="F4" s="598"/>
      <c r="G4" s="598"/>
      <c r="H4" s="598"/>
      <c r="I4" s="598"/>
      <c r="J4" s="598"/>
      <c r="K4" s="598"/>
      <c r="L4" s="598"/>
      <c r="M4" s="598"/>
      <c r="N4" s="598"/>
      <c r="O4" s="598"/>
      <c r="P4" s="598"/>
      <c r="Q4" s="598"/>
      <c r="R4" s="598"/>
      <c r="S4" s="598"/>
      <c r="T4" s="598"/>
      <c r="U4" s="598"/>
      <c r="V4" s="598"/>
      <c r="W4" s="599" t="s">
        <v>20</v>
      </c>
      <c r="X4" s="599"/>
      <c r="Y4" s="599"/>
      <c r="Z4" s="679"/>
      <c r="AA4" s="680"/>
      <c r="AB4" s="680"/>
      <c r="AC4" s="680"/>
      <c r="AD4" s="680"/>
      <c r="AE4" s="681"/>
      <c r="AF4" s="682" t="s">
        <v>48</v>
      </c>
      <c r="AG4" s="683"/>
      <c r="AH4" s="45"/>
      <c r="AJ4" s="6" t="s">
        <v>19</v>
      </c>
    </row>
    <row r="5" spans="1:37" ht="4.5" customHeight="1" thickBo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row>
    <row r="6" spans="1:37" ht="57" customHeight="1">
      <c r="A6" s="605" t="s">
        <v>39</v>
      </c>
      <c r="B6" s="606"/>
      <c r="C6" s="599" t="s">
        <v>1</v>
      </c>
      <c r="D6" s="599" t="s">
        <v>49</v>
      </c>
      <c r="E6" s="599"/>
      <c r="F6" s="608" t="s">
        <v>6</v>
      </c>
      <c r="G6" s="599" t="s">
        <v>9</v>
      </c>
      <c r="H6" s="607" t="s">
        <v>50</v>
      </c>
      <c r="I6" s="599" t="s">
        <v>2</v>
      </c>
      <c r="J6" s="599" t="s">
        <v>21</v>
      </c>
      <c r="K6" s="599"/>
      <c r="L6" s="599"/>
      <c r="M6" s="599"/>
      <c r="N6" s="599"/>
      <c r="O6" s="599"/>
      <c r="P6" s="599"/>
      <c r="Q6" s="599"/>
      <c r="R6" s="599"/>
      <c r="S6" s="599"/>
      <c r="T6" s="599"/>
      <c r="U6" s="599"/>
      <c r="V6" s="599"/>
      <c r="W6" s="599" t="s">
        <v>51</v>
      </c>
      <c r="X6" s="607" t="s">
        <v>52</v>
      </c>
      <c r="Y6" s="599" t="s">
        <v>3</v>
      </c>
      <c r="Z6" s="599"/>
      <c r="AA6" s="599"/>
      <c r="AB6" s="610" t="s">
        <v>53</v>
      </c>
      <c r="AC6" s="610" t="s">
        <v>4</v>
      </c>
      <c r="AD6" s="610"/>
      <c r="AE6" s="611" t="s">
        <v>54</v>
      </c>
      <c r="AF6" s="599" t="s">
        <v>55</v>
      </c>
      <c r="AG6" s="599" t="s">
        <v>56</v>
      </c>
      <c r="AH6" s="599" t="s">
        <v>57</v>
      </c>
    </row>
    <row r="7" spans="1:37" ht="37.5" customHeight="1" thickBot="1">
      <c r="A7" s="58" t="s">
        <v>40</v>
      </c>
      <c r="B7" s="59" t="s">
        <v>41</v>
      </c>
      <c r="C7" s="599"/>
      <c r="D7" s="599"/>
      <c r="E7" s="599"/>
      <c r="F7" s="608"/>
      <c r="G7" s="599"/>
      <c r="H7" s="693"/>
      <c r="I7" s="599"/>
      <c r="J7" s="599" t="s">
        <v>11</v>
      </c>
      <c r="K7" s="599"/>
      <c r="L7" s="599"/>
      <c r="M7" s="599"/>
      <c r="N7" s="599"/>
      <c r="O7" s="599"/>
      <c r="P7" s="644" t="s">
        <v>12</v>
      </c>
      <c r="Q7" s="644"/>
      <c r="R7" s="644"/>
      <c r="S7" s="644"/>
      <c r="T7" s="644"/>
      <c r="U7" s="644" t="s">
        <v>13</v>
      </c>
      <c r="V7" s="644"/>
      <c r="W7" s="599"/>
      <c r="X7" s="693"/>
      <c r="Y7" s="607"/>
      <c r="Z7" s="607"/>
      <c r="AA7" s="607"/>
      <c r="AB7" s="611"/>
      <c r="AC7" s="539" t="s">
        <v>14</v>
      </c>
      <c r="AD7" s="541" t="s">
        <v>15</v>
      </c>
      <c r="AE7" s="687"/>
      <c r="AF7" s="599"/>
      <c r="AG7" s="599"/>
      <c r="AH7" s="599"/>
    </row>
    <row r="8" spans="1:37" ht="144.94999999999999" customHeight="1">
      <c r="A8" s="698"/>
      <c r="B8" s="632"/>
      <c r="C8" s="696">
        <v>1</v>
      </c>
      <c r="D8" s="655" t="s">
        <v>1102</v>
      </c>
      <c r="E8" s="655"/>
      <c r="F8" s="677"/>
      <c r="G8" s="665" t="s">
        <v>38</v>
      </c>
      <c r="H8" s="695" t="s">
        <v>65</v>
      </c>
      <c r="I8" s="671" t="s">
        <v>23</v>
      </c>
      <c r="J8" s="653" t="s">
        <v>162</v>
      </c>
      <c r="K8" s="653"/>
      <c r="L8" s="653"/>
      <c r="M8" s="653"/>
      <c r="N8" s="653"/>
      <c r="O8" s="653"/>
      <c r="P8" s="653" t="s">
        <v>162</v>
      </c>
      <c r="Q8" s="653"/>
      <c r="R8" s="653"/>
      <c r="S8" s="653"/>
      <c r="T8" s="551"/>
      <c r="U8" s="653" t="s">
        <v>162</v>
      </c>
      <c r="V8" s="653"/>
      <c r="W8" s="655" t="s">
        <v>1103</v>
      </c>
      <c r="X8" s="700" t="s">
        <v>1104</v>
      </c>
      <c r="Y8" s="1362" t="s">
        <v>1105</v>
      </c>
      <c r="Z8" s="1362"/>
      <c r="AA8" s="1362"/>
      <c r="AB8" s="140" t="s">
        <v>1106</v>
      </c>
      <c r="AC8" s="141">
        <v>44067</v>
      </c>
      <c r="AD8" s="141" t="s">
        <v>1107</v>
      </c>
      <c r="AE8" s="66"/>
      <c r="AF8" s="587"/>
      <c r="AG8" s="5"/>
      <c r="AH8" s="67"/>
    </row>
    <row r="9" spans="1:37" ht="66" customHeight="1">
      <c r="A9" s="699"/>
      <c r="B9" s="633"/>
      <c r="C9" s="674"/>
      <c r="D9" s="655"/>
      <c r="E9" s="655"/>
      <c r="F9" s="677"/>
      <c r="G9" s="665"/>
      <c r="H9" s="668"/>
      <c r="I9" s="671"/>
      <c r="J9" s="653"/>
      <c r="K9" s="653"/>
      <c r="L9" s="653"/>
      <c r="M9" s="653"/>
      <c r="N9" s="653"/>
      <c r="O9" s="653"/>
      <c r="P9" s="653"/>
      <c r="Q9" s="653"/>
      <c r="R9" s="653"/>
      <c r="S9" s="653"/>
      <c r="T9" s="551"/>
      <c r="U9" s="653"/>
      <c r="V9" s="653"/>
      <c r="W9" s="655"/>
      <c r="X9" s="657"/>
      <c r="Y9" s="1362" t="s">
        <v>1108</v>
      </c>
      <c r="Z9" s="1362"/>
      <c r="AA9" s="1362"/>
      <c r="AB9" s="140" t="s">
        <v>1109</v>
      </c>
      <c r="AC9" s="141">
        <v>44074</v>
      </c>
      <c r="AD9" s="141" t="s">
        <v>1107</v>
      </c>
      <c r="AE9" s="66"/>
      <c r="AF9" s="587"/>
      <c r="AG9" s="5"/>
      <c r="AH9" s="67"/>
    </row>
    <row r="10" spans="1:37" ht="66" customHeight="1">
      <c r="A10" s="699"/>
      <c r="B10" s="633"/>
      <c r="C10" s="674"/>
      <c r="D10" s="700"/>
      <c r="E10" s="700"/>
      <c r="F10" s="701"/>
      <c r="G10" s="695"/>
      <c r="H10" s="668"/>
      <c r="I10" s="696"/>
      <c r="J10" s="697"/>
      <c r="K10" s="697"/>
      <c r="L10" s="697"/>
      <c r="M10" s="697"/>
      <c r="N10" s="697"/>
      <c r="O10" s="697"/>
      <c r="P10" s="697"/>
      <c r="Q10" s="697"/>
      <c r="R10" s="697"/>
      <c r="S10" s="697"/>
      <c r="T10" s="589"/>
      <c r="U10" s="697"/>
      <c r="V10" s="697"/>
      <c r="W10" s="700"/>
      <c r="X10" s="657"/>
      <c r="Y10" s="1362" t="s">
        <v>1110</v>
      </c>
      <c r="Z10" s="1362"/>
      <c r="AA10" s="1362"/>
      <c r="AB10" s="140" t="s">
        <v>1111</v>
      </c>
      <c r="AC10" s="141">
        <v>44105</v>
      </c>
      <c r="AD10" s="141">
        <v>44119</v>
      </c>
      <c r="AE10" s="236"/>
      <c r="AF10" s="556"/>
      <c r="AG10" s="557"/>
      <c r="AH10" s="228"/>
    </row>
    <row r="11" spans="1:37" ht="71.25" customHeight="1">
      <c r="A11" s="699"/>
      <c r="B11" s="633"/>
      <c r="C11" s="674"/>
      <c r="D11" s="700"/>
      <c r="E11" s="700"/>
      <c r="F11" s="701"/>
      <c r="G11" s="695"/>
      <c r="H11" s="668"/>
      <c r="I11" s="696"/>
      <c r="J11" s="697"/>
      <c r="K11" s="697"/>
      <c r="L11" s="697"/>
      <c r="M11" s="697"/>
      <c r="N11" s="697"/>
      <c r="O11" s="697"/>
      <c r="P11" s="697"/>
      <c r="Q11" s="697"/>
      <c r="R11" s="697"/>
      <c r="S11" s="697"/>
      <c r="T11" s="589"/>
      <c r="U11" s="697"/>
      <c r="V11" s="697"/>
      <c r="W11" s="700"/>
      <c r="X11" s="657"/>
      <c r="Y11" s="1362" t="s">
        <v>1112</v>
      </c>
      <c r="Z11" s="1362"/>
      <c r="AA11" s="1362"/>
      <c r="AB11" s="140" t="s">
        <v>1113</v>
      </c>
      <c r="AC11" s="141">
        <v>44216</v>
      </c>
      <c r="AD11" s="141">
        <v>44226</v>
      </c>
      <c r="AE11" s="236"/>
      <c r="AF11" s="556"/>
      <c r="AG11" s="557"/>
      <c r="AH11" s="228"/>
    </row>
    <row r="12" spans="1:37" ht="93" customHeight="1">
      <c r="A12" s="699"/>
      <c r="B12" s="633"/>
      <c r="C12" s="674"/>
      <c r="D12" s="700"/>
      <c r="E12" s="700"/>
      <c r="F12" s="701"/>
      <c r="G12" s="695"/>
      <c r="H12" s="668"/>
      <c r="I12" s="696"/>
      <c r="J12" s="697"/>
      <c r="K12" s="697"/>
      <c r="L12" s="697"/>
      <c r="M12" s="697"/>
      <c r="N12" s="697"/>
      <c r="O12" s="697"/>
      <c r="P12" s="697"/>
      <c r="Q12" s="697"/>
      <c r="R12" s="697"/>
      <c r="S12" s="697"/>
      <c r="T12" s="589"/>
      <c r="U12" s="697"/>
      <c r="V12" s="697"/>
      <c r="W12" s="700"/>
      <c r="X12" s="657"/>
      <c r="Y12" s="1362" t="s">
        <v>1114</v>
      </c>
      <c r="Z12" s="1362"/>
      <c r="AA12" s="1362"/>
      <c r="AB12" s="140" t="s">
        <v>1115</v>
      </c>
      <c r="AC12" s="141">
        <v>44075</v>
      </c>
      <c r="AD12" s="141">
        <v>44104</v>
      </c>
      <c r="AE12" s="236"/>
      <c r="AF12" s="556"/>
      <c r="AG12" s="557"/>
      <c r="AH12" s="228"/>
    </row>
    <row r="13" spans="1:37" ht="81" customHeight="1" thickBot="1">
      <c r="A13" s="1363"/>
      <c r="B13" s="634"/>
      <c r="C13" s="675"/>
      <c r="D13" s="628"/>
      <c r="E13" s="628"/>
      <c r="F13" s="678"/>
      <c r="G13" s="666"/>
      <c r="H13" s="669"/>
      <c r="I13" s="672"/>
      <c r="J13" s="654"/>
      <c r="K13" s="654"/>
      <c r="L13" s="654"/>
      <c r="M13" s="654"/>
      <c r="N13" s="654"/>
      <c r="O13" s="654"/>
      <c r="P13" s="654"/>
      <c r="Q13" s="654"/>
      <c r="R13" s="654"/>
      <c r="S13" s="654"/>
      <c r="T13" s="555"/>
      <c r="U13" s="654"/>
      <c r="V13" s="654"/>
      <c r="W13" s="628"/>
      <c r="X13" s="658"/>
      <c r="Y13" s="1362" t="s">
        <v>1116</v>
      </c>
      <c r="Z13" s="1362"/>
      <c r="AA13" s="1362"/>
      <c r="AB13" s="140" t="s">
        <v>1117</v>
      </c>
      <c r="AC13" s="141">
        <v>44075</v>
      </c>
      <c r="AD13" s="141">
        <v>44104</v>
      </c>
      <c r="AE13" s="390"/>
      <c r="AF13" s="543"/>
      <c r="AG13" s="114"/>
      <c r="AH13" s="1364"/>
    </row>
    <row r="14" spans="1:37" ht="6" customHeight="1">
      <c r="A14" s="643"/>
      <c r="B14" s="643"/>
      <c r="C14" s="643"/>
      <c r="D14" s="643"/>
      <c r="E14" s="643"/>
      <c r="F14" s="643"/>
      <c r="G14" s="643"/>
      <c r="H14" s="643"/>
      <c r="I14" s="643"/>
      <c r="J14" s="643"/>
      <c r="K14" s="643"/>
      <c r="L14" s="643"/>
      <c r="M14" s="643"/>
      <c r="N14" s="643"/>
      <c r="O14" s="643"/>
      <c r="P14" s="643"/>
      <c r="Q14" s="643"/>
      <c r="R14" s="643"/>
      <c r="S14" s="643"/>
      <c r="T14" s="643"/>
      <c r="U14" s="643"/>
      <c r="V14" s="643"/>
      <c r="W14" s="643"/>
      <c r="X14" s="643"/>
      <c r="Y14" s="643"/>
      <c r="Z14" s="643"/>
      <c r="AA14" s="643"/>
      <c r="AB14" s="643"/>
      <c r="AC14" s="643"/>
      <c r="AD14" s="643"/>
      <c r="AE14" s="643"/>
      <c r="AF14" s="643"/>
      <c r="AG14" s="643"/>
      <c r="AH14" s="643"/>
    </row>
    <row r="15" spans="1:37" ht="12.75" customHeight="1">
      <c r="A15" s="644" t="s">
        <v>22</v>
      </c>
      <c r="B15" s="644"/>
      <c r="C15" s="644"/>
      <c r="D15" s="644"/>
      <c r="E15" s="644"/>
      <c r="F15" s="644"/>
      <c r="G15" s="644"/>
      <c r="H15" s="644"/>
      <c r="I15" s="644"/>
      <c r="J15" s="644"/>
      <c r="K15" s="644"/>
      <c r="L15" s="644"/>
      <c r="M15" s="4"/>
      <c r="N15" s="4"/>
      <c r="O15" s="645" t="s">
        <v>34</v>
      </c>
      <c r="P15" s="645"/>
      <c r="Q15" s="645"/>
      <c r="R15" s="645"/>
      <c r="S15" s="645"/>
      <c r="T15" s="645"/>
      <c r="U15" s="645"/>
      <c r="V15" s="645"/>
      <c r="W15" s="645"/>
      <c r="X15" s="645"/>
      <c r="Y15" s="645"/>
      <c r="Z15" s="645"/>
      <c r="AA15" s="645"/>
      <c r="AB15" s="645"/>
      <c r="AC15" s="645"/>
      <c r="AD15" s="646" t="s">
        <v>35</v>
      </c>
      <c r="AE15" s="646"/>
      <c r="AF15" s="646"/>
      <c r="AG15" s="646"/>
      <c r="AH15" s="646"/>
    </row>
    <row r="16" spans="1:37">
      <c r="A16" s="644"/>
      <c r="B16" s="644"/>
      <c r="C16" s="644"/>
      <c r="D16" s="644"/>
      <c r="E16" s="644"/>
      <c r="F16" s="644"/>
      <c r="G16" s="644"/>
      <c r="H16" s="644"/>
      <c r="I16" s="644"/>
      <c r="J16" s="644"/>
      <c r="K16" s="644"/>
      <c r="L16" s="644"/>
      <c r="M16" s="4"/>
      <c r="N16" s="4"/>
      <c r="O16" s="645"/>
      <c r="P16" s="645"/>
      <c r="Q16" s="645"/>
      <c r="R16" s="645"/>
      <c r="S16" s="645"/>
      <c r="T16" s="645"/>
      <c r="U16" s="645"/>
      <c r="V16" s="645"/>
      <c r="W16" s="645"/>
      <c r="X16" s="645"/>
      <c r="Y16" s="645"/>
      <c r="Z16" s="645"/>
      <c r="AA16" s="645"/>
      <c r="AB16" s="645"/>
      <c r="AC16" s="645"/>
      <c r="AD16" s="646"/>
      <c r="AE16" s="646"/>
      <c r="AF16" s="646"/>
      <c r="AG16" s="646"/>
      <c r="AH16" s="646"/>
    </row>
    <row r="17" spans="1:37" ht="38.25" customHeight="1">
      <c r="A17" s="694"/>
      <c r="B17" s="694"/>
      <c r="C17" s="694"/>
      <c r="D17" s="694"/>
      <c r="E17" s="694"/>
      <c r="F17" s="694"/>
      <c r="G17" s="694"/>
      <c r="H17" s="694"/>
      <c r="I17" s="694"/>
      <c r="J17" s="694"/>
      <c r="K17" s="694"/>
      <c r="L17" s="694"/>
      <c r="M17" s="4"/>
      <c r="N17" s="4"/>
      <c r="O17" s="650"/>
      <c r="P17" s="650"/>
      <c r="Q17" s="650"/>
      <c r="R17" s="650"/>
      <c r="S17" s="650"/>
      <c r="T17" s="650"/>
      <c r="U17" s="650"/>
      <c r="V17" s="650"/>
      <c r="W17" s="650"/>
      <c r="X17" s="650"/>
      <c r="Y17" s="650"/>
      <c r="Z17" s="650"/>
      <c r="AA17" s="650"/>
      <c r="AB17" s="650"/>
      <c r="AC17" s="650"/>
      <c r="AD17" s="651"/>
      <c r="AE17" s="651"/>
      <c r="AF17" s="651"/>
      <c r="AG17" s="651"/>
      <c r="AH17" s="651"/>
    </row>
    <row r="18" spans="1:37" ht="15" customHeight="1">
      <c r="A18" s="641" t="s">
        <v>36</v>
      </c>
      <c r="B18" s="641"/>
      <c r="C18" s="641"/>
      <c r="D18" s="641"/>
      <c r="E18" s="641"/>
      <c r="F18" s="641"/>
      <c r="G18" s="641"/>
      <c r="H18" s="641"/>
      <c r="I18" s="641"/>
      <c r="J18" s="641"/>
      <c r="K18" s="641"/>
      <c r="L18" s="641"/>
      <c r="M18" s="641"/>
      <c r="N18" s="641"/>
      <c r="O18" s="641"/>
      <c r="P18" s="641"/>
      <c r="Q18" s="641"/>
      <c r="R18" s="641"/>
      <c r="S18" s="641"/>
      <c r="T18" s="641"/>
      <c r="U18" s="641"/>
      <c r="V18" s="641"/>
      <c r="W18" s="641"/>
      <c r="X18" s="641"/>
      <c r="Y18" s="641"/>
      <c r="Z18" s="641"/>
      <c r="AA18" s="641"/>
      <c r="AB18" s="641"/>
      <c r="AC18" s="641"/>
      <c r="AD18" s="641"/>
      <c r="AE18" s="641"/>
      <c r="AF18" s="641"/>
      <c r="AG18" s="641"/>
      <c r="AH18" s="641"/>
    </row>
    <row r="19" spans="1:37" ht="0.95" customHeight="1">
      <c r="A19" s="642"/>
      <c r="B19" s="642"/>
      <c r="C19" s="642"/>
      <c r="D19" s="642"/>
      <c r="E19" s="642"/>
      <c r="F19" s="642"/>
      <c r="G19" s="642"/>
      <c r="H19" s="642"/>
      <c r="I19" s="642"/>
      <c r="J19" s="642"/>
      <c r="K19" s="642"/>
      <c r="L19" s="642"/>
      <c r="M19" s="642"/>
      <c r="N19" s="642"/>
      <c r="O19" s="642"/>
      <c r="P19" s="642"/>
      <c r="Q19" s="642"/>
      <c r="R19" s="642"/>
      <c r="S19" s="642"/>
      <c r="T19" s="642"/>
      <c r="U19" s="642"/>
      <c r="V19" s="642"/>
      <c r="W19" s="642"/>
      <c r="X19" s="642"/>
      <c r="Y19" s="642"/>
      <c r="Z19" s="642"/>
      <c r="AA19" s="642"/>
      <c r="AB19" s="642"/>
      <c r="AC19" s="642"/>
      <c r="AD19" s="642"/>
      <c r="AE19" s="642"/>
      <c r="AF19" s="642"/>
      <c r="AG19" s="642"/>
      <c r="AH19" s="642"/>
      <c r="AI19" s="642"/>
    </row>
    <row r="20" spans="1:37">
      <c r="A20" s="642"/>
      <c r="B20" s="642"/>
      <c r="C20" s="642"/>
      <c r="D20" s="642"/>
      <c r="E20" s="642"/>
      <c r="F20" s="642"/>
      <c r="G20" s="642"/>
      <c r="H20" s="642"/>
      <c r="I20" s="642"/>
      <c r="J20" s="642"/>
      <c r="K20" s="642"/>
      <c r="L20" s="642"/>
      <c r="M20" s="642"/>
      <c r="N20" s="642"/>
      <c r="O20" s="642"/>
      <c r="P20" s="642"/>
      <c r="Q20" s="642"/>
      <c r="R20" s="642"/>
      <c r="S20" s="642"/>
      <c r="T20" s="642"/>
      <c r="U20" s="642"/>
      <c r="V20" s="642"/>
      <c r="W20" s="642"/>
      <c r="X20" s="642"/>
      <c r="Y20" s="642"/>
      <c r="Z20" s="642"/>
      <c r="AA20" s="642"/>
      <c r="AB20" s="642"/>
      <c r="AC20" s="642"/>
      <c r="AD20" s="642"/>
      <c r="AE20" s="642"/>
      <c r="AF20" s="642"/>
      <c r="AG20" s="642"/>
      <c r="AH20" s="642"/>
      <c r="AI20" s="8"/>
      <c r="AJ20" s="8"/>
    </row>
    <row r="21" spans="1:37" ht="24" customHeight="1">
      <c r="A21" s="74"/>
      <c r="B21" s="75"/>
      <c r="C21" s="74"/>
      <c r="D21" s="74"/>
      <c r="E21" s="74"/>
      <c r="F21" s="74"/>
      <c r="G21" s="74"/>
      <c r="H21" s="76" t="s">
        <v>66</v>
      </c>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8"/>
      <c r="AJ21" s="8"/>
    </row>
    <row r="22" spans="1:37" ht="54.95" customHeight="1">
      <c r="A22" s="74"/>
      <c r="B22" s="75"/>
      <c r="C22" s="74"/>
      <c r="D22" s="74"/>
      <c r="E22" s="74"/>
      <c r="F22" s="74"/>
      <c r="G22" s="74"/>
      <c r="H22" s="76" t="s">
        <v>67</v>
      </c>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8"/>
      <c r="AJ22" s="8"/>
    </row>
    <row r="23" spans="1:37" ht="0.95" customHeight="1">
      <c r="A23" s="74"/>
      <c r="B23" s="75" t="s">
        <v>68</v>
      </c>
      <c r="C23" s="74"/>
      <c r="D23" s="74"/>
      <c r="E23" s="74"/>
      <c r="F23" s="74"/>
      <c r="G23" s="74"/>
      <c r="H23" s="76" t="s">
        <v>69</v>
      </c>
      <c r="I23" s="74"/>
      <c r="J23" s="74"/>
      <c r="K23" s="74"/>
      <c r="L23" s="74"/>
      <c r="M23" s="74"/>
      <c r="N23" s="74"/>
      <c r="O23" s="74"/>
      <c r="P23" s="74"/>
      <c r="Q23" s="74"/>
      <c r="R23" s="74"/>
      <c r="S23" s="74"/>
      <c r="T23" s="74"/>
      <c r="U23" s="74"/>
      <c r="V23" s="74"/>
      <c r="W23" s="74"/>
      <c r="X23" s="76" t="s">
        <v>23</v>
      </c>
      <c r="Y23" s="74"/>
      <c r="Z23" s="74"/>
      <c r="AA23" s="74"/>
      <c r="AB23" s="74"/>
      <c r="AC23" s="74"/>
      <c r="AD23" s="74"/>
      <c r="AE23" s="74"/>
      <c r="AF23" s="74"/>
      <c r="AG23" s="74"/>
      <c r="AH23" s="74"/>
      <c r="AI23" s="8"/>
      <c r="AJ23" s="8"/>
    </row>
    <row r="24" spans="1:37" ht="0.95" customHeight="1">
      <c r="A24" s="74"/>
      <c r="B24" s="75" t="s">
        <v>70</v>
      </c>
      <c r="C24" s="74"/>
      <c r="D24" s="74"/>
      <c r="E24" s="74"/>
      <c r="F24" s="74"/>
      <c r="G24" s="74"/>
      <c r="H24" s="77" t="s">
        <v>59</v>
      </c>
      <c r="I24" s="74"/>
      <c r="J24" s="74"/>
      <c r="K24" s="74"/>
      <c r="L24" s="74"/>
      <c r="M24" s="74"/>
      <c r="N24" s="74"/>
      <c r="O24" s="74"/>
      <c r="P24" s="74"/>
      <c r="Q24" s="74"/>
      <c r="R24" s="74"/>
      <c r="S24" s="74"/>
      <c r="T24" s="74"/>
      <c r="U24" s="74"/>
      <c r="V24" s="74"/>
      <c r="W24" s="74"/>
      <c r="X24" s="76" t="s">
        <v>25</v>
      </c>
      <c r="Y24" s="74"/>
      <c r="Z24" s="74"/>
      <c r="AA24" s="74"/>
      <c r="AB24" s="74"/>
      <c r="AC24" s="74"/>
      <c r="AD24" s="74"/>
      <c r="AE24" s="74"/>
      <c r="AF24" s="74"/>
      <c r="AG24" s="74"/>
      <c r="AH24" s="74"/>
      <c r="AI24" s="8"/>
      <c r="AJ24" s="8"/>
    </row>
    <row r="25" spans="1:37" ht="0.95" customHeight="1">
      <c r="A25" s="78"/>
      <c r="B25" s="79" t="s">
        <v>16</v>
      </c>
      <c r="C25" s="78"/>
      <c r="D25" s="78"/>
      <c r="E25" s="78"/>
      <c r="F25" s="78"/>
      <c r="G25" s="78"/>
      <c r="H25" s="80" t="s">
        <v>65</v>
      </c>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row>
    <row r="27" spans="1:37" ht="24.75" customHeight="1">
      <c r="AK27" s="6" t="s">
        <v>38</v>
      </c>
    </row>
    <row r="28" spans="1:37" ht="24.75" customHeight="1">
      <c r="AK28" s="6" t="s">
        <v>10</v>
      </c>
    </row>
    <row r="29" spans="1:37" ht="24.75" customHeight="1">
      <c r="AK29" s="6" t="s">
        <v>42</v>
      </c>
    </row>
    <row r="30" spans="1:37" ht="24.75" customHeight="1">
      <c r="AK30" s="6" t="s">
        <v>43</v>
      </c>
    </row>
    <row r="31" spans="1:37" ht="24.75" customHeight="1">
      <c r="AK31" s="6" t="s">
        <v>44</v>
      </c>
    </row>
    <row r="32" spans="1:37" ht="24.75" customHeight="1">
      <c r="AK32" s="6" t="s">
        <v>26</v>
      </c>
    </row>
    <row r="33" spans="37:37" ht="24.75" customHeight="1">
      <c r="AK33" s="6" t="s">
        <v>27</v>
      </c>
    </row>
    <row r="34" spans="37:37" ht="24.75" customHeight="1">
      <c r="AK34" s="6" t="s">
        <v>28</v>
      </c>
    </row>
    <row r="35" spans="37:37" ht="24.75" customHeight="1">
      <c r="AK35" s="6" t="s">
        <v>30</v>
      </c>
    </row>
    <row r="36" spans="37:37" ht="24.75" customHeight="1">
      <c r="AK36" s="6" t="s">
        <v>29</v>
      </c>
    </row>
    <row r="37" spans="37:37" ht="24.75" customHeight="1">
      <c r="AK37" s="6" t="s">
        <v>31</v>
      </c>
    </row>
    <row r="38" spans="37:37" ht="24.75" customHeight="1">
      <c r="AK38" s="6" t="s">
        <v>32</v>
      </c>
    </row>
    <row r="39" spans="37:37" ht="51">
      <c r="AK39" s="6" t="s">
        <v>33</v>
      </c>
    </row>
  </sheetData>
  <mergeCells count="60">
    <mergeCell ref="A18:AH18"/>
    <mergeCell ref="A19:AI19"/>
    <mergeCell ref="A20:AH20"/>
    <mergeCell ref="A14:AH14"/>
    <mergeCell ref="A15:L16"/>
    <mergeCell ref="O15:AC16"/>
    <mergeCell ref="AD15:AH16"/>
    <mergeCell ref="A17:L17"/>
    <mergeCell ref="O17:AC17"/>
    <mergeCell ref="AD17:AH17"/>
    <mergeCell ref="W8:W13"/>
    <mergeCell ref="X8:X13"/>
    <mergeCell ref="Y8:AA8"/>
    <mergeCell ref="Y9:AA9"/>
    <mergeCell ref="Y10:AA10"/>
    <mergeCell ref="Y11:AA11"/>
    <mergeCell ref="Y12:AA12"/>
    <mergeCell ref="Y13:AA13"/>
    <mergeCell ref="G8:G13"/>
    <mergeCell ref="H8:H13"/>
    <mergeCell ref="I8:I13"/>
    <mergeCell ref="J8:O13"/>
    <mergeCell ref="P8:S13"/>
    <mergeCell ref="U8:V13"/>
    <mergeCell ref="AG6:AG7"/>
    <mergeCell ref="AH6:AH7"/>
    <mergeCell ref="J7:O7"/>
    <mergeCell ref="P7:T7"/>
    <mergeCell ref="U7:V7"/>
    <mergeCell ref="A8:A13"/>
    <mergeCell ref="B8:B13"/>
    <mergeCell ref="C8:C13"/>
    <mergeCell ref="D8:E13"/>
    <mergeCell ref="F8:F13"/>
    <mergeCell ref="X6:X7"/>
    <mergeCell ref="Y6:AA7"/>
    <mergeCell ref="AB6:AB7"/>
    <mergeCell ref="AC6:AD6"/>
    <mergeCell ref="AE6:AE7"/>
    <mergeCell ref="AF6:AF7"/>
    <mergeCell ref="A5:AH5"/>
    <mergeCell ref="A6:B6"/>
    <mergeCell ref="C6:C7"/>
    <mergeCell ref="D6:E7"/>
    <mergeCell ref="F6:F7"/>
    <mergeCell ref="G6:G7"/>
    <mergeCell ref="H6:H7"/>
    <mergeCell ref="I6:I7"/>
    <mergeCell ref="J6:V6"/>
    <mergeCell ref="W6:W7"/>
    <mergeCell ref="A1:B2"/>
    <mergeCell ref="C1:AG1"/>
    <mergeCell ref="AH1:AH2"/>
    <mergeCell ref="C2:AG2"/>
    <mergeCell ref="A3:AH3"/>
    <mergeCell ref="A4:D4"/>
    <mergeCell ref="E4:V4"/>
    <mergeCell ref="W4:Y4"/>
    <mergeCell ref="Z4:AE4"/>
    <mergeCell ref="AF4:AG4"/>
  </mergeCells>
  <conditionalFormatting sqref="AG8:AG13">
    <cfRule type="cellIs" dxfId="491" priority="1" operator="between">
      <formula>0.001</formula>
      <formula>0.99</formula>
    </cfRule>
    <cfRule type="cellIs" dxfId="490" priority="2" operator="equal">
      <formula>1</formula>
    </cfRule>
    <cfRule type="cellIs" dxfId="489" priority="3" operator="equal">
      <formula>0</formula>
    </cfRule>
  </conditionalFormatting>
  <conditionalFormatting sqref="AG8:AG13">
    <cfRule type="cellIs" dxfId="488" priority="4" operator="between">
      <formula>0.01</formula>
      <formula>0.99</formula>
    </cfRule>
    <cfRule type="cellIs" dxfId="487" priority="5" operator="equal">
      <formula>1</formula>
    </cfRule>
    <cfRule type="cellIs" dxfId="486" priority="6" operator="equal">
      <formula>0</formula>
    </cfRule>
  </conditionalFormatting>
  <dataValidations count="5">
    <dataValidation type="list" allowBlank="1" showInputMessage="1" showErrorMessage="1" sqref="WVP983051:WVP983053 JD8:JD13 SZ8:SZ13 ACV8:ACV13 AMR8:AMR13 AWN8:AWN13 BGJ8:BGJ13 BQF8:BQF13 CAB8:CAB13 CJX8:CJX13 CTT8:CTT13 DDP8:DDP13 DNL8:DNL13 DXH8:DXH13 EHD8:EHD13 EQZ8:EQZ13 FAV8:FAV13 FKR8:FKR13 FUN8:FUN13 GEJ8:GEJ13 GOF8:GOF13 GYB8:GYB13 HHX8:HHX13 HRT8:HRT13 IBP8:IBP13 ILL8:ILL13 IVH8:IVH13 JFD8:JFD13 JOZ8:JOZ13 JYV8:JYV13 KIR8:KIR13 KSN8:KSN13 LCJ8:LCJ13 LMF8:LMF13 LWB8:LWB13 MFX8:MFX13 MPT8:MPT13 MZP8:MZP13 NJL8:NJL13 NTH8:NTH13 ODD8:ODD13 OMZ8:OMZ13 OWV8:OWV13 PGR8:PGR13 PQN8:PQN13 QAJ8:QAJ13 QKF8:QKF13 QUB8:QUB13 RDX8:RDX13 RNT8:RNT13 RXP8:RXP13 SHL8:SHL13 SRH8:SRH13 TBD8:TBD13 TKZ8:TKZ13 TUV8:TUV13 UER8:UER13 UON8:UON13 UYJ8:UYJ13 VIF8:VIF13 VSB8:VSB13 WBX8:WBX13 WLT8:WLT13 WVP8:WVP13 H65547:H65549 JD65547:JD65549 SZ65547:SZ65549 ACV65547:ACV65549 AMR65547:AMR65549 AWN65547:AWN65549 BGJ65547:BGJ65549 BQF65547:BQF65549 CAB65547:CAB65549 CJX65547:CJX65549 CTT65547:CTT65549 DDP65547:DDP65549 DNL65547:DNL65549 DXH65547:DXH65549 EHD65547:EHD65549 EQZ65547:EQZ65549 FAV65547:FAV65549 FKR65547:FKR65549 FUN65547:FUN65549 GEJ65547:GEJ65549 GOF65547:GOF65549 GYB65547:GYB65549 HHX65547:HHX65549 HRT65547:HRT65549 IBP65547:IBP65549 ILL65547:ILL65549 IVH65547:IVH65549 JFD65547:JFD65549 JOZ65547:JOZ65549 JYV65547:JYV65549 KIR65547:KIR65549 KSN65547:KSN65549 LCJ65547:LCJ65549 LMF65547:LMF65549 LWB65547:LWB65549 MFX65547:MFX65549 MPT65547:MPT65549 MZP65547:MZP65549 NJL65547:NJL65549 NTH65547:NTH65549 ODD65547:ODD65549 OMZ65547:OMZ65549 OWV65547:OWV65549 PGR65547:PGR65549 PQN65547:PQN65549 QAJ65547:QAJ65549 QKF65547:QKF65549 QUB65547:QUB65549 RDX65547:RDX65549 RNT65547:RNT65549 RXP65547:RXP65549 SHL65547:SHL65549 SRH65547:SRH65549 TBD65547:TBD65549 TKZ65547:TKZ65549 TUV65547:TUV65549 UER65547:UER65549 UON65547:UON65549 UYJ65547:UYJ65549 VIF65547:VIF65549 VSB65547:VSB65549 WBX65547:WBX65549 WLT65547:WLT65549 WVP65547:WVP65549 H131083:H131085 JD131083:JD131085 SZ131083:SZ131085 ACV131083:ACV131085 AMR131083:AMR131085 AWN131083:AWN131085 BGJ131083:BGJ131085 BQF131083:BQF131085 CAB131083:CAB131085 CJX131083:CJX131085 CTT131083:CTT131085 DDP131083:DDP131085 DNL131083:DNL131085 DXH131083:DXH131085 EHD131083:EHD131085 EQZ131083:EQZ131085 FAV131083:FAV131085 FKR131083:FKR131085 FUN131083:FUN131085 GEJ131083:GEJ131085 GOF131083:GOF131085 GYB131083:GYB131085 HHX131083:HHX131085 HRT131083:HRT131085 IBP131083:IBP131085 ILL131083:ILL131085 IVH131083:IVH131085 JFD131083:JFD131085 JOZ131083:JOZ131085 JYV131083:JYV131085 KIR131083:KIR131085 KSN131083:KSN131085 LCJ131083:LCJ131085 LMF131083:LMF131085 LWB131083:LWB131085 MFX131083:MFX131085 MPT131083:MPT131085 MZP131083:MZP131085 NJL131083:NJL131085 NTH131083:NTH131085 ODD131083:ODD131085 OMZ131083:OMZ131085 OWV131083:OWV131085 PGR131083:PGR131085 PQN131083:PQN131085 QAJ131083:QAJ131085 QKF131083:QKF131085 QUB131083:QUB131085 RDX131083:RDX131085 RNT131083:RNT131085 RXP131083:RXP131085 SHL131083:SHL131085 SRH131083:SRH131085 TBD131083:TBD131085 TKZ131083:TKZ131085 TUV131083:TUV131085 UER131083:UER131085 UON131083:UON131085 UYJ131083:UYJ131085 VIF131083:VIF131085 VSB131083:VSB131085 WBX131083:WBX131085 WLT131083:WLT131085 WVP131083:WVP131085 H196619:H196621 JD196619:JD196621 SZ196619:SZ196621 ACV196619:ACV196621 AMR196619:AMR196621 AWN196619:AWN196621 BGJ196619:BGJ196621 BQF196619:BQF196621 CAB196619:CAB196621 CJX196619:CJX196621 CTT196619:CTT196621 DDP196619:DDP196621 DNL196619:DNL196621 DXH196619:DXH196621 EHD196619:EHD196621 EQZ196619:EQZ196621 FAV196619:FAV196621 FKR196619:FKR196621 FUN196619:FUN196621 GEJ196619:GEJ196621 GOF196619:GOF196621 GYB196619:GYB196621 HHX196619:HHX196621 HRT196619:HRT196621 IBP196619:IBP196621 ILL196619:ILL196621 IVH196619:IVH196621 JFD196619:JFD196621 JOZ196619:JOZ196621 JYV196619:JYV196621 KIR196619:KIR196621 KSN196619:KSN196621 LCJ196619:LCJ196621 LMF196619:LMF196621 LWB196619:LWB196621 MFX196619:MFX196621 MPT196619:MPT196621 MZP196619:MZP196621 NJL196619:NJL196621 NTH196619:NTH196621 ODD196619:ODD196621 OMZ196619:OMZ196621 OWV196619:OWV196621 PGR196619:PGR196621 PQN196619:PQN196621 QAJ196619:QAJ196621 QKF196619:QKF196621 QUB196619:QUB196621 RDX196619:RDX196621 RNT196619:RNT196621 RXP196619:RXP196621 SHL196619:SHL196621 SRH196619:SRH196621 TBD196619:TBD196621 TKZ196619:TKZ196621 TUV196619:TUV196621 UER196619:UER196621 UON196619:UON196621 UYJ196619:UYJ196621 VIF196619:VIF196621 VSB196619:VSB196621 WBX196619:WBX196621 WLT196619:WLT196621 WVP196619:WVP196621 H262155:H262157 JD262155:JD262157 SZ262155:SZ262157 ACV262155:ACV262157 AMR262155:AMR262157 AWN262155:AWN262157 BGJ262155:BGJ262157 BQF262155:BQF262157 CAB262155:CAB262157 CJX262155:CJX262157 CTT262155:CTT262157 DDP262155:DDP262157 DNL262155:DNL262157 DXH262155:DXH262157 EHD262155:EHD262157 EQZ262155:EQZ262157 FAV262155:FAV262157 FKR262155:FKR262157 FUN262155:FUN262157 GEJ262155:GEJ262157 GOF262155:GOF262157 GYB262155:GYB262157 HHX262155:HHX262157 HRT262155:HRT262157 IBP262155:IBP262157 ILL262155:ILL262157 IVH262155:IVH262157 JFD262155:JFD262157 JOZ262155:JOZ262157 JYV262155:JYV262157 KIR262155:KIR262157 KSN262155:KSN262157 LCJ262155:LCJ262157 LMF262155:LMF262157 LWB262155:LWB262157 MFX262155:MFX262157 MPT262155:MPT262157 MZP262155:MZP262157 NJL262155:NJL262157 NTH262155:NTH262157 ODD262155:ODD262157 OMZ262155:OMZ262157 OWV262155:OWV262157 PGR262155:PGR262157 PQN262155:PQN262157 QAJ262155:QAJ262157 QKF262155:QKF262157 QUB262155:QUB262157 RDX262155:RDX262157 RNT262155:RNT262157 RXP262155:RXP262157 SHL262155:SHL262157 SRH262155:SRH262157 TBD262155:TBD262157 TKZ262155:TKZ262157 TUV262155:TUV262157 UER262155:UER262157 UON262155:UON262157 UYJ262155:UYJ262157 VIF262155:VIF262157 VSB262155:VSB262157 WBX262155:WBX262157 WLT262155:WLT262157 WVP262155:WVP262157 H327691:H327693 JD327691:JD327693 SZ327691:SZ327693 ACV327691:ACV327693 AMR327691:AMR327693 AWN327691:AWN327693 BGJ327691:BGJ327693 BQF327691:BQF327693 CAB327691:CAB327693 CJX327691:CJX327693 CTT327691:CTT327693 DDP327691:DDP327693 DNL327691:DNL327693 DXH327691:DXH327693 EHD327691:EHD327693 EQZ327691:EQZ327693 FAV327691:FAV327693 FKR327691:FKR327693 FUN327691:FUN327693 GEJ327691:GEJ327693 GOF327691:GOF327693 GYB327691:GYB327693 HHX327691:HHX327693 HRT327691:HRT327693 IBP327691:IBP327693 ILL327691:ILL327693 IVH327691:IVH327693 JFD327691:JFD327693 JOZ327691:JOZ327693 JYV327691:JYV327693 KIR327691:KIR327693 KSN327691:KSN327693 LCJ327691:LCJ327693 LMF327691:LMF327693 LWB327691:LWB327693 MFX327691:MFX327693 MPT327691:MPT327693 MZP327691:MZP327693 NJL327691:NJL327693 NTH327691:NTH327693 ODD327691:ODD327693 OMZ327691:OMZ327693 OWV327691:OWV327693 PGR327691:PGR327693 PQN327691:PQN327693 QAJ327691:QAJ327693 QKF327691:QKF327693 QUB327691:QUB327693 RDX327691:RDX327693 RNT327691:RNT327693 RXP327691:RXP327693 SHL327691:SHL327693 SRH327691:SRH327693 TBD327691:TBD327693 TKZ327691:TKZ327693 TUV327691:TUV327693 UER327691:UER327693 UON327691:UON327693 UYJ327691:UYJ327693 VIF327691:VIF327693 VSB327691:VSB327693 WBX327691:WBX327693 WLT327691:WLT327693 WVP327691:WVP327693 H393227:H393229 JD393227:JD393229 SZ393227:SZ393229 ACV393227:ACV393229 AMR393227:AMR393229 AWN393227:AWN393229 BGJ393227:BGJ393229 BQF393227:BQF393229 CAB393227:CAB393229 CJX393227:CJX393229 CTT393227:CTT393229 DDP393227:DDP393229 DNL393227:DNL393229 DXH393227:DXH393229 EHD393227:EHD393229 EQZ393227:EQZ393229 FAV393227:FAV393229 FKR393227:FKR393229 FUN393227:FUN393229 GEJ393227:GEJ393229 GOF393227:GOF393229 GYB393227:GYB393229 HHX393227:HHX393229 HRT393227:HRT393229 IBP393227:IBP393229 ILL393227:ILL393229 IVH393227:IVH393229 JFD393227:JFD393229 JOZ393227:JOZ393229 JYV393227:JYV393229 KIR393227:KIR393229 KSN393227:KSN393229 LCJ393227:LCJ393229 LMF393227:LMF393229 LWB393227:LWB393229 MFX393227:MFX393229 MPT393227:MPT393229 MZP393227:MZP393229 NJL393227:NJL393229 NTH393227:NTH393229 ODD393227:ODD393229 OMZ393227:OMZ393229 OWV393227:OWV393229 PGR393227:PGR393229 PQN393227:PQN393229 QAJ393227:QAJ393229 QKF393227:QKF393229 QUB393227:QUB393229 RDX393227:RDX393229 RNT393227:RNT393229 RXP393227:RXP393229 SHL393227:SHL393229 SRH393227:SRH393229 TBD393227:TBD393229 TKZ393227:TKZ393229 TUV393227:TUV393229 UER393227:UER393229 UON393227:UON393229 UYJ393227:UYJ393229 VIF393227:VIF393229 VSB393227:VSB393229 WBX393227:WBX393229 WLT393227:WLT393229 WVP393227:WVP393229 H458763:H458765 JD458763:JD458765 SZ458763:SZ458765 ACV458763:ACV458765 AMR458763:AMR458765 AWN458763:AWN458765 BGJ458763:BGJ458765 BQF458763:BQF458765 CAB458763:CAB458765 CJX458763:CJX458765 CTT458763:CTT458765 DDP458763:DDP458765 DNL458763:DNL458765 DXH458763:DXH458765 EHD458763:EHD458765 EQZ458763:EQZ458765 FAV458763:FAV458765 FKR458763:FKR458765 FUN458763:FUN458765 GEJ458763:GEJ458765 GOF458763:GOF458765 GYB458763:GYB458765 HHX458763:HHX458765 HRT458763:HRT458765 IBP458763:IBP458765 ILL458763:ILL458765 IVH458763:IVH458765 JFD458763:JFD458765 JOZ458763:JOZ458765 JYV458763:JYV458765 KIR458763:KIR458765 KSN458763:KSN458765 LCJ458763:LCJ458765 LMF458763:LMF458765 LWB458763:LWB458765 MFX458763:MFX458765 MPT458763:MPT458765 MZP458763:MZP458765 NJL458763:NJL458765 NTH458763:NTH458765 ODD458763:ODD458765 OMZ458763:OMZ458765 OWV458763:OWV458765 PGR458763:PGR458765 PQN458763:PQN458765 QAJ458763:QAJ458765 QKF458763:QKF458765 QUB458763:QUB458765 RDX458763:RDX458765 RNT458763:RNT458765 RXP458763:RXP458765 SHL458763:SHL458765 SRH458763:SRH458765 TBD458763:TBD458765 TKZ458763:TKZ458765 TUV458763:TUV458765 UER458763:UER458765 UON458763:UON458765 UYJ458763:UYJ458765 VIF458763:VIF458765 VSB458763:VSB458765 WBX458763:WBX458765 WLT458763:WLT458765 WVP458763:WVP458765 H524299:H524301 JD524299:JD524301 SZ524299:SZ524301 ACV524299:ACV524301 AMR524299:AMR524301 AWN524299:AWN524301 BGJ524299:BGJ524301 BQF524299:BQF524301 CAB524299:CAB524301 CJX524299:CJX524301 CTT524299:CTT524301 DDP524299:DDP524301 DNL524299:DNL524301 DXH524299:DXH524301 EHD524299:EHD524301 EQZ524299:EQZ524301 FAV524299:FAV524301 FKR524299:FKR524301 FUN524299:FUN524301 GEJ524299:GEJ524301 GOF524299:GOF524301 GYB524299:GYB524301 HHX524299:HHX524301 HRT524299:HRT524301 IBP524299:IBP524301 ILL524299:ILL524301 IVH524299:IVH524301 JFD524299:JFD524301 JOZ524299:JOZ524301 JYV524299:JYV524301 KIR524299:KIR524301 KSN524299:KSN524301 LCJ524299:LCJ524301 LMF524299:LMF524301 LWB524299:LWB524301 MFX524299:MFX524301 MPT524299:MPT524301 MZP524299:MZP524301 NJL524299:NJL524301 NTH524299:NTH524301 ODD524299:ODD524301 OMZ524299:OMZ524301 OWV524299:OWV524301 PGR524299:PGR524301 PQN524299:PQN524301 QAJ524299:QAJ524301 QKF524299:QKF524301 QUB524299:QUB524301 RDX524299:RDX524301 RNT524299:RNT524301 RXP524299:RXP524301 SHL524299:SHL524301 SRH524299:SRH524301 TBD524299:TBD524301 TKZ524299:TKZ524301 TUV524299:TUV524301 UER524299:UER524301 UON524299:UON524301 UYJ524299:UYJ524301 VIF524299:VIF524301 VSB524299:VSB524301 WBX524299:WBX524301 WLT524299:WLT524301 WVP524299:WVP524301 H589835:H589837 JD589835:JD589837 SZ589835:SZ589837 ACV589835:ACV589837 AMR589835:AMR589837 AWN589835:AWN589837 BGJ589835:BGJ589837 BQF589835:BQF589837 CAB589835:CAB589837 CJX589835:CJX589837 CTT589835:CTT589837 DDP589835:DDP589837 DNL589835:DNL589837 DXH589835:DXH589837 EHD589835:EHD589837 EQZ589835:EQZ589837 FAV589835:FAV589837 FKR589835:FKR589837 FUN589835:FUN589837 GEJ589835:GEJ589837 GOF589835:GOF589837 GYB589835:GYB589837 HHX589835:HHX589837 HRT589835:HRT589837 IBP589835:IBP589837 ILL589835:ILL589837 IVH589835:IVH589837 JFD589835:JFD589837 JOZ589835:JOZ589837 JYV589835:JYV589837 KIR589835:KIR589837 KSN589835:KSN589837 LCJ589835:LCJ589837 LMF589835:LMF589837 LWB589835:LWB589837 MFX589835:MFX589837 MPT589835:MPT589837 MZP589835:MZP589837 NJL589835:NJL589837 NTH589835:NTH589837 ODD589835:ODD589837 OMZ589835:OMZ589837 OWV589835:OWV589837 PGR589835:PGR589837 PQN589835:PQN589837 QAJ589835:QAJ589837 QKF589835:QKF589837 QUB589835:QUB589837 RDX589835:RDX589837 RNT589835:RNT589837 RXP589835:RXP589837 SHL589835:SHL589837 SRH589835:SRH589837 TBD589835:TBD589837 TKZ589835:TKZ589837 TUV589835:TUV589837 UER589835:UER589837 UON589835:UON589837 UYJ589835:UYJ589837 VIF589835:VIF589837 VSB589835:VSB589837 WBX589835:WBX589837 WLT589835:WLT589837 WVP589835:WVP589837 H655371:H655373 JD655371:JD655373 SZ655371:SZ655373 ACV655371:ACV655373 AMR655371:AMR655373 AWN655371:AWN655373 BGJ655371:BGJ655373 BQF655371:BQF655373 CAB655371:CAB655373 CJX655371:CJX655373 CTT655371:CTT655373 DDP655371:DDP655373 DNL655371:DNL655373 DXH655371:DXH655373 EHD655371:EHD655373 EQZ655371:EQZ655373 FAV655371:FAV655373 FKR655371:FKR655373 FUN655371:FUN655373 GEJ655371:GEJ655373 GOF655371:GOF655373 GYB655371:GYB655373 HHX655371:HHX655373 HRT655371:HRT655373 IBP655371:IBP655373 ILL655371:ILL655373 IVH655371:IVH655373 JFD655371:JFD655373 JOZ655371:JOZ655373 JYV655371:JYV655373 KIR655371:KIR655373 KSN655371:KSN655373 LCJ655371:LCJ655373 LMF655371:LMF655373 LWB655371:LWB655373 MFX655371:MFX655373 MPT655371:MPT655373 MZP655371:MZP655373 NJL655371:NJL655373 NTH655371:NTH655373 ODD655371:ODD655373 OMZ655371:OMZ655373 OWV655371:OWV655373 PGR655371:PGR655373 PQN655371:PQN655373 QAJ655371:QAJ655373 QKF655371:QKF655373 QUB655371:QUB655373 RDX655371:RDX655373 RNT655371:RNT655373 RXP655371:RXP655373 SHL655371:SHL655373 SRH655371:SRH655373 TBD655371:TBD655373 TKZ655371:TKZ655373 TUV655371:TUV655373 UER655371:UER655373 UON655371:UON655373 UYJ655371:UYJ655373 VIF655371:VIF655373 VSB655371:VSB655373 WBX655371:WBX655373 WLT655371:WLT655373 WVP655371:WVP655373 H720907:H720909 JD720907:JD720909 SZ720907:SZ720909 ACV720907:ACV720909 AMR720907:AMR720909 AWN720907:AWN720909 BGJ720907:BGJ720909 BQF720907:BQF720909 CAB720907:CAB720909 CJX720907:CJX720909 CTT720907:CTT720909 DDP720907:DDP720909 DNL720907:DNL720909 DXH720907:DXH720909 EHD720907:EHD720909 EQZ720907:EQZ720909 FAV720907:FAV720909 FKR720907:FKR720909 FUN720907:FUN720909 GEJ720907:GEJ720909 GOF720907:GOF720909 GYB720907:GYB720909 HHX720907:HHX720909 HRT720907:HRT720909 IBP720907:IBP720909 ILL720907:ILL720909 IVH720907:IVH720909 JFD720907:JFD720909 JOZ720907:JOZ720909 JYV720907:JYV720909 KIR720907:KIR720909 KSN720907:KSN720909 LCJ720907:LCJ720909 LMF720907:LMF720909 LWB720907:LWB720909 MFX720907:MFX720909 MPT720907:MPT720909 MZP720907:MZP720909 NJL720907:NJL720909 NTH720907:NTH720909 ODD720907:ODD720909 OMZ720907:OMZ720909 OWV720907:OWV720909 PGR720907:PGR720909 PQN720907:PQN720909 QAJ720907:QAJ720909 QKF720907:QKF720909 QUB720907:QUB720909 RDX720907:RDX720909 RNT720907:RNT720909 RXP720907:RXP720909 SHL720907:SHL720909 SRH720907:SRH720909 TBD720907:TBD720909 TKZ720907:TKZ720909 TUV720907:TUV720909 UER720907:UER720909 UON720907:UON720909 UYJ720907:UYJ720909 VIF720907:VIF720909 VSB720907:VSB720909 WBX720907:WBX720909 WLT720907:WLT720909 WVP720907:WVP720909 H786443:H786445 JD786443:JD786445 SZ786443:SZ786445 ACV786443:ACV786445 AMR786443:AMR786445 AWN786443:AWN786445 BGJ786443:BGJ786445 BQF786443:BQF786445 CAB786443:CAB786445 CJX786443:CJX786445 CTT786443:CTT786445 DDP786443:DDP786445 DNL786443:DNL786445 DXH786443:DXH786445 EHD786443:EHD786445 EQZ786443:EQZ786445 FAV786443:FAV786445 FKR786443:FKR786445 FUN786443:FUN786445 GEJ786443:GEJ786445 GOF786443:GOF786445 GYB786443:GYB786445 HHX786443:HHX786445 HRT786443:HRT786445 IBP786443:IBP786445 ILL786443:ILL786445 IVH786443:IVH786445 JFD786443:JFD786445 JOZ786443:JOZ786445 JYV786443:JYV786445 KIR786443:KIR786445 KSN786443:KSN786445 LCJ786443:LCJ786445 LMF786443:LMF786445 LWB786443:LWB786445 MFX786443:MFX786445 MPT786443:MPT786445 MZP786443:MZP786445 NJL786443:NJL786445 NTH786443:NTH786445 ODD786443:ODD786445 OMZ786443:OMZ786445 OWV786443:OWV786445 PGR786443:PGR786445 PQN786443:PQN786445 QAJ786443:QAJ786445 QKF786443:QKF786445 QUB786443:QUB786445 RDX786443:RDX786445 RNT786443:RNT786445 RXP786443:RXP786445 SHL786443:SHL786445 SRH786443:SRH786445 TBD786443:TBD786445 TKZ786443:TKZ786445 TUV786443:TUV786445 UER786443:UER786445 UON786443:UON786445 UYJ786443:UYJ786445 VIF786443:VIF786445 VSB786443:VSB786445 WBX786443:WBX786445 WLT786443:WLT786445 WVP786443:WVP786445 H851979:H851981 JD851979:JD851981 SZ851979:SZ851981 ACV851979:ACV851981 AMR851979:AMR851981 AWN851979:AWN851981 BGJ851979:BGJ851981 BQF851979:BQF851981 CAB851979:CAB851981 CJX851979:CJX851981 CTT851979:CTT851981 DDP851979:DDP851981 DNL851979:DNL851981 DXH851979:DXH851981 EHD851979:EHD851981 EQZ851979:EQZ851981 FAV851979:FAV851981 FKR851979:FKR851981 FUN851979:FUN851981 GEJ851979:GEJ851981 GOF851979:GOF851981 GYB851979:GYB851981 HHX851979:HHX851981 HRT851979:HRT851981 IBP851979:IBP851981 ILL851979:ILL851981 IVH851979:IVH851981 JFD851979:JFD851981 JOZ851979:JOZ851981 JYV851979:JYV851981 KIR851979:KIR851981 KSN851979:KSN851981 LCJ851979:LCJ851981 LMF851979:LMF851981 LWB851979:LWB851981 MFX851979:MFX851981 MPT851979:MPT851981 MZP851979:MZP851981 NJL851979:NJL851981 NTH851979:NTH851981 ODD851979:ODD851981 OMZ851979:OMZ851981 OWV851979:OWV851981 PGR851979:PGR851981 PQN851979:PQN851981 QAJ851979:QAJ851981 QKF851979:QKF851981 QUB851979:QUB851981 RDX851979:RDX851981 RNT851979:RNT851981 RXP851979:RXP851981 SHL851979:SHL851981 SRH851979:SRH851981 TBD851979:TBD851981 TKZ851979:TKZ851981 TUV851979:TUV851981 UER851979:UER851981 UON851979:UON851981 UYJ851979:UYJ851981 VIF851979:VIF851981 VSB851979:VSB851981 WBX851979:WBX851981 WLT851979:WLT851981 WVP851979:WVP851981 H917515:H917517 JD917515:JD917517 SZ917515:SZ917517 ACV917515:ACV917517 AMR917515:AMR917517 AWN917515:AWN917517 BGJ917515:BGJ917517 BQF917515:BQF917517 CAB917515:CAB917517 CJX917515:CJX917517 CTT917515:CTT917517 DDP917515:DDP917517 DNL917515:DNL917517 DXH917515:DXH917517 EHD917515:EHD917517 EQZ917515:EQZ917517 FAV917515:FAV917517 FKR917515:FKR917517 FUN917515:FUN917517 GEJ917515:GEJ917517 GOF917515:GOF917517 GYB917515:GYB917517 HHX917515:HHX917517 HRT917515:HRT917517 IBP917515:IBP917517 ILL917515:ILL917517 IVH917515:IVH917517 JFD917515:JFD917517 JOZ917515:JOZ917517 JYV917515:JYV917517 KIR917515:KIR917517 KSN917515:KSN917517 LCJ917515:LCJ917517 LMF917515:LMF917517 LWB917515:LWB917517 MFX917515:MFX917517 MPT917515:MPT917517 MZP917515:MZP917517 NJL917515:NJL917517 NTH917515:NTH917517 ODD917515:ODD917517 OMZ917515:OMZ917517 OWV917515:OWV917517 PGR917515:PGR917517 PQN917515:PQN917517 QAJ917515:QAJ917517 QKF917515:QKF917517 QUB917515:QUB917517 RDX917515:RDX917517 RNT917515:RNT917517 RXP917515:RXP917517 SHL917515:SHL917517 SRH917515:SRH917517 TBD917515:TBD917517 TKZ917515:TKZ917517 TUV917515:TUV917517 UER917515:UER917517 UON917515:UON917517 UYJ917515:UYJ917517 VIF917515:VIF917517 VSB917515:VSB917517 WBX917515:WBX917517 WLT917515:WLT917517 WVP917515:WVP917517 H983051:H983053 JD983051:JD983053 SZ983051:SZ983053 ACV983051:ACV983053 AMR983051:AMR983053 AWN983051:AWN983053 BGJ983051:BGJ983053 BQF983051:BQF983053 CAB983051:CAB983053 CJX983051:CJX983053 CTT983051:CTT983053 DDP983051:DDP983053 DNL983051:DNL983053 DXH983051:DXH983053 EHD983051:EHD983053 EQZ983051:EQZ983053 FAV983051:FAV983053 FKR983051:FKR983053 FUN983051:FUN983053 GEJ983051:GEJ983053 GOF983051:GOF983053 GYB983051:GYB983053 HHX983051:HHX983053 HRT983051:HRT983053 IBP983051:IBP983053 ILL983051:ILL983053 IVH983051:IVH983053 JFD983051:JFD983053 JOZ983051:JOZ983053 JYV983051:JYV983053 KIR983051:KIR983053 KSN983051:KSN983053 LCJ983051:LCJ983053 LMF983051:LMF983053 LWB983051:LWB983053 MFX983051:MFX983053 MPT983051:MPT983053 MZP983051:MZP983053 NJL983051:NJL983053 NTH983051:NTH983053 ODD983051:ODD983053 OMZ983051:OMZ983053 OWV983051:OWV983053 PGR983051:PGR983053 PQN983051:PQN983053 QAJ983051:QAJ983053 QKF983051:QKF983053 QUB983051:QUB983053 RDX983051:RDX983053 RNT983051:RNT983053 RXP983051:RXP983053 SHL983051:SHL983053 SRH983051:SRH983053 TBD983051:TBD983053 TKZ983051:TKZ983053 TUV983051:TUV983053 UER983051:UER983053 UON983051:UON983053 UYJ983051:UYJ983053 VIF983051:VIF983053 VSB983051:VSB983053 WBX983051:WBX983053 WLT983051:WLT983053 H8:H13">
      <formula1>$H$21:$H$25</formula1>
    </dataValidation>
    <dataValidation type="list" allowBlank="1" showInputMessage="1" showErrorMessage="1" sqref="AE8:AE13 KA8 TW8 ADS8 ANO8 AXK8 BHG8 BRC8 CAY8 CKU8 CUQ8 DEM8 DOI8 DYE8 EIA8 ERW8 FBS8 FLO8 FVK8 GFG8 GPC8 GYY8 HIU8 HSQ8 ICM8 IMI8 IWE8 JGA8 JPW8 JZS8 KJO8 KTK8 LDG8 LNC8 LWY8 MGU8 MQQ8 NAM8 NKI8 NUE8 OEA8 ONW8 OXS8 PHO8 PRK8 QBG8 QLC8 QUY8 REU8 ROQ8 RYM8 SII8 SSE8 TCA8 TLW8 TVS8 UFO8 UPK8 UZG8 VJC8 VSY8 WCU8 WMQ8 WWM8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formula1>$B$23:$B$25</formula1>
    </dataValidation>
    <dataValidation type="list" allowBlank="1" showInputMessage="1" showErrorMessage="1" sqref="WWN983051:WWN983053 KB8:KB13 TX8:TX13 ADT8:ADT13 ANP8:ANP13 AXL8:AXL13 BHH8:BHH13 BRD8:BRD13 CAZ8:CAZ13 CKV8:CKV13 CUR8:CUR13 DEN8:DEN13 DOJ8:DOJ13 DYF8:DYF13 EIB8:EIB13 ERX8:ERX13 FBT8:FBT13 FLP8:FLP13 FVL8:FVL13 GFH8:GFH13 GPD8:GPD13 GYZ8:GYZ13 HIV8:HIV13 HSR8:HSR13 ICN8:ICN13 IMJ8:IMJ13 IWF8:IWF13 JGB8:JGB13 JPX8:JPX13 JZT8:JZT13 KJP8:KJP13 KTL8:KTL13 LDH8:LDH13 LND8:LND13 LWZ8:LWZ13 MGV8:MGV13 MQR8:MQR13 NAN8:NAN13 NKJ8:NKJ13 NUF8:NUF13 OEB8:OEB13 ONX8:ONX13 OXT8:OXT13 PHP8:PHP13 PRL8:PRL13 QBH8:QBH13 QLD8:QLD13 QUZ8:QUZ13 REV8:REV13 ROR8:ROR13 RYN8:RYN13 SIJ8:SIJ13 SSF8:SSF13 TCB8:TCB13 TLX8:TLX13 TVT8:TVT13 UFP8:UFP13 UPL8:UPL13 UZH8:UZH13 VJD8:VJD13 VSZ8:VSZ13 WCV8:WCV13 WMR8:WMR13 WWN8:WWN13 AF65547:AF65549 KB65547:KB65549 TX65547:TX65549 ADT65547:ADT65549 ANP65547:ANP65549 AXL65547:AXL65549 BHH65547:BHH65549 BRD65547:BRD65549 CAZ65547:CAZ65549 CKV65547:CKV65549 CUR65547:CUR65549 DEN65547:DEN65549 DOJ65547:DOJ65549 DYF65547:DYF65549 EIB65547:EIB65549 ERX65547:ERX65549 FBT65547:FBT65549 FLP65547:FLP65549 FVL65547:FVL65549 GFH65547:GFH65549 GPD65547:GPD65549 GYZ65547:GYZ65549 HIV65547:HIV65549 HSR65547:HSR65549 ICN65547:ICN65549 IMJ65547:IMJ65549 IWF65547:IWF65549 JGB65547:JGB65549 JPX65547:JPX65549 JZT65547:JZT65549 KJP65547:KJP65549 KTL65547:KTL65549 LDH65547:LDH65549 LND65547:LND65549 LWZ65547:LWZ65549 MGV65547:MGV65549 MQR65547:MQR65549 NAN65547:NAN65549 NKJ65547:NKJ65549 NUF65547:NUF65549 OEB65547:OEB65549 ONX65547:ONX65549 OXT65547:OXT65549 PHP65547:PHP65549 PRL65547:PRL65549 QBH65547:QBH65549 QLD65547:QLD65549 QUZ65547:QUZ65549 REV65547:REV65549 ROR65547:ROR65549 RYN65547:RYN65549 SIJ65547:SIJ65549 SSF65547:SSF65549 TCB65547:TCB65549 TLX65547:TLX65549 TVT65547:TVT65549 UFP65547:UFP65549 UPL65547:UPL65549 UZH65547:UZH65549 VJD65547:VJD65549 VSZ65547:VSZ65549 WCV65547:WCV65549 WMR65547:WMR65549 WWN65547:WWN65549 AF131083:AF131085 KB131083:KB131085 TX131083:TX131085 ADT131083:ADT131085 ANP131083:ANP131085 AXL131083:AXL131085 BHH131083:BHH131085 BRD131083:BRD131085 CAZ131083:CAZ131085 CKV131083:CKV131085 CUR131083:CUR131085 DEN131083:DEN131085 DOJ131083:DOJ131085 DYF131083:DYF131085 EIB131083:EIB131085 ERX131083:ERX131085 FBT131083:FBT131085 FLP131083:FLP131085 FVL131083:FVL131085 GFH131083:GFH131085 GPD131083:GPD131085 GYZ131083:GYZ131085 HIV131083:HIV131085 HSR131083:HSR131085 ICN131083:ICN131085 IMJ131083:IMJ131085 IWF131083:IWF131085 JGB131083:JGB131085 JPX131083:JPX131085 JZT131083:JZT131085 KJP131083:KJP131085 KTL131083:KTL131085 LDH131083:LDH131085 LND131083:LND131085 LWZ131083:LWZ131085 MGV131083:MGV131085 MQR131083:MQR131085 NAN131083:NAN131085 NKJ131083:NKJ131085 NUF131083:NUF131085 OEB131083:OEB131085 ONX131083:ONX131085 OXT131083:OXT131085 PHP131083:PHP131085 PRL131083:PRL131085 QBH131083:QBH131085 QLD131083:QLD131085 QUZ131083:QUZ131085 REV131083:REV131085 ROR131083:ROR131085 RYN131083:RYN131085 SIJ131083:SIJ131085 SSF131083:SSF131085 TCB131083:TCB131085 TLX131083:TLX131085 TVT131083:TVT131085 UFP131083:UFP131085 UPL131083:UPL131085 UZH131083:UZH131085 VJD131083:VJD131085 VSZ131083:VSZ131085 WCV131083:WCV131085 WMR131083:WMR131085 WWN131083:WWN131085 AF196619:AF196621 KB196619:KB196621 TX196619:TX196621 ADT196619:ADT196621 ANP196619:ANP196621 AXL196619:AXL196621 BHH196619:BHH196621 BRD196619:BRD196621 CAZ196619:CAZ196621 CKV196619:CKV196621 CUR196619:CUR196621 DEN196619:DEN196621 DOJ196619:DOJ196621 DYF196619:DYF196621 EIB196619:EIB196621 ERX196619:ERX196621 FBT196619:FBT196621 FLP196619:FLP196621 FVL196619:FVL196621 GFH196619:GFH196621 GPD196619:GPD196621 GYZ196619:GYZ196621 HIV196619:HIV196621 HSR196619:HSR196621 ICN196619:ICN196621 IMJ196619:IMJ196621 IWF196619:IWF196621 JGB196619:JGB196621 JPX196619:JPX196621 JZT196619:JZT196621 KJP196619:KJP196621 KTL196619:KTL196621 LDH196619:LDH196621 LND196619:LND196621 LWZ196619:LWZ196621 MGV196619:MGV196621 MQR196619:MQR196621 NAN196619:NAN196621 NKJ196619:NKJ196621 NUF196619:NUF196621 OEB196619:OEB196621 ONX196619:ONX196621 OXT196619:OXT196621 PHP196619:PHP196621 PRL196619:PRL196621 QBH196619:QBH196621 QLD196619:QLD196621 QUZ196619:QUZ196621 REV196619:REV196621 ROR196619:ROR196621 RYN196619:RYN196621 SIJ196619:SIJ196621 SSF196619:SSF196621 TCB196619:TCB196621 TLX196619:TLX196621 TVT196619:TVT196621 UFP196619:UFP196621 UPL196619:UPL196621 UZH196619:UZH196621 VJD196619:VJD196621 VSZ196619:VSZ196621 WCV196619:WCV196621 WMR196619:WMR196621 WWN196619:WWN196621 AF262155:AF262157 KB262155:KB262157 TX262155:TX262157 ADT262155:ADT262157 ANP262155:ANP262157 AXL262155:AXL262157 BHH262155:BHH262157 BRD262155:BRD262157 CAZ262155:CAZ262157 CKV262155:CKV262157 CUR262155:CUR262157 DEN262155:DEN262157 DOJ262155:DOJ262157 DYF262155:DYF262157 EIB262155:EIB262157 ERX262155:ERX262157 FBT262155:FBT262157 FLP262155:FLP262157 FVL262155:FVL262157 GFH262155:GFH262157 GPD262155:GPD262157 GYZ262155:GYZ262157 HIV262155:HIV262157 HSR262155:HSR262157 ICN262155:ICN262157 IMJ262155:IMJ262157 IWF262155:IWF262157 JGB262155:JGB262157 JPX262155:JPX262157 JZT262155:JZT262157 KJP262155:KJP262157 KTL262155:KTL262157 LDH262155:LDH262157 LND262155:LND262157 LWZ262155:LWZ262157 MGV262155:MGV262157 MQR262155:MQR262157 NAN262155:NAN262157 NKJ262155:NKJ262157 NUF262155:NUF262157 OEB262155:OEB262157 ONX262155:ONX262157 OXT262155:OXT262157 PHP262155:PHP262157 PRL262155:PRL262157 QBH262155:QBH262157 QLD262155:QLD262157 QUZ262155:QUZ262157 REV262155:REV262157 ROR262155:ROR262157 RYN262155:RYN262157 SIJ262155:SIJ262157 SSF262155:SSF262157 TCB262155:TCB262157 TLX262155:TLX262157 TVT262155:TVT262157 UFP262155:UFP262157 UPL262155:UPL262157 UZH262155:UZH262157 VJD262155:VJD262157 VSZ262155:VSZ262157 WCV262155:WCV262157 WMR262155:WMR262157 WWN262155:WWN262157 AF327691:AF327693 KB327691:KB327693 TX327691:TX327693 ADT327691:ADT327693 ANP327691:ANP327693 AXL327691:AXL327693 BHH327691:BHH327693 BRD327691:BRD327693 CAZ327691:CAZ327693 CKV327691:CKV327693 CUR327691:CUR327693 DEN327691:DEN327693 DOJ327691:DOJ327693 DYF327691:DYF327693 EIB327691:EIB327693 ERX327691:ERX327693 FBT327691:FBT327693 FLP327691:FLP327693 FVL327691:FVL327693 GFH327691:GFH327693 GPD327691:GPD327693 GYZ327691:GYZ327693 HIV327691:HIV327693 HSR327691:HSR327693 ICN327691:ICN327693 IMJ327691:IMJ327693 IWF327691:IWF327693 JGB327691:JGB327693 JPX327691:JPX327693 JZT327691:JZT327693 KJP327691:KJP327693 KTL327691:KTL327693 LDH327691:LDH327693 LND327691:LND327693 LWZ327691:LWZ327693 MGV327691:MGV327693 MQR327691:MQR327693 NAN327691:NAN327693 NKJ327691:NKJ327693 NUF327691:NUF327693 OEB327691:OEB327693 ONX327691:ONX327693 OXT327691:OXT327693 PHP327691:PHP327693 PRL327691:PRL327693 QBH327691:QBH327693 QLD327691:QLD327693 QUZ327691:QUZ327693 REV327691:REV327693 ROR327691:ROR327693 RYN327691:RYN327693 SIJ327691:SIJ327693 SSF327691:SSF327693 TCB327691:TCB327693 TLX327691:TLX327693 TVT327691:TVT327693 UFP327691:UFP327693 UPL327691:UPL327693 UZH327691:UZH327693 VJD327691:VJD327693 VSZ327691:VSZ327693 WCV327691:WCV327693 WMR327691:WMR327693 WWN327691:WWN327693 AF393227:AF393229 KB393227:KB393229 TX393227:TX393229 ADT393227:ADT393229 ANP393227:ANP393229 AXL393227:AXL393229 BHH393227:BHH393229 BRD393227:BRD393229 CAZ393227:CAZ393229 CKV393227:CKV393229 CUR393227:CUR393229 DEN393227:DEN393229 DOJ393227:DOJ393229 DYF393227:DYF393229 EIB393227:EIB393229 ERX393227:ERX393229 FBT393227:FBT393229 FLP393227:FLP393229 FVL393227:FVL393229 GFH393227:GFH393229 GPD393227:GPD393229 GYZ393227:GYZ393229 HIV393227:HIV393229 HSR393227:HSR393229 ICN393227:ICN393229 IMJ393227:IMJ393229 IWF393227:IWF393229 JGB393227:JGB393229 JPX393227:JPX393229 JZT393227:JZT393229 KJP393227:KJP393229 KTL393227:KTL393229 LDH393227:LDH393229 LND393227:LND393229 LWZ393227:LWZ393229 MGV393227:MGV393229 MQR393227:MQR393229 NAN393227:NAN393229 NKJ393227:NKJ393229 NUF393227:NUF393229 OEB393227:OEB393229 ONX393227:ONX393229 OXT393227:OXT393229 PHP393227:PHP393229 PRL393227:PRL393229 QBH393227:QBH393229 QLD393227:QLD393229 QUZ393227:QUZ393229 REV393227:REV393229 ROR393227:ROR393229 RYN393227:RYN393229 SIJ393227:SIJ393229 SSF393227:SSF393229 TCB393227:TCB393229 TLX393227:TLX393229 TVT393227:TVT393229 UFP393227:UFP393229 UPL393227:UPL393229 UZH393227:UZH393229 VJD393227:VJD393229 VSZ393227:VSZ393229 WCV393227:WCV393229 WMR393227:WMR393229 WWN393227:WWN393229 AF458763:AF458765 KB458763:KB458765 TX458763:TX458765 ADT458763:ADT458765 ANP458763:ANP458765 AXL458763:AXL458765 BHH458763:BHH458765 BRD458763:BRD458765 CAZ458763:CAZ458765 CKV458763:CKV458765 CUR458763:CUR458765 DEN458763:DEN458765 DOJ458763:DOJ458765 DYF458763:DYF458765 EIB458763:EIB458765 ERX458763:ERX458765 FBT458763:FBT458765 FLP458763:FLP458765 FVL458763:FVL458765 GFH458763:GFH458765 GPD458763:GPD458765 GYZ458763:GYZ458765 HIV458763:HIV458765 HSR458763:HSR458765 ICN458763:ICN458765 IMJ458763:IMJ458765 IWF458763:IWF458765 JGB458763:JGB458765 JPX458763:JPX458765 JZT458763:JZT458765 KJP458763:KJP458765 KTL458763:KTL458765 LDH458763:LDH458765 LND458763:LND458765 LWZ458763:LWZ458765 MGV458763:MGV458765 MQR458763:MQR458765 NAN458763:NAN458765 NKJ458763:NKJ458765 NUF458763:NUF458765 OEB458763:OEB458765 ONX458763:ONX458765 OXT458763:OXT458765 PHP458763:PHP458765 PRL458763:PRL458765 QBH458763:QBH458765 QLD458763:QLD458765 QUZ458763:QUZ458765 REV458763:REV458765 ROR458763:ROR458765 RYN458763:RYN458765 SIJ458763:SIJ458765 SSF458763:SSF458765 TCB458763:TCB458765 TLX458763:TLX458765 TVT458763:TVT458765 UFP458763:UFP458765 UPL458763:UPL458765 UZH458763:UZH458765 VJD458763:VJD458765 VSZ458763:VSZ458765 WCV458763:WCV458765 WMR458763:WMR458765 WWN458763:WWN458765 AF524299:AF524301 KB524299:KB524301 TX524299:TX524301 ADT524299:ADT524301 ANP524299:ANP524301 AXL524299:AXL524301 BHH524299:BHH524301 BRD524299:BRD524301 CAZ524299:CAZ524301 CKV524299:CKV524301 CUR524299:CUR524301 DEN524299:DEN524301 DOJ524299:DOJ524301 DYF524299:DYF524301 EIB524299:EIB524301 ERX524299:ERX524301 FBT524299:FBT524301 FLP524299:FLP524301 FVL524299:FVL524301 GFH524299:GFH524301 GPD524299:GPD524301 GYZ524299:GYZ524301 HIV524299:HIV524301 HSR524299:HSR524301 ICN524299:ICN524301 IMJ524299:IMJ524301 IWF524299:IWF524301 JGB524299:JGB524301 JPX524299:JPX524301 JZT524299:JZT524301 KJP524299:KJP524301 KTL524299:KTL524301 LDH524299:LDH524301 LND524299:LND524301 LWZ524299:LWZ524301 MGV524299:MGV524301 MQR524299:MQR524301 NAN524299:NAN524301 NKJ524299:NKJ524301 NUF524299:NUF524301 OEB524299:OEB524301 ONX524299:ONX524301 OXT524299:OXT524301 PHP524299:PHP524301 PRL524299:PRL524301 QBH524299:QBH524301 QLD524299:QLD524301 QUZ524299:QUZ524301 REV524299:REV524301 ROR524299:ROR524301 RYN524299:RYN524301 SIJ524299:SIJ524301 SSF524299:SSF524301 TCB524299:TCB524301 TLX524299:TLX524301 TVT524299:TVT524301 UFP524299:UFP524301 UPL524299:UPL524301 UZH524299:UZH524301 VJD524299:VJD524301 VSZ524299:VSZ524301 WCV524299:WCV524301 WMR524299:WMR524301 WWN524299:WWN524301 AF589835:AF589837 KB589835:KB589837 TX589835:TX589837 ADT589835:ADT589837 ANP589835:ANP589837 AXL589835:AXL589837 BHH589835:BHH589837 BRD589835:BRD589837 CAZ589835:CAZ589837 CKV589835:CKV589837 CUR589835:CUR589837 DEN589835:DEN589837 DOJ589835:DOJ589837 DYF589835:DYF589837 EIB589835:EIB589837 ERX589835:ERX589837 FBT589835:FBT589837 FLP589835:FLP589837 FVL589835:FVL589837 GFH589835:GFH589837 GPD589835:GPD589837 GYZ589835:GYZ589837 HIV589835:HIV589837 HSR589835:HSR589837 ICN589835:ICN589837 IMJ589835:IMJ589837 IWF589835:IWF589837 JGB589835:JGB589837 JPX589835:JPX589837 JZT589835:JZT589837 KJP589835:KJP589837 KTL589835:KTL589837 LDH589835:LDH589837 LND589835:LND589837 LWZ589835:LWZ589837 MGV589835:MGV589837 MQR589835:MQR589837 NAN589835:NAN589837 NKJ589835:NKJ589837 NUF589835:NUF589837 OEB589835:OEB589837 ONX589835:ONX589837 OXT589835:OXT589837 PHP589835:PHP589837 PRL589835:PRL589837 QBH589835:QBH589837 QLD589835:QLD589837 QUZ589835:QUZ589837 REV589835:REV589837 ROR589835:ROR589837 RYN589835:RYN589837 SIJ589835:SIJ589837 SSF589835:SSF589837 TCB589835:TCB589837 TLX589835:TLX589837 TVT589835:TVT589837 UFP589835:UFP589837 UPL589835:UPL589837 UZH589835:UZH589837 VJD589835:VJD589837 VSZ589835:VSZ589837 WCV589835:WCV589837 WMR589835:WMR589837 WWN589835:WWN589837 AF655371:AF655373 KB655371:KB655373 TX655371:TX655373 ADT655371:ADT655373 ANP655371:ANP655373 AXL655371:AXL655373 BHH655371:BHH655373 BRD655371:BRD655373 CAZ655371:CAZ655373 CKV655371:CKV655373 CUR655371:CUR655373 DEN655371:DEN655373 DOJ655371:DOJ655373 DYF655371:DYF655373 EIB655371:EIB655373 ERX655371:ERX655373 FBT655371:FBT655373 FLP655371:FLP655373 FVL655371:FVL655373 GFH655371:GFH655373 GPD655371:GPD655373 GYZ655371:GYZ655373 HIV655371:HIV655373 HSR655371:HSR655373 ICN655371:ICN655373 IMJ655371:IMJ655373 IWF655371:IWF655373 JGB655371:JGB655373 JPX655371:JPX655373 JZT655371:JZT655373 KJP655371:KJP655373 KTL655371:KTL655373 LDH655371:LDH655373 LND655371:LND655373 LWZ655371:LWZ655373 MGV655371:MGV655373 MQR655371:MQR655373 NAN655371:NAN655373 NKJ655371:NKJ655373 NUF655371:NUF655373 OEB655371:OEB655373 ONX655371:ONX655373 OXT655371:OXT655373 PHP655371:PHP655373 PRL655371:PRL655373 QBH655371:QBH655373 QLD655371:QLD655373 QUZ655371:QUZ655373 REV655371:REV655373 ROR655371:ROR655373 RYN655371:RYN655373 SIJ655371:SIJ655373 SSF655371:SSF655373 TCB655371:TCB655373 TLX655371:TLX655373 TVT655371:TVT655373 UFP655371:UFP655373 UPL655371:UPL655373 UZH655371:UZH655373 VJD655371:VJD655373 VSZ655371:VSZ655373 WCV655371:WCV655373 WMR655371:WMR655373 WWN655371:WWN655373 AF720907:AF720909 KB720907:KB720909 TX720907:TX720909 ADT720907:ADT720909 ANP720907:ANP720909 AXL720907:AXL720909 BHH720907:BHH720909 BRD720907:BRD720909 CAZ720907:CAZ720909 CKV720907:CKV720909 CUR720907:CUR720909 DEN720907:DEN720909 DOJ720907:DOJ720909 DYF720907:DYF720909 EIB720907:EIB720909 ERX720907:ERX720909 FBT720907:FBT720909 FLP720907:FLP720909 FVL720907:FVL720909 GFH720907:GFH720909 GPD720907:GPD720909 GYZ720907:GYZ720909 HIV720907:HIV720909 HSR720907:HSR720909 ICN720907:ICN720909 IMJ720907:IMJ720909 IWF720907:IWF720909 JGB720907:JGB720909 JPX720907:JPX720909 JZT720907:JZT720909 KJP720907:KJP720909 KTL720907:KTL720909 LDH720907:LDH720909 LND720907:LND720909 LWZ720907:LWZ720909 MGV720907:MGV720909 MQR720907:MQR720909 NAN720907:NAN720909 NKJ720907:NKJ720909 NUF720907:NUF720909 OEB720907:OEB720909 ONX720907:ONX720909 OXT720907:OXT720909 PHP720907:PHP720909 PRL720907:PRL720909 QBH720907:QBH720909 QLD720907:QLD720909 QUZ720907:QUZ720909 REV720907:REV720909 ROR720907:ROR720909 RYN720907:RYN720909 SIJ720907:SIJ720909 SSF720907:SSF720909 TCB720907:TCB720909 TLX720907:TLX720909 TVT720907:TVT720909 UFP720907:UFP720909 UPL720907:UPL720909 UZH720907:UZH720909 VJD720907:VJD720909 VSZ720907:VSZ720909 WCV720907:WCV720909 WMR720907:WMR720909 WWN720907:WWN720909 AF786443:AF786445 KB786443:KB786445 TX786443:TX786445 ADT786443:ADT786445 ANP786443:ANP786445 AXL786443:AXL786445 BHH786443:BHH786445 BRD786443:BRD786445 CAZ786443:CAZ786445 CKV786443:CKV786445 CUR786443:CUR786445 DEN786443:DEN786445 DOJ786443:DOJ786445 DYF786443:DYF786445 EIB786443:EIB786445 ERX786443:ERX786445 FBT786443:FBT786445 FLP786443:FLP786445 FVL786443:FVL786445 GFH786443:GFH786445 GPD786443:GPD786445 GYZ786443:GYZ786445 HIV786443:HIV786445 HSR786443:HSR786445 ICN786443:ICN786445 IMJ786443:IMJ786445 IWF786443:IWF786445 JGB786443:JGB786445 JPX786443:JPX786445 JZT786443:JZT786445 KJP786443:KJP786445 KTL786443:KTL786445 LDH786443:LDH786445 LND786443:LND786445 LWZ786443:LWZ786445 MGV786443:MGV786445 MQR786443:MQR786445 NAN786443:NAN786445 NKJ786443:NKJ786445 NUF786443:NUF786445 OEB786443:OEB786445 ONX786443:ONX786445 OXT786443:OXT786445 PHP786443:PHP786445 PRL786443:PRL786445 QBH786443:QBH786445 QLD786443:QLD786445 QUZ786443:QUZ786445 REV786443:REV786445 ROR786443:ROR786445 RYN786443:RYN786445 SIJ786443:SIJ786445 SSF786443:SSF786445 TCB786443:TCB786445 TLX786443:TLX786445 TVT786443:TVT786445 UFP786443:UFP786445 UPL786443:UPL786445 UZH786443:UZH786445 VJD786443:VJD786445 VSZ786443:VSZ786445 WCV786443:WCV786445 WMR786443:WMR786445 WWN786443:WWN786445 AF851979:AF851981 KB851979:KB851981 TX851979:TX851981 ADT851979:ADT851981 ANP851979:ANP851981 AXL851979:AXL851981 BHH851979:BHH851981 BRD851979:BRD851981 CAZ851979:CAZ851981 CKV851979:CKV851981 CUR851979:CUR851981 DEN851979:DEN851981 DOJ851979:DOJ851981 DYF851979:DYF851981 EIB851979:EIB851981 ERX851979:ERX851981 FBT851979:FBT851981 FLP851979:FLP851981 FVL851979:FVL851981 GFH851979:GFH851981 GPD851979:GPD851981 GYZ851979:GYZ851981 HIV851979:HIV851981 HSR851979:HSR851981 ICN851979:ICN851981 IMJ851979:IMJ851981 IWF851979:IWF851981 JGB851979:JGB851981 JPX851979:JPX851981 JZT851979:JZT851981 KJP851979:KJP851981 KTL851979:KTL851981 LDH851979:LDH851981 LND851979:LND851981 LWZ851979:LWZ851981 MGV851979:MGV851981 MQR851979:MQR851981 NAN851979:NAN851981 NKJ851979:NKJ851981 NUF851979:NUF851981 OEB851979:OEB851981 ONX851979:ONX851981 OXT851979:OXT851981 PHP851979:PHP851981 PRL851979:PRL851981 QBH851979:QBH851981 QLD851979:QLD851981 QUZ851979:QUZ851981 REV851979:REV851981 ROR851979:ROR851981 RYN851979:RYN851981 SIJ851979:SIJ851981 SSF851979:SSF851981 TCB851979:TCB851981 TLX851979:TLX851981 TVT851979:TVT851981 UFP851979:UFP851981 UPL851979:UPL851981 UZH851979:UZH851981 VJD851979:VJD851981 VSZ851979:VSZ851981 WCV851979:WCV851981 WMR851979:WMR851981 WWN851979:WWN851981 AF917515:AF917517 KB917515:KB917517 TX917515:TX917517 ADT917515:ADT917517 ANP917515:ANP917517 AXL917515:AXL917517 BHH917515:BHH917517 BRD917515:BRD917517 CAZ917515:CAZ917517 CKV917515:CKV917517 CUR917515:CUR917517 DEN917515:DEN917517 DOJ917515:DOJ917517 DYF917515:DYF917517 EIB917515:EIB917517 ERX917515:ERX917517 FBT917515:FBT917517 FLP917515:FLP917517 FVL917515:FVL917517 GFH917515:GFH917517 GPD917515:GPD917517 GYZ917515:GYZ917517 HIV917515:HIV917517 HSR917515:HSR917517 ICN917515:ICN917517 IMJ917515:IMJ917517 IWF917515:IWF917517 JGB917515:JGB917517 JPX917515:JPX917517 JZT917515:JZT917517 KJP917515:KJP917517 KTL917515:KTL917517 LDH917515:LDH917517 LND917515:LND917517 LWZ917515:LWZ917517 MGV917515:MGV917517 MQR917515:MQR917517 NAN917515:NAN917517 NKJ917515:NKJ917517 NUF917515:NUF917517 OEB917515:OEB917517 ONX917515:ONX917517 OXT917515:OXT917517 PHP917515:PHP917517 PRL917515:PRL917517 QBH917515:QBH917517 QLD917515:QLD917517 QUZ917515:QUZ917517 REV917515:REV917517 ROR917515:ROR917517 RYN917515:RYN917517 SIJ917515:SIJ917517 SSF917515:SSF917517 TCB917515:TCB917517 TLX917515:TLX917517 TVT917515:TVT917517 UFP917515:UFP917517 UPL917515:UPL917517 UZH917515:UZH917517 VJD917515:VJD917517 VSZ917515:VSZ917517 WCV917515:WCV917517 WMR917515:WMR917517 WWN917515:WWN917517 AF983051:AF983053 KB983051:KB983053 TX983051:TX983053 ADT983051:ADT983053 ANP983051:ANP983053 AXL983051:AXL983053 BHH983051:BHH983053 BRD983051:BRD983053 CAZ983051:CAZ983053 CKV983051:CKV983053 CUR983051:CUR983053 DEN983051:DEN983053 DOJ983051:DOJ983053 DYF983051:DYF983053 EIB983051:EIB983053 ERX983051:ERX983053 FBT983051:FBT983053 FLP983051:FLP983053 FVL983051:FVL983053 GFH983051:GFH983053 GPD983051:GPD983053 GYZ983051:GYZ983053 HIV983051:HIV983053 HSR983051:HSR983053 ICN983051:ICN983053 IMJ983051:IMJ983053 IWF983051:IWF983053 JGB983051:JGB983053 JPX983051:JPX983053 JZT983051:JZT983053 KJP983051:KJP983053 KTL983051:KTL983053 LDH983051:LDH983053 LND983051:LND983053 LWZ983051:LWZ983053 MGV983051:MGV983053 MQR983051:MQR983053 NAN983051:NAN983053 NKJ983051:NKJ983053 NUF983051:NUF983053 OEB983051:OEB983053 ONX983051:ONX983053 OXT983051:OXT983053 PHP983051:PHP983053 PRL983051:PRL983053 QBH983051:QBH983053 QLD983051:QLD983053 QUZ983051:QUZ983053 REV983051:REV983053 ROR983051:ROR983053 RYN983051:RYN983053 SIJ983051:SIJ983053 SSF983051:SSF983053 TCB983051:TCB983053 TLX983051:TLX983053 TVT983051:TVT983053 UFP983051:UFP983053 UPL983051:UPL983053 UZH983051:UZH983053 VJD983051:VJD983053 VSZ983051:VSZ983053 WCV983051:WCV983053 WMR983051:WMR983053 AF8:AF13">
      <formula1>$AJ$1:$AJ$4</formula1>
    </dataValidation>
    <dataValidation type="list" allowBlank="1" showInputMessage="1" showErrorMessage="1" sqref="WVQ983051:WVQ983053 JE8:JE13 TA8:TA13 ACW8:ACW13 AMS8:AMS13 AWO8:AWO13 BGK8:BGK13 BQG8:BQG13 CAC8:CAC13 CJY8:CJY13 CTU8:CTU13 DDQ8:DDQ13 DNM8:DNM13 DXI8:DXI13 EHE8:EHE13 ERA8:ERA13 FAW8:FAW13 FKS8:FKS13 FUO8:FUO13 GEK8:GEK13 GOG8:GOG13 GYC8:GYC13 HHY8:HHY13 HRU8:HRU13 IBQ8:IBQ13 ILM8:ILM13 IVI8:IVI13 JFE8:JFE13 JPA8:JPA13 JYW8:JYW13 KIS8:KIS13 KSO8:KSO13 LCK8:LCK13 LMG8:LMG13 LWC8:LWC13 MFY8:MFY13 MPU8:MPU13 MZQ8:MZQ13 NJM8:NJM13 NTI8:NTI13 ODE8:ODE13 ONA8:ONA13 OWW8:OWW13 PGS8:PGS13 PQO8:PQO13 QAK8:QAK13 QKG8:QKG13 QUC8:QUC13 RDY8:RDY13 RNU8:RNU13 RXQ8:RXQ13 SHM8:SHM13 SRI8:SRI13 TBE8:TBE13 TLA8:TLA13 TUW8:TUW13 UES8:UES13 UOO8:UOO13 UYK8:UYK13 VIG8:VIG13 VSC8:VSC13 WBY8:WBY13 WLU8:WLU13 WVQ8:WVQ13 I65547:I65549 JE65547:JE65549 TA65547:TA65549 ACW65547:ACW65549 AMS65547:AMS65549 AWO65547:AWO65549 BGK65547:BGK65549 BQG65547:BQG65549 CAC65547:CAC65549 CJY65547:CJY65549 CTU65547:CTU65549 DDQ65547:DDQ65549 DNM65547:DNM65549 DXI65547:DXI65549 EHE65547:EHE65549 ERA65547:ERA65549 FAW65547:FAW65549 FKS65547:FKS65549 FUO65547:FUO65549 GEK65547:GEK65549 GOG65547:GOG65549 GYC65547:GYC65549 HHY65547:HHY65549 HRU65547:HRU65549 IBQ65547:IBQ65549 ILM65547:ILM65549 IVI65547:IVI65549 JFE65547:JFE65549 JPA65547:JPA65549 JYW65547:JYW65549 KIS65547:KIS65549 KSO65547:KSO65549 LCK65547:LCK65549 LMG65547:LMG65549 LWC65547:LWC65549 MFY65547:MFY65549 MPU65547:MPU65549 MZQ65547:MZQ65549 NJM65547:NJM65549 NTI65547:NTI65549 ODE65547:ODE65549 ONA65547:ONA65549 OWW65547:OWW65549 PGS65547:PGS65549 PQO65547:PQO65549 QAK65547:QAK65549 QKG65547:QKG65549 QUC65547:QUC65549 RDY65547:RDY65549 RNU65547:RNU65549 RXQ65547:RXQ65549 SHM65547:SHM65549 SRI65547:SRI65549 TBE65547:TBE65549 TLA65547:TLA65549 TUW65547:TUW65549 UES65547:UES65549 UOO65547:UOO65549 UYK65547:UYK65549 VIG65547:VIG65549 VSC65547:VSC65549 WBY65547:WBY65549 WLU65547:WLU65549 WVQ65547:WVQ65549 I131083:I131085 JE131083:JE131085 TA131083:TA131085 ACW131083:ACW131085 AMS131083:AMS131085 AWO131083:AWO131085 BGK131083:BGK131085 BQG131083:BQG131085 CAC131083:CAC131085 CJY131083:CJY131085 CTU131083:CTU131085 DDQ131083:DDQ131085 DNM131083:DNM131085 DXI131083:DXI131085 EHE131083:EHE131085 ERA131083:ERA131085 FAW131083:FAW131085 FKS131083:FKS131085 FUO131083:FUO131085 GEK131083:GEK131085 GOG131083:GOG131085 GYC131083:GYC131085 HHY131083:HHY131085 HRU131083:HRU131085 IBQ131083:IBQ131085 ILM131083:ILM131085 IVI131083:IVI131085 JFE131083:JFE131085 JPA131083:JPA131085 JYW131083:JYW131085 KIS131083:KIS131085 KSO131083:KSO131085 LCK131083:LCK131085 LMG131083:LMG131085 LWC131083:LWC131085 MFY131083:MFY131085 MPU131083:MPU131085 MZQ131083:MZQ131085 NJM131083:NJM131085 NTI131083:NTI131085 ODE131083:ODE131085 ONA131083:ONA131085 OWW131083:OWW131085 PGS131083:PGS131085 PQO131083:PQO131085 QAK131083:QAK131085 QKG131083:QKG131085 QUC131083:QUC131085 RDY131083:RDY131085 RNU131083:RNU131085 RXQ131083:RXQ131085 SHM131083:SHM131085 SRI131083:SRI131085 TBE131083:TBE131085 TLA131083:TLA131085 TUW131083:TUW131085 UES131083:UES131085 UOO131083:UOO131085 UYK131083:UYK131085 VIG131083:VIG131085 VSC131083:VSC131085 WBY131083:WBY131085 WLU131083:WLU131085 WVQ131083:WVQ131085 I196619:I196621 JE196619:JE196621 TA196619:TA196621 ACW196619:ACW196621 AMS196619:AMS196621 AWO196619:AWO196621 BGK196619:BGK196621 BQG196619:BQG196621 CAC196619:CAC196621 CJY196619:CJY196621 CTU196619:CTU196621 DDQ196619:DDQ196621 DNM196619:DNM196621 DXI196619:DXI196621 EHE196619:EHE196621 ERA196619:ERA196621 FAW196619:FAW196621 FKS196619:FKS196621 FUO196619:FUO196621 GEK196619:GEK196621 GOG196619:GOG196621 GYC196619:GYC196621 HHY196619:HHY196621 HRU196619:HRU196621 IBQ196619:IBQ196621 ILM196619:ILM196621 IVI196619:IVI196621 JFE196619:JFE196621 JPA196619:JPA196621 JYW196619:JYW196621 KIS196619:KIS196621 KSO196619:KSO196621 LCK196619:LCK196621 LMG196619:LMG196621 LWC196619:LWC196621 MFY196619:MFY196621 MPU196619:MPU196621 MZQ196619:MZQ196621 NJM196619:NJM196621 NTI196619:NTI196621 ODE196619:ODE196621 ONA196619:ONA196621 OWW196619:OWW196621 PGS196619:PGS196621 PQO196619:PQO196621 QAK196619:QAK196621 QKG196619:QKG196621 QUC196619:QUC196621 RDY196619:RDY196621 RNU196619:RNU196621 RXQ196619:RXQ196621 SHM196619:SHM196621 SRI196619:SRI196621 TBE196619:TBE196621 TLA196619:TLA196621 TUW196619:TUW196621 UES196619:UES196621 UOO196619:UOO196621 UYK196619:UYK196621 VIG196619:VIG196621 VSC196619:VSC196621 WBY196619:WBY196621 WLU196619:WLU196621 WVQ196619:WVQ196621 I262155:I262157 JE262155:JE262157 TA262155:TA262157 ACW262155:ACW262157 AMS262155:AMS262157 AWO262155:AWO262157 BGK262155:BGK262157 BQG262155:BQG262157 CAC262155:CAC262157 CJY262155:CJY262157 CTU262155:CTU262157 DDQ262155:DDQ262157 DNM262155:DNM262157 DXI262155:DXI262157 EHE262155:EHE262157 ERA262155:ERA262157 FAW262155:FAW262157 FKS262155:FKS262157 FUO262155:FUO262157 GEK262155:GEK262157 GOG262155:GOG262157 GYC262155:GYC262157 HHY262155:HHY262157 HRU262155:HRU262157 IBQ262155:IBQ262157 ILM262155:ILM262157 IVI262155:IVI262157 JFE262155:JFE262157 JPA262155:JPA262157 JYW262155:JYW262157 KIS262155:KIS262157 KSO262155:KSO262157 LCK262155:LCK262157 LMG262155:LMG262157 LWC262155:LWC262157 MFY262155:MFY262157 MPU262155:MPU262157 MZQ262155:MZQ262157 NJM262155:NJM262157 NTI262155:NTI262157 ODE262155:ODE262157 ONA262155:ONA262157 OWW262155:OWW262157 PGS262155:PGS262157 PQO262155:PQO262157 QAK262155:QAK262157 QKG262155:QKG262157 QUC262155:QUC262157 RDY262155:RDY262157 RNU262155:RNU262157 RXQ262155:RXQ262157 SHM262155:SHM262157 SRI262155:SRI262157 TBE262155:TBE262157 TLA262155:TLA262157 TUW262155:TUW262157 UES262155:UES262157 UOO262155:UOO262157 UYK262155:UYK262157 VIG262155:VIG262157 VSC262155:VSC262157 WBY262155:WBY262157 WLU262155:WLU262157 WVQ262155:WVQ262157 I327691:I327693 JE327691:JE327693 TA327691:TA327693 ACW327691:ACW327693 AMS327691:AMS327693 AWO327691:AWO327693 BGK327691:BGK327693 BQG327691:BQG327693 CAC327691:CAC327693 CJY327691:CJY327693 CTU327691:CTU327693 DDQ327691:DDQ327693 DNM327691:DNM327693 DXI327691:DXI327693 EHE327691:EHE327693 ERA327691:ERA327693 FAW327691:FAW327693 FKS327691:FKS327693 FUO327691:FUO327693 GEK327691:GEK327693 GOG327691:GOG327693 GYC327691:GYC327693 HHY327691:HHY327693 HRU327691:HRU327693 IBQ327691:IBQ327693 ILM327691:ILM327693 IVI327691:IVI327693 JFE327691:JFE327693 JPA327691:JPA327693 JYW327691:JYW327693 KIS327691:KIS327693 KSO327691:KSO327693 LCK327691:LCK327693 LMG327691:LMG327693 LWC327691:LWC327693 MFY327691:MFY327693 MPU327691:MPU327693 MZQ327691:MZQ327693 NJM327691:NJM327693 NTI327691:NTI327693 ODE327691:ODE327693 ONA327691:ONA327693 OWW327691:OWW327693 PGS327691:PGS327693 PQO327691:PQO327693 QAK327691:QAK327693 QKG327691:QKG327693 QUC327691:QUC327693 RDY327691:RDY327693 RNU327691:RNU327693 RXQ327691:RXQ327693 SHM327691:SHM327693 SRI327691:SRI327693 TBE327691:TBE327693 TLA327691:TLA327693 TUW327691:TUW327693 UES327691:UES327693 UOO327691:UOO327693 UYK327691:UYK327693 VIG327691:VIG327693 VSC327691:VSC327693 WBY327691:WBY327693 WLU327691:WLU327693 WVQ327691:WVQ327693 I393227:I393229 JE393227:JE393229 TA393227:TA393229 ACW393227:ACW393229 AMS393227:AMS393229 AWO393227:AWO393229 BGK393227:BGK393229 BQG393227:BQG393229 CAC393227:CAC393229 CJY393227:CJY393229 CTU393227:CTU393229 DDQ393227:DDQ393229 DNM393227:DNM393229 DXI393227:DXI393229 EHE393227:EHE393229 ERA393227:ERA393229 FAW393227:FAW393229 FKS393227:FKS393229 FUO393227:FUO393229 GEK393227:GEK393229 GOG393227:GOG393229 GYC393227:GYC393229 HHY393227:HHY393229 HRU393227:HRU393229 IBQ393227:IBQ393229 ILM393227:ILM393229 IVI393227:IVI393229 JFE393227:JFE393229 JPA393227:JPA393229 JYW393227:JYW393229 KIS393227:KIS393229 KSO393227:KSO393229 LCK393227:LCK393229 LMG393227:LMG393229 LWC393227:LWC393229 MFY393227:MFY393229 MPU393227:MPU393229 MZQ393227:MZQ393229 NJM393227:NJM393229 NTI393227:NTI393229 ODE393227:ODE393229 ONA393227:ONA393229 OWW393227:OWW393229 PGS393227:PGS393229 PQO393227:PQO393229 QAK393227:QAK393229 QKG393227:QKG393229 QUC393227:QUC393229 RDY393227:RDY393229 RNU393227:RNU393229 RXQ393227:RXQ393229 SHM393227:SHM393229 SRI393227:SRI393229 TBE393227:TBE393229 TLA393227:TLA393229 TUW393227:TUW393229 UES393227:UES393229 UOO393227:UOO393229 UYK393227:UYK393229 VIG393227:VIG393229 VSC393227:VSC393229 WBY393227:WBY393229 WLU393227:WLU393229 WVQ393227:WVQ393229 I458763:I458765 JE458763:JE458765 TA458763:TA458765 ACW458763:ACW458765 AMS458763:AMS458765 AWO458763:AWO458765 BGK458763:BGK458765 BQG458763:BQG458765 CAC458763:CAC458765 CJY458763:CJY458765 CTU458763:CTU458765 DDQ458763:DDQ458765 DNM458763:DNM458765 DXI458763:DXI458765 EHE458763:EHE458765 ERA458763:ERA458765 FAW458763:FAW458765 FKS458763:FKS458765 FUO458763:FUO458765 GEK458763:GEK458765 GOG458763:GOG458765 GYC458763:GYC458765 HHY458763:HHY458765 HRU458763:HRU458765 IBQ458763:IBQ458765 ILM458763:ILM458765 IVI458763:IVI458765 JFE458763:JFE458765 JPA458763:JPA458765 JYW458763:JYW458765 KIS458763:KIS458765 KSO458763:KSO458765 LCK458763:LCK458765 LMG458763:LMG458765 LWC458763:LWC458765 MFY458763:MFY458765 MPU458763:MPU458765 MZQ458763:MZQ458765 NJM458763:NJM458765 NTI458763:NTI458765 ODE458763:ODE458765 ONA458763:ONA458765 OWW458763:OWW458765 PGS458763:PGS458765 PQO458763:PQO458765 QAK458763:QAK458765 QKG458763:QKG458765 QUC458763:QUC458765 RDY458763:RDY458765 RNU458763:RNU458765 RXQ458763:RXQ458765 SHM458763:SHM458765 SRI458763:SRI458765 TBE458763:TBE458765 TLA458763:TLA458765 TUW458763:TUW458765 UES458763:UES458765 UOO458763:UOO458765 UYK458763:UYK458765 VIG458763:VIG458765 VSC458763:VSC458765 WBY458763:WBY458765 WLU458763:WLU458765 WVQ458763:WVQ458765 I524299:I524301 JE524299:JE524301 TA524299:TA524301 ACW524299:ACW524301 AMS524299:AMS524301 AWO524299:AWO524301 BGK524299:BGK524301 BQG524299:BQG524301 CAC524299:CAC524301 CJY524299:CJY524301 CTU524299:CTU524301 DDQ524299:DDQ524301 DNM524299:DNM524301 DXI524299:DXI524301 EHE524299:EHE524301 ERA524299:ERA524301 FAW524299:FAW524301 FKS524299:FKS524301 FUO524299:FUO524301 GEK524299:GEK524301 GOG524299:GOG524301 GYC524299:GYC524301 HHY524299:HHY524301 HRU524299:HRU524301 IBQ524299:IBQ524301 ILM524299:ILM524301 IVI524299:IVI524301 JFE524299:JFE524301 JPA524299:JPA524301 JYW524299:JYW524301 KIS524299:KIS524301 KSO524299:KSO524301 LCK524299:LCK524301 LMG524299:LMG524301 LWC524299:LWC524301 MFY524299:MFY524301 MPU524299:MPU524301 MZQ524299:MZQ524301 NJM524299:NJM524301 NTI524299:NTI524301 ODE524299:ODE524301 ONA524299:ONA524301 OWW524299:OWW524301 PGS524299:PGS524301 PQO524299:PQO524301 QAK524299:QAK524301 QKG524299:QKG524301 QUC524299:QUC524301 RDY524299:RDY524301 RNU524299:RNU524301 RXQ524299:RXQ524301 SHM524299:SHM524301 SRI524299:SRI524301 TBE524299:TBE524301 TLA524299:TLA524301 TUW524299:TUW524301 UES524299:UES524301 UOO524299:UOO524301 UYK524299:UYK524301 VIG524299:VIG524301 VSC524299:VSC524301 WBY524299:WBY524301 WLU524299:WLU524301 WVQ524299:WVQ524301 I589835:I589837 JE589835:JE589837 TA589835:TA589837 ACW589835:ACW589837 AMS589835:AMS589837 AWO589835:AWO589837 BGK589835:BGK589837 BQG589835:BQG589837 CAC589835:CAC589837 CJY589835:CJY589837 CTU589835:CTU589837 DDQ589835:DDQ589837 DNM589835:DNM589837 DXI589835:DXI589837 EHE589835:EHE589837 ERA589835:ERA589837 FAW589835:FAW589837 FKS589835:FKS589837 FUO589835:FUO589837 GEK589835:GEK589837 GOG589835:GOG589837 GYC589835:GYC589837 HHY589835:HHY589837 HRU589835:HRU589837 IBQ589835:IBQ589837 ILM589835:ILM589837 IVI589835:IVI589837 JFE589835:JFE589837 JPA589835:JPA589837 JYW589835:JYW589837 KIS589835:KIS589837 KSO589835:KSO589837 LCK589835:LCK589837 LMG589835:LMG589837 LWC589835:LWC589837 MFY589835:MFY589837 MPU589835:MPU589837 MZQ589835:MZQ589837 NJM589835:NJM589837 NTI589835:NTI589837 ODE589835:ODE589837 ONA589835:ONA589837 OWW589835:OWW589837 PGS589835:PGS589837 PQO589835:PQO589837 QAK589835:QAK589837 QKG589835:QKG589837 QUC589835:QUC589837 RDY589835:RDY589837 RNU589835:RNU589837 RXQ589835:RXQ589837 SHM589835:SHM589837 SRI589835:SRI589837 TBE589835:TBE589837 TLA589835:TLA589837 TUW589835:TUW589837 UES589835:UES589837 UOO589835:UOO589837 UYK589835:UYK589837 VIG589835:VIG589837 VSC589835:VSC589837 WBY589835:WBY589837 WLU589835:WLU589837 WVQ589835:WVQ589837 I655371:I655373 JE655371:JE655373 TA655371:TA655373 ACW655371:ACW655373 AMS655371:AMS655373 AWO655371:AWO655373 BGK655371:BGK655373 BQG655371:BQG655373 CAC655371:CAC655373 CJY655371:CJY655373 CTU655371:CTU655373 DDQ655371:DDQ655373 DNM655371:DNM655373 DXI655371:DXI655373 EHE655371:EHE655373 ERA655371:ERA655373 FAW655371:FAW655373 FKS655371:FKS655373 FUO655371:FUO655373 GEK655371:GEK655373 GOG655371:GOG655373 GYC655371:GYC655373 HHY655371:HHY655373 HRU655371:HRU655373 IBQ655371:IBQ655373 ILM655371:ILM655373 IVI655371:IVI655373 JFE655371:JFE655373 JPA655371:JPA655373 JYW655371:JYW655373 KIS655371:KIS655373 KSO655371:KSO655373 LCK655371:LCK655373 LMG655371:LMG655373 LWC655371:LWC655373 MFY655371:MFY655373 MPU655371:MPU655373 MZQ655371:MZQ655373 NJM655371:NJM655373 NTI655371:NTI655373 ODE655371:ODE655373 ONA655371:ONA655373 OWW655371:OWW655373 PGS655371:PGS655373 PQO655371:PQO655373 QAK655371:QAK655373 QKG655371:QKG655373 QUC655371:QUC655373 RDY655371:RDY655373 RNU655371:RNU655373 RXQ655371:RXQ655373 SHM655371:SHM655373 SRI655371:SRI655373 TBE655371:TBE655373 TLA655371:TLA655373 TUW655371:TUW655373 UES655371:UES655373 UOO655371:UOO655373 UYK655371:UYK655373 VIG655371:VIG655373 VSC655371:VSC655373 WBY655371:WBY655373 WLU655371:WLU655373 WVQ655371:WVQ655373 I720907:I720909 JE720907:JE720909 TA720907:TA720909 ACW720907:ACW720909 AMS720907:AMS720909 AWO720907:AWO720909 BGK720907:BGK720909 BQG720907:BQG720909 CAC720907:CAC720909 CJY720907:CJY720909 CTU720907:CTU720909 DDQ720907:DDQ720909 DNM720907:DNM720909 DXI720907:DXI720909 EHE720907:EHE720909 ERA720907:ERA720909 FAW720907:FAW720909 FKS720907:FKS720909 FUO720907:FUO720909 GEK720907:GEK720909 GOG720907:GOG720909 GYC720907:GYC720909 HHY720907:HHY720909 HRU720907:HRU720909 IBQ720907:IBQ720909 ILM720907:ILM720909 IVI720907:IVI720909 JFE720907:JFE720909 JPA720907:JPA720909 JYW720907:JYW720909 KIS720907:KIS720909 KSO720907:KSO720909 LCK720907:LCK720909 LMG720907:LMG720909 LWC720907:LWC720909 MFY720907:MFY720909 MPU720907:MPU720909 MZQ720907:MZQ720909 NJM720907:NJM720909 NTI720907:NTI720909 ODE720907:ODE720909 ONA720907:ONA720909 OWW720907:OWW720909 PGS720907:PGS720909 PQO720907:PQO720909 QAK720907:QAK720909 QKG720907:QKG720909 QUC720907:QUC720909 RDY720907:RDY720909 RNU720907:RNU720909 RXQ720907:RXQ720909 SHM720907:SHM720909 SRI720907:SRI720909 TBE720907:TBE720909 TLA720907:TLA720909 TUW720907:TUW720909 UES720907:UES720909 UOO720907:UOO720909 UYK720907:UYK720909 VIG720907:VIG720909 VSC720907:VSC720909 WBY720907:WBY720909 WLU720907:WLU720909 WVQ720907:WVQ720909 I786443:I786445 JE786443:JE786445 TA786443:TA786445 ACW786443:ACW786445 AMS786443:AMS786445 AWO786443:AWO786445 BGK786443:BGK786445 BQG786443:BQG786445 CAC786443:CAC786445 CJY786443:CJY786445 CTU786443:CTU786445 DDQ786443:DDQ786445 DNM786443:DNM786445 DXI786443:DXI786445 EHE786443:EHE786445 ERA786443:ERA786445 FAW786443:FAW786445 FKS786443:FKS786445 FUO786443:FUO786445 GEK786443:GEK786445 GOG786443:GOG786445 GYC786443:GYC786445 HHY786443:HHY786445 HRU786443:HRU786445 IBQ786443:IBQ786445 ILM786443:ILM786445 IVI786443:IVI786445 JFE786443:JFE786445 JPA786443:JPA786445 JYW786443:JYW786445 KIS786443:KIS786445 KSO786443:KSO786445 LCK786443:LCK786445 LMG786443:LMG786445 LWC786443:LWC786445 MFY786443:MFY786445 MPU786443:MPU786445 MZQ786443:MZQ786445 NJM786443:NJM786445 NTI786443:NTI786445 ODE786443:ODE786445 ONA786443:ONA786445 OWW786443:OWW786445 PGS786443:PGS786445 PQO786443:PQO786445 QAK786443:QAK786445 QKG786443:QKG786445 QUC786443:QUC786445 RDY786443:RDY786445 RNU786443:RNU786445 RXQ786443:RXQ786445 SHM786443:SHM786445 SRI786443:SRI786445 TBE786443:TBE786445 TLA786443:TLA786445 TUW786443:TUW786445 UES786443:UES786445 UOO786443:UOO786445 UYK786443:UYK786445 VIG786443:VIG786445 VSC786443:VSC786445 WBY786443:WBY786445 WLU786443:WLU786445 WVQ786443:WVQ786445 I851979:I851981 JE851979:JE851981 TA851979:TA851981 ACW851979:ACW851981 AMS851979:AMS851981 AWO851979:AWO851981 BGK851979:BGK851981 BQG851979:BQG851981 CAC851979:CAC851981 CJY851979:CJY851981 CTU851979:CTU851981 DDQ851979:DDQ851981 DNM851979:DNM851981 DXI851979:DXI851981 EHE851979:EHE851981 ERA851979:ERA851981 FAW851979:FAW851981 FKS851979:FKS851981 FUO851979:FUO851981 GEK851979:GEK851981 GOG851979:GOG851981 GYC851979:GYC851981 HHY851979:HHY851981 HRU851979:HRU851981 IBQ851979:IBQ851981 ILM851979:ILM851981 IVI851979:IVI851981 JFE851979:JFE851981 JPA851979:JPA851981 JYW851979:JYW851981 KIS851979:KIS851981 KSO851979:KSO851981 LCK851979:LCK851981 LMG851979:LMG851981 LWC851979:LWC851981 MFY851979:MFY851981 MPU851979:MPU851981 MZQ851979:MZQ851981 NJM851979:NJM851981 NTI851979:NTI851981 ODE851979:ODE851981 ONA851979:ONA851981 OWW851979:OWW851981 PGS851979:PGS851981 PQO851979:PQO851981 QAK851979:QAK851981 QKG851979:QKG851981 QUC851979:QUC851981 RDY851979:RDY851981 RNU851979:RNU851981 RXQ851979:RXQ851981 SHM851979:SHM851981 SRI851979:SRI851981 TBE851979:TBE851981 TLA851979:TLA851981 TUW851979:TUW851981 UES851979:UES851981 UOO851979:UOO851981 UYK851979:UYK851981 VIG851979:VIG851981 VSC851979:VSC851981 WBY851979:WBY851981 WLU851979:WLU851981 WVQ851979:WVQ851981 I917515:I917517 JE917515:JE917517 TA917515:TA917517 ACW917515:ACW917517 AMS917515:AMS917517 AWO917515:AWO917517 BGK917515:BGK917517 BQG917515:BQG917517 CAC917515:CAC917517 CJY917515:CJY917517 CTU917515:CTU917517 DDQ917515:DDQ917517 DNM917515:DNM917517 DXI917515:DXI917517 EHE917515:EHE917517 ERA917515:ERA917517 FAW917515:FAW917517 FKS917515:FKS917517 FUO917515:FUO917517 GEK917515:GEK917517 GOG917515:GOG917517 GYC917515:GYC917517 HHY917515:HHY917517 HRU917515:HRU917517 IBQ917515:IBQ917517 ILM917515:ILM917517 IVI917515:IVI917517 JFE917515:JFE917517 JPA917515:JPA917517 JYW917515:JYW917517 KIS917515:KIS917517 KSO917515:KSO917517 LCK917515:LCK917517 LMG917515:LMG917517 LWC917515:LWC917517 MFY917515:MFY917517 MPU917515:MPU917517 MZQ917515:MZQ917517 NJM917515:NJM917517 NTI917515:NTI917517 ODE917515:ODE917517 ONA917515:ONA917517 OWW917515:OWW917517 PGS917515:PGS917517 PQO917515:PQO917517 QAK917515:QAK917517 QKG917515:QKG917517 QUC917515:QUC917517 RDY917515:RDY917517 RNU917515:RNU917517 RXQ917515:RXQ917517 SHM917515:SHM917517 SRI917515:SRI917517 TBE917515:TBE917517 TLA917515:TLA917517 TUW917515:TUW917517 UES917515:UES917517 UOO917515:UOO917517 UYK917515:UYK917517 VIG917515:VIG917517 VSC917515:VSC917517 WBY917515:WBY917517 WLU917515:WLU917517 WVQ917515:WVQ917517 I983051:I983053 JE983051:JE983053 TA983051:TA983053 ACW983051:ACW983053 AMS983051:AMS983053 AWO983051:AWO983053 BGK983051:BGK983053 BQG983051:BQG983053 CAC983051:CAC983053 CJY983051:CJY983053 CTU983051:CTU983053 DDQ983051:DDQ983053 DNM983051:DNM983053 DXI983051:DXI983053 EHE983051:EHE983053 ERA983051:ERA983053 FAW983051:FAW983053 FKS983051:FKS983053 FUO983051:FUO983053 GEK983051:GEK983053 GOG983051:GOG983053 GYC983051:GYC983053 HHY983051:HHY983053 HRU983051:HRU983053 IBQ983051:IBQ983053 ILM983051:ILM983053 IVI983051:IVI983053 JFE983051:JFE983053 JPA983051:JPA983053 JYW983051:JYW983053 KIS983051:KIS983053 KSO983051:KSO983053 LCK983051:LCK983053 LMG983051:LMG983053 LWC983051:LWC983053 MFY983051:MFY983053 MPU983051:MPU983053 MZQ983051:MZQ983053 NJM983051:NJM983053 NTI983051:NTI983053 ODE983051:ODE983053 ONA983051:ONA983053 OWW983051:OWW983053 PGS983051:PGS983053 PQO983051:PQO983053 QAK983051:QAK983053 QKG983051:QKG983053 QUC983051:QUC983053 RDY983051:RDY983053 RNU983051:RNU983053 RXQ983051:RXQ983053 SHM983051:SHM983053 SRI983051:SRI983053 TBE983051:TBE983053 TLA983051:TLA983053 TUW983051:TUW983053 UES983051:UES983053 UOO983051:UOO983053 UYK983051:UYK983053 VIG983051:VIG983053 VSC983051:VSC983053 WBY983051:WBY983053 WLU983051:WLU983053 I8:I13">
      <formula1>$X$23:$X$24</formula1>
    </dataValidation>
    <dataValidation type="list" allowBlank="1" showInputMessage="1" showErrorMessage="1" sqref="WVO983051:WVO983053 JC8:JC13 SY8:SY13 ACU8:ACU13 AMQ8:AMQ13 AWM8:AWM13 BGI8:BGI13 BQE8:BQE13 CAA8:CAA13 CJW8:CJW13 CTS8:CTS13 DDO8:DDO13 DNK8:DNK13 DXG8:DXG13 EHC8:EHC13 EQY8:EQY13 FAU8:FAU13 FKQ8:FKQ13 FUM8:FUM13 GEI8:GEI13 GOE8:GOE13 GYA8:GYA13 HHW8:HHW13 HRS8:HRS13 IBO8:IBO13 ILK8:ILK13 IVG8:IVG13 JFC8:JFC13 JOY8:JOY13 JYU8:JYU13 KIQ8:KIQ13 KSM8:KSM13 LCI8:LCI13 LME8:LME13 LWA8:LWA13 MFW8:MFW13 MPS8:MPS13 MZO8:MZO13 NJK8:NJK13 NTG8:NTG13 ODC8:ODC13 OMY8:OMY13 OWU8:OWU13 PGQ8:PGQ13 PQM8:PQM13 QAI8:QAI13 QKE8:QKE13 QUA8:QUA13 RDW8:RDW13 RNS8:RNS13 RXO8:RXO13 SHK8:SHK13 SRG8:SRG13 TBC8:TBC13 TKY8:TKY13 TUU8:TUU13 UEQ8:UEQ13 UOM8:UOM13 UYI8:UYI13 VIE8:VIE13 VSA8:VSA13 WBW8:WBW13 WLS8:WLS13 WVO8:WVO13 G65547:G65549 JC65547:JC65549 SY65547:SY65549 ACU65547:ACU65549 AMQ65547:AMQ65549 AWM65547:AWM65549 BGI65547:BGI65549 BQE65547:BQE65549 CAA65547:CAA65549 CJW65547:CJW65549 CTS65547:CTS65549 DDO65547:DDO65549 DNK65547:DNK65549 DXG65547:DXG65549 EHC65547:EHC65549 EQY65547:EQY65549 FAU65547:FAU65549 FKQ65547:FKQ65549 FUM65547:FUM65549 GEI65547:GEI65549 GOE65547:GOE65549 GYA65547:GYA65549 HHW65547:HHW65549 HRS65547:HRS65549 IBO65547:IBO65549 ILK65547:ILK65549 IVG65547:IVG65549 JFC65547:JFC65549 JOY65547:JOY65549 JYU65547:JYU65549 KIQ65547:KIQ65549 KSM65547:KSM65549 LCI65547:LCI65549 LME65547:LME65549 LWA65547:LWA65549 MFW65547:MFW65549 MPS65547:MPS65549 MZO65547:MZO65549 NJK65547:NJK65549 NTG65547:NTG65549 ODC65547:ODC65549 OMY65547:OMY65549 OWU65547:OWU65549 PGQ65547:PGQ65549 PQM65547:PQM65549 QAI65547:QAI65549 QKE65547:QKE65549 QUA65547:QUA65549 RDW65547:RDW65549 RNS65547:RNS65549 RXO65547:RXO65549 SHK65547:SHK65549 SRG65547:SRG65549 TBC65547:TBC65549 TKY65547:TKY65549 TUU65547:TUU65549 UEQ65547:UEQ65549 UOM65547:UOM65549 UYI65547:UYI65549 VIE65547:VIE65549 VSA65547:VSA65549 WBW65547:WBW65549 WLS65547:WLS65549 WVO65547:WVO65549 G131083:G131085 JC131083:JC131085 SY131083:SY131085 ACU131083:ACU131085 AMQ131083:AMQ131085 AWM131083:AWM131085 BGI131083:BGI131085 BQE131083:BQE131085 CAA131083:CAA131085 CJW131083:CJW131085 CTS131083:CTS131085 DDO131083:DDO131085 DNK131083:DNK131085 DXG131083:DXG131085 EHC131083:EHC131085 EQY131083:EQY131085 FAU131083:FAU131085 FKQ131083:FKQ131085 FUM131083:FUM131085 GEI131083:GEI131085 GOE131083:GOE131085 GYA131083:GYA131085 HHW131083:HHW131085 HRS131083:HRS131085 IBO131083:IBO131085 ILK131083:ILK131085 IVG131083:IVG131085 JFC131083:JFC131085 JOY131083:JOY131085 JYU131083:JYU131085 KIQ131083:KIQ131085 KSM131083:KSM131085 LCI131083:LCI131085 LME131083:LME131085 LWA131083:LWA131085 MFW131083:MFW131085 MPS131083:MPS131085 MZO131083:MZO131085 NJK131083:NJK131085 NTG131083:NTG131085 ODC131083:ODC131085 OMY131083:OMY131085 OWU131083:OWU131085 PGQ131083:PGQ131085 PQM131083:PQM131085 QAI131083:QAI131085 QKE131083:QKE131085 QUA131083:QUA131085 RDW131083:RDW131085 RNS131083:RNS131085 RXO131083:RXO131085 SHK131083:SHK131085 SRG131083:SRG131085 TBC131083:TBC131085 TKY131083:TKY131085 TUU131083:TUU131085 UEQ131083:UEQ131085 UOM131083:UOM131085 UYI131083:UYI131085 VIE131083:VIE131085 VSA131083:VSA131085 WBW131083:WBW131085 WLS131083:WLS131085 WVO131083:WVO131085 G196619:G196621 JC196619:JC196621 SY196619:SY196621 ACU196619:ACU196621 AMQ196619:AMQ196621 AWM196619:AWM196621 BGI196619:BGI196621 BQE196619:BQE196621 CAA196619:CAA196621 CJW196619:CJW196621 CTS196619:CTS196621 DDO196619:DDO196621 DNK196619:DNK196621 DXG196619:DXG196621 EHC196619:EHC196621 EQY196619:EQY196621 FAU196619:FAU196621 FKQ196619:FKQ196621 FUM196619:FUM196621 GEI196619:GEI196621 GOE196619:GOE196621 GYA196619:GYA196621 HHW196619:HHW196621 HRS196619:HRS196621 IBO196619:IBO196621 ILK196619:ILK196621 IVG196619:IVG196621 JFC196619:JFC196621 JOY196619:JOY196621 JYU196619:JYU196621 KIQ196619:KIQ196621 KSM196619:KSM196621 LCI196619:LCI196621 LME196619:LME196621 LWA196619:LWA196621 MFW196619:MFW196621 MPS196619:MPS196621 MZO196619:MZO196621 NJK196619:NJK196621 NTG196619:NTG196621 ODC196619:ODC196621 OMY196619:OMY196621 OWU196619:OWU196621 PGQ196619:PGQ196621 PQM196619:PQM196621 QAI196619:QAI196621 QKE196619:QKE196621 QUA196619:QUA196621 RDW196619:RDW196621 RNS196619:RNS196621 RXO196619:RXO196621 SHK196619:SHK196621 SRG196619:SRG196621 TBC196619:TBC196621 TKY196619:TKY196621 TUU196619:TUU196621 UEQ196619:UEQ196621 UOM196619:UOM196621 UYI196619:UYI196621 VIE196619:VIE196621 VSA196619:VSA196621 WBW196619:WBW196621 WLS196619:WLS196621 WVO196619:WVO196621 G262155:G262157 JC262155:JC262157 SY262155:SY262157 ACU262155:ACU262157 AMQ262155:AMQ262157 AWM262155:AWM262157 BGI262155:BGI262157 BQE262155:BQE262157 CAA262155:CAA262157 CJW262155:CJW262157 CTS262155:CTS262157 DDO262155:DDO262157 DNK262155:DNK262157 DXG262155:DXG262157 EHC262155:EHC262157 EQY262155:EQY262157 FAU262155:FAU262157 FKQ262155:FKQ262157 FUM262155:FUM262157 GEI262155:GEI262157 GOE262155:GOE262157 GYA262155:GYA262157 HHW262155:HHW262157 HRS262155:HRS262157 IBO262155:IBO262157 ILK262155:ILK262157 IVG262155:IVG262157 JFC262155:JFC262157 JOY262155:JOY262157 JYU262155:JYU262157 KIQ262155:KIQ262157 KSM262155:KSM262157 LCI262155:LCI262157 LME262155:LME262157 LWA262155:LWA262157 MFW262155:MFW262157 MPS262155:MPS262157 MZO262155:MZO262157 NJK262155:NJK262157 NTG262155:NTG262157 ODC262155:ODC262157 OMY262155:OMY262157 OWU262155:OWU262157 PGQ262155:PGQ262157 PQM262155:PQM262157 QAI262155:QAI262157 QKE262155:QKE262157 QUA262155:QUA262157 RDW262155:RDW262157 RNS262155:RNS262157 RXO262155:RXO262157 SHK262155:SHK262157 SRG262155:SRG262157 TBC262155:TBC262157 TKY262155:TKY262157 TUU262155:TUU262157 UEQ262155:UEQ262157 UOM262155:UOM262157 UYI262155:UYI262157 VIE262155:VIE262157 VSA262155:VSA262157 WBW262155:WBW262157 WLS262155:WLS262157 WVO262155:WVO262157 G327691:G327693 JC327691:JC327693 SY327691:SY327693 ACU327691:ACU327693 AMQ327691:AMQ327693 AWM327691:AWM327693 BGI327691:BGI327693 BQE327691:BQE327693 CAA327691:CAA327693 CJW327691:CJW327693 CTS327691:CTS327693 DDO327691:DDO327693 DNK327691:DNK327693 DXG327691:DXG327693 EHC327691:EHC327693 EQY327691:EQY327693 FAU327691:FAU327693 FKQ327691:FKQ327693 FUM327691:FUM327693 GEI327691:GEI327693 GOE327691:GOE327693 GYA327691:GYA327693 HHW327691:HHW327693 HRS327691:HRS327693 IBO327691:IBO327693 ILK327691:ILK327693 IVG327691:IVG327693 JFC327691:JFC327693 JOY327691:JOY327693 JYU327691:JYU327693 KIQ327691:KIQ327693 KSM327691:KSM327693 LCI327691:LCI327693 LME327691:LME327693 LWA327691:LWA327693 MFW327691:MFW327693 MPS327691:MPS327693 MZO327691:MZO327693 NJK327691:NJK327693 NTG327691:NTG327693 ODC327691:ODC327693 OMY327691:OMY327693 OWU327691:OWU327693 PGQ327691:PGQ327693 PQM327691:PQM327693 QAI327691:QAI327693 QKE327691:QKE327693 QUA327691:QUA327693 RDW327691:RDW327693 RNS327691:RNS327693 RXO327691:RXO327693 SHK327691:SHK327693 SRG327691:SRG327693 TBC327691:TBC327693 TKY327691:TKY327693 TUU327691:TUU327693 UEQ327691:UEQ327693 UOM327691:UOM327693 UYI327691:UYI327693 VIE327691:VIE327693 VSA327691:VSA327693 WBW327691:WBW327693 WLS327691:WLS327693 WVO327691:WVO327693 G393227:G393229 JC393227:JC393229 SY393227:SY393229 ACU393227:ACU393229 AMQ393227:AMQ393229 AWM393227:AWM393229 BGI393227:BGI393229 BQE393227:BQE393229 CAA393227:CAA393229 CJW393227:CJW393229 CTS393227:CTS393229 DDO393227:DDO393229 DNK393227:DNK393229 DXG393227:DXG393229 EHC393227:EHC393229 EQY393227:EQY393229 FAU393227:FAU393229 FKQ393227:FKQ393229 FUM393227:FUM393229 GEI393227:GEI393229 GOE393227:GOE393229 GYA393227:GYA393229 HHW393227:HHW393229 HRS393227:HRS393229 IBO393227:IBO393229 ILK393227:ILK393229 IVG393227:IVG393229 JFC393227:JFC393229 JOY393227:JOY393229 JYU393227:JYU393229 KIQ393227:KIQ393229 KSM393227:KSM393229 LCI393227:LCI393229 LME393227:LME393229 LWA393227:LWA393229 MFW393227:MFW393229 MPS393227:MPS393229 MZO393227:MZO393229 NJK393227:NJK393229 NTG393227:NTG393229 ODC393227:ODC393229 OMY393227:OMY393229 OWU393227:OWU393229 PGQ393227:PGQ393229 PQM393227:PQM393229 QAI393227:QAI393229 QKE393227:QKE393229 QUA393227:QUA393229 RDW393227:RDW393229 RNS393227:RNS393229 RXO393227:RXO393229 SHK393227:SHK393229 SRG393227:SRG393229 TBC393227:TBC393229 TKY393227:TKY393229 TUU393227:TUU393229 UEQ393227:UEQ393229 UOM393227:UOM393229 UYI393227:UYI393229 VIE393227:VIE393229 VSA393227:VSA393229 WBW393227:WBW393229 WLS393227:WLS393229 WVO393227:WVO393229 G458763:G458765 JC458763:JC458765 SY458763:SY458765 ACU458763:ACU458765 AMQ458763:AMQ458765 AWM458763:AWM458765 BGI458763:BGI458765 BQE458763:BQE458765 CAA458763:CAA458765 CJW458763:CJW458765 CTS458763:CTS458765 DDO458763:DDO458765 DNK458763:DNK458765 DXG458763:DXG458765 EHC458763:EHC458765 EQY458763:EQY458765 FAU458763:FAU458765 FKQ458763:FKQ458765 FUM458763:FUM458765 GEI458763:GEI458765 GOE458763:GOE458765 GYA458763:GYA458765 HHW458763:HHW458765 HRS458763:HRS458765 IBO458763:IBO458765 ILK458763:ILK458765 IVG458763:IVG458765 JFC458763:JFC458765 JOY458763:JOY458765 JYU458763:JYU458765 KIQ458763:KIQ458765 KSM458763:KSM458765 LCI458763:LCI458765 LME458763:LME458765 LWA458763:LWA458765 MFW458763:MFW458765 MPS458763:MPS458765 MZO458763:MZO458765 NJK458763:NJK458765 NTG458763:NTG458765 ODC458763:ODC458765 OMY458763:OMY458765 OWU458763:OWU458765 PGQ458763:PGQ458765 PQM458763:PQM458765 QAI458763:QAI458765 QKE458763:QKE458765 QUA458763:QUA458765 RDW458763:RDW458765 RNS458763:RNS458765 RXO458763:RXO458765 SHK458763:SHK458765 SRG458763:SRG458765 TBC458763:TBC458765 TKY458763:TKY458765 TUU458763:TUU458765 UEQ458763:UEQ458765 UOM458763:UOM458765 UYI458763:UYI458765 VIE458763:VIE458765 VSA458763:VSA458765 WBW458763:WBW458765 WLS458763:WLS458765 WVO458763:WVO458765 G524299:G524301 JC524299:JC524301 SY524299:SY524301 ACU524299:ACU524301 AMQ524299:AMQ524301 AWM524299:AWM524301 BGI524299:BGI524301 BQE524299:BQE524301 CAA524299:CAA524301 CJW524299:CJW524301 CTS524299:CTS524301 DDO524299:DDO524301 DNK524299:DNK524301 DXG524299:DXG524301 EHC524299:EHC524301 EQY524299:EQY524301 FAU524299:FAU524301 FKQ524299:FKQ524301 FUM524299:FUM524301 GEI524299:GEI524301 GOE524299:GOE524301 GYA524299:GYA524301 HHW524299:HHW524301 HRS524299:HRS524301 IBO524299:IBO524301 ILK524299:ILK524301 IVG524299:IVG524301 JFC524299:JFC524301 JOY524299:JOY524301 JYU524299:JYU524301 KIQ524299:KIQ524301 KSM524299:KSM524301 LCI524299:LCI524301 LME524299:LME524301 LWA524299:LWA524301 MFW524299:MFW524301 MPS524299:MPS524301 MZO524299:MZO524301 NJK524299:NJK524301 NTG524299:NTG524301 ODC524299:ODC524301 OMY524299:OMY524301 OWU524299:OWU524301 PGQ524299:PGQ524301 PQM524299:PQM524301 QAI524299:QAI524301 QKE524299:QKE524301 QUA524299:QUA524301 RDW524299:RDW524301 RNS524299:RNS524301 RXO524299:RXO524301 SHK524299:SHK524301 SRG524299:SRG524301 TBC524299:TBC524301 TKY524299:TKY524301 TUU524299:TUU524301 UEQ524299:UEQ524301 UOM524299:UOM524301 UYI524299:UYI524301 VIE524299:VIE524301 VSA524299:VSA524301 WBW524299:WBW524301 WLS524299:WLS524301 WVO524299:WVO524301 G589835:G589837 JC589835:JC589837 SY589835:SY589837 ACU589835:ACU589837 AMQ589835:AMQ589837 AWM589835:AWM589837 BGI589835:BGI589837 BQE589835:BQE589837 CAA589835:CAA589837 CJW589835:CJW589837 CTS589835:CTS589837 DDO589835:DDO589837 DNK589835:DNK589837 DXG589835:DXG589837 EHC589835:EHC589837 EQY589835:EQY589837 FAU589835:FAU589837 FKQ589835:FKQ589837 FUM589835:FUM589837 GEI589835:GEI589837 GOE589835:GOE589837 GYA589835:GYA589837 HHW589835:HHW589837 HRS589835:HRS589837 IBO589835:IBO589837 ILK589835:ILK589837 IVG589835:IVG589837 JFC589835:JFC589837 JOY589835:JOY589837 JYU589835:JYU589837 KIQ589835:KIQ589837 KSM589835:KSM589837 LCI589835:LCI589837 LME589835:LME589837 LWA589835:LWA589837 MFW589835:MFW589837 MPS589835:MPS589837 MZO589835:MZO589837 NJK589835:NJK589837 NTG589835:NTG589837 ODC589835:ODC589837 OMY589835:OMY589837 OWU589835:OWU589837 PGQ589835:PGQ589837 PQM589835:PQM589837 QAI589835:QAI589837 QKE589835:QKE589837 QUA589835:QUA589837 RDW589835:RDW589837 RNS589835:RNS589837 RXO589835:RXO589837 SHK589835:SHK589837 SRG589835:SRG589837 TBC589835:TBC589837 TKY589835:TKY589837 TUU589835:TUU589837 UEQ589835:UEQ589837 UOM589835:UOM589837 UYI589835:UYI589837 VIE589835:VIE589837 VSA589835:VSA589837 WBW589835:WBW589837 WLS589835:WLS589837 WVO589835:WVO589837 G655371:G655373 JC655371:JC655373 SY655371:SY655373 ACU655371:ACU655373 AMQ655371:AMQ655373 AWM655371:AWM655373 BGI655371:BGI655373 BQE655371:BQE655373 CAA655371:CAA655373 CJW655371:CJW655373 CTS655371:CTS655373 DDO655371:DDO655373 DNK655371:DNK655373 DXG655371:DXG655373 EHC655371:EHC655373 EQY655371:EQY655373 FAU655371:FAU655373 FKQ655371:FKQ655373 FUM655371:FUM655373 GEI655371:GEI655373 GOE655371:GOE655373 GYA655371:GYA655373 HHW655371:HHW655373 HRS655371:HRS655373 IBO655371:IBO655373 ILK655371:ILK655373 IVG655371:IVG655373 JFC655371:JFC655373 JOY655371:JOY655373 JYU655371:JYU655373 KIQ655371:KIQ655373 KSM655371:KSM655373 LCI655371:LCI655373 LME655371:LME655373 LWA655371:LWA655373 MFW655371:MFW655373 MPS655371:MPS655373 MZO655371:MZO655373 NJK655371:NJK655373 NTG655371:NTG655373 ODC655371:ODC655373 OMY655371:OMY655373 OWU655371:OWU655373 PGQ655371:PGQ655373 PQM655371:PQM655373 QAI655371:QAI655373 QKE655371:QKE655373 QUA655371:QUA655373 RDW655371:RDW655373 RNS655371:RNS655373 RXO655371:RXO655373 SHK655371:SHK655373 SRG655371:SRG655373 TBC655371:TBC655373 TKY655371:TKY655373 TUU655371:TUU655373 UEQ655371:UEQ655373 UOM655371:UOM655373 UYI655371:UYI655373 VIE655371:VIE655373 VSA655371:VSA655373 WBW655371:WBW655373 WLS655371:WLS655373 WVO655371:WVO655373 G720907:G720909 JC720907:JC720909 SY720907:SY720909 ACU720907:ACU720909 AMQ720907:AMQ720909 AWM720907:AWM720909 BGI720907:BGI720909 BQE720907:BQE720909 CAA720907:CAA720909 CJW720907:CJW720909 CTS720907:CTS720909 DDO720907:DDO720909 DNK720907:DNK720909 DXG720907:DXG720909 EHC720907:EHC720909 EQY720907:EQY720909 FAU720907:FAU720909 FKQ720907:FKQ720909 FUM720907:FUM720909 GEI720907:GEI720909 GOE720907:GOE720909 GYA720907:GYA720909 HHW720907:HHW720909 HRS720907:HRS720909 IBO720907:IBO720909 ILK720907:ILK720909 IVG720907:IVG720909 JFC720907:JFC720909 JOY720907:JOY720909 JYU720907:JYU720909 KIQ720907:KIQ720909 KSM720907:KSM720909 LCI720907:LCI720909 LME720907:LME720909 LWA720907:LWA720909 MFW720907:MFW720909 MPS720907:MPS720909 MZO720907:MZO720909 NJK720907:NJK720909 NTG720907:NTG720909 ODC720907:ODC720909 OMY720907:OMY720909 OWU720907:OWU720909 PGQ720907:PGQ720909 PQM720907:PQM720909 QAI720907:QAI720909 QKE720907:QKE720909 QUA720907:QUA720909 RDW720907:RDW720909 RNS720907:RNS720909 RXO720907:RXO720909 SHK720907:SHK720909 SRG720907:SRG720909 TBC720907:TBC720909 TKY720907:TKY720909 TUU720907:TUU720909 UEQ720907:UEQ720909 UOM720907:UOM720909 UYI720907:UYI720909 VIE720907:VIE720909 VSA720907:VSA720909 WBW720907:WBW720909 WLS720907:WLS720909 WVO720907:WVO720909 G786443:G786445 JC786443:JC786445 SY786443:SY786445 ACU786443:ACU786445 AMQ786443:AMQ786445 AWM786443:AWM786445 BGI786443:BGI786445 BQE786443:BQE786445 CAA786443:CAA786445 CJW786443:CJW786445 CTS786443:CTS786445 DDO786443:DDO786445 DNK786443:DNK786445 DXG786443:DXG786445 EHC786443:EHC786445 EQY786443:EQY786445 FAU786443:FAU786445 FKQ786443:FKQ786445 FUM786443:FUM786445 GEI786443:GEI786445 GOE786443:GOE786445 GYA786443:GYA786445 HHW786443:HHW786445 HRS786443:HRS786445 IBO786443:IBO786445 ILK786443:ILK786445 IVG786443:IVG786445 JFC786443:JFC786445 JOY786443:JOY786445 JYU786443:JYU786445 KIQ786443:KIQ786445 KSM786443:KSM786445 LCI786443:LCI786445 LME786443:LME786445 LWA786443:LWA786445 MFW786443:MFW786445 MPS786443:MPS786445 MZO786443:MZO786445 NJK786443:NJK786445 NTG786443:NTG786445 ODC786443:ODC786445 OMY786443:OMY786445 OWU786443:OWU786445 PGQ786443:PGQ786445 PQM786443:PQM786445 QAI786443:QAI786445 QKE786443:QKE786445 QUA786443:QUA786445 RDW786443:RDW786445 RNS786443:RNS786445 RXO786443:RXO786445 SHK786443:SHK786445 SRG786443:SRG786445 TBC786443:TBC786445 TKY786443:TKY786445 TUU786443:TUU786445 UEQ786443:UEQ786445 UOM786443:UOM786445 UYI786443:UYI786445 VIE786443:VIE786445 VSA786443:VSA786445 WBW786443:WBW786445 WLS786443:WLS786445 WVO786443:WVO786445 G851979:G851981 JC851979:JC851981 SY851979:SY851981 ACU851979:ACU851981 AMQ851979:AMQ851981 AWM851979:AWM851981 BGI851979:BGI851981 BQE851979:BQE851981 CAA851979:CAA851981 CJW851979:CJW851981 CTS851979:CTS851981 DDO851979:DDO851981 DNK851979:DNK851981 DXG851979:DXG851981 EHC851979:EHC851981 EQY851979:EQY851981 FAU851979:FAU851981 FKQ851979:FKQ851981 FUM851979:FUM851981 GEI851979:GEI851981 GOE851979:GOE851981 GYA851979:GYA851981 HHW851979:HHW851981 HRS851979:HRS851981 IBO851979:IBO851981 ILK851979:ILK851981 IVG851979:IVG851981 JFC851979:JFC851981 JOY851979:JOY851981 JYU851979:JYU851981 KIQ851979:KIQ851981 KSM851979:KSM851981 LCI851979:LCI851981 LME851979:LME851981 LWA851979:LWA851981 MFW851979:MFW851981 MPS851979:MPS851981 MZO851979:MZO851981 NJK851979:NJK851981 NTG851979:NTG851981 ODC851979:ODC851981 OMY851979:OMY851981 OWU851979:OWU851981 PGQ851979:PGQ851981 PQM851979:PQM851981 QAI851979:QAI851981 QKE851979:QKE851981 QUA851979:QUA851981 RDW851979:RDW851981 RNS851979:RNS851981 RXO851979:RXO851981 SHK851979:SHK851981 SRG851979:SRG851981 TBC851979:TBC851981 TKY851979:TKY851981 TUU851979:TUU851981 UEQ851979:UEQ851981 UOM851979:UOM851981 UYI851979:UYI851981 VIE851979:VIE851981 VSA851979:VSA851981 WBW851979:WBW851981 WLS851979:WLS851981 WVO851979:WVO851981 G917515:G917517 JC917515:JC917517 SY917515:SY917517 ACU917515:ACU917517 AMQ917515:AMQ917517 AWM917515:AWM917517 BGI917515:BGI917517 BQE917515:BQE917517 CAA917515:CAA917517 CJW917515:CJW917517 CTS917515:CTS917517 DDO917515:DDO917517 DNK917515:DNK917517 DXG917515:DXG917517 EHC917515:EHC917517 EQY917515:EQY917517 FAU917515:FAU917517 FKQ917515:FKQ917517 FUM917515:FUM917517 GEI917515:GEI917517 GOE917515:GOE917517 GYA917515:GYA917517 HHW917515:HHW917517 HRS917515:HRS917517 IBO917515:IBO917517 ILK917515:ILK917517 IVG917515:IVG917517 JFC917515:JFC917517 JOY917515:JOY917517 JYU917515:JYU917517 KIQ917515:KIQ917517 KSM917515:KSM917517 LCI917515:LCI917517 LME917515:LME917517 LWA917515:LWA917517 MFW917515:MFW917517 MPS917515:MPS917517 MZO917515:MZO917517 NJK917515:NJK917517 NTG917515:NTG917517 ODC917515:ODC917517 OMY917515:OMY917517 OWU917515:OWU917517 PGQ917515:PGQ917517 PQM917515:PQM917517 QAI917515:QAI917517 QKE917515:QKE917517 QUA917515:QUA917517 RDW917515:RDW917517 RNS917515:RNS917517 RXO917515:RXO917517 SHK917515:SHK917517 SRG917515:SRG917517 TBC917515:TBC917517 TKY917515:TKY917517 TUU917515:TUU917517 UEQ917515:UEQ917517 UOM917515:UOM917517 UYI917515:UYI917517 VIE917515:VIE917517 VSA917515:VSA917517 WBW917515:WBW917517 WLS917515:WLS917517 WVO917515:WVO917517 G983051:G983053 JC983051:JC983053 SY983051:SY983053 ACU983051:ACU983053 AMQ983051:AMQ983053 AWM983051:AWM983053 BGI983051:BGI983053 BQE983051:BQE983053 CAA983051:CAA983053 CJW983051:CJW983053 CTS983051:CTS983053 DDO983051:DDO983053 DNK983051:DNK983053 DXG983051:DXG983053 EHC983051:EHC983053 EQY983051:EQY983053 FAU983051:FAU983053 FKQ983051:FKQ983053 FUM983051:FUM983053 GEI983051:GEI983053 GOE983051:GOE983053 GYA983051:GYA983053 HHW983051:HHW983053 HRS983051:HRS983053 IBO983051:IBO983053 ILK983051:ILK983053 IVG983051:IVG983053 JFC983051:JFC983053 JOY983051:JOY983053 JYU983051:JYU983053 KIQ983051:KIQ983053 KSM983051:KSM983053 LCI983051:LCI983053 LME983051:LME983053 LWA983051:LWA983053 MFW983051:MFW983053 MPS983051:MPS983053 MZO983051:MZO983053 NJK983051:NJK983053 NTG983051:NTG983053 ODC983051:ODC983053 OMY983051:OMY983053 OWU983051:OWU983053 PGQ983051:PGQ983053 PQM983051:PQM983053 QAI983051:QAI983053 QKE983051:QKE983053 QUA983051:QUA983053 RDW983051:RDW983053 RNS983051:RNS983053 RXO983051:RXO983053 SHK983051:SHK983053 SRG983051:SRG983053 TBC983051:TBC983053 TKY983051:TKY983053 TUU983051:TUU983053 UEQ983051:UEQ983053 UOM983051:UOM983053 UYI983051:UYI983053 VIE983051:VIE983053 VSA983051:VSA983053 WBW983051:WBW983053 WLS983051:WLS983053 G8:G13">
      <formula1>$AK$27:$AK$39</formula1>
    </dataValidation>
  </dataValidations>
  <printOptions horizontalCentered="1"/>
  <pageMargins left="0.25" right="0.25" top="0.75" bottom="0.75" header="0.3" footer="0.3"/>
  <pageSetup scale="45" orientation="landscape" copies="2"/>
  <headerFooter>
    <oddFooter>&amp;C&amp;"Tahoma,Cursiva"&amp;9Si usted ha accedido a este formato a través de un medio diferente al sitio web del Sistema de Control Documental del SIGEC asegúrese que ésta es la versión vigente</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L36"/>
  <sheetViews>
    <sheetView view="pageBreakPreview" topLeftCell="A7" zoomScale="80" zoomScaleNormal="100" zoomScaleSheetLayoutView="80" workbookViewId="0">
      <selection activeCell="G14" sqref="G14"/>
    </sheetView>
  </sheetViews>
  <sheetFormatPr baseColWidth="10" defaultRowHeight="12.75"/>
  <cols>
    <col min="1" max="1" width="8" style="2" customWidth="1"/>
    <col min="2" max="2" width="13.42578125" style="2" customWidth="1"/>
    <col min="3" max="3" width="4.28515625" style="2" customWidth="1"/>
    <col min="4" max="4" width="4" style="2" customWidth="1"/>
    <col min="5" max="5" width="22" style="2" customWidth="1"/>
    <col min="6" max="6" width="4.140625" style="2" customWidth="1"/>
    <col min="7" max="7" width="11.28515625" style="2" customWidth="1"/>
    <col min="8" max="8" width="11" style="2" customWidth="1"/>
    <col min="9" max="10" width="2.140625" style="2" customWidth="1"/>
    <col min="11" max="11" width="3.28515625" style="2" customWidth="1"/>
    <col min="12" max="12" width="0.28515625" style="2" hidden="1" customWidth="1"/>
    <col min="13" max="13" width="0.42578125" style="2" hidden="1" customWidth="1"/>
    <col min="14" max="14" width="2.85546875" style="2" customWidth="1"/>
    <col min="15" max="15" width="3.28515625" style="2" customWidth="1"/>
    <col min="16" max="16" width="1.5703125" style="2" customWidth="1"/>
    <col min="17" max="17" width="1.85546875" style="2" hidden="1" customWidth="1"/>
    <col min="18" max="18" width="6.85546875" style="2" customWidth="1"/>
    <col min="19" max="19" width="3" style="2" hidden="1" customWidth="1"/>
    <col min="20" max="21" width="6.28515625" style="2" customWidth="1"/>
    <col min="22" max="22" width="13.85546875" style="2" customWidth="1"/>
    <col min="23" max="23" width="12.28515625" style="2" customWidth="1"/>
    <col min="24" max="24" width="18.28515625" style="2" customWidth="1"/>
    <col min="25" max="25" width="0.42578125" style="2" hidden="1" customWidth="1"/>
    <col min="26" max="26" width="13" style="2" customWidth="1"/>
    <col min="27" max="27" width="15.140625" style="2" customWidth="1"/>
    <col min="28" max="28" width="13.140625" style="2" customWidth="1"/>
    <col min="29" max="29" width="14" style="2" customWidth="1"/>
    <col min="30" max="30" width="8.140625" style="2" customWidth="1"/>
    <col min="31" max="31" width="11.5703125" style="2" customWidth="1"/>
    <col min="32" max="32" width="44.42578125" style="2" customWidth="1"/>
    <col min="33" max="33" width="12" style="2" customWidth="1"/>
    <col min="34" max="35" width="0.28515625" style="2" customWidth="1"/>
    <col min="36" max="36" width="1.42578125" style="2" customWidth="1"/>
    <col min="37" max="37" width="1.28515625" style="2" hidden="1" customWidth="1"/>
    <col min="38" max="256" width="11.42578125" style="2"/>
    <col min="257" max="257" width="8" style="2" customWidth="1"/>
    <col min="258" max="258" width="13.42578125" style="2" customWidth="1"/>
    <col min="259" max="259" width="4.28515625" style="2" customWidth="1"/>
    <col min="260" max="260" width="4" style="2" customWidth="1"/>
    <col min="261" max="261" width="17" style="2" customWidth="1"/>
    <col min="262" max="262" width="4.140625" style="2" customWidth="1"/>
    <col min="263" max="263" width="11.28515625" style="2" customWidth="1"/>
    <col min="264" max="264" width="11" style="2" customWidth="1"/>
    <col min="265" max="266" width="2.140625" style="2" customWidth="1"/>
    <col min="267" max="267" width="3.28515625" style="2" customWidth="1"/>
    <col min="268" max="269" width="0" style="2" hidden="1" customWidth="1"/>
    <col min="270" max="270" width="2.85546875" style="2" customWidth="1"/>
    <col min="271" max="271" width="3.28515625" style="2" customWidth="1"/>
    <col min="272" max="272" width="1.5703125" style="2" customWidth="1"/>
    <col min="273" max="273" width="0" style="2" hidden="1" customWidth="1"/>
    <col min="274" max="274" width="6.85546875" style="2" customWidth="1"/>
    <col min="275" max="275" width="0" style="2" hidden="1" customWidth="1"/>
    <col min="276" max="277" width="6.28515625" style="2" customWidth="1"/>
    <col min="278" max="278" width="13.85546875" style="2" customWidth="1"/>
    <col min="279" max="279" width="10.85546875" style="2" customWidth="1"/>
    <col min="280" max="280" width="14.7109375" style="2" customWidth="1"/>
    <col min="281" max="281" width="0" style="2" hidden="1" customWidth="1"/>
    <col min="282" max="282" width="13" style="2" customWidth="1"/>
    <col min="283" max="283" width="12.7109375" style="2" customWidth="1"/>
    <col min="284" max="284" width="13.140625" style="2" customWidth="1"/>
    <col min="285" max="285" width="14" style="2" customWidth="1"/>
    <col min="286" max="286" width="8.140625" style="2" customWidth="1"/>
    <col min="287" max="287" width="11.5703125" style="2" customWidth="1"/>
    <col min="288" max="288" width="24.7109375" style="2" customWidth="1"/>
    <col min="289" max="289" width="12" style="2" customWidth="1"/>
    <col min="290" max="291" width="0.28515625" style="2" customWidth="1"/>
    <col min="292" max="292" width="1.42578125" style="2" customWidth="1"/>
    <col min="293" max="293" width="0" style="2" hidden="1" customWidth="1"/>
    <col min="294" max="512" width="11.42578125" style="2"/>
    <col min="513" max="513" width="8" style="2" customWidth="1"/>
    <col min="514" max="514" width="13.42578125" style="2" customWidth="1"/>
    <col min="515" max="515" width="4.28515625" style="2" customWidth="1"/>
    <col min="516" max="516" width="4" style="2" customWidth="1"/>
    <col min="517" max="517" width="17" style="2" customWidth="1"/>
    <col min="518" max="518" width="4.140625" style="2" customWidth="1"/>
    <col min="519" max="519" width="11.28515625" style="2" customWidth="1"/>
    <col min="520" max="520" width="11" style="2" customWidth="1"/>
    <col min="521" max="522" width="2.140625" style="2" customWidth="1"/>
    <col min="523" max="523" width="3.28515625" style="2" customWidth="1"/>
    <col min="524" max="525" width="0" style="2" hidden="1" customWidth="1"/>
    <col min="526" max="526" width="2.85546875" style="2" customWidth="1"/>
    <col min="527" max="527" width="3.28515625" style="2" customWidth="1"/>
    <col min="528" max="528" width="1.5703125" style="2" customWidth="1"/>
    <col min="529" max="529" width="0" style="2" hidden="1" customWidth="1"/>
    <col min="530" max="530" width="6.85546875" style="2" customWidth="1"/>
    <col min="531" max="531" width="0" style="2" hidden="1" customWidth="1"/>
    <col min="532" max="533" width="6.28515625" style="2" customWidth="1"/>
    <col min="534" max="534" width="13.85546875" style="2" customWidth="1"/>
    <col min="535" max="535" width="10.85546875" style="2" customWidth="1"/>
    <col min="536" max="536" width="14.7109375" style="2" customWidth="1"/>
    <col min="537" max="537" width="0" style="2" hidden="1" customWidth="1"/>
    <col min="538" max="538" width="13" style="2" customWidth="1"/>
    <col min="539" max="539" width="12.7109375" style="2" customWidth="1"/>
    <col min="540" max="540" width="13.140625" style="2" customWidth="1"/>
    <col min="541" max="541" width="14" style="2" customWidth="1"/>
    <col min="542" max="542" width="8.140625" style="2" customWidth="1"/>
    <col min="543" max="543" width="11.5703125" style="2" customWidth="1"/>
    <col min="544" max="544" width="24.7109375" style="2" customWidth="1"/>
    <col min="545" max="545" width="12" style="2" customWidth="1"/>
    <col min="546" max="547" width="0.28515625" style="2" customWidth="1"/>
    <col min="548" max="548" width="1.42578125" style="2" customWidth="1"/>
    <col min="549" max="549" width="0" style="2" hidden="1" customWidth="1"/>
    <col min="550" max="768" width="11.42578125" style="2"/>
    <col min="769" max="769" width="8" style="2" customWidth="1"/>
    <col min="770" max="770" width="13.42578125" style="2" customWidth="1"/>
    <col min="771" max="771" width="4.28515625" style="2" customWidth="1"/>
    <col min="772" max="772" width="4" style="2" customWidth="1"/>
    <col min="773" max="773" width="17" style="2" customWidth="1"/>
    <col min="774" max="774" width="4.140625" style="2" customWidth="1"/>
    <col min="775" max="775" width="11.28515625" style="2" customWidth="1"/>
    <col min="776" max="776" width="11" style="2" customWidth="1"/>
    <col min="777" max="778" width="2.140625" style="2" customWidth="1"/>
    <col min="779" max="779" width="3.28515625" style="2" customWidth="1"/>
    <col min="780" max="781" width="0" style="2" hidden="1" customWidth="1"/>
    <col min="782" max="782" width="2.85546875" style="2" customWidth="1"/>
    <col min="783" max="783" width="3.28515625" style="2" customWidth="1"/>
    <col min="784" max="784" width="1.5703125" style="2" customWidth="1"/>
    <col min="785" max="785" width="0" style="2" hidden="1" customWidth="1"/>
    <col min="786" max="786" width="6.85546875" style="2" customWidth="1"/>
    <col min="787" max="787" width="0" style="2" hidden="1" customWidth="1"/>
    <col min="788" max="789" width="6.28515625" style="2" customWidth="1"/>
    <col min="790" max="790" width="13.85546875" style="2" customWidth="1"/>
    <col min="791" max="791" width="10.85546875" style="2" customWidth="1"/>
    <col min="792" max="792" width="14.7109375" style="2" customWidth="1"/>
    <col min="793" max="793" width="0" style="2" hidden="1" customWidth="1"/>
    <col min="794" max="794" width="13" style="2" customWidth="1"/>
    <col min="795" max="795" width="12.7109375" style="2" customWidth="1"/>
    <col min="796" max="796" width="13.140625" style="2" customWidth="1"/>
    <col min="797" max="797" width="14" style="2" customWidth="1"/>
    <col min="798" max="798" width="8.140625" style="2" customWidth="1"/>
    <col min="799" max="799" width="11.5703125" style="2" customWidth="1"/>
    <col min="800" max="800" width="24.7109375" style="2" customWidth="1"/>
    <col min="801" max="801" width="12" style="2" customWidth="1"/>
    <col min="802" max="803" width="0.28515625" style="2" customWidth="1"/>
    <col min="804" max="804" width="1.42578125" style="2" customWidth="1"/>
    <col min="805" max="805" width="0" style="2" hidden="1" customWidth="1"/>
    <col min="806" max="1024" width="11.42578125" style="2"/>
    <col min="1025" max="1025" width="8" style="2" customWidth="1"/>
    <col min="1026" max="1026" width="13.42578125" style="2" customWidth="1"/>
    <col min="1027" max="1027" width="4.28515625" style="2" customWidth="1"/>
    <col min="1028" max="1028" width="4" style="2" customWidth="1"/>
    <col min="1029" max="1029" width="17" style="2" customWidth="1"/>
    <col min="1030" max="1030" width="4.140625" style="2" customWidth="1"/>
    <col min="1031" max="1031" width="11.28515625" style="2" customWidth="1"/>
    <col min="1032" max="1032" width="11" style="2" customWidth="1"/>
    <col min="1033" max="1034" width="2.140625" style="2" customWidth="1"/>
    <col min="1035" max="1035" width="3.28515625" style="2" customWidth="1"/>
    <col min="1036" max="1037" width="0" style="2" hidden="1" customWidth="1"/>
    <col min="1038" max="1038" width="2.85546875" style="2" customWidth="1"/>
    <col min="1039" max="1039" width="3.28515625" style="2" customWidth="1"/>
    <col min="1040" max="1040" width="1.5703125" style="2" customWidth="1"/>
    <col min="1041" max="1041" width="0" style="2" hidden="1" customWidth="1"/>
    <col min="1042" max="1042" width="6.85546875" style="2" customWidth="1"/>
    <col min="1043" max="1043" width="0" style="2" hidden="1" customWidth="1"/>
    <col min="1044" max="1045" width="6.28515625" style="2" customWidth="1"/>
    <col min="1046" max="1046" width="13.85546875" style="2" customWidth="1"/>
    <col min="1047" max="1047" width="10.85546875" style="2" customWidth="1"/>
    <col min="1048" max="1048" width="14.7109375" style="2" customWidth="1"/>
    <col min="1049" max="1049" width="0" style="2" hidden="1" customWidth="1"/>
    <col min="1050" max="1050" width="13" style="2" customWidth="1"/>
    <col min="1051" max="1051" width="12.7109375" style="2" customWidth="1"/>
    <col min="1052" max="1052" width="13.140625" style="2" customWidth="1"/>
    <col min="1053" max="1053" width="14" style="2" customWidth="1"/>
    <col min="1054" max="1054" width="8.140625" style="2" customWidth="1"/>
    <col min="1055" max="1055" width="11.5703125" style="2" customWidth="1"/>
    <col min="1056" max="1056" width="24.7109375" style="2" customWidth="1"/>
    <col min="1057" max="1057" width="12" style="2" customWidth="1"/>
    <col min="1058" max="1059" width="0.28515625" style="2" customWidth="1"/>
    <col min="1060" max="1060" width="1.42578125" style="2" customWidth="1"/>
    <col min="1061" max="1061" width="0" style="2" hidden="1" customWidth="1"/>
    <col min="1062" max="1280" width="11.42578125" style="2"/>
    <col min="1281" max="1281" width="8" style="2" customWidth="1"/>
    <col min="1282" max="1282" width="13.42578125" style="2" customWidth="1"/>
    <col min="1283" max="1283" width="4.28515625" style="2" customWidth="1"/>
    <col min="1284" max="1284" width="4" style="2" customWidth="1"/>
    <col min="1285" max="1285" width="17" style="2" customWidth="1"/>
    <col min="1286" max="1286" width="4.140625" style="2" customWidth="1"/>
    <col min="1287" max="1287" width="11.28515625" style="2" customWidth="1"/>
    <col min="1288" max="1288" width="11" style="2" customWidth="1"/>
    <col min="1289" max="1290" width="2.140625" style="2" customWidth="1"/>
    <col min="1291" max="1291" width="3.28515625" style="2" customWidth="1"/>
    <col min="1292" max="1293" width="0" style="2" hidden="1" customWidth="1"/>
    <col min="1294" max="1294" width="2.85546875" style="2" customWidth="1"/>
    <col min="1295" max="1295" width="3.28515625" style="2" customWidth="1"/>
    <col min="1296" max="1296" width="1.5703125" style="2" customWidth="1"/>
    <col min="1297" max="1297" width="0" style="2" hidden="1" customWidth="1"/>
    <col min="1298" max="1298" width="6.85546875" style="2" customWidth="1"/>
    <col min="1299" max="1299" width="0" style="2" hidden="1" customWidth="1"/>
    <col min="1300" max="1301" width="6.28515625" style="2" customWidth="1"/>
    <col min="1302" max="1302" width="13.85546875" style="2" customWidth="1"/>
    <col min="1303" max="1303" width="10.85546875" style="2" customWidth="1"/>
    <col min="1304" max="1304" width="14.7109375" style="2" customWidth="1"/>
    <col min="1305" max="1305" width="0" style="2" hidden="1" customWidth="1"/>
    <col min="1306" max="1306" width="13" style="2" customWidth="1"/>
    <col min="1307" max="1307" width="12.7109375" style="2" customWidth="1"/>
    <col min="1308" max="1308" width="13.140625" style="2" customWidth="1"/>
    <col min="1309" max="1309" width="14" style="2" customWidth="1"/>
    <col min="1310" max="1310" width="8.140625" style="2" customWidth="1"/>
    <col min="1311" max="1311" width="11.5703125" style="2" customWidth="1"/>
    <col min="1312" max="1312" width="24.7109375" style="2" customWidth="1"/>
    <col min="1313" max="1313" width="12" style="2" customWidth="1"/>
    <col min="1314" max="1315" width="0.28515625" style="2" customWidth="1"/>
    <col min="1316" max="1316" width="1.42578125" style="2" customWidth="1"/>
    <col min="1317" max="1317" width="0" style="2" hidden="1" customWidth="1"/>
    <col min="1318" max="1536" width="11.42578125" style="2"/>
    <col min="1537" max="1537" width="8" style="2" customWidth="1"/>
    <col min="1538" max="1538" width="13.42578125" style="2" customWidth="1"/>
    <col min="1539" max="1539" width="4.28515625" style="2" customWidth="1"/>
    <col min="1540" max="1540" width="4" style="2" customWidth="1"/>
    <col min="1541" max="1541" width="17" style="2" customWidth="1"/>
    <col min="1542" max="1542" width="4.140625" style="2" customWidth="1"/>
    <col min="1543" max="1543" width="11.28515625" style="2" customWidth="1"/>
    <col min="1544" max="1544" width="11" style="2" customWidth="1"/>
    <col min="1545" max="1546" width="2.140625" style="2" customWidth="1"/>
    <col min="1547" max="1547" width="3.28515625" style="2" customWidth="1"/>
    <col min="1548" max="1549" width="0" style="2" hidden="1" customWidth="1"/>
    <col min="1550" max="1550" width="2.85546875" style="2" customWidth="1"/>
    <col min="1551" max="1551" width="3.28515625" style="2" customWidth="1"/>
    <col min="1552" max="1552" width="1.5703125" style="2" customWidth="1"/>
    <col min="1553" max="1553" width="0" style="2" hidden="1" customWidth="1"/>
    <col min="1554" max="1554" width="6.85546875" style="2" customWidth="1"/>
    <col min="1555" max="1555" width="0" style="2" hidden="1" customWidth="1"/>
    <col min="1556" max="1557" width="6.28515625" style="2" customWidth="1"/>
    <col min="1558" max="1558" width="13.85546875" style="2" customWidth="1"/>
    <col min="1559" max="1559" width="10.85546875" style="2" customWidth="1"/>
    <col min="1560" max="1560" width="14.7109375" style="2" customWidth="1"/>
    <col min="1561" max="1561" width="0" style="2" hidden="1" customWidth="1"/>
    <col min="1562" max="1562" width="13" style="2" customWidth="1"/>
    <col min="1563" max="1563" width="12.7109375" style="2" customWidth="1"/>
    <col min="1564" max="1564" width="13.140625" style="2" customWidth="1"/>
    <col min="1565" max="1565" width="14" style="2" customWidth="1"/>
    <col min="1566" max="1566" width="8.140625" style="2" customWidth="1"/>
    <col min="1567" max="1567" width="11.5703125" style="2" customWidth="1"/>
    <col min="1568" max="1568" width="24.7109375" style="2" customWidth="1"/>
    <col min="1569" max="1569" width="12" style="2" customWidth="1"/>
    <col min="1570" max="1571" width="0.28515625" style="2" customWidth="1"/>
    <col min="1572" max="1572" width="1.42578125" style="2" customWidth="1"/>
    <col min="1573" max="1573" width="0" style="2" hidden="1" customWidth="1"/>
    <col min="1574" max="1792" width="11.42578125" style="2"/>
    <col min="1793" max="1793" width="8" style="2" customWidth="1"/>
    <col min="1794" max="1794" width="13.42578125" style="2" customWidth="1"/>
    <col min="1795" max="1795" width="4.28515625" style="2" customWidth="1"/>
    <col min="1796" max="1796" width="4" style="2" customWidth="1"/>
    <col min="1797" max="1797" width="17" style="2" customWidth="1"/>
    <col min="1798" max="1798" width="4.140625" style="2" customWidth="1"/>
    <col min="1799" max="1799" width="11.28515625" style="2" customWidth="1"/>
    <col min="1800" max="1800" width="11" style="2" customWidth="1"/>
    <col min="1801" max="1802" width="2.140625" style="2" customWidth="1"/>
    <col min="1803" max="1803" width="3.28515625" style="2" customWidth="1"/>
    <col min="1804" max="1805" width="0" style="2" hidden="1" customWidth="1"/>
    <col min="1806" max="1806" width="2.85546875" style="2" customWidth="1"/>
    <col min="1807" max="1807" width="3.28515625" style="2" customWidth="1"/>
    <col min="1808" max="1808" width="1.5703125" style="2" customWidth="1"/>
    <col min="1809" max="1809" width="0" style="2" hidden="1" customWidth="1"/>
    <col min="1810" max="1810" width="6.85546875" style="2" customWidth="1"/>
    <col min="1811" max="1811" width="0" style="2" hidden="1" customWidth="1"/>
    <col min="1812" max="1813" width="6.28515625" style="2" customWidth="1"/>
    <col min="1814" max="1814" width="13.85546875" style="2" customWidth="1"/>
    <col min="1815" max="1815" width="10.85546875" style="2" customWidth="1"/>
    <col min="1816" max="1816" width="14.7109375" style="2" customWidth="1"/>
    <col min="1817" max="1817" width="0" style="2" hidden="1" customWidth="1"/>
    <col min="1818" max="1818" width="13" style="2" customWidth="1"/>
    <col min="1819" max="1819" width="12.7109375" style="2" customWidth="1"/>
    <col min="1820" max="1820" width="13.140625" style="2" customWidth="1"/>
    <col min="1821" max="1821" width="14" style="2" customWidth="1"/>
    <col min="1822" max="1822" width="8.140625" style="2" customWidth="1"/>
    <col min="1823" max="1823" width="11.5703125" style="2" customWidth="1"/>
    <col min="1824" max="1824" width="24.7109375" style="2" customWidth="1"/>
    <col min="1825" max="1825" width="12" style="2" customWidth="1"/>
    <col min="1826" max="1827" width="0.28515625" style="2" customWidth="1"/>
    <col min="1828" max="1828" width="1.42578125" style="2" customWidth="1"/>
    <col min="1829" max="1829" width="0" style="2" hidden="1" customWidth="1"/>
    <col min="1830" max="2048" width="11.42578125" style="2"/>
    <col min="2049" max="2049" width="8" style="2" customWidth="1"/>
    <col min="2050" max="2050" width="13.42578125" style="2" customWidth="1"/>
    <col min="2051" max="2051" width="4.28515625" style="2" customWidth="1"/>
    <col min="2052" max="2052" width="4" style="2" customWidth="1"/>
    <col min="2053" max="2053" width="17" style="2" customWidth="1"/>
    <col min="2054" max="2054" width="4.140625" style="2" customWidth="1"/>
    <col min="2055" max="2055" width="11.28515625" style="2" customWidth="1"/>
    <col min="2056" max="2056" width="11" style="2" customWidth="1"/>
    <col min="2057" max="2058" width="2.140625" style="2" customWidth="1"/>
    <col min="2059" max="2059" width="3.28515625" style="2" customWidth="1"/>
    <col min="2060" max="2061" width="0" style="2" hidden="1" customWidth="1"/>
    <col min="2062" max="2062" width="2.85546875" style="2" customWidth="1"/>
    <col min="2063" max="2063" width="3.28515625" style="2" customWidth="1"/>
    <col min="2064" max="2064" width="1.5703125" style="2" customWidth="1"/>
    <col min="2065" max="2065" width="0" style="2" hidden="1" customWidth="1"/>
    <col min="2066" max="2066" width="6.85546875" style="2" customWidth="1"/>
    <col min="2067" max="2067" width="0" style="2" hidden="1" customWidth="1"/>
    <col min="2068" max="2069" width="6.28515625" style="2" customWidth="1"/>
    <col min="2070" max="2070" width="13.85546875" style="2" customWidth="1"/>
    <col min="2071" max="2071" width="10.85546875" style="2" customWidth="1"/>
    <col min="2072" max="2072" width="14.7109375" style="2" customWidth="1"/>
    <col min="2073" max="2073" width="0" style="2" hidden="1" customWidth="1"/>
    <col min="2074" max="2074" width="13" style="2" customWidth="1"/>
    <col min="2075" max="2075" width="12.7109375" style="2" customWidth="1"/>
    <col min="2076" max="2076" width="13.140625" style="2" customWidth="1"/>
    <col min="2077" max="2077" width="14" style="2" customWidth="1"/>
    <col min="2078" max="2078" width="8.140625" style="2" customWidth="1"/>
    <col min="2079" max="2079" width="11.5703125" style="2" customWidth="1"/>
    <col min="2080" max="2080" width="24.7109375" style="2" customWidth="1"/>
    <col min="2081" max="2081" width="12" style="2" customWidth="1"/>
    <col min="2082" max="2083" width="0.28515625" style="2" customWidth="1"/>
    <col min="2084" max="2084" width="1.42578125" style="2" customWidth="1"/>
    <col min="2085" max="2085" width="0" style="2" hidden="1" customWidth="1"/>
    <col min="2086" max="2304" width="11.42578125" style="2"/>
    <col min="2305" max="2305" width="8" style="2" customWidth="1"/>
    <col min="2306" max="2306" width="13.42578125" style="2" customWidth="1"/>
    <col min="2307" max="2307" width="4.28515625" style="2" customWidth="1"/>
    <col min="2308" max="2308" width="4" style="2" customWidth="1"/>
    <col min="2309" max="2309" width="17" style="2" customWidth="1"/>
    <col min="2310" max="2310" width="4.140625" style="2" customWidth="1"/>
    <col min="2311" max="2311" width="11.28515625" style="2" customWidth="1"/>
    <col min="2312" max="2312" width="11" style="2" customWidth="1"/>
    <col min="2313" max="2314" width="2.140625" style="2" customWidth="1"/>
    <col min="2315" max="2315" width="3.28515625" style="2" customWidth="1"/>
    <col min="2316" max="2317" width="0" style="2" hidden="1" customWidth="1"/>
    <col min="2318" max="2318" width="2.85546875" style="2" customWidth="1"/>
    <col min="2319" max="2319" width="3.28515625" style="2" customWidth="1"/>
    <col min="2320" max="2320" width="1.5703125" style="2" customWidth="1"/>
    <col min="2321" max="2321" width="0" style="2" hidden="1" customWidth="1"/>
    <col min="2322" max="2322" width="6.85546875" style="2" customWidth="1"/>
    <col min="2323" max="2323" width="0" style="2" hidden="1" customWidth="1"/>
    <col min="2324" max="2325" width="6.28515625" style="2" customWidth="1"/>
    <col min="2326" max="2326" width="13.85546875" style="2" customWidth="1"/>
    <col min="2327" max="2327" width="10.85546875" style="2" customWidth="1"/>
    <col min="2328" max="2328" width="14.7109375" style="2" customWidth="1"/>
    <col min="2329" max="2329" width="0" style="2" hidden="1" customWidth="1"/>
    <col min="2330" max="2330" width="13" style="2" customWidth="1"/>
    <col min="2331" max="2331" width="12.7109375" style="2" customWidth="1"/>
    <col min="2332" max="2332" width="13.140625" style="2" customWidth="1"/>
    <col min="2333" max="2333" width="14" style="2" customWidth="1"/>
    <col min="2334" max="2334" width="8.140625" style="2" customWidth="1"/>
    <col min="2335" max="2335" width="11.5703125" style="2" customWidth="1"/>
    <col min="2336" max="2336" width="24.7109375" style="2" customWidth="1"/>
    <col min="2337" max="2337" width="12" style="2" customWidth="1"/>
    <col min="2338" max="2339" width="0.28515625" style="2" customWidth="1"/>
    <col min="2340" max="2340" width="1.42578125" style="2" customWidth="1"/>
    <col min="2341" max="2341" width="0" style="2" hidden="1" customWidth="1"/>
    <col min="2342" max="2560" width="11.42578125" style="2"/>
    <col min="2561" max="2561" width="8" style="2" customWidth="1"/>
    <col min="2562" max="2562" width="13.42578125" style="2" customWidth="1"/>
    <col min="2563" max="2563" width="4.28515625" style="2" customWidth="1"/>
    <col min="2564" max="2564" width="4" style="2" customWidth="1"/>
    <col min="2565" max="2565" width="17" style="2" customWidth="1"/>
    <col min="2566" max="2566" width="4.140625" style="2" customWidth="1"/>
    <col min="2567" max="2567" width="11.28515625" style="2" customWidth="1"/>
    <col min="2568" max="2568" width="11" style="2" customWidth="1"/>
    <col min="2569" max="2570" width="2.140625" style="2" customWidth="1"/>
    <col min="2571" max="2571" width="3.28515625" style="2" customWidth="1"/>
    <col min="2572" max="2573" width="0" style="2" hidden="1" customWidth="1"/>
    <col min="2574" max="2574" width="2.85546875" style="2" customWidth="1"/>
    <col min="2575" max="2575" width="3.28515625" style="2" customWidth="1"/>
    <col min="2576" max="2576" width="1.5703125" style="2" customWidth="1"/>
    <col min="2577" max="2577" width="0" style="2" hidden="1" customWidth="1"/>
    <col min="2578" max="2578" width="6.85546875" style="2" customWidth="1"/>
    <col min="2579" max="2579" width="0" style="2" hidden="1" customWidth="1"/>
    <col min="2580" max="2581" width="6.28515625" style="2" customWidth="1"/>
    <col min="2582" max="2582" width="13.85546875" style="2" customWidth="1"/>
    <col min="2583" max="2583" width="10.85546875" style="2" customWidth="1"/>
    <col min="2584" max="2584" width="14.7109375" style="2" customWidth="1"/>
    <col min="2585" max="2585" width="0" style="2" hidden="1" customWidth="1"/>
    <col min="2586" max="2586" width="13" style="2" customWidth="1"/>
    <col min="2587" max="2587" width="12.7109375" style="2" customWidth="1"/>
    <col min="2588" max="2588" width="13.140625" style="2" customWidth="1"/>
    <col min="2589" max="2589" width="14" style="2" customWidth="1"/>
    <col min="2590" max="2590" width="8.140625" style="2" customWidth="1"/>
    <col min="2591" max="2591" width="11.5703125" style="2" customWidth="1"/>
    <col min="2592" max="2592" width="24.7109375" style="2" customWidth="1"/>
    <col min="2593" max="2593" width="12" style="2" customWidth="1"/>
    <col min="2594" max="2595" width="0.28515625" style="2" customWidth="1"/>
    <col min="2596" max="2596" width="1.42578125" style="2" customWidth="1"/>
    <col min="2597" max="2597" width="0" style="2" hidden="1" customWidth="1"/>
    <col min="2598" max="2816" width="11.42578125" style="2"/>
    <col min="2817" max="2817" width="8" style="2" customWidth="1"/>
    <col min="2818" max="2818" width="13.42578125" style="2" customWidth="1"/>
    <col min="2819" max="2819" width="4.28515625" style="2" customWidth="1"/>
    <col min="2820" max="2820" width="4" style="2" customWidth="1"/>
    <col min="2821" max="2821" width="17" style="2" customWidth="1"/>
    <col min="2822" max="2822" width="4.140625" style="2" customWidth="1"/>
    <col min="2823" max="2823" width="11.28515625" style="2" customWidth="1"/>
    <col min="2824" max="2824" width="11" style="2" customWidth="1"/>
    <col min="2825" max="2826" width="2.140625" style="2" customWidth="1"/>
    <col min="2827" max="2827" width="3.28515625" style="2" customWidth="1"/>
    <col min="2828" max="2829" width="0" style="2" hidden="1" customWidth="1"/>
    <col min="2830" max="2830" width="2.85546875" style="2" customWidth="1"/>
    <col min="2831" max="2831" width="3.28515625" style="2" customWidth="1"/>
    <col min="2832" max="2832" width="1.5703125" style="2" customWidth="1"/>
    <col min="2833" max="2833" width="0" style="2" hidden="1" customWidth="1"/>
    <col min="2834" max="2834" width="6.85546875" style="2" customWidth="1"/>
    <col min="2835" max="2835" width="0" style="2" hidden="1" customWidth="1"/>
    <col min="2836" max="2837" width="6.28515625" style="2" customWidth="1"/>
    <col min="2838" max="2838" width="13.85546875" style="2" customWidth="1"/>
    <col min="2839" max="2839" width="10.85546875" style="2" customWidth="1"/>
    <col min="2840" max="2840" width="14.7109375" style="2" customWidth="1"/>
    <col min="2841" max="2841" width="0" style="2" hidden="1" customWidth="1"/>
    <col min="2842" max="2842" width="13" style="2" customWidth="1"/>
    <col min="2843" max="2843" width="12.7109375" style="2" customWidth="1"/>
    <col min="2844" max="2844" width="13.140625" style="2" customWidth="1"/>
    <col min="2845" max="2845" width="14" style="2" customWidth="1"/>
    <col min="2846" max="2846" width="8.140625" style="2" customWidth="1"/>
    <col min="2847" max="2847" width="11.5703125" style="2" customWidth="1"/>
    <col min="2848" max="2848" width="24.7109375" style="2" customWidth="1"/>
    <col min="2849" max="2849" width="12" style="2" customWidth="1"/>
    <col min="2850" max="2851" width="0.28515625" style="2" customWidth="1"/>
    <col min="2852" max="2852" width="1.42578125" style="2" customWidth="1"/>
    <col min="2853" max="2853" width="0" style="2" hidden="1" customWidth="1"/>
    <col min="2854" max="3072" width="11.42578125" style="2"/>
    <col min="3073" max="3073" width="8" style="2" customWidth="1"/>
    <col min="3074" max="3074" width="13.42578125" style="2" customWidth="1"/>
    <col min="3075" max="3075" width="4.28515625" style="2" customWidth="1"/>
    <col min="3076" max="3076" width="4" style="2" customWidth="1"/>
    <col min="3077" max="3077" width="17" style="2" customWidth="1"/>
    <col min="3078" max="3078" width="4.140625" style="2" customWidth="1"/>
    <col min="3079" max="3079" width="11.28515625" style="2" customWidth="1"/>
    <col min="3080" max="3080" width="11" style="2" customWidth="1"/>
    <col min="3081" max="3082" width="2.140625" style="2" customWidth="1"/>
    <col min="3083" max="3083" width="3.28515625" style="2" customWidth="1"/>
    <col min="3084" max="3085" width="0" style="2" hidden="1" customWidth="1"/>
    <col min="3086" max="3086" width="2.85546875" style="2" customWidth="1"/>
    <col min="3087" max="3087" width="3.28515625" style="2" customWidth="1"/>
    <col min="3088" max="3088" width="1.5703125" style="2" customWidth="1"/>
    <col min="3089" max="3089" width="0" style="2" hidden="1" customWidth="1"/>
    <col min="3090" max="3090" width="6.85546875" style="2" customWidth="1"/>
    <col min="3091" max="3091" width="0" style="2" hidden="1" customWidth="1"/>
    <col min="3092" max="3093" width="6.28515625" style="2" customWidth="1"/>
    <col min="3094" max="3094" width="13.85546875" style="2" customWidth="1"/>
    <col min="3095" max="3095" width="10.85546875" style="2" customWidth="1"/>
    <col min="3096" max="3096" width="14.7109375" style="2" customWidth="1"/>
    <col min="3097" max="3097" width="0" style="2" hidden="1" customWidth="1"/>
    <col min="3098" max="3098" width="13" style="2" customWidth="1"/>
    <col min="3099" max="3099" width="12.7109375" style="2" customWidth="1"/>
    <col min="3100" max="3100" width="13.140625" style="2" customWidth="1"/>
    <col min="3101" max="3101" width="14" style="2" customWidth="1"/>
    <col min="3102" max="3102" width="8.140625" style="2" customWidth="1"/>
    <col min="3103" max="3103" width="11.5703125" style="2" customWidth="1"/>
    <col min="3104" max="3104" width="24.7109375" style="2" customWidth="1"/>
    <col min="3105" max="3105" width="12" style="2" customWidth="1"/>
    <col min="3106" max="3107" width="0.28515625" style="2" customWidth="1"/>
    <col min="3108" max="3108" width="1.42578125" style="2" customWidth="1"/>
    <col min="3109" max="3109" width="0" style="2" hidden="1" customWidth="1"/>
    <col min="3110" max="3328" width="11.42578125" style="2"/>
    <col min="3329" max="3329" width="8" style="2" customWidth="1"/>
    <col min="3330" max="3330" width="13.42578125" style="2" customWidth="1"/>
    <col min="3331" max="3331" width="4.28515625" style="2" customWidth="1"/>
    <col min="3332" max="3332" width="4" style="2" customWidth="1"/>
    <col min="3333" max="3333" width="17" style="2" customWidth="1"/>
    <col min="3334" max="3334" width="4.140625" style="2" customWidth="1"/>
    <col min="3335" max="3335" width="11.28515625" style="2" customWidth="1"/>
    <col min="3336" max="3336" width="11" style="2" customWidth="1"/>
    <col min="3337" max="3338" width="2.140625" style="2" customWidth="1"/>
    <col min="3339" max="3339" width="3.28515625" style="2" customWidth="1"/>
    <col min="3340" max="3341" width="0" style="2" hidden="1" customWidth="1"/>
    <col min="3342" max="3342" width="2.85546875" style="2" customWidth="1"/>
    <col min="3343" max="3343" width="3.28515625" style="2" customWidth="1"/>
    <col min="3344" max="3344" width="1.5703125" style="2" customWidth="1"/>
    <col min="3345" max="3345" width="0" style="2" hidden="1" customWidth="1"/>
    <col min="3346" max="3346" width="6.85546875" style="2" customWidth="1"/>
    <col min="3347" max="3347" width="0" style="2" hidden="1" customWidth="1"/>
    <col min="3348" max="3349" width="6.28515625" style="2" customWidth="1"/>
    <col min="3350" max="3350" width="13.85546875" style="2" customWidth="1"/>
    <col min="3351" max="3351" width="10.85546875" style="2" customWidth="1"/>
    <col min="3352" max="3352" width="14.7109375" style="2" customWidth="1"/>
    <col min="3353" max="3353" width="0" style="2" hidden="1" customWidth="1"/>
    <col min="3354" max="3354" width="13" style="2" customWidth="1"/>
    <col min="3355" max="3355" width="12.7109375" style="2" customWidth="1"/>
    <col min="3356" max="3356" width="13.140625" style="2" customWidth="1"/>
    <col min="3357" max="3357" width="14" style="2" customWidth="1"/>
    <col min="3358" max="3358" width="8.140625" style="2" customWidth="1"/>
    <col min="3359" max="3359" width="11.5703125" style="2" customWidth="1"/>
    <col min="3360" max="3360" width="24.7109375" style="2" customWidth="1"/>
    <col min="3361" max="3361" width="12" style="2" customWidth="1"/>
    <col min="3362" max="3363" width="0.28515625" style="2" customWidth="1"/>
    <col min="3364" max="3364" width="1.42578125" style="2" customWidth="1"/>
    <col min="3365" max="3365" width="0" style="2" hidden="1" customWidth="1"/>
    <col min="3366" max="3584" width="11.42578125" style="2"/>
    <col min="3585" max="3585" width="8" style="2" customWidth="1"/>
    <col min="3586" max="3586" width="13.42578125" style="2" customWidth="1"/>
    <col min="3587" max="3587" width="4.28515625" style="2" customWidth="1"/>
    <col min="3588" max="3588" width="4" style="2" customWidth="1"/>
    <col min="3589" max="3589" width="17" style="2" customWidth="1"/>
    <col min="3590" max="3590" width="4.140625" style="2" customWidth="1"/>
    <col min="3591" max="3591" width="11.28515625" style="2" customWidth="1"/>
    <col min="3592" max="3592" width="11" style="2" customWidth="1"/>
    <col min="3593" max="3594" width="2.140625" style="2" customWidth="1"/>
    <col min="3595" max="3595" width="3.28515625" style="2" customWidth="1"/>
    <col min="3596" max="3597" width="0" style="2" hidden="1" customWidth="1"/>
    <col min="3598" max="3598" width="2.85546875" style="2" customWidth="1"/>
    <col min="3599" max="3599" width="3.28515625" style="2" customWidth="1"/>
    <col min="3600" max="3600" width="1.5703125" style="2" customWidth="1"/>
    <col min="3601" max="3601" width="0" style="2" hidden="1" customWidth="1"/>
    <col min="3602" max="3602" width="6.85546875" style="2" customWidth="1"/>
    <col min="3603" max="3603" width="0" style="2" hidden="1" customWidth="1"/>
    <col min="3604" max="3605" width="6.28515625" style="2" customWidth="1"/>
    <col min="3606" max="3606" width="13.85546875" style="2" customWidth="1"/>
    <col min="3607" max="3607" width="10.85546875" style="2" customWidth="1"/>
    <col min="3608" max="3608" width="14.7109375" style="2" customWidth="1"/>
    <col min="3609" max="3609" width="0" style="2" hidden="1" customWidth="1"/>
    <col min="3610" max="3610" width="13" style="2" customWidth="1"/>
    <col min="3611" max="3611" width="12.7109375" style="2" customWidth="1"/>
    <col min="3612" max="3612" width="13.140625" style="2" customWidth="1"/>
    <col min="3613" max="3613" width="14" style="2" customWidth="1"/>
    <col min="3614" max="3614" width="8.140625" style="2" customWidth="1"/>
    <col min="3615" max="3615" width="11.5703125" style="2" customWidth="1"/>
    <col min="3616" max="3616" width="24.7109375" style="2" customWidth="1"/>
    <col min="3617" max="3617" width="12" style="2" customWidth="1"/>
    <col min="3618" max="3619" width="0.28515625" style="2" customWidth="1"/>
    <col min="3620" max="3620" width="1.42578125" style="2" customWidth="1"/>
    <col min="3621" max="3621" width="0" style="2" hidden="1" customWidth="1"/>
    <col min="3622" max="3840" width="11.42578125" style="2"/>
    <col min="3841" max="3841" width="8" style="2" customWidth="1"/>
    <col min="3842" max="3842" width="13.42578125" style="2" customWidth="1"/>
    <col min="3843" max="3843" width="4.28515625" style="2" customWidth="1"/>
    <col min="3844" max="3844" width="4" style="2" customWidth="1"/>
    <col min="3845" max="3845" width="17" style="2" customWidth="1"/>
    <col min="3846" max="3846" width="4.140625" style="2" customWidth="1"/>
    <col min="3847" max="3847" width="11.28515625" style="2" customWidth="1"/>
    <col min="3848" max="3848" width="11" style="2" customWidth="1"/>
    <col min="3849" max="3850" width="2.140625" style="2" customWidth="1"/>
    <col min="3851" max="3851" width="3.28515625" style="2" customWidth="1"/>
    <col min="3852" max="3853" width="0" style="2" hidden="1" customWidth="1"/>
    <col min="3854" max="3854" width="2.85546875" style="2" customWidth="1"/>
    <col min="3855" max="3855" width="3.28515625" style="2" customWidth="1"/>
    <col min="3856" max="3856" width="1.5703125" style="2" customWidth="1"/>
    <col min="3857" max="3857" width="0" style="2" hidden="1" customWidth="1"/>
    <col min="3858" max="3858" width="6.85546875" style="2" customWidth="1"/>
    <col min="3859" max="3859" width="0" style="2" hidden="1" customWidth="1"/>
    <col min="3860" max="3861" width="6.28515625" style="2" customWidth="1"/>
    <col min="3862" max="3862" width="13.85546875" style="2" customWidth="1"/>
    <col min="3863" max="3863" width="10.85546875" style="2" customWidth="1"/>
    <col min="3864" max="3864" width="14.7109375" style="2" customWidth="1"/>
    <col min="3865" max="3865" width="0" style="2" hidden="1" customWidth="1"/>
    <col min="3866" max="3866" width="13" style="2" customWidth="1"/>
    <col min="3867" max="3867" width="12.7109375" style="2" customWidth="1"/>
    <col min="3868" max="3868" width="13.140625" style="2" customWidth="1"/>
    <col min="3869" max="3869" width="14" style="2" customWidth="1"/>
    <col min="3870" max="3870" width="8.140625" style="2" customWidth="1"/>
    <col min="3871" max="3871" width="11.5703125" style="2" customWidth="1"/>
    <col min="3872" max="3872" width="24.7109375" style="2" customWidth="1"/>
    <col min="3873" max="3873" width="12" style="2" customWidth="1"/>
    <col min="3874" max="3875" width="0.28515625" style="2" customWidth="1"/>
    <col min="3876" max="3876" width="1.42578125" style="2" customWidth="1"/>
    <col min="3877" max="3877" width="0" style="2" hidden="1" customWidth="1"/>
    <col min="3878" max="4096" width="11.42578125" style="2"/>
    <col min="4097" max="4097" width="8" style="2" customWidth="1"/>
    <col min="4098" max="4098" width="13.42578125" style="2" customWidth="1"/>
    <col min="4099" max="4099" width="4.28515625" style="2" customWidth="1"/>
    <col min="4100" max="4100" width="4" style="2" customWidth="1"/>
    <col min="4101" max="4101" width="17" style="2" customWidth="1"/>
    <col min="4102" max="4102" width="4.140625" style="2" customWidth="1"/>
    <col min="4103" max="4103" width="11.28515625" style="2" customWidth="1"/>
    <col min="4104" max="4104" width="11" style="2" customWidth="1"/>
    <col min="4105" max="4106" width="2.140625" style="2" customWidth="1"/>
    <col min="4107" max="4107" width="3.28515625" style="2" customWidth="1"/>
    <col min="4108" max="4109" width="0" style="2" hidden="1" customWidth="1"/>
    <col min="4110" max="4110" width="2.85546875" style="2" customWidth="1"/>
    <col min="4111" max="4111" width="3.28515625" style="2" customWidth="1"/>
    <col min="4112" max="4112" width="1.5703125" style="2" customWidth="1"/>
    <col min="4113" max="4113" width="0" style="2" hidden="1" customWidth="1"/>
    <col min="4114" max="4114" width="6.85546875" style="2" customWidth="1"/>
    <col min="4115" max="4115" width="0" style="2" hidden="1" customWidth="1"/>
    <col min="4116" max="4117" width="6.28515625" style="2" customWidth="1"/>
    <col min="4118" max="4118" width="13.85546875" style="2" customWidth="1"/>
    <col min="4119" max="4119" width="10.85546875" style="2" customWidth="1"/>
    <col min="4120" max="4120" width="14.7109375" style="2" customWidth="1"/>
    <col min="4121" max="4121" width="0" style="2" hidden="1" customWidth="1"/>
    <col min="4122" max="4122" width="13" style="2" customWidth="1"/>
    <col min="4123" max="4123" width="12.7109375" style="2" customWidth="1"/>
    <col min="4124" max="4124" width="13.140625" style="2" customWidth="1"/>
    <col min="4125" max="4125" width="14" style="2" customWidth="1"/>
    <col min="4126" max="4126" width="8.140625" style="2" customWidth="1"/>
    <col min="4127" max="4127" width="11.5703125" style="2" customWidth="1"/>
    <col min="4128" max="4128" width="24.7109375" style="2" customWidth="1"/>
    <col min="4129" max="4129" width="12" style="2" customWidth="1"/>
    <col min="4130" max="4131" width="0.28515625" style="2" customWidth="1"/>
    <col min="4132" max="4132" width="1.42578125" style="2" customWidth="1"/>
    <col min="4133" max="4133" width="0" style="2" hidden="1" customWidth="1"/>
    <col min="4134" max="4352" width="11.42578125" style="2"/>
    <col min="4353" max="4353" width="8" style="2" customWidth="1"/>
    <col min="4354" max="4354" width="13.42578125" style="2" customWidth="1"/>
    <col min="4355" max="4355" width="4.28515625" style="2" customWidth="1"/>
    <col min="4356" max="4356" width="4" style="2" customWidth="1"/>
    <col min="4357" max="4357" width="17" style="2" customWidth="1"/>
    <col min="4358" max="4358" width="4.140625" style="2" customWidth="1"/>
    <col min="4359" max="4359" width="11.28515625" style="2" customWidth="1"/>
    <col min="4360" max="4360" width="11" style="2" customWidth="1"/>
    <col min="4361" max="4362" width="2.140625" style="2" customWidth="1"/>
    <col min="4363" max="4363" width="3.28515625" style="2" customWidth="1"/>
    <col min="4364" max="4365" width="0" style="2" hidden="1" customWidth="1"/>
    <col min="4366" max="4366" width="2.85546875" style="2" customWidth="1"/>
    <col min="4367" max="4367" width="3.28515625" style="2" customWidth="1"/>
    <col min="4368" max="4368" width="1.5703125" style="2" customWidth="1"/>
    <col min="4369" max="4369" width="0" style="2" hidden="1" customWidth="1"/>
    <col min="4370" max="4370" width="6.85546875" style="2" customWidth="1"/>
    <col min="4371" max="4371" width="0" style="2" hidden="1" customWidth="1"/>
    <col min="4372" max="4373" width="6.28515625" style="2" customWidth="1"/>
    <col min="4374" max="4374" width="13.85546875" style="2" customWidth="1"/>
    <col min="4375" max="4375" width="10.85546875" style="2" customWidth="1"/>
    <col min="4376" max="4376" width="14.7109375" style="2" customWidth="1"/>
    <col min="4377" max="4377" width="0" style="2" hidden="1" customWidth="1"/>
    <col min="4378" max="4378" width="13" style="2" customWidth="1"/>
    <col min="4379" max="4379" width="12.7109375" style="2" customWidth="1"/>
    <col min="4380" max="4380" width="13.140625" style="2" customWidth="1"/>
    <col min="4381" max="4381" width="14" style="2" customWidth="1"/>
    <col min="4382" max="4382" width="8.140625" style="2" customWidth="1"/>
    <col min="4383" max="4383" width="11.5703125" style="2" customWidth="1"/>
    <col min="4384" max="4384" width="24.7109375" style="2" customWidth="1"/>
    <col min="4385" max="4385" width="12" style="2" customWidth="1"/>
    <col min="4386" max="4387" width="0.28515625" style="2" customWidth="1"/>
    <col min="4388" max="4388" width="1.42578125" style="2" customWidth="1"/>
    <col min="4389" max="4389" width="0" style="2" hidden="1" customWidth="1"/>
    <col min="4390" max="4608" width="11.42578125" style="2"/>
    <col min="4609" max="4609" width="8" style="2" customWidth="1"/>
    <col min="4610" max="4610" width="13.42578125" style="2" customWidth="1"/>
    <col min="4611" max="4611" width="4.28515625" style="2" customWidth="1"/>
    <col min="4612" max="4612" width="4" style="2" customWidth="1"/>
    <col min="4613" max="4613" width="17" style="2" customWidth="1"/>
    <col min="4614" max="4614" width="4.140625" style="2" customWidth="1"/>
    <col min="4615" max="4615" width="11.28515625" style="2" customWidth="1"/>
    <col min="4616" max="4616" width="11" style="2" customWidth="1"/>
    <col min="4617" max="4618" width="2.140625" style="2" customWidth="1"/>
    <col min="4619" max="4619" width="3.28515625" style="2" customWidth="1"/>
    <col min="4620" max="4621" width="0" style="2" hidden="1" customWidth="1"/>
    <col min="4622" max="4622" width="2.85546875" style="2" customWidth="1"/>
    <col min="4623" max="4623" width="3.28515625" style="2" customWidth="1"/>
    <col min="4624" max="4624" width="1.5703125" style="2" customWidth="1"/>
    <col min="4625" max="4625" width="0" style="2" hidden="1" customWidth="1"/>
    <col min="4626" max="4626" width="6.85546875" style="2" customWidth="1"/>
    <col min="4627" max="4627" width="0" style="2" hidden="1" customWidth="1"/>
    <col min="4628" max="4629" width="6.28515625" style="2" customWidth="1"/>
    <col min="4630" max="4630" width="13.85546875" style="2" customWidth="1"/>
    <col min="4631" max="4631" width="10.85546875" style="2" customWidth="1"/>
    <col min="4632" max="4632" width="14.7109375" style="2" customWidth="1"/>
    <col min="4633" max="4633" width="0" style="2" hidden="1" customWidth="1"/>
    <col min="4634" max="4634" width="13" style="2" customWidth="1"/>
    <col min="4635" max="4635" width="12.7109375" style="2" customWidth="1"/>
    <col min="4636" max="4636" width="13.140625" style="2" customWidth="1"/>
    <col min="4637" max="4637" width="14" style="2" customWidth="1"/>
    <col min="4638" max="4638" width="8.140625" style="2" customWidth="1"/>
    <col min="4639" max="4639" width="11.5703125" style="2" customWidth="1"/>
    <col min="4640" max="4640" width="24.7109375" style="2" customWidth="1"/>
    <col min="4641" max="4641" width="12" style="2" customWidth="1"/>
    <col min="4642" max="4643" width="0.28515625" style="2" customWidth="1"/>
    <col min="4644" max="4644" width="1.42578125" style="2" customWidth="1"/>
    <col min="4645" max="4645" width="0" style="2" hidden="1" customWidth="1"/>
    <col min="4646" max="4864" width="11.42578125" style="2"/>
    <col min="4865" max="4865" width="8" style="2" customWidth="1"/>
    <col min="4866" max="4866" width="13.42578125" style="2" customWidth="1"/>
    <col min="4867" max="4867" width="4.28515625" style="2" customWidth="1"/>
    <col min="4868" max="4868" width="4" style="2" customWidth="1"/>
    <col min="4869" max="4869" width="17" style="2" customWidth="1"/>
    <col min="4870" max="4870" width="4.140625" style="2" customWidth="1"/>
    <col min="4871" max="4871" width="11.28515625" style="2" customWidth="1"/>
    <col min="4872" max="4872" width="11" style="2" customWidth="1"/>
    <col min="4873" max="4874" width="2.140625" style="2" customWidth="1"/>
    <col min="4875" max="4875" width="3.28515625" style="2" customWidth="1"/>
    <col min="4876" max="4877" width="0" style="2" hidden="1" customWidth="1"/>
    <col min="4878" max="4878" width="2.85546875" style="2" customWidth="1"/>
    <col min="4879" max="4879" width="3.28515625" style="2" customWidth="1"/>
    <col min="4880" max="4880" width="1.5703125" style="2" customWidth="1"/>
    <col min="4881" max="4881" width="0" style="2" hidden="1" customWidth="1"/>
    <col min="4882" max="4882" width="6.85546875" style="2" customWidth="1"/>
    <col min="4883" max="4883" width="0" style="2" hidden="1" customWidth="1"/>
    <col min="4884" max="4885" width="6.28515625" style="2" customWidth="1"/>
    <col min="4886" max="4886" width="13.85546875" style="2" customWidth="1"/>
    <col min="4887" max="4887" width="10.85546875" style="2" customWidth="1"/>
    <col min="4888" max="4888" width="14.7109375" style="2" customWidth="1"/>
    <col min="4889" max="4889" width="0" style="2" hidden="1" customWidth="1"/>
    <col min="4890" max="4890" width="13" style="2" customWidth="1"/>
    <col min="4891" max="4891" width="12.7109375" style="2" customWidth="1"/>
    <col min="4892" max="4892" width="13.140625" style="2" customWidth="1"/>
    <col min="4893" max="4893" width="14" style="2" customWidth="1"/>
    <col min="4894" max="4894" width="8.140625" style="2" customWidth="1"/>
    <col min="4895" max="4895" width="11.5703125" style="2" customWidth="1"/>
    <col min="4896" max="4896" width="24.7109375" style="2" customWidth="1"/>
    <col min="4897" max="4897" width="12" style="2" customWidth="1"/>
    <col min="4898" max="4899" width="0.28515625" style="2" customWidth="1"/>
    <col min="4900" max="4900" width="1.42578125" style="2" customWidth="1"/>
    <col min="4901" max="4901" width="0" style="2" hidden="1" customWidth="1"/>
    <col min="4902" max="5120" width="11.42578125" style="2"/>
    <col min="5121" max="5121" width="8" style="2" customWidth="1"/>
    <col min="5122" max="5122" width="13.42578125" style="2" customWidth="1"/>
    <col min="5123" max="5123" width="4.28515625" style="2" customWidth="1"/>
    <col min="5124" max="5124" width="4" style="2" customWidth="1"/>
    <col min="5125" max="5125" width="17" style="2" customWidth="1"/>
    <col min="5126" max="5126" width="4.140625" style="2" customWidth="1"/>
    <col min="5127" max="5127" width="11.28515625" style="2" customWidth="1"/>
    <col min="5128" max="5128" width="11" style="2" customWidth="1"/>
    <col min="5129" max="5130" width="2.140625" style="2" customWidth="1"/>
    <col min="5131" max="5131" width="3.28515625" style="2" customWidth="1"/>
    <col min="5132" max="5133" width="0" style="2" hidden="1" customWidth="1"/>
    <col min="5134" max="5134" width="2.85546875" style="2" customWidth="1"/>
    <col min="5135" max="5135" width="3.28515625" style="2" customWidth="1"/>
    <col min="5136" max="5136" width="1.5703125" style="2" customWidth="1"/>
    <col min="5137" max="5137" width="0" style="2" hidden="1" customWidth="1"/>
    <col min="5138" max="5138" width="6.85546875" style="2" customWidth="1"/>
    <col min="5139" max="5139" width="0" style="2" hidden="1" customWidth="1"/>
    <col min="5140" max="5141" width="6.28515625" style="2" customWidth="1"/>
    <col min="5142" max="5142" width="13.85546875" style="2" customWidth="1"/>
    <col min="5143" max="5143" width="10.85546875" style="2" customWidth="1"/>
    <col min="5144" max="5144" width="14.7109375" style="2" customWidth="1"/>
    <col min="5145" max="5145" width="0" style="2" hidden="1" customWidth="1"/>
    <col min="5146" max="5146" width="13" style="2" customWidth="1"/>
    <col min="5147" max="5147" width="12.7109375" style="2" customWidth="1"/>
    <col min="5148" max="5148" width="13.140625" style="2" customWidth="1"/>
    <col min="5149" max="5149" width="14" style="2" customWidth="1"/>
    <col min="5150" max="5150" width="8.140625" style="2" customWidth="1"/>
    <col min="5151" max="5151" width="11.5703125" style="2" customWidth="1"/>
    <col min="5152" max="5152" width="24.7109375" style="2" customWidth="1"/>
    <col min="5153" max="5153" width="12" style="2" customWidth="1"/>
    <col min="5154" max="5155" width="0.28515625" style="2" customWidth="1"/>
    <col min="5156" max="5156" width="1.42578125" style="2" customWidth="1"/>
    <col min="5157" max="5157" width="0" style="2" hidden="1" customWidth="1"/>
    <col min="5158" max="5376" width="11.42578125" style="2"/>
    <col min="5377" max="5377" width="8" style="2" customWidth="1"/>
    <col min="5378" max="5378" width="13.42578125" style="2" customWidth="1"/>
    <col min="5379" max="5379" width="4.28515625" style="2" customWidth="1"/>
    <col min="5380" max="5380" width="4" style="2" customWidth="1"/>
    <col min="5381" max="5381" width="17" style="2" customWidth="1"/>
    <col min="5382" max="5382" width="4.140625" style="2" customWidth="1"/>
    <col min="5383" max="5383" width="11.28515625" style="2" customWidth="1"/>
    <col min="5384" max="5384" width="11" style="2" customWidth="1"/>
    <col min="5385" max="5386" width="2.140625" style="2" customWidth="1"/>
    <col min="5387" max="5387" width="3.28515625" style="2" customWidth="1"/>
    <col min="5388" max="5389" width="0" style="2" hidden="1" customWidth="1"/>
    <col min="5390" max="5390" width="2.85546875" style="2" customWidth="1"/>
    <col min="5391" max="5391" width="3.28515625" style="2" customWidth="1"/>
    <col min="5392" max="5392" width="1.5703125" style="2" customWidth="1"/>
    <col min="5393" max="5393" width="0" style="2" hidden="1" customWidth="1"/>
    <col min="5394" max="5394" width="6.85546875" style="2" customWidth="1"/>
    <col min="5395" max="5395" width="0" style="2" hidden="1" customWidth="1"/>
    <col min="5396" max="5397" width="6.28515625" style="2" customWidth="1"/>
    <col min="5398" max="5398" width="13.85546875" style="2" customWidth="1"/>
    <col min="5399" max="5399" width="10.85546875" style="2" customWidth="1"/>
    <col min="5400" max="5400" width="14.7109375" style="2" customWidth="1"/>
    <col min="5401" max="5401" width="0" style="2" hidden="1" customWidth="1"/>
    <col min="5402" max="5402" width="13" style="2" customWidth="1"/>
    <col min="5403" max="5403" width="12.7109375" style="2" customWidth="1"/>
    <col min="5404" max="5404" width="13.140625" style="2" customWidth="1"/>
    <col min="5405" max="5405" width="14" style="2" customWidth="1"/>
    <col min="5406" max="5406" width="8.140625" style="2" customWidth="1"/>
    <col min="5407" max="5407" width="11.5703125" style="2" customWidth="1"/>
    <col min="5408" max="5408" width="24.7109375" style="2" customWidth="1"/>
    <col min="5409" max="5409" width="12" style="2" customWidth="1"/>
    <col min="5410" max="5411" width="0.28515625" style="2" customWidth="1"/>
    <col min="5412" max="5412" width="1.42578125" style="2" customWidth="1"/>
    <col min="5413" max="5413" width="0" style="2" hidden="1" customWidth="1"/>
    <col min="5414" max="5632" width="11.42578125" style="2"/>
    <col min="5633" max="5633" width="8" style="2" customWidth="1"/>
    <col min="5634" max="5634" width="13.42578125" style="2" customWidth="1"/>
    <col min="5635" max="5635" width="4.28515625" style="2" customWidth="1"/>
    <col min="5636" max="5636" width="4" style="2" customWidth="1"/>
    <col min="5637" max="5637" width="17" style="2" customWidth="1"/>
    <col min="5638" max="5638" width="4.140625" style="2" customWidth="1"/>
    <col min="5639" max="5639" width="11.28515625" style="2" customWidth="1"/>
    <col min="5640" max="5640" width="11" style="2" customWidth="1"/>
    <col min="5641" max="5642" width="2.140625" style="2" customWidth="1"/>
    <col min="5643" max="5643" width="3.28515625" style="2" customWidth="1"/>
    <col min="5644" max="5645" width="0" style="2" hidden="1" customWidth="1"/>
    <col min="5646" max="5646" width="2.85546875" style="2" customWidth="1"/>
    <col min="5647" max="5647" width="3.28515625" style="2" customWidth="1"/>
    <col min="5648" max="5648" width="1.5703125" style="2" customWidth="1"/>
    <col min="5649" max="5649" width="0" style="2" hidden="1" customWidth="1"/>
    <col min="5650" max="5650" width="6.85546875" style="2" customWidth="1"/>
    <col min="5651" max="5651" width="0" style="2" hidden="1" customWidth="1"/>
    <col min="5652" max="5653" width="6.28515625" style="2" customWidth="1"/>
    <col min="5654" max="5654" width="13.85546875" style="2" customWidth="1"/>
    <col min="5655" max="5655" width="10.85546875" style="2" customWidth="1"/>
    <col min="5656" max="5656" width="14.7109375" style="2" customWidth="1"/>
    <col min="5657" max="5657" width="0" style="2" hidden="1" customWidth="1"/>
    <col min="5658" max="5658" width="13" style="2" customWidth="1"/>
    <col min="5659" max="5659" width="12.7109375" style="2" customWidth="1"/>
    <col min="5660" max="5660" width="13.140625" style="2" customWidth="1"/>
    <col min="5661" max="5661" width="14" style="2" customWidth="1"/>
    <col min="5662" max="5662" width="8.140625" style="2" customWidth="1"/>
    <col min="5663" max="5663" width="11.5703125" style="2" customWidth="1"/>
    <col min="5664" max="5664" width="24.7109375" style="2" customWidth="1"/>
    <col min="5665" max="5665" width="12" style="2" customWidth="1"/>
    <col min="5666" max="5667" width="0.28515625" style="2" customWidth="1"/>
    <col min="5668" max="5668" width="1.42578125" style="2" customWidth="1"/>
    <col min="5669" max="5669" width="0" style="2" hidden="1" customWidth="1"/>
    <col min="5670" max="5888" width="11.42578125" style="2"/>
    <col min="5889" max="5889" width="8" style="2" customWidth="1"/>
    <col min="5890" max="5890" width="13.42578125" style="2" customWidth="1"/>
    <col min="5891" max="5891" width="4.28515625" style="2" customWidth="1"/>
    <col min="5892" max="5892" width="4" style="2" customWidth="1"/>
    <col min="5893" max="5893" width="17" style="2" customWidth="1"/>
    <col min="5894" max="5894" width="4.140625" style="2" customWidth="1"/>
    <col min="5895" max="5895" width="11.28515625" style="2" customWidth="1"/>
    <col min="5896" max="5896" width="11" style="2" customWidth="1"/>
    <col min="5897" max="5898" width="2.140625" style="2" customWidth="1"/>
    <col min="5899" max="5899" width="3.28515625" style="2" customWidth="1"/>
    <col min="5900" max="5901" width="0" style="2" hidden="1" customWidth="1"/>
    <col min="5902" max="5902" width="2.85546875" style="2" customWidth="1"/>
    <col min="5903" max="5903" width="3.28515625" style="2" customWidth="1"/>
    <col min="5904" max="5904" width="1.5703125" style="2" customWidth="1"/>
    <col min="5905" max="5905" width="0" style="2" hidden="1" customWidth="1"/>
    <col min="5906" max="5906" width="6.85546875" style="2" customWidth="1"/>
    <col min="5907" max="5907" width="0" style="2" hidden="1" customWidth="1"/>
    <col min="5908" max="5909" width="6.28515625" style="2" customWidth="1"/>
    <col min="5910" max="5910" width="13.85546875" style="2" customWidth="1"/>
    <col min="5911" max="5911" width="10.85546875" style="2" customWidth="1"/>
    <col min="5912" max="5912" width="14.7109375" style="2" customWidth="1"/>
    <col min="5913" max="5913" width="0" style="2" hidden="1" customWidth="1"/>
    <col min="5914" max="5914" width="13" style="2" customWidth="1"/>
    <col min="5915" max="5915" width="12.7109375" style="2" customWidth="1"/>
    <col min="5916" max="5916" width="13.140625" style="2" customWidth="1"/>
    <col min="5917" max="5917" width="14" style="2" customWidth="1"/>
    <col min="5918" max="5918" width="8.140625" style="2" customWidth="1"/>
    <col min="5919" max="5919" width="11.5703125" style="2" customWidth="1"/>
    <col min="5920" max="5920" width="24.7109375" style="2" customWidth="1"/>
    <col min="5921" max="5921" width="12" style="2" customWidth="1"/>
    <col min="5922" max="5923" width="0.28515625" style="2" customWidth="1"/>
    <col min="5924" max="5924" width="1.42578125" style="2" customWidth="1"/>
    <col min="5925" max="5925" width="0" style="2" hidden="1" customWidth="1"/>
    <col min="5926" max="6144" width="11.42578125" style="2"/>
    <col min="6145" max="6145" width="8" style="2" customWidth="1"/>
    <col min="6146" max="6146" width="13.42578125" style="2" customWidth="1"/>
    <col min="6147" max="6147" width="4.28515625" style="2" customWidth="1"/>
    <col min="6148" max="6148" width="4" style="2" customWidth="1"/>
    <col min="6149" max="6149" width="17" style="2" customWidth="1"/>
    <col min="6150" max="6150" width="4.140625" style="2" customWidth="1"/>
    <col min="6151" max="6151" width="11.28515625" style="2" customWidth="1"/>
    <col min="6152" max="6152" width="11" style="2" customWidth="1"/>
    <col min="6153" max="6154" width="2.140625" style="2" customWidth="1"/>
    <col min="6155" max="6155" width="3.28515625" style="2" customWidth="1"/>
    <col min="6156" max="6157" width="0" style="2" hidden="1" customWidth="1"/>
    <col min="6158" max="6158" width="2.85546875" style="2" customWidth="1"/>
    <col min="6159" max="6159" width="3.28515625" style="2" customWidth="1"/>
    <col min="6160" max="6160" width="1.5703125" style="2" customWidth="1"/>
    <col min="6161" max="6161" width="0" style="2" hidden="1" customWidth="1"/>
    <col min="6162" max="6162" width="6.85546875" style="2" customWidth="1"/>
    <col min="6163" max="6163" width="0" style="2" hidden="1" customWidth="1"/>
    <col min="6164" max="6165" width="6.28515625" style="2" customWidth="1"/>
    <col min="6166" max="6166" width="13.85546875" style="2" customWidth="1"/>
    <col min="6167" max="6167" width="10.85546875" style="2" customWidth="1"/>
    <col min="6168" max="6168" width="14.7109375" style="2" customWidth="1"/>
    <col min="6169" max="6169" width="0" style="2" hidden="1" customWidth="1"/>
    <col min="6170" max="6170" width="13" style="2" customWidth="1"/>
    <col min="6171" max="6171" width="12.7109375" style="2" customWidth="1"/>
    <col min="6172" max="6172" width="13.140625" style="2" customWidth="1"/>
    <col min="6173" max="6173" width="14" style="2" customWidth="1"/>
    <col min="6174" max="6174" width="8.140625" style="2" customWidth="1"/>
    <col min="6175" max="6175" width="11.5703125" style="2" customWidth="1"/>
    <col min="6176" max="6176" width="24.7109375" style="2" customWidth="1"/>
    <col min="6177" max="6177" width="12" style="2" customWidth="1"/>
    <col min="6178" max="6179" width="0.28515625" style="2" customWidth="1"/>
    <col min="6180" max="6180" width="1.42578125" style="2" customWidth="1"/>
    <col min="6181" max="6181" width="0" style="2" hidden="1" customWidth="1"/>
    <col min="6182" max="6400" width="11.42578125" style="2"/>
    <col min="6401" max="6401" width="8" style="2" customWidth="1"/>
    <col min="6402" max="6402" width="13.42578125" style="2" customWidth="1"/>
    <col min="6403" max="6403" width="4.28515625" style="2" customWidth="1"/>
    <col min="6404" max="6404" width="4" style="2" customWidth="1"/>
    <col min="6405" max="6405" width="17" style="2" customWidth="1"/>
    <col min="6406" max="6406" width="4.140625" style="2" customWidth="1"/>
    <col min="6407" max="6407" width="11.28515625" style="2" customWidth="1"/>
    <col min="6408" max="6408" width="11" style="2" customWidth="1"/>
    <col min="6409" max="6410" width="2.140625" style="2" customWidth="1"/>
    <col min="6411" max="6411" width="3.28515625" style="2" customWidth="1"/>
    <col min="6412" max="6413" width="0" style="2" hidden="1" customWidth="1"/>
    <col min="6414" max="6414" width="2.85546875" style="2" customWidth="1"/>
    <col min="6415" max="6415" width="3.28515625" style="2" customWidth="1"/>
    <col min="6416" max="6416" width="1.5703125" style="2" customWidth="1"/>
    <col min="6417" max="6417" width="0" style="2" hidden="1" customWidth="1"/>
    <col min="6418" max="6418" width="6.85546875" style="2" customWidth="1"/>
    <col min="6419" max="6419" width="0" style="2" hidden="1" customWidth="1"/>
    <col min="6420" max="6421" width="6.28515625" style="2" customWidth="1"/>
    <col min="6422" max="6422" width="13.85546875" style="2" customWidth="1"/>
    <col min="6423" max="6423" width="10.85546875" style="2" customWidth="1"/>
    <col min="6424" max="6424" width="14.7109375" style="2" customWidth="1"/>
    <col min="6425" max="6425" width="0" style="2" hidden="1" customWidth="1"/>
    <col min="6426" max="6426" width="13" style="2" customWidth="1"/>
    <col min="6427" max="6427" width="12.7109375" style="2" customWidth="1"/>
    <col min="6428" max="6428" width="13.140625" style="2" customWidth="1"/>
    <col min="6429" max="6429" width="14" style="2" customWidth="1"/>
    <col min="6430" max="6430" width="8.140625" style="2" customWidth="1"/>
    <col min="6431" max="6431" width="11.5703125" style="2" customWidth="1"/>
    <col min="6432" max="6432" width="24.7109375" style="2" customWidth="1"/>
    <col min="6433" max="6433" width="12" style="2" customWidth="1"/>
    <col min="6434" max="6435" width="0.28515625" style="2" customWidth="1"/>
    <col min="6436" max="6436" width="1.42578125" style="2" customWidth="1"/>
    <col min="6437" max="6437" width="0" style="2" hidden="1" customWidth="1"/>
    <col min="6438" max="6656" width="11.42578125" style="2"/>
    <col min="6657" max="6657" width="8" style="2" customWidth="1"/>
    <col min="6658" max="6658" width="13.42578125" style="2" customWidth="1"/>
    <col min="6659" max="6659" width="4.28515625" style="2" customWidth="1"/>
    <col min="6660" max="6660" width="4" style="2" customWidth="1"/>
    <col min="6661" max="6661" width="17" style="2" customWidth="1"/>
    <col min="6662" max="6662" width="4.140625" style="2" customWidth="1"/>
    <col min="6663" max="6663" width="11.28515625" style="2" customWidth="1"/>
    <col min="6664" max="6664" width="11" style="2" customWidth="1"/>
    <col min="6665" max="6666" width="2.140625" style="2" customWidth="1"/>
    <col min="6667" max="6667" width="3.28515625" style="2" customWidth="1"/>
    <col min="6668" max="6669" width="0" style="2" hidden="1" customWidth="1"/>
    <col min="6670" max="6670" width="2.85546875" style="2" customWidth="1"/>
    <col min="6671" max="6671" width="3.28515625" style="2" customWidth="1"/>
    <col min="6672" max="6672" width="1.5703125" style="2" customWidth="1"/>
    <col min="6673" max="6673" width="0" style="2" hidden="1" customWidth="1"/>
    <col min="6674" max="6674" width="6.85546875" style="2" customWidth="1"/>
    <col min="6675" max="6675" width="0" style="2" hidden="1" customWidth="1"/>
    <col min="6676" max="6677" width="6.28515625" style="2" customWidth="1"/>
    <col min="6678" max="6678" width="13.85546875" style="2" customWidth="1"/>
    <col min="6679" max="6679" width="10.85546875" style="2" customWidth="1"/>
    <col min="6680" max="6680" width="14.7109375" style="2" customWidth="1"/>
    <col min="6681" max="6681" width="0" style="2" hidden="1" customWidth="1"/>
    <col min="6682" max="6682" width="13" style="2" customWidth="1"/>
    <col min="6683" max="6683" width="12.7109375" style="2" customWidth="1"/>
    <col min="6684" max="6684" width="13.140625" style="2" customWidth="1"/>
    <col min="6685" max="6685" width="14" style="2" customWidth="1"/>
    <col min="6686" max="6686" width="8.140625" style="2" customWidth="1"/>
    <col min="6687" max="6687" width="11.5703125" style="2" customWidth="1"/>
    <col min="6688" max="6688" width="24.7109375" style="2" customWidth="1"/>
    <col min="6689" max="6689" width="12" style="2" customWidth="1"/>
    <col min="6690" max="6691" width="0.28515625" style="2" customWidth="1"/>
    <col min="6692" max="6692" width="1.42578125" style="2" customWidth="1"/>
    <col min="6693" max="6693" width="0" style="2" hidden="1" customWidth="1"/>
    <col min="6694" max="6912" width="11.42578125" style="2"/>
    <col min="6913" max="6913" width="8" style="2" customWidth="1"/>
    <col min="6914" max="6914" width="13.42578125" style="2" customWidth="1"/>
    <col min="6915" max="6915" width="4.28515625" style="2" customWidth="1"/>
    <col min="6916" max="6916" width="4" style="2" customWidth="1"/>
    <col min="6917" max="6917" width="17" style="2" customWidth="1"/>
    <col min="6918" max="6918" width="4.140625" style="2" customWidth="1"/>
    <col min="6919" max="6919" width="11.28515625" style="2" customWidth="1"/>
    <col min="6920" max="6920" width="11" style="2" customWidth="1"/>
    <col min="6921" max="6922" width="2.140625" style="2" customWidth="1"/>
    <col min="6923" max="6923" width="3.28515625" style="2" customWidth="1"/>
    <col min="6924" max="6925" width="0" style="2" hidden="1" customWidth="1"/>
    <col min="6926" max="6926" width="2.85546875" style="2" customWidth="1"/>
    <col min="6927" max="6927" width="3.28515625" style="2" customWidth="1"/>
    <col min="6928" max="6928" width="1.5703125" style="2" customWidth="1"/>
    <col min="6929" max="6929" width="0" style="2" hidden="1" customWidth="1"/>
    <col min="6930" max="6930" width="6.85546875" style="2" customWidth="1"/>
    <col min="6931" max="6931" width="0" style="2" hidden="1" customWidth="1"/>
    <col min="6932" max="6933" width="6.28515625" style="2" customWidth="1"/>
    <col min="6934" max="6934" width="13.85546875" style="2" customWidth="1"/>
    <col min="6935" max="6935" width="10.85546875" style="2" customWidth="1"/>
    <col min="6936" max="6936" width="14.7109375" style="2" customWidth="1"/>
    <col min="6937" max="6937" width="0" style="2" hidden="1" customWidth="1"/>
    <col min="6938" max="6938" width="13" style="2" customWidth="1"/>
    <col min="6939" max="6939" width="12.7109375" style="2" customWidth="1"/>
    <col min="6940" max="6940" width="13.140625" style="2" customWidth="1"/>
    <col min="6941" max="6941" width="14" style="2" customWidth="1"/>
    <col min="6942" max="6942" width="8.140625" style="2" customWidth="1"/>
    <col min="6943" max="6943" width="11.5703125" style="2" customWidth="1"/>
    <col min="6944" max="6944" width="24.7109375" style="2" customWidth="1"/>
    <col min="6945" max="6945" width="12" style="2" customWidth="1"/>
    <col min="6946" max="6947" width="0.28515625" style="2" customWidth="1"/>
    <col min="6948" max="6948" width="1.42578125" style="2" customWidth="1"/>
    <col min="6949" max="6949" width="0" style="2" hidden="1" customWidth="1"/>
    <col min="6950" max="7168" width="11.42578125" style="2"/>
    <col min="7169" max="7169" width="8" style="2" customWidth="1"/>
    <col min="7170" max="7170" width="13.42578125" style="2" customWidth="1"/>
    <col min="7171" max="7171" width="4.28515625" style="2" customWidth="1"/>
    <col min="7172" max="7172" width="4" style="2" customWidth="1"/>
    <col min="7173" max="7173" width="17" style="2" customWidth="1"/>
    <col min="7174" max="7174" width="4.140625" style="2" customWidth="1"/>
    <col min="7175" max="7175" width="11.28515625" style="2" customWidth="1"/>
    <col min="7176" max="7176" width="11" style="2" customWidth="1"/>
    <col min="7177" max="7178" width="2.140625" style="2" customWidth="1"/>
    <col min="7179" max="7179" width="3.28515625" style="2" customWidth="1"/>
    <col min="7180" max="7181" width="0" style="2" hidden="1" customWidth="1"/>
    <col min="7182" max="7182" width="2.85546875" style="2" customWidth="1"/>
    <col min="7183" max="7183" width="3.28515625" style="2" customWidth="1"/>
    <col min="7184" max="7184" width="1.5703125" style="2" customWidth="1"/>
    <col min="7185" max="7185" width="0" style="2" hidden="1" customWidth="1"/>
    <col min="7186" max="7186" width="6.85546875" style="2" customWidth="1"/>
    <col min="7187" max="7187" width="0" style="2" hidden="1" customWidth="1"/>
    <col min="7188" max="7189" width="6.28515625" style="2" customWidth="1"/>
    <col min="7190" max="7190" width="13.85546875" style="2" customWidth="1"/>
    <col min="7191" max="7191" width="10.85546875" style="2" customWidth="1"/>
    <col min="7192" max="7192" width="14.7109375" style="2" customWidth="1"/>
    <col min="7193" max="7193" width="0" style="2" hidden="1" customWidth="1"/>
    <col min="7194" max="7194" width="13" style="2" customWidth="1"/>
    <col min="7195" max="7195" width="12.7109375" style="2" customWidth="1"/>
    <col min="7196" max="7196" width="13.140625" style="2" customWidth="1"/>
    <col min="7197" max="7197" width="14" style="2" customWidth="1"/>
    <col min="7198" max="7198" width="8.140625" style="2" customWidth="1"/>
    <col min="7199" max="7199" width="11.5703125" style="2" customWidth="1"/>
    <col min="7200" max="7200" width="24.7109375" style="2" customWidth="1"/>
    <col min="7201" max="7201" width="12" style="2" customWidth="1"/>
    <col min="7202" max="7203" width="0.28515625" style="2" customWidth="1"/>
    <col min="7204" max="7204" width="1.42578125" style="2" customWidth="1"/>
    <col min="7205" max="7205" width="0" style="2" hidden="1" customWidth="1"/>
    <col min="7206" max="7424" width="11.42578125" style="2"/>
    <col min="7425" max="7425" width="8" style="2" customWidth="1"/>
    <col min="7426" max="7426" width="13.42578125" style="2" customWidth="1"/>
    <col min="7427" max="7427" width="4.28515625" style="2" customWidth="1"/>
    <col min="7428" max="7428" width="4" style="2" customWidth="1"/>
    <col min="7429" max="7429" width="17" style="2" customWidth="1"/>
    <col min="7430" max="7430" width="4.140625" style="2" customWidth="1"/>
    <col min="7431" max="7431" width="11.28515625" style="2" customWidth="1"/>
    <col min="7432" max="7432" width="11" style="2" customWidth="1"/>
    <col min="7433" max="7434" width="2.140625" style="2" customWidth="1"/>
    <col min="7435" max="7435" width="3.28515625" style="2" customWidth="1"/>
    <col min="7436" max="7437" width="0" style="2" hidden="1" customWidth="1"/>
    <col min="7438" max="7438" width="2.85546875" style="2" customWidth="1"/>
    <col min="7439" max="7439" width="3.28515625" style="2" customWidth="1"/>
    <col min="7440" max="7440" width="1.5703125" style="2" customWidth="1"/>
    <col min="7441" max="7441" width="0" style="2" hidden="1" customWidth="1"/>
    <col min="7442" max="7442" width="6.85546875" style="2" customWidth="1"/>
    <col min="7443" max="7443" width="0" style="2" hidden="1" customWidth="1"/>
    <col min="7444" max="7445" width="6.28515625" style="2" customWidth="1"/>
    <col min="7446" max="7446" width="13.85546875" style="2" customWidth="1"/>
    <col min="7447" max="7447" width="10.85546875" style="2" customWidth="1"/>
    <col min="7448" max="7448" width="14.7109375" style="2" customWidth="1"/>
    <col min="7449" max="7449" width="0" style="2" hidden="1" customWidth="1"/>
    <col min="7450" max="7450" width="13" style="2" customWidth="1"/>
    <col min="7451" max="7451" width="12.7109375" style="2" customWidth="1"/>
    <col min="7452" max="7452" width="13.140625" style="2" customWidth="1"/>
    <col min="7453" max="7453" width="14" style="2" customWidth="1"/>
    <col min="7454" max="7454" width="8.140625" style="2" customWidth="1"/>
    <col min="7455" max="7455" width="11.5703125" style="2" customWidth="1"/>
    <col min="7456" max="7456" width="24.7109375" style="2" customWidth="1"/>
    <col min="7457" max="7457" width="12" style="2" customWidth="1"/>
    <col min="7458" max="7459" width="0.28515625" style="2" customWidth="1"/>
    <col min="7460" max="7460" width="1.42578125" style="2" customWidth="1"/>
    <col min="7461" max="7461" width="0" style="2" hidden="1" customWidth="1"/>
    <col min="7462" max="7680" width="11.42578125" style="2"/>
    <col min="7681" max="7681" width="8" style="2" customWidth="1"/>
    <col min="7682" max="7682" width="13.42578125" style="2" customWidth="1"/>
    <col min="7683" max="7683" width="4.28515625" style="2" customWidth="1"/>
    <col min="7684" max="7684" width="4" style="2" customWidth="1"/>
    <col min="7685" max="7685" width="17" style="2" customWidth="1"/>
    <col min="7686" max="7686" width="4.140625" style="2" customWidth="1"/>
    <col min="7687" max="7687" width="11.28515625" style="2" customWidth="1"/>
    <col min="7688" max="7688" width="11" style="2" customWidth="1"/>
    <col min="7689" max="7690" width="2.140625" style="2" customWidth="1"/>
    <col min="7691" max="7691" width="3.28515625" style="2" customWidth="1"/>
    <col min="7692" max="7693" width="0" style="2" hidden="1" customWidth="1"/>
    <col min="7694" max="7694" width="2.85546875" style="2" customWidth="1"/>
    <col min="7695" max="7695" width="3.28515625" style="2" customWidth="1"/>
    <col min="7696" max="7696" width="1.5703125" style="2" customWidth="1"/>
    <col min="7697" max="7697" width="0" style="2" hidden="1" customWidth="1"/>
    <col min="7698" max="7698" width="6.85546875" style="2" customWidth="1"/>
    <col min="7699" max="7699" width="0" style="2" hidden="1" customWidth="1"/>
    <col min="7700" max="7701" width="6.28515625" style="2" customWidth="1"/>
    <col min="7702" max="7702" width="13.85546875" style="2" customWidth="1"/>
    <col min="7703" max="7703" width="10.85546875" style="2" customWidth="1"/>
    <col min="7704" max="7704" width="14.7109375" style="2" customWidth="1"/>
    <col min="7705" max="7705" width="0" style="2" hidden="1" customWidth="1"/>
    <col min="7706" max="7706" width="13" style="2" customWidth="1"/>
    <col min="7707" max="7707" width="12.7109375" style="2" customWidth="1"/>
    <col min="7708" max="7708" width="13.140625" style="2" customWidth="1"/>
    <col min="7709" max="7709" width="14" style="2" customWidth="1"/>
    <col min="7710" max="7710" width="8.140625" style="2" customWidth="1"/>
    <col min="7711" max="7711" width="11.5703125" style="2" customWidth="1"/>
    <col min="7712" max="7712" width="24.7109375" style="2" customWidth="1"/>
    <col min="7713" max="7713" width="12" style="2" customWidth="1"/>
    <col min="7714" max="7715" width="0.28515625" style="2" customWidth="1"/>
    <col min="7716" max="7716" width="1.42578125" style="2" customWidth="1"/>
    <col min="7717" max="7717" width="0" style="2" hidden="1" customWidth="1"/>
    <col min="7718" max="7936" width="11.42578125" style="2"/>
    <col min="7937" max="7937" width="8" style="2" customWidth="1"/>
    <col min="7938" max="7938" width="13.42578125" style="2" customWidth="1"/>
    <col min="7939" max="7939" width="4.28515625" style="2" customWidth="1"/>
    <col min="7940" max="7940" width="4" style="2" customWidth="1"/>
    <col min="7941" max="7941" width="17" style="2" customWidth="1"/>
    <col min="7942" max="7942" width="4.140625" style="2" customWidth="1"/>
    <col min="7943" max="7943" width="11.28515625" style="2" customWidth="1"/>
    <col min="7944" max="7944" width="11" style="2" customWidth="1"/>
    <col min="7945" max="7946" width="2.140625" style="2" customWidth="1"/>
    <col min="7947" max="7947" width="3.28515625" style="2" customWidth="1"/>
    <col min="7948" max="7949" width="0" style="2" hidden="1" customWidth="1"/>
    <col min="7950" max="7950" width="2.85546875" style="2" customWidth="1"/>
    <col min="7951" max="7951" width="3.28515625" style="2" customWidth="1"/>
    <col min="7952" max="7952" width="1.5703125" style="2" customWidth="1"/>
    <col min="7953" max="7953" width="0" style="2" hidden="1" customWidth="1"/>
    <col min="7954" max="7954" width="6.85546875" style="2" customWidth="1"/>
    <col min="7955" max="7955" width="0" style="2" hidden="1" customWidth="1"/>
    <col min="7956" max="7957" width="6.28515625" style="2" customWidth="1"/>
    <col min="7958" max="7958" width="13.85546875" style="2" customWidth="1"/>
    <col min="7959" max="7959" width="10.85546875" style="2" customWidth="1"/>
    <col min="7960" max="7960" width="14.7109375" style="2" customWidth="1"/>
    <col min="7961" max="7961" width="0" style="2" hidden="1" customWidth="1"/>
    <col min="7962" max="7962" width="13" style="2" customWidth="1"/>
    <col min="7963" max="7963" width="12.7109375" style="2" customWidth="1"/>
    <col min="7964" max="7964" width="13.140625" style="2" customWidth="1"/>
    <col min="7965" max="7965" width="14" style="2" customWidth="1"/>
    <col min="7966" max="7966" width="8.140625" style="2" customWidth="1"/>
    <col min="7967" max="7967" width="11.5703125" style="2" customWidth="1"/>
    <col min="7968" max="7968" width="24.7109375" style="2" customWidth="1"/>
    <col min="7969" max="7969" width="12" style="2" customWidth="1"/>
    <col min="7970" max="7971" width="0.28515625" style="2" customWidth="1"/>
    <col min="7972" max="7972" width="1.42578125" style="2" customWidth="1"/>
    <col min="7973" max="7973" width="0" style="2" hidden="1" customWidth="1"/>
    <col min="7974" max="8192" width="11.42578125" style="2"/>
    <col min="8193" max="8193" width="8" style="2" customWidth="1"/>
    <col min="8194" max="8194" width="13.42578125" style="2" customWidth="1"/>
    <col min="8195" max="8195" width="4.28515625" style="2" customWidth="1"/>
    <col min="8196" max="8196" width="4" style="2" customWidth="1"/>
    <col min="8197" max="8197" width="17" style="2" customWidth="1"/>
    <col min="8198" max="8198" width="4.140625" style="2" customWidth="1"/>
    <col min="8199" max="8199" width="11.28515625" style="2" customWidth="1"/>
    <col min="8200" max="8200" width="11" style="2" customWidth="1"/>
    <col min="8201" max="8202" width="2.140625" style="2" customWidth="1"/>
    <col min="8203" max="8203" width="3.28515625" style="2" customWidth="1"/>
    <col min="8204" max="8205" width="0" style="2" hidden="1" customWidth="1"/>
    <col min="8206" max="8206" width="2.85546875" style="2" customWidth="1"/>
    <col min="8207" max="8207" width="3.28515625" style="2" customWidth="1"/>
    <col min="8208" max="8208" width="1.5703125" style="2" customWidth="1"/>
    <col min="8209" max="8209" width="0" style="2" hidden="1" customWidth="1"/>
    <col min="8210" max="8210" width="6.85546875" style="2" customWidth="1"/>
    <col min="8211" max="8211" width="0" style="2" hidden="1" customWidth="1"/>
    <col min="8212" max="8213" width="6.28515625" style="2" customWidth="1"/>
    <col min="8214" max="8214" width="13.85546875" style="2" customWidth="1"/>
    <col min="8215" max="8215" width="10.85546875" style="2" customWidth="1"/>
    <col min="8216" max="8216" width="14.7109375" style="2" customWidth="1"/>
    <col min="8217" max="8217" width="0" style="2" hidden="1" customWidth="1"/>
    <col min="8218" max="8218" width="13" style="2" customWidth="1"/>
    <col min="8219" max="8219" width="12.7109375" style="2" customWidth="1"/>
    <col min="8220" max="8220" width="13.140625" style="2" customWidth="1"/>
    <col min="8221" max="8221" width="14" style="2" customWidth="1"/>
    <col min="8222" max="8222" width="8.140625" style="2" customWidth="1"/>
    <col min="8223" max="8223" width="11.5703125" style="2" customWidth="1"/>
    <col min="8224" max="8224" width="24.7109375" style="2" customWidth="1"/>
    <col min="8225" max="8225" width="12" style="2" customWidth="1"/>
    <col min="8226" max="8227" width="0.28515625" style="2" customWidth="1"/>
    <col min="8228" max="8228" width="1.42578125" style="2" customWidth="1"/>
    <col min="8229" max="8229" width="0" style="2" hidden="1" customWidth="1"/>
    <col min="8230" max="8448" width="11.42578125" style="2"/>
    <col min="8449" max="8449" width="8" style="2" customWidth="1"/>
    <col min="8450" max="8450" width="13.42578125" style="2" customWidth="1"/>
    <col min="8451" max="8451" width="4.28515625" style="2" customWidth="1"/>
    <col min="8452" max="8452" width="4" style="2" customWidth="1"/>
    <col min="8453" max="8453" width="17" style="2" customWidth="1"/>
    <col min="8454" max="8454" width="4.140625" style="2" customWidth="1"/>
    <col min="8455" max="8455" width="11.28515625" style="2" customWidth="1"/>
    <col min="8456" max="8456" width="11" style="2" customWidth="1"/>
    <col min="8457" max="8458" width="2.140625" style="2" customWidth="1"/>
    <col min="8459" max="8459" width="3.28515625" style="2" customWidth="1"/>
    <col min="8460" max="8461" width="0" style="2" hidden="1" customWidth="1"/>
    <col min="8462" max="8462" width="2.85546875" style="2" customWidth="1"/>
    <col min="8463" max="8463" width="3.28515625" style="2" customWidth="1"/>
    <col min="8464" max="8464" width="1.5703125" style="2" customWidth="1"/>
    <col min="8465" max="8465" width="0" style="2" hidden="1" customWidth="1"/>
    <col min="8466" max="8466" width="6.85546875" style="2" customWidth="1"/>
    <col min="8467" max="8467" width="0" style="2" hidden="1" customWidth="1"/>
    <col min="8468" max="8469" width="6.28515625" style="2" customWidth="1"/>
    <col min="8470" max="8470" width="13.85546875" style="2" customWidth="1"/>
    <col min="8471" max="8471" width="10.85546875" style="2" customWidth="1"/>
    <col min="8472" max="8472" width="14.7109375" style="2" customWidth="1"/>
    <col min="8473" max="8473" width="0" style="2" hidden="1" customWidth="1"/>
    <col min="8474" max="8474" width="13" style="2" customWidth="1"/>
    <col min="8475" max="8475" width="12.7109375" style="2" customWidth="1"/>
    <col min="8476" max="8476" width="13.140625" style="2" customWidth="1"/>
    <col min="8477" max="8477" width="14" style="2" customWidth="1"/>
    <col min="8478" max="8478" width="8.140625" style="2" customWidth="1"/>
    <col min="8479" max="8479" width="11.5703125" style="2" customWidth="1"/>
    <col min="8480" max="8480" width="24.7109375" style="2" customWidth="1"/>
    <col min="8481" max="8481" width="12" style="2" customWidth="1"/>
    <col min="8482" max="8483" width="0.28515625" style="2" customWidth="1"/>
    <col min="8484" max="8484" width="1.42578125" style="2" customWidth="1"/>
    <col min="8485" max="8485" width="0" style="2" hidden="1" customWidth="1"/>
    <col min="8486" max="8704" width="11.42578125" style="2"/>
    <col min="8705" max="8705" width="8" style="2" customWidth="1"/>
    <col min="8706" max="8706" width="13.42578125" style="2" customWidth="1"/>
    <col min="8707" max="8707" width="4.28515625" style="2" customWidth="1"/>
    <col min="8708" max="8708" width="4" style="2" customWidth="1"/>
    <col min="8709" max="8709" width="17" style="2" customWidth="1"/>
    <col min="8710" max="8710" width="4.140625" style="2" customWidth="1"/>
    <col min="8711" max="8711" width="11.28515625" style="2" customWidth="1"/>
    <col min="8712" max="8712" width="11" style="2" customWidth="1"/>
    <col min="8713" max="8714" width="2.140625" style="2" customWidth="1"/>
    <col min="8715" max="8715" width="3.28515625" style="2" customWidth="1"/>
    <col min="8716" max="8717" width="0" style="2" hidden="1" customWidth="1"/>
    <col min="8718" max="8718" width="2.85546875" style="2" customWidth="1"/>
    <col min="8719" max="8719" width="3.28515625" style="2" customWidth="1"/>
    <col min="8720" max="8720" width="1.5703125" style="2" customWidth="1"/>
    <col min="8721" max="8721" width="0" style="2" hidden="1" customWidth="1"/>
    <col min="8722" max="8722" width="6.85546875" style="2" customWidth="1"/>
    <col min="8723" max="8723" width="0" style="2" hidden="1" customWidth="1"/>
    <col min="8724" max="8725" width="6.28515625" style="2" customWidth="1"/>
    <col min="8726" max="8726" width="13.85546875" style="2" customWidth="1"/>
    <col min="8727" max="8727" width="10.85546875" style="2" customWidth="1"/>
    <col min="8728" max="8728" width="14.7109375" style="2" customWidth="1"/>
    <col min="8729" max="8729" width="0" style="2" hidden="1" customWidth="1"/>
    <col min="8730" max="8730" width="13" style="2" customWidth="1"/>
    <col min="8731" max="8731" width="12.7109375" style="2" customWidth="1"/>
    <col min="8732" max="8732" width="13.140625" style="2" customWidth="1"/>
    <col min="8733" max="8733" width="14" style="2" customWidth="1"/>
    <col min="8734" max="8734" width="8.140625" style="2" customWidth="1"/>
    <col min="8735" max="8735" width="11.5703125" style="2" customWidth="1"/>
    <col min="8736" max="8736" width="24.7109375" style="2" customWidth="1"/>
    <col min="8737" max="8737" width="12" style="2" customWidth="1"/>
    <col min="8738" max="8739" width="0.28515625" style="2" customWidth="1"/>
    <col min="8740" max="8740" width="1.42578125" style="2" customWidth="1"/>
    <col min="8741" max="8741" width="0" style="2" hidden="1" customWidth="1"/>
    <col min="8742" max="8960" width="11.42578125" style="2"/>
    <col min="8961" max="8961" width="8" style="2" customWidth="1"/>
    <col min="8962" max="8962" width="13.42578125" style="2" customWidth="1"/>
    <col min="8963" max="8963" width="4.28515625" style="2" customWidth="1"/>
    <col min="8964" max="8964" width="4" style="2" customWidth="1"/>
    <col min="8965" max="8965" width="17" style="2" customWidth="1"/>
    <col min="8966" max="8966" width="4.140625" style="2" customWidth="1"/>
    <col min="8967" max="8967" width="11.28515625" style="2" customWidth="1"/>
    <col min="8968" max="8968" width="11" style="2" customWidth="1"/>
    <col min="8969" max="8970" width="2.140625" style="2" customWidth="1"/>
    <col min="8971" max="8971" width="3.28515625" style="2" customWidth="1"/>
    <col min="8972" max="8973" width="0" style="2" hidden="1" customWidth="1"/>
    <col min="8974" max="8974" width="2.85546875" style="2" customWidth="1"/>
    <col min="8975" max="8975" width="3.28515625" style="2" customWidth="1"/>
    <col min="8976" max="8976" width="1.5703125" style="2" customWidth="1"/>
    <col min="8977" max="8977" width="0" style="2" hidden="1" customWidth="1"/>
    <col min="8978" max="8978" width="6.85546875" style="2" customWidth="1"/>
    <col min="8979" max="8979" width="0" style="2" hidden="1" customWidth="1"/>
    <col min="8980" max="8981" width="6.28515625" style="2" customWidth="1"/>
    <col min="8982" max="8982" width="13.85546875" style="2" customWidth="1"/>
    <col min="8983" max="8983" width="10.85546875" style="2" customWidth="1"/>
    <col min="8984" max="8984" width="14.7109375" style="2" customWidth="1"/>
    <col min="8985" max="8985" width="0" style="2" hidden="1" customWidth="1"/>
    <col min="8986" max="8986" width="13" style="2" customWidth="1"/>
    <col min="8987" max="8987" width="12.7109375" style="2" customWidth="1"/>
    <col min="8988" max="8988" width="13.140625" style="2" customWidth="1"/>
    <col min="8989" max="8989" width="14" style="2" customWidth="1"/>
    <col min="8990" max="8990" width="8.140625" style="2" customWidth="1"/>
    <col min="8991" max="8991" width="11.5703125" style="2" customWidth="1"/>
    <col min="8992" max="8992" width="24.7109375" style="2" customWidth="1"/>
    <col min="8993" max="8993" width="12" style="2" customWidth="1"/>
    <col min="8994" max="8995" width="0.28515625" style="2" customWidth="1"/>
    <col min="8996" max="8996" width="1.42578125" style="2" customWidth="1"/>
    <col min="8997" max="8997" width="0" style="2" hidden="1" customWidth="1"/>
    <col min="8998" max="9216" width="11.42578125" style="2"/>
    <col min="9217" max="9217" width="8" style="2" customWidth="1"/>
    <col min="9218" max="9218" width="13.42578125" style="2" customWidth="1"/>
    <col min="9219" max="9219" width="4.28515625" style="2" customWidth="1"/>
    <col min="9220" max="9220" width="4" style="2" customWidth="1"/>
    <col min="9221" max="9221" width="17" style="2" customWidth="1"/>
    <col min="9222" max="9222" width="4.140625" style="2" customWidth="1"/>
    <col min="9223" max="9223" width="11.28515625" style="2" customWidth="1"/>
    <col min="9224" max="9224" width="11" style="2" customWidth="1"/>
    <col min="9225" max="9226" width="2.140625" style="2" customWidth="1"/>
    <col min="9227" max="9227" width="3.28515625" style="2" customWidth="1"/>
    <col min="9228" max="9229" width="0" style="2" hidden="1" customWidth="1"/>
    <col min="9230" max="9230" width="2.85546875" style="2" customWidth="1"/>
    <col min="9231" max="9231" width="3.28515625" style="2" customWidth="1"/>
    <col min="9232" max="9232" width="1.5703125" style="2" customWidth="1"/>
    <col min="9233" max="9233" width="0" style="2" hidden="1" customWidth="1"/>
    <col min="9234" max="9234" width="6.85546875" style="2" customWidth="1"/>
    <col min="9235" max="9235" width="0" style="2" hidden="1" customWidth="1"/>
    <col min="9236" max="9237" width="6.28515625" style="2" customWidth="1"/>
    <col min="9238" max="9238" width="13.85546875" style="2" customWidth="1"/>
    <col min="9239" max="9239" width="10.85546875" style="2" customWidth="1"/>
    <col min="9240" max="9240" width="14.7109375" style="2" customWidth="1"/>
    <col min="9241" max="9241" width="0" style="2" hidden="1" customWidth="1"/>
    <col min="9242" max="9242" width="13" style="2" customWidth="1"/>
    <col min="9243" max="9243" width="12.7109375" style="2" customWidth="1"/>
    <col min="9244" max="9244" width="13.140625" style="2" customWidth="1"/>
    <col min="9245" max="9245" width="14" style="2" customWidth="1"/>
    <col min="9246" max="9246" width="8.140625" style="2" customWidth="1"/>
    <col min="9247" max="9247" width="11.5703125" style="2" customWidth="1"/>
    <col min="9248" max="9248" width="24.7109375" style="2" customWidth="1"/>
    <col min="9249" max="9249" width="12" style="2" customWidth="1"/>
    <col min="9250" max="9251" width="0.28515625" style="2" customWidth="1"/>
    <col min="9252" max="9252" width="1.42578125" style="2" customWidth="1"/>
    <col min="9253" max="9253" width="0" style="2" hidden="1" customWidth="1"/>
    <col min="9254" max="9472" width="11.42578125" style="2"/>
    <col min="9473" max="9473" width="8" style="2" customWidth="1"/>
    <col min="9474" max="9474" width="13.42578125" style="2" customWidth="1"/>
    <col min="9475" max="9475" width="4.28515625" style="2" customWidth="1"/>
    <col min="9476" max="9476" width="4" style="2" customWidth="1"/>
    <col min="9477" max="9477" width="17" style="2" customWidth="1"/>
    <col min="9478" max="9478" width="4.140625" style="2" customWidth="1"/>
    <col min="9479" max="9479" width="11.28515625" style="2" customWidth="1"/>
    <col min="9480" max="9480" width="11" style="2" customWidth="1"/>
    <col min="9481" max="9482" width="2.140625" style="2" customWidth="1"/>
    <col min="9483" max="9483" width="3.28515625" style="2" customWidth="1"/>
    <col min="9484" max="9485" width="0" style="2" hidden="1" customWidth="1"/>
    <col min="9486" max="9486" width="2.85546875" style="2" customWidth="1"/>
    <col min="9487" max="9487" width="3.28515625" style="2" customWidth="1"/>
    <col min="9488" max="9488" width="1.5703125" style="2" customWidth="1"/>
    <col min="9489" max="9489" width="0" style="2" hidden="1" customWidth="1"/>
    <col min="9490" max="9490" width="6.85546875" style="2" customWidth="1"/>
    <col min="9491" max="9491" width="0" style="2" hidden="1" customWidth="1"/>
    <col min="9492" max="9493" width="6.28515625" style="2" customWidth="1"/>
    <col min="9494" max="9494" width="13.85546875" style="2" customWidth="1"/>
    <col min="9495" max="9495" width="10.85546875" style="2" customWidth="1"/>
    <col min="9496" max="9496" width="14.7109375" style="2" customWidth="1"/>
    <col min="9497" max="9497" width="0" style="2" hidden="1" customWidth="1"/>
    <col min="9498" max="9498" width="13" style="2" customWidth="1"/>
    <col min="9499" max="9499" width="12.7109375" style="2" customWidth="1"/>
    <col min="9500" max="9500" width="13.140625" style="2" customWidth="1"/>
    <col min="9501" max="9501" width="14" style="2" customWidth="1"/>
    <col min="9502" max="9502" width="8.140625" style="2" customWidth="1"/>
    <col min="9503" max="9503" width="11.5703125" style="2" customWidth="1"/>
    <col min="9504" max="9504" width="24.7109375" style="2" customWidth="1"/>
    <col min="9505" max="9505" width="12" style="2" customWidth="1"/>
    <col min="9506" max="9507" width="0.28515625" style="2" customWidth="1"/>
    <col min="9508" max="9508" width="1.42578125" style="2" customWidth="1"/>
    <col min="9509" max="9509" width="0" style="2" hidden="1" customWidth="1"/>
    <col min="9510" max="9728" width="11.42578125" style="2"/>
    <col min="9729" max="9729" width="8" style="2" customWidth="1"/>
    <col min="9730" max="9730" width="13.42578125" style="2" customWidth="1"/>
    <col min="9731" max="9731" width="4.28515625" style="2" customWidth="1"/>
    <col min="9732" max="9732" width="4" style="2" customWidth="1"/>
    <col min="9733" max="9733" width="17" style="2" customWidth="1"/>
    <col min="9734" max="9734" width="4.140625" style="2" customWidth="1"/>
    <col min="9735" max="9735" width="11.28515625" style="2" customWidth="1"/>
    <col min="9736" max="9736" width="11" style="2" customWidth="1"/>
    <col min="9737" max="9738" width="2.140625" style="2" customWidth="1"/>
    <col min="9739" max="9739" width="3.28515625" style="2" customWidth="1"/>
    <col min="9740" max="9741" width="0" style="2" hidden="1" customWidth="1"/>
    <col min="9742" max="9742" width="2.85546875" style="2" customWidth="1"/>
    <col min="9743" max="9743" width="3.28515625" style="2" customWidth="1"/>
    <col min="9744" max="9744" width="1.5703125" style="2" customWidth="1"/>
    <col min="9745" max="9745" width="0" style="2" hidden="1" customWidth="1"/>
    <col min="9746" max="9746" width="6.85546875" style="2" customWidth="1"/>
    <col min="9747" max="9747" width="0" style="2" hidden="1" customWidth="1"/>
    <col min="9748" max="9749" width="6.28515625" style="2" customWidth="1"/>
    <col min="9750" max="9750" width="13.85546875" style="2" customWidth="1"/>
    <col min="9751" max="9751" width="10.85546875" style="2" customWidth="1"/>
    <col min="9752" max="9752" width="14.7109375" style="2" customWidth="1"/>
    <col min="9753" max="9753" width="0" style="2" hidden="1" customWidth="1"/>
    <col min="9754" max="9754" width="13" style="2" customWidth="1"/>
    <col min="9755" max="9755" width="12.7109375" style="2" customWidth="1"/>
    <col min="9756" max="9756" width="13.140625" style="2" customWidth="1"/>
    <col min="9757" max="9757" width="14" style="2" customWidth="1"/>
    <col min="9758" max="9758" width="8.140625" style="2" customWidth="1"/>
    <col min="9759" max="9759" width="11.5703125" style="2" customWidth="1"/>
    <col min="9760" max="9760" width="24.7109375" style="2" customWidth="1"/>
    <col min="9761" max="9761" width="12" style="2" customWidth="1"/>
    <col min="9762" max="9763" width="0.28515625" style="2" customWidth="1"/>
    <col min="9764" max="9764" width="1.42578125" style="2" customWidth="1"/>
    <col min="9765" max="9765" width="0" style="2" hidden="1" customWidth="1"/>
    <col min="9766" max="9984" width="11.42578125" style="2"/>
    <col min="9985" max="9985" width="8" style="2" customWidth="1"/>
    <col min="9986" max="9986" width="13.42578125" style="2" customWidth="1"/>
    <col min="9987" max="9987" width="4.28515625" style="2" customWidth="1"/>
    <col min="9988" max="9988" width="4" style="2" customWidth="1"/>
    <col min="9989" max="9989" width="17" style="2" customWidth="1"/>
    <col min="9990" max="9990" width="4.140625" style="2" customWidth="1"/>
    <col min="9991" max="9991" width="11.28515625" style="2" customWidth="1"/>
    <col min="9992" max="9992" width="11" style="2" customWidth="1"/>
    <col min="9993" max="9994" width="2.140625" style="2" customWidth="1"/>
    <col min="9995" max="9995" width="3.28515625" style="2" customWidth="1"/>
    <col min="9996" max="9997" width="0" style="2" hidden="1" customWidth="1"/>
    <col min="9998" max="9998" width="2.85546875" style="2" customWidth="1"/>
    <col min="9999" max="9999" width="3.28515625" style="2" customWidth="1"/>
    <col min="10000" max="10000" width="1.5703125" style="2" customWidth="1"/>
    <col min="10001" max="10001" width="0" style="2" hidden="1" customWidth="1"/>
    <col min="10002" max="10002" width="6.85546875" style="2" customWidth="1"/>
    <col min="10003" max="10003" width="0" style="2" hidden="1" customWidth="1"/>
    <col min="10004" max="10005" width="6.28515625" style="2" customWidth="1"/>
    <col min="10006" max="10006" width="13.85546875" style="2" customWidth="1"/>
    <col min="10007" max="10007" width="10.85546875" style="2" customWidth="1"/>
    <col min="10008" max="10008" width="14.7109375" style="2" customWidth="1"/>
    <col min="10009" max="10009" width="0" style="2" hidden="1" customWidth="1"/>
    <col min="10010" max="10010" width="13" style="2" customWidth="1"/>
    <col min="10011" max="10011" width="12.7109375" style="2" customWidth="1"/>
    <col min="10012" max="10012" width="13.140625" style="2" customWidth="1"/>
    <col min="10013" max="10013" width="14" style="2" customWidth="1"/>
    <col min="10014" max="10014" width="8.140625" style="2" customWidth="1"/>
    <col min="10015" max="10015" width="11.5703125" style="2" customWidth="1"/>
    <col min="10016" max="10016" width="24.7109375" style="2" customWidth="1"/>
    <col min="10017" max="10017" width="12" style="2" customWidth="1"/>
    <col min="10018" max="10019" width="0.28515625" style="2" customWidth="1"/>
    <col min="10020" max="10020" width="1.42578125" style="2" customWidth="1"/>
    <col min="10021" max="10021" width="0" style="2" hidden="1" customWidth="1"/>
    <col min="10022" max="10240" width="11.42578125" style="2"/>
    <col min="10241" max="10241" width="8" style="2" customWidth="1"/>
    <col min="10242" max="10242" width="13.42578125" style="2" customWidth="1"/>
    <col min="10243" max="10243" width="4.28515625" style="2" customWidth="1"/>
    <col min="10244" max="10244" width="4" style="2" customWidth="1"/>
    <col min="10245" max="10245" width="17" style="2" customWidth="1"/>
    <col min="10246" max="10246" width="4.140625" style="2" customWidth="1"/>
    <col min="10247" max="10247" width="11.28515625" style="2" customWidth="1"/>
    <col min="10248" max="10248" width="11" style="2" customWidth="1"/>
    <col min="10249" max="10250" width="2.140625" style="2" customWidth="1"/>
    <col min="10251" max="10251" width="3.28515625" style="2" customWidth="1"/>
    <col min="10252" max="10253" width="0" style="2" hidden="1" customWidth="1"/>
    <col min="10254" max="10254" width="2.85546875" style="2" customWidth="1"/>
    <col min="10255" max="10255" width="3.28515625" style="2" customWidth="1"/>
    <col min="10256" max="10256" width="1.5703125" style="2" customWidth="1"/>
    <col min="10257" max="10257" width="0" style="2" hidden="1" customWidth="1"/>
    <col min="10258" max="10258" width="6.85546875" style="2" customWidth="1"/>
    <col min="10259" max="10259" width="0" style="2" hidden="1" customWidth="1"/>
    <col min="10260" max="10261" width="6.28515625" style="2" customWidth="1"/>
    <col min="10262" max="10262" width="13.85546875" style="2" customWidth="1"/>
    <col min="10263" max="10263" width="10.85546875" style="2" customWidth="1"/>
    <col min="10264" max="10264" width="14.7109375" style="2" customWidth="1"/>
    <col min="10265" max="10265" width="0" style="2" hidden="1" customWidth="1"/>
    <col min="10266" max="10266" width="13" style="2" customWidth="1"/>
    <col min="10267" max="10267" width="12.7109375" style="2" customWidth="1"/>
    <col min="10268" max="10268" width="13.140625" style="2" customWidth="1"/>
    <col min="10269" max="10269" width="14" style="2" customWidth="1"/>
    <col min="10270" max="10270" width="8.140625" style="2" customWidth="1"/>
    <col min="10271" max="10271" width="11.5703125" style="2" customWidth="1"/>
    <col min="10272" max="10272" width="24.7109375" style="2" customWidth="1"/>
    <col min="10273" max="10273" width="12" style="2" customWidth="1"/>
    <col min="10274" max="10275" width="0.28515625" style="2" customWidth="1"/>
    <col min="10276" max="10276" width="1.42578125" style="2" customWidth="1"/>
    <col min="10277" max="10277" width="0" style="2" hidden="1" customWidth="1"/>
    <col min="10278" max="10496" width="11.42578125" style="2"/>
    <col min="10497" max="10497" width="8" style="2" customWidth="1"/>
    <col min="10498" max="10498" width="13.42578125" style="2" customWidth="1"/>
    <col min="10499" max="10499" width="4.28515625" style="2" customWidth="1"/>
    <col min="10500" max="10500" width="4" style="2" customWidth="1"/>
    <col min="10501" max="10501" width="17" style="2" customWidth="1"/>
    <col min="10502" max="10502" width="4.140625" style="2" customWidth="1"/>
    <col min="10503" max="10503" width="11.28515625" style="2" customWidth="1"/>
    <col min="10504" max="10504" width="11" style="2" customWidth="1"/>
    <col min="10505" max="10506" width="2.140625" style="2" customWidth="1"/>
    <col min="10507" max="10507" width="3.28515625" style="2" customWidth="1"/>
    <col min="10508" max="10509" width="0" style="2" hidden="1" customWidth="1"/>
    <col min="10510" max="10510" width="2.85546875" style="2" customWidth="1"/>
    <col min="10511" max="10511" width="3.28515625" style="2" customWidth="1"/>
    <col min="10512" max="10512" width="1.5703125" style="2" customWidth="1"/>
    <col min="10513" max="10513" width="0" style="2" hidden="1" customWidth="1"/>
    <col min="10514" max="10514" width="6.85546875" style="2" customWidth="1"/>
    <col min="10515" max="10515" width="0" style="2" hidden="1" customWidth="1"/>
    <col min="10516" max="10517" width="6.28515625" style="2" customWidth="1"/>
    <col min="10518" max="10518" width="13.85546875" style="2" customWidth="1"/>
    <col min="10519" max="10519" width="10.85546875" style="2" customWidth="1"/>
    <col min="10520" max="10520" width="14.7109375" style="2" customWidth="1"/>
    <col min="10521" max="10521" width="0" style="2" hidden="1" customWidth="1"/>
    <col min="10522" max="10522" width="13" style="2" customWidth="1"/>
    <col min="10523" max="10523" width="12.7109375" style="2" customWidth="1"/>
    <col min="10524" max="10524" width="13.140625" style="2" customWidth="1"/>
    <col min="10525" max="10525" width="14" style="2" customWidth="1"/>
    <col min="10526" max="10526" width="8.140625" style="2" customWidth="1"/>
    <col min="10527" max="10527" width="11.5703125" style="2" customWidth="1"/>
    <col min="10528" max="10528" width="24.7109375" style="2" customWidth="1"/>
    <col min="10529" max="10529" width="12" style="2" customWidth="1"/>
    <col min="10530" max="10531" width="0.28515625" style="2" customWidth="1"/>
    <col min="10532" max="10532" width="1.42578125" style="2" customWidth="1"/>
    <col min="10533" max="10533" width="0" style="2" hidden="1" customWidth="1"/>
    <col min="10534" max="10752" width="11.42578125" style="2"/>
    <col min="10753" max="10753" width="8" style="2" customWidth="1"/>
    <col min="10754" max="10754" width="13.42578125" style="2" customWidth="1"/>
    <col min="10755" max="10755" width="4.28515625" style="2" customWidth="1"/>
    <col min="10756" max="10756" width="4" style="2" customWidth="1"/>
    <col min="10757" max="10757" width="17" style="2" customWidth="1"/>
    <col min="10758" max="10758" width="4.140625" style="2" customWidth="1"/>
    <col min="10759" max="10759" width="11.28515625" style="2" customWidth="1"/>
    <col min="10760" max="10760" width="11" style="2" customWidth="1"/>
    <col min="10761" max="10762" width="2.140625" style="2" customWidth="1"/>
    <col min="10763" max="10763" width="3.28515625" style="2" customWidth="1"/>
    <col min="10764" max="10765" width="0" style="2" hidden="1" customWidth="1"/>
    <col min="10766" max="10766" width="2.85546875" style="2" customWidth="1"/>
    <col min="10767" max="10767" width="3.28515625" style="2" customWidth="1"/>
    <col min="10768" max="10768" width="1.5703125" style="2" customWidth="1"/>
    <col min="10769" max="10769" width="0" style="2" hidden="1" customWidth="1"/>
    <col min="10770" max="10770" width="6.85546875" style="2" customWidth="1"/>
    <col min="10771" max="10771" width="0" style="2" hidden="1" customWidth="1"/>
    <col min="10772" max="10773" width="6.28515625" style="2" customWidth="1"/>
    <col min="10774" max="10774" width="13.85546875" style="2" customWidth="1"/>
    <col min="10775" max="10775" width="10.85546875" style="2" customWidth="1"/>
    <col min="10776" max="10776" width="14.7109375" style="2" customWidth="1"/>
    <col min="10777" max="10777" width="0" style="2" hidden="1" customWidth="1"/>
    <col min="10778" max="10778" width="13" style="2" customWidth="1"/>
    <col min="10779" max="10779" width="12.7109375" style="2" customWidth="1"/>
    <col min="10780" max="10780" width="13.140625" style="2" customWidth="1"/>
    <col min="10781" max="10781" width="14" style="2" customWidth="1"/>
    <col min="10782" max="10782" width="8.140625" style="2" customWidth="1"/>
    <col min="10783" max="10783" width="11.5703125" style="2" customWidth="1"/>
    <col min="10784" max="10784" width="24.7109375" style="2" customWidth="1"/>
    <col min="10785" max="10785" width="12" style="2" customWidth="1"/>
    <col min="10786" max="10787" width="0.28515625" style="2" customWidth="1"/>
    <col min="10788" max="10788" width="1.42578125" style="2" customWidth="1"/>
    <col min="10789" max="10789" width="0" style="2" hidden="1" customWidth="1"/>
    <col min="10790" max="11008" width="11.42578125" style="2"/>
    <col min="11009" max="11009" width="8" style="2" customWidth="1"/>
    <col min="11010" max="11010" width="13.42578125" style="2" customWidth="1"/>
    <col min="11011" max="11011" width="4.28515625" style="2" customWidth="1"/>
    <col min="11012" max="11012" width="4" style="2" customWidth="1"/>
    <col min="11013" max="11013" width="17" style="2" customWidth="1"/>
    <col min="11014" max="11014" width="4.140625" style="2" customWidth="1"/>
    <col min="11015" max="11015" width="11.28515625" style="2" customWidth="1"/>
    <col min="11016" max="11016" width="11" style="2" customWidth="1"/>
    <col min="11017" max="11018" width="2.140625" style="2" customWidth="1"/>
    <col min="11019" max="11019" width="3.28515625" style="2" customWidth="1"/>
    <col min="11020" max="11021" width="0" style="2" hidden="1" customWidth="1"/>
    <col min="11022" max="11022" width="2.85546875" style="2" customWidth="1"/>
    <col min="11023" max="11023" width="3.28515625" style="2" customWidth="1"/>
    <col min="11024" max="11024" width="1.5703125" style="2" customWidth="1"/>
    <col min="11025" max="11025" width="0" style="2" hidden="1" customWidth="1"/>
    <col min="11026" max="11026" width="6.85546875" style="2" customWidth="1"/>
    <col min="11027" max="11027" width="0" style="2" hidden="1" customWidth="1"/>
    <col min="11028" max="11029" width="6.28515625" style="2" customWidth="1"/>
    <col min="11030" max="11030" width="13.85546875" style="2" customWidth="1"/>
    <col min="11031" max="11031" width="10.85546875" style="2" customWidth="1"/>
    <col min="11032" max="11032" width="14.7109375" style="2" customWidth="1"/>
    <col min="11033" max="11033" width="0" style="2" hidden="1" customWidth="1"/>
    <col min="11034" max="11034" width="13" style="2" customWidth="1"/>
    <col min="11035" max="11035" width="12.7109375" style="2" customWidth="1"/>
    <col min="11036" max="11036" width="13.140625" style="2" customWidth="1"/>
    <col min="11037" max="11037" width="14" style="2" customWidth="1"/>
    <col min="11038" max="11038" width="8.140625" style="2" customWidth="1"/>
    <col min="11039" max="11039" width="11.5703125" style="2" customWidth="1"/>
    <col min="11040" max="11040" width="24.7109375" style="2" customWidth="1"/>
    <col min="11041" max="11041" width="12" style="2" customWidth="1"/>
    <col min="11042" max="11043" width="0.28515625" style="2" customWidth="1"/>
    <col min="11044" max="11044" width="1.42578125" style="2" customWidth="1"/>
    <col min="11045" max="11045" width="0" style="2" hidden="1" customWidth="1"/>
    <col min="11046" max="11264" width="11.42578125" style="2"/>
    <col min="11265" max="11265" width="8" style="2" customWidth="1"/>
    <col min="11266" max="11266" width="13.42578125" style="2" customWidth="1"/>
    <col min="11267" max="11267" width="4.28515625" style="2" customWidth="1"/>
    <col min="11268" max="11268" width="4" style="2" customWidth="1"/>
    <col min="11269" max="11269" width="17" style="2" customWidth="1"/>
    <col min="11270" max="11270" width="4.140625" style="2" customWidth="1"/>
    <col min="11271" max="11271" width="11.28515625" style="2" customWidth="1"/>
    <col min="11272" max="11272" width="11" style="2" customWidth="1"/>
    <col min="11273" max="11274" width="2.140625" style="2" customWidth="1"/>
    <col min="11275" max="11275" width="3.28515625" style="2" customWidth="1"/>
    <col min="11276" max="11277" width="0" style="2" hidden="1" customWidth="1"/>
    <col min="11278" max="11278" width="2.85546875" style="2" customWidth="1"/>
    <col min="11279" max="11279" width="3.28515625" style="2" customWidth="1"/>
    <col min="11280" max="11280" width="1.5703125" style="2" customWidth="1"/>
    <col min="11281" max="11281" width="0" style="2" hidden="1" customWidth="1"/>
    <col min="11282" max="11282" width="6.85546875" style="2" customWidth="1"/>
    <col min="11283" max="11283" width="0" style="2" hidden="1" customWidth="1"/>
    <col min="11284" max="11285" width="6.28515625" style="2" customWidth="1"/>
    <col min="11286" max="11286" width="13.85546875" style="2" customWidth="1"/>
    <col min="11287" max="11287" width="10.85546875" style="2" customWidth="1"/>
    <col min="11288" max="11288" width="14.7109375" style="2" customWidth="1"/>
    <col min="11289" max="11289" width="0" style="2" hidden="1" customWidth="1"/>
    <col min="11290" max="11290" width="13" style="2" customWidth="1"/>
    <col min="11291" max="11291" width="12.7109375" style="2" customWidth="1"/>
    <col min="11292" max="11292" width="13.140625" style="2" customWidth="1"/>
    <col min="11293" max="11293" width="14" style="2" customWidth="1"/>
    <col min="11294" max="11294" width="8.140625" style="2" customWidth="1"/>
    <col min="11295" max="11295" width="11.5703125" style="2" customWidth="1"/>
    <col min="11296" max="11296" width="24.7109375" style="2" customWidth="1"/>
    <col min="11297" max="11297" width="12" style="2" customWidth="1"/>
    <col min="11298" max="11299" width="0.28515625" style="2" customWidth="1"/>
    <col min="11300" max="11300" width="1.42578125" style="2" customWidth="1"/>
    <col min="11301" max="11301" width="0" style="2" hidden="1" customWidth="1"/>
    <col min="11302" max="11520" width="11.42578125" style="2"/>
    <col min="11521" max="11521" width="8" style="2" customWidth="1"/>
    <col min="11522" max="11522" width="13.42578125" style="2" customWidth="1"/>
    <col min="11523" max="11523" width="4.28515625" style="2" customWidth="1"/>
    <col min="11524" max="11524" width="4" style="2" customWidth="1"/>
    <col min="11525" max="11525" width="17" style="2" customWidth="1"/>
    <col min="11526" max="11526" width="4.140625" style="2" customWidth="1"/>
    <col min="11527" max="11527" width="11.28515625" style="2" customWidth="1"/>
    <col min="11528" max="11528" width="11" style="2" customWidth="1"/>
    <col min="11529" max="11530" width="2.140625" style="2" customWidth="1"/>
    <col min="11531" max="11531" width="3.28515625" style="2" customWidth="1"/>
    <col min="11532" max="11533" width="0" style="2" hidden="1" customWidth="1"/>
    <col min="11534" max="11534" width="2.85546875" style="2" customWidth="1"/>
    <col min="11535" max="11535" width="3.28515625" style="2" customWidth="1"/>
    <col min="11536" max="11536" width="1.5703125" style="2" customWidth="1"/>
    <col min="11537" max="11537" width="0" style="2" hidden="1" customWidth="1"/>
    <col min="11538" max="11538" width="6.85546875" style="2" customWidth="1"/>
    <col min="11539" max="11539" width="0" style="2" hidden="1" customWidth="1"/>
    <col min="11540" max="11541" width="6.28515625" style="2" customWidth="1"/>
    <col min="11542" max="11542" width="13.85546875" style="2" customWidth="1"/>
    <col min="11543" max="11543" width="10.85546875" style="2" customWidth="1"/>
    <col min="11544" max="11544" width="14.7109375" style="2" customWidth="1"/>
    <col min="11545" max="11545" width="0" style="2" hidden="1" customWidth="1"/>
    <col min="11546" max="11546" width="13" style="2" customWidth="1"/>
    <col min="11547" max="11547" width="12.7109375" style="2" customWidth="1"/>
    <col min="11548" max="11548" width="13.140625" style="2" customWidth="1"/>
    <col min="11549" max="11549" width="14" style="2" customWidth="1"/>
    <col min="11550" max="11550" width="8.140625" style="2" customWidth="1"/>
    <col min="11551" max="11551" width="11.5703125" style="2" customWidth="1"/>
    <col min="11552" max="11552" width="24.7109375" style="2" customWidth="1"/>
    <col min="11553" max="11553" width="12" style="2" customWidth="1"/>
    <col min="11554" max="11555" width="0.28515625" style="2" customWidth="1"/>
    <col min="11556" max="11556" width="1.42578125" style="2" customWidth="1"/>
    <col min="11557" max="11557" width="0" style="2" hidden="1" customWidth="1"/>
    <col min="11558" max="11776" width="11.42578125" style="2"/>
    <col min="11777" max="11777" width="8" style="2" customWidth="1"/>
    <col min="11778" max="11778" width="13.42578125" style="2" customWidth="1"/>
    <col min="11779" max="11779" width="4.28515625" style="2" customWidth="1"/>
    <col min="11780" max="11780" width="4" style="2" customWidth="1"/>
    <col min="11781" max="11781" width="17" style="2" customWidth="1"/>
    <col min="11782" max="11782" width="4.140625" style="2" customWidth="1"/>
    <col min="11783" max="11783" width="11.28515625" style="2" customWidth="1"/>
    <col min="11784" max="11784" width="11" style="2" customWidth="1"/>
    <col min="11785" max="11786" width="2.140625" style="2" customWidth="1"/>
    <col min="11787" max="11787" width="3.28515625" style="2" customWidth="1"/>
    <col min="11788" max="11789" width="0" style="2" hidden="1" customWidth="1"/>
    <col min="11790" max="11790" width="2.85546875" style="2" customWidth="1"/>
    <col min="11791" max="11791" width="3.28515625" style="2" customWidth="1"/>
    <col min="11792" max="11792" width="1.5703125" style="2" customWidth="1"/>
    <col min="11793" max="11793" width="0" style="2" hidden="1" customWidth="1"/>
    <col min="11794" max="11794" width="6.85546875" style="2" customWidth="1"/>
    <col min="11795" max="11795" width="0" style="2" hidden="1" customWidth="1"/>
    <col min="11796" max="11797" width="6.28515625" style="2" customWidth="1"/>
    <col min="11798" max="11798" width="13.85546875" style="2" customWidth="1"/>
    <col min="11799" max="11799" width="10.85546875" style="2" customWidth="1"/>
    <col min="11800" max="11800" width="14.7109375" style="2" customWidth="1"/>
    <col min="11801" max="11801" width="0" style="2" hidden="1" customWidth="1"/>
    <col min="11802" max="11802" width="13" style="2" customWidth="1"/>
    <col min="11803" max="11803" width="12.7109375" style="2" customWidth="1"/>
    <col min="11804" max="11804" width="13.140625" style="2" customWidth="1"/>
    <col min="11805" max="11805" width="14" style="2" customWidth="1"/>
    <col min="11806" max="11806" width="8.140625" style="2" customWidth="1"/>
    <col min="11807" max="11807" width="11.5703125" style="2" customWidth="1"/>
    <col min="11808" max="11808" width="24.7109375" style="2" customWidth="1"/>
    <col min="11809" max="11809" width="12" style="2" customWidth="1"/>
    <col min="11810" max="11811" width="0.28515625" style="2" customWidth="1"/>
    <col min="11812" max="11812" width="1.42578125" style="2" customWidth="1"/>
    <col min="11813" max="11813" width="0" style="2" hidden="1" customWidth="1"/>
    <col min="11814" max="12032" width="11.42578125" style="2"/>
    <col min="12033" max="12033" width="8" style="2" customWidth="1"/>
    <col min="12034" max="12034" width="13.42578125" style="2" customWidth="1"/>
    <col min="12035" max="12035" width="4.28515625" style="2" customWidth="1"/>
    <col min="12036" max="12036" width="4" style="2" customWidth="1"/>
    <col min="12037" max="12037" width="17" style="2" customWidth="1"/>
    <col min="12038" max="12038" width="4.140625" style="2" customWidth="1"/>
    <col min="12039" max="12039" width="11.28515625" style="2" customWidth="1"/>
    <col min="12040" max="12040" width="11" style="2" customWidth="1"/>
    <col min="12041" max="12042" width="2.140625" style="2" customWidth="1"/>
    <col min="12043" max="12043" width="3.28515625" style="2" customWidth="1"/>
    <col min="12044" max="12045" width="0" style="2" hidden="1" customWidth="1"/>
    <col min="12046" max="12046" width="2.85546875" style="2" customWidth="1"/>
    <col min="12047" max="12047" width="3.28515625" style="2" customWidth="1"/>
    <col min="12048" max="12048" width="1.5703125" style="2" customWidth="1"/>
    <col min="12049" max="12049" width="0" style="2" hidden="1" customWidth="1"/>
    <col min="12050" max="12050" width="6.85546875" style="2" customWidth="1"/>
    <col min="12051" max="12051" width="0" style="2" hidden="1" customWidth="1"/>
    <col min="12052" max="12053" width="6.28515625" style="2" customWidth="1"/>
    <col min="12054" max="12054" width="13.85546875" style="2" customWidth="1"/>
    <col min="12055" max="12055" width="10.85546875" style="2" customWidth="1"/>
    <col min="12056" max="12056" width="14.7109375" style="2" customWidth="1"/>
    <col min="12057" max="12057" width="0" style="2" hidden="1" customWidth="1"/>
    <col min="12058" max="12058" width="13" style="2" customWidth="1"/>
    <col min="12059" max="12059" width="12.7109375" style="2" customWidth="1"/>
    <col min="12060" max="12060" width="13.140625" style="2" customWidth="1"/>
    <col min="12061" max="12061" width="14" style="2" customWidth="1"/>
    <col min="12062" max="12062" width="8.140625" style="2" customWidth="1"/>
    <col min="12063" max="12063" width="11.5703125" style="2" customWidth="1"/>
    <col min="12064" max="12064" width="24.7109375" style="2" customWidth="1"/>
    <col min="12065" max="12065" width="12" style="2" customWidth="1"/>
    <col min="12066" max="12067" width="0.28515625" style="2" customWidth="1"/>
    <col min="12068" max="12068" width="1.42578125" style="2" customWidth="1"/>
    <col min="12069" max="12069" width="0" style="2" hidden="1" customWidth="1"/>
    <col min="12070" max="12288" width="11.42578125" style="2"/>
    <col min="12289" max="12289" width="8" style="2" customWidth="1"/>
    <col min="12290" max="12290" width="13.42578125" style="2" customWidth="1"/>
    <col min="12291" max="12291" width="4.28515625" style="2" customWidth="1"/>
    <col min="12292" max="12292" width="4" style="2" customWidth="1"/>
    <col min="12293" max="12293" width="17" style="2" customWidth="1"/>
    <col min="12294" max="12294" width="4.140625" style="2" customWidth="1"/>
    <col min="12295" max="12295" width="11.28515625" style="2" customWidth="1"/>
    <col min="12296" max="12296" width="11" style="2" customWidth="1"/>
    <col min="12297" max="12298" width="2.140625" style="2" customWidth="1"/>
    <col min="12299" max="12299" width="3.28515625" style="2" customWidth="1"/>
    <col min="12300" max="12301" width="0" style="2" hidden="1" customWidth="1"/>
    <col min="12302" max="12302" width="2.85546875" style="2" customWidth="1"/>
    <col min="12303" max="12303" width="3.28515625" style="2" customWidth="1"/>
    <col min="12304" max="12304" width="1.5703125" style="2" customWidth="1"/>
    <col min="12305" max="12305" width="0" style="2" hidden="1" customWidth="1"/>
    <col min="12306" max="12306" width="6.85546875" style="2" customWidth="1"/>
    <col min="12307" max="12307" width="0" style="2" hidden="1" customWidth="1"/>
    <col min="12308" max="12309" width="6.28515625" style="2" customWidth="1"/>
    <col min="12310" max="12310" width="13.85546875" style="2" customWidth="1"/>
    <col min="12311" max="12311" width="10.85546875" style="2" customWidth="1"/>
    <col min="12312" max="12312" width="14.7109375" style="2" customWidth="1"/>
    <col min="12313" max="12313" width="0" style="2" hidden="1" customWidth="1"/>
    <col min="12314" max="12314" width="13" style="2" customWidth="1"/>
    <col min="12315" max="12315" width="12.7109375" style="2" customWidth="1"/>
    <col min="12316" max="12316" width="13.140625" style="2" customWidth="1"/>
    <col min="12317" max="12317" width="14" style="2" customWidth="1"/>
    <col min="12318" max="12318" width="8.140625" style="2" customWidth="1"/>
    <col min="12319" max="12319" width="11.5703125" style="2" customWidth="1"/>
    <col min="12320" max="12320" width="24.7109375" style="2" customWidth="1"/>
    <col min="12321" max="12321" width="12" style="2" customWidth="1"/>
    <col min="12322" max="12323" width="0.28515625" style="2" customWidth="1"/>
    <col min="12324" max="12324" width="1.42578125" style="2" customWidth="1"/>
    <col min="12325" max="12325" width="0" style="2" hidden="1" customWidth="1"/>
    <col min="12326" max="12544" width="11.42578125" style="2"/>
    <col min="12545" max="12545" width="8" style="2" customWidth="1"/>
    <col min="12546" max="12546" width="13.42578125" style="2" customWidth="1"/>
    <col min="12547" max="12547" width="4.28515625" style="2" customWidth="1"/>
    <col min="12548" max="12548" width="4" style="2" customWidth="1"/>
    <col min="12549" max="12549" width="17" style="2" customWidth="1"/>
    <col min="12550" max="12550" width="4.140625" style="2" customWidth="1"/>
    <col min="12551" max="12551" width="11.28515625" style="2" customWidth="1"/>
    <col min="12552" max="12552" width="11" style="2" customWidth="1"/>
    <col min="12553" max="12554" width="2.140625" style="2" customWidth="1"/>
    <col min="12555" max="12555" width="3.28515625" style="2" customWidth="1"/>
    <col min="12556" max="12557" width="0" style="2" hidden="1" customWidth="1"/>
    <col min="12558" max="12558" width="2.85546875" style="2" customWidth="1"/>
    <col min="12559" max="12559" width="3.28515625" style="2" customWidth="1"/>
    <col min="12560" max="12560" width="1.5703125" style="2" customWidth="1"/>
    <col min="12561" max="12561" width="0" style="2" hidden="1" customWidth="1"/>
    <col min="12562" max="12562" width="6.85546875" style="2" customWidth="1"/>
    <col min="12563" max="12563" width="0" style="2" hidden="1" customWidth="1"/>
    <col min="12564" max="12565" width="6.28515625" style="2" customWidth="1"/>
    <col min="12566" max="12566" width="13.85546875" style="2" customWidth="1"/>
    <col min="12567" max="12567" width="10.85546875" style="2" customWidth="1"/>
    <col min="12568" max="12568" width="14.7109375" style="2" customWidth="1"/>
    <col min="12569" max="12569" width="0" style="2" hidden="1" customWidth="1"/>
    <col min="12570" max="12570" width="13" style="2" customWidth="1"/>
    <col min="12571" max="12571" width="12.7109375" style="2" customWidth="1"/>
    <col min="12572" max="12572" width="13.140625" style="2" customWidth="1"/>
    <col min="12573" max="12573" width="14" style="2" customWidth="1"/>
    <col min="12574" max="12574" width="8.140625" style="2" customWidth="1"/>
    <col min="12575" max="12575" width="11.5703125" style="2" customWidth="1"/>
    <col min="12576" max="12576" width="24.7109375" style="2" customWidth="1"/>
    <col min="12577" max="12577" width="12" style="2" customWidth="1"/>
    <col min="12578" max="12579" width="0.28515625" style="2" customWidth="1"/>
    <col min="12580" max="12580" width="1.42578125" style="2" customWidth="1"/>
    <col min="12581" max="12581" width="0" style="2" hidden="1" customWidth="1"/>
    <col min="12582" max="12800" width="11.42578125" style="2"/>
    <col min="12801" max="12801" width="8" style="2" customWidth="1"/>
    <col min="12802" max="12802" width="13.42578125" style="2" customWidth="1"/>
    <col min="12803" max="12803" width="4.28515625" style="2" customWidth="1"/>
    <col min="12804" max="12804" width="4" style="2" customWidth="1"/>
    <col min="12805" max="12805" width="17" style="2" customWidth="1"/>
    <col min="12806" max="12806" width="4.140625" style="2" customWidth="1"/>
    <col min="12807" max="12807" width="11.28515625" style="2" customWidth="1"/>
    <col min="12808" max="12808" width="11" style="2" customWidth="1"/>
    <col min="12809" max="12810" width="2.140625" style="2" customWidth="1"/>
    <col min="12811" max="12811" width="3.28515625" style="2" customWidth="1"/>
    <col min="12812" max="12813" width="0" style="2" hidden="1" customWidth="1"/>
    <col min="12814" max="12814" width="2.85546875" style="2" customWidth="1"/>
    <col min="12815" max="12815" width="3.28515625" style="2" customWidth="1"/>
    <col min="12816" max="12816" width="1.5703125" style="2" customWidth="1"/>
    <col min="12817" max="12817" width="0" style="2" hidden="1" customWidth="1"/>
    <col min="12818" max="12818" width="6.85546875" style="2" customWidth="1"/>
    <col min="12819" max="12819" width="0" style="2" hidden="1" customWidth="1"/>
    <col min="12820" max="12821" width="6.28515625" style="2" customWidth="1"/>
    <col min="12822" max="12822" width="13.85546875" style="2" customWidth="1"/>
    <col min="12823" max="12823" width="10.85546875" style="2" customWidth="1"/>
    <col min="12824" max="12824" width="14.7109375" style="2" customWidth="1"/>
    <col min="12825" max="12825" width="0" style="2" hidden="1" customWidth="1"/>
    <col min="12826" max="12826" width="13" style="2" customWidth="1"/>
    <col min="12827" max="12827" width="12.7109375" style="2" customWidth="1"/>
    <col min="12828" max="12828" width="13.140625" style="2" customWidth="1"/>
    <col min="12829" max="12829" width="14" style="2" customWidth="1"/>
    <col min="12830" max="12830" width="8.140625" style="2" customWidth="1"/>
    <col min="12831" max="12831" width="11.5703125" style="2" customWidth="1"/>
    <col min="12832" max="12832" width="24.7109375" style="2" customWidth="1"/>
    <col min="12833" max="12833" width="12" style="2" customWidth="1"/>
    <col min="12834" max="12835" width="0.28515625" style="2" customWidth="1"/>
    <col min="12836" max="12836" width="1.42578125" style="2" customWidth="1"/>
    <col min="12837" max="12837" width="0" style="2" hidden="1" customWidth="1"/>
    <col min="12838" max="13056" width="11.42578125" style="2"/>
    <col min="13057" max="13057" width="8" style="2" customWidth="1"/>
    <col min="13058" max="13058" width="13.42578125" style="2" customWidth="1"/>
    <col min="13059" max="13059" width="4.28515625" style="2" customWidth="1"/>
    <col min="13060" max="13060" width="4" style="2" customWidth="1"/>
    <col min="13061" max="13061" width="17" style="2" customWidth="1"/>
    <col min="13062" max="13062" width="4.140625" style="2" customWidth="1"/>
    <col min="13063" max="13063" width="11.28515625" style="2" customWidth="1"/>
    <col min="13064" max="13064" width="11" style="2" customWidth="1"/>
    <col min="13065" max="13066" width="2.140625" style="2" customWidth="1"/>
    <col min="13067" max="13067" width="3.28515625" style="2" customWidth="1"/>
    <col min="13068" max="13069" width="0" style="2" hidden="1" customWidth="1"/>
    <col min="13070" max="13070" width="2.85546875" style="2" customWidth="1"/>
    <col min="13071" max="13071" width="3.28515625" style="2" customWidth="1"/>
    <col min="13072" max="13072" width="1.5703125" style="2" customWidth="1"/>
    <col min="13073" max="13073" width="0" style="2" hidden="1" customWidth="1"/>
    <col min="13074" max="13074" width="6.85546875" style="2" customWidth="1"/>
    <col min="13075" max="13075" width="0" style="2" hidden="1" customWidth="1"/>
    <col min="13076" max="13077" width="6.28515625" style="2" customWidth="1"/>
    <col min="13078" max="13078" width="13.85546875" style="2" customWidth="1"/>
    <col min="13079" max="13079" width="10.85546875" style="2" customWidth="1"/>
    <col min="13080" max="13080" width="14.7109375" style="2" customWidth="1"/>
    <col min="13081" max="13081" width="0" style="2" hidden="1" customWidth="1"/>
    <col min="13082" max="13082" width="13" style="2" customWidth="1"/>
    <col min="13083" max="13083" width="12.7109375" style="2" customWidth="1"/>
    <col min="13084" max="13084" width="13.140625" style="2" customWidth="1"/>
    <col min="13085" max="13085" width="14" style="2" customWidth="1"/>
    <col min="13086" max="13086" width="8.140625" style="2" customWidth="1"/>
    <col min="13087" max="13087" width="11.5703125" style="2" customWidth="1"/>
    <col min="13088" max="13088" width="24.7109375" style="2" customWidth="1"/>
    <col min="13089" max="13089" width="12" style="2" customWidth="1"/>
    <col min="13090" max="13091" width="0.28515625" style="2" customWidth="1"/>
    <col min="13092" max="13092" width="1.42578125" style="2" customWidth="1"/>
    <col min="13093" max="13093" width="0" style="2" hidden="1" customWidth="1"/>
    <col min="13094" max="13312" width="11.42578125" style="2"/>
    <col min="13313" max="13313" width="8" style="2" customWidth="1"/>
    <col min="13314" max="13314" width="13.42578125" style="2" customWidth="1"/>
    <col min="13315" max="13315" width="4.28515625" style="2" customWidth="1"/>
    <col min="13316" max="13316" width="4" style="2" customWidth="1"/>
    <col min="13317" max="13317" width="17" style="2" customWidth="1"/>
    <col min="13318" max="13318" width="4.140625" style="2" customWidth="1"/>
    <col min="13319" max="13319" width="11.28515625" style="2" customWidth="1"/>
    <col min="13320" max="13320" width="11" style="2" customWidth="1"/>
    <col min="13321" max="13322" width="2.140625" style="2" customWidth="1"/>
    <col min="13323" max="13323" width="3.28515625" style="2" customWidth="1"/>
    <col min="13324" max="13325" width="0" style="2" hidden="1" customWidth="1"/>
    <col min="13326" max="13326" width="2.85546875" style="2" customWidth="1"/>
    <col min="13327" max="13327" width="3.28515625" style="2" customWidth="1"/>
    <col min="13328" max="13328" width="1.5703125" style="2" customWidth="1"/>
    <col min="13329" max="13329" width="0" style="2" hidden="1" customWidth="1"/>
    <col min="13330" max="13330" width="6.85546875" style="2" customWidth="1"/>
    <col min="13331" max="13331" width="0" style="2" hidden="1" customWidth="1"/>
    <col min="13332" max="13333" width="6.28515625" style="2" customWidth="1"/>
    <col min="13334" max="13334" width="13.85546875" style="2" customWidth="1"/>
    <col min="13335" max="13335" width="10.85546875" style="2" customWidth="1"/>
    <col min="13336" max="13336" width="14.7109375" style="2" customWidth="1"/>
    <col min="13337" max="13337" width="0" style="2" hidden="1" customWidth="1"/>
    <col min="13338" max="13338" width="13" style="2" customWidth="1"/>
    <col min="13339" max="13339" width="12.7109375" style="2" customWidth="1"/>
    <col min="13340" max="13340" width="13.140625" style="2" customWidth="1"/>
    <col min="13341" max="13341" width="14" style="2" customWidth="1"/>
    <col min="13342" max="13342" width="8.140625" style="2" customWidth="1"/>
    <col min="13343" max="13343" width="11.5703125" style="2" customWidth="1"/>
    <col min="13344" max="13344" width="24.7109375" style="2" customWidth="1"/>
    <col min="13345" max="13345" width="12" style="2" customWidth="1"/>
    <col min="13346" max="13347" width="0.28515625" style="2" customWidth="1"/>
    <col min="13348" max="13348" width="1.42578125" style="2" customWidth="1"/>
    <col min="13349" max="13349" width="0" style="2" hidden="1" customWidth="1"/>
    <col min="13350" max="13568" width="11.42578125" style="2"/>
    <col min="13569" max="13569" width="8" style="2" customWidth="1"/>
    <col min="13570" max="13570" width="13.42578125" style="2" customWidth="1"/>
    <col min="13571" max="13571" width="4.28515625" style="2" customWidth="1"/>
    <col min="13572" max="13572" width="4" style="2" customWidth="1"/>
    <col min="13573" max="13573" width="17" style="2" customWidth="1"/>
    <col min="13574" max="13574" width="4.140625" style="2" customWidth="1"/>
    <col min="13575" max="13575" width="11.28515625" style="2" customWidth="1"/>
    <col min="13576" max="13576" width="11" style="2" customWidth="1"/>
    <col min="13577" max="13578" width="2.140625" style="2" customWidth="1"/>
    <col min="13579" max="13579" width="3.28515625" style="2" customWidth="1"/>
    <col min="13580" max="13581" width="0" style="2" hidden="1" customWidth="1"/>
    <col min="13582" max="13582" width="2.85546875" style="2" customWidth="1"/>
    <col min="13583" max="13583" width="3.28515625" style="2" customWidth="1"/>
    <col min="13584" max="13584" width="1.5703125" style="2" customWidth="1"/>
    <col min="13585" max="13585" width="0" style="2" hidden="1" customWidth="1"/>
    <col min="13586" max="13586" width="6.85546875" style="2" customWidth="1"/>
    <col min="13587" max="13587" width="0" style="2" hidden="1" customWidth="1"/>
    <col min="13588" max="13589" width="6.28515625" style="2" customWidth="1"/>
    <col min="13590" max="13590" width="13.85546875" style="2" customWidth="1"/>
    <col min="13591" max="13591" width="10.85546875" style="2" customWidth="1"/>
    <col min="13592" max="13592" width="14.7109375" style="2" customWidth="1"/>
    <col min="13593" max="13593" width="0" style="2" hidden="1" customWidth="1"/>
    <col min="13594" max="13594" width="13" style="2" customWidth="1"/>
    <col min="13595" max="13595" width="12.7109375" style="2" customWidth="1"/>
    <col min="13596" max="13596" width="13.140625" style="2" customWidth="1"/>
    <col min="13597" max="13597" width="14" style="2" customWidth="1"/>
    <col min="13598" max="13598" width="8.140625" style="2" customWidth="1"/>
    <col min="13599" max="13599" width="11.5703125" style="2" customWidth="1"/>
    <col min="13600" max="13600" width="24.7109375" style="2" customWidth="1"/>
    <col min="13601" max="13601" width="12" style="2" customWidth="1"/>
    <col min="13602" max="13603" width="0.28515625" style="2" customWidth="1"/>
    <col min="13604" max="13604" width="1.42578125" style="2" customWidth="1"/>
    <col min="13605" max="13605" width="0" style="2" hidden="1" customWidth="1"/>
    <col min="13606" max="13824" width="11.42578125" style="2"/>
    <col min="13825" max="13825" width="8" style="2" customWidth="1"/>
    <col min="13826" max="13826" width="13.42578125" style="2" customWidth="1"/>
    <col min="13827" max="13827" width="4.28515625" style="2" customWidth="1"/>
    <col min="13828" max="13828" width="4" style="2" customWidth="1"/>
    <col min="13829" max="13829" width="17" style="2" customWidth="1"/>
    <col min="13830" max="13830" width="4.140625" style="2" customWidth="1"/>
    <col min="13831" max="13831" width="11.28515625" style="2" customWidth="1"/>
    <col min="13832" max="13832" width="11" style="2" customWidth="1"/>
    <col min="13833" max="13834" width="2.140625" style="2" customWidth="1"/>
    <col min="13835" max="13835" width="3.28515625" style="2" customWidth="1"/>
    <col min="13836" max="13837" width="0" style="2" hidden="1" customWidth="1"/>
    <col min="13838" max="13838" width="2.85546875" style="2" customWidth="1"/>
    <col min="13839" max="13839" width="3.28515625" style="2" customWidth="1"/>
    <col min="13840" max="13840" width="1.5703125" style="2" customWidth="1"/>
    <col min="13841" max="13841" width="0" style="2" hidden="1" customWidth="1"/>
    <col min="13842" max="13842" width="6.85546875" style="2" customWidth="1"/>
    <col min="13843" max="13843" width="0" style="2" hidden="1" customWidth="1"/>
    <col min="13844" max="13845" width="6.28515625" style="2" customWidth="1"/>
    <col min="13846" max="13846" width="13.85546875" style="2" customWidth="1"/>
    <col min="13847" max="13847" width="10.85546875" style="2" customWidth="1"/>
    <col min="13848" max="13848" width="14.7109375" style="2" customWidth="1"/>
    <col min="13849" max="13849" width="0" style="2" hidden="1" customWidth="1"/>
    <col min="13850" max="13850" width="13" style="2" customWidth="1"/>
    <col min="13851" max="13851" width="12.7109375" style="2" customWidth="1"/>
    <col min="13852" max="13852" width="13.140625" style="2" customWidth="1"/>
    <col min="13853" max="13853" width="14" style="2" customWidth="1"/>
    <col min="13854" max="13854" width="8.140625" style="2" customWidth="1"/>
    <col min="13855" max="13855" width="11.5703125" style="2" customWidth="1"/>
    <col min="13856" max="13856" width="24.7109375" style="2" customWidth="1"/>
    <col min="13857" max="13857" width="12" style="2" customWidth="1"/>
    <col min="13858" max="13859" width="0.28515625" style="2" customWidth="1"/>
    <col min="13860" max="13860" width="1.42578125" style="2" customWidth="1"/>
    <col min="13861" max="13861" width="0" style="2" hidden="1" customWidth="1"/>
    <col min="13862" max="14080" width="11.42578125" style="2"/>
    <col min="14081" max="14081" width="8" style="2" customWidth="1"/>
    <col min="14082" max="14082" width="13.42578125" style="2" customWidth="1"/>
    <col min="14083" max="14083" width="4.28515625" style="2" customWidth="1"/>
    <col min="14084" max="14084" width="4" style="2" customWidth="1"/>
    <col min="14085" max="14085" width="17" style="2" customWidth="1"/>
    <col min="14086" max="14086" width="4.140625" style="2" customWidth="1"/>
    <col min="14087" max="14087" width="11.28515625" style="2" customWidth="1"/>
    <col min="14088" max="14088" width="11" style="2" customWidth="1"/>
    <col min="14089" max="14090" width="2.140625" style="2" customWidth="1"/>
    <col min="14091" max="14091" width="3.28515625" style="2" customWidth="1"/>
    <col min="14092" max="14093" width="0" style="2" hidden="1" customWidth="1"/>
    <col min="14094" max="14094" width="2.85546875" style="2" customWidth="1"/>
    <col min="14095" max="14095" width="3.28515625" style="2" customWidth="1"/>
    <col min="14096" max="14096" width="1.5703125" style="2" customWidth="1"/>
    <col min="14097" max="14097" width="0" style="2" hidden="1" customWidth="1"/>
    <col min="14098" max="14098" width="6.85546875" style="2" customWidth="1"/>
    <col min="14099" max="14099" width="0" style="2" hidden="1" customWidth="1"/>
    <col min="14100" max="14101" width="6.28515625" style="2" customWidth="1"/>
    <col min="14102" max="14102" width="13.85546875" style="2" customWidth="1"/>
    <col min="14103" max="14103" width="10.85546875" style="2" customWidth="1"/>
    <col min="14104" max="14104" width="14.7109375" style="2" customWidth="1"/>
    <col min="14105" max="14105" width="0" style="2" hidden="1" customWidth="1"/>
    <col min="14106" max="14106" width="13" style="2" customWidth="1"/>
    <col min="14107" max="14107" width="12.7109375" style="2" customWidth="1"/>
    <col min="14108" max="14108" width="13.140625" style="2" customWidth="1"/>
    <col min="14109" max="14109" width="14" style="2" customWidth="1"/>
    <col min="14110" max="14110" width="8.140625" style="2" customWidth="1"/>
    <col min="14111" max="14111" width="11.5703125" style="2" customWidth="1"/>
    <col min="14112" max="14112" width="24.7109375" style="2" customWidth="1"/>
    <col min="14113" max="14113" width="12" style="2" customWidth="1"/>
    <col min="14114" max="14115" width="0.28515625" style="2" customWidth="1"/>
    <col min="14116" max="14116" width="1.42578125" style="2" customWidth="1"/>
    <col min="14117" max="14117" width="0" style="2" hidden="1" customWidth="1"/>
    <col min="14118" max="14336" width="11.42578125" style="2"/>
    <col min="14337" max="14337" width="8" style="2" customWidth="1"/>
    <col min="14338" max="14338" width="13.42578125" style="2" customWidth="1"/>
    <col min="14339" max="14339" width="4.28515625" style="2" customWidth="1"/>
    <col min="14340" max="14340" width="4" style="2" customWidth="1"/>
    <col min="14341" max="14341" width="17" style="2" customWidth="1"/>
    <col min="14342" max="14342" width="4.140625" style="2" customWidth="1"/>
    <col min="14343" max="14343" width="11.28515625" style="2" customWidth="1"/>
    <col min="14344" max="14344" width="11" style="2" customWidth="1"/>
    <col min="14345" max="14346" width="2.140625" style="2" customWidth="1"/>
    <col min="14347" max="14347" width="3.28515625" style="2" customWidth="1"/>
    <col min="14348" max="14349" width="0" style="2" hidden="1" customWidth="1"/>
    <col min="14350" max="14350" width="2.85546875" style="2" customWidth="1"/>
    <col min="14351" max="14351" width="3.28515625" style="2" customWidth="1"/>
    <col min="14352" max="14352" width="1.5703125" style="2" customWidth="1"/>
    <col min="14353" max="14353" width="0" style="2" hidden="1" customWidth="1"/>
    <col min="14354" max="14354" width="6.85546875" style="2" customWidth="1"/>
    <col min="14355" max="14355" width="0" style="2" hidden="1" customWidth="1"/>
    <col min="14356" max="14357" width="6.28515625" style="2" customWidth="1"/>
    <col min="14358" max="14358" width="13.85546875" style="2" customWidth="1"/>
    <col min="14359" max="14359" width="10.85546875" style="2" customWidth="1"/>
    <col min="14360" max="14360" width="14.7109375" style="2" customWidth="1"/>
    <col min="14361" max="14361" width="0" style="2" hidden="1" customWidth="1"/>
    <col min="14362" max="14362" width="13" style="2" customWidth="1"/>
    <col min="14363" max="14363" width="12.7109375" style="2" customWidth="1"/>
    <col min="14364" max="14364" width="13.140625" style="2" customWidth="1"/>
    <col min="14365" max="14365" width="14" style="2" customWidth="1"/>
    <col min="14366" max="14366" width="8.140625" style="2" customWidth="1"/>
    <col min="14367" max="14367" width="11.5703125" style="2" customWidth="1"/>
    <col min="14368" max="14368" width="24.7109375" style="2" customWidth="1"/>
    <col min="14369" max="14369" width="12" style="2" customWidth="1"/>
    <col min="14370" max="14371" width="0.28515625" style="2" customWidth="1"/>
    <col min="14372" max="14372" width="1.42578125" style="2" customWidth="1"/>
    <col min="14373" max="14373" width="0" style="2" hidden="1" customWidth="1"/>
    <col min="14374" max="14592" width="11.42578125" style="2"/>
    <col min="14593" max="14593" width="8" style="2" customWidth="1"/>
    <col min="14594" max="14594" width="13.42578125" style="2" customWidth="1"/>
    <col min="14595" max="14595" width="4.28515625" style="2" customWidth="1"/>
    <col min="14596" max="14596" width="4" style="2" customWidth="1"/>
    <col min="14597" max="14597" width="17" style="2" customWidth="1"/>
    <col min="14598" max="14598" width="4.140625" style="2" customWidth="1"/>
    <col min="14599" max="14599" width="11.28515625" style="2" customWidth="1"/>
    <col min="14600" max="14600" width="11" style="2" customWidth="1"/>
    <col min="14601" max="14602" width="2.140625" style="2" customWidth="1"/>
    <col min="14603" max="14603" width="3.28515625" style="2" customWidth="1"/>
    <col min="14604" max="14605" width="0" style="2" hidden="1" customWidth="1"/>
    <col min="14606" max="14606" width="2.85546875" style="2" customWidth="1"/>
    <col min="14607" max="14607" width="3.28515625" style="2" customWidth="1"/>
    <col min="14608" max="14608" width="1.5703125" style="2" customWidth="1"/>
    <col min="14609" max="14609" width="0" style="2" hidden="1" customWidth="1"/>
    <col min="14610" max="14610" width="6.85546875" style="2" customWidth="1"/>
    <col min="14611" max="14611" width="0" style="2" hidden="1" customWidth="1"/>
    <col min="14612" max="14613" width="6.28515625" style="2" customWidth="1"/>
    <col min="14614" max="14614" width="13.85546875" style="2" customWidth="1"/>
    <col min="14615" max="14615" width="10.85546875" style="2" customWidth="1"/>
    <col min="14616" max="14616" width="14.7109375" style="2" customWidth="1"/>
    <col min="14617" max="14617" width="0" style="2" hidden="1" customWidth="1"/>
    <col min="14618" max="14618" width="13" style="2" customWidth="1"/>
    <col min="14619" max="14619" width="12.7109375" style="2" customWidth="1"/>
    <col min="14620" max="14620" width="13.140625" style="2" customWidth="1"/>
    <col min="14621" max="14621" width="14" style="2" customWidth="1"/>
    <col min="14622" max="14622" width="8.140625" style="2" customWidth="1"/>
    <col min="14623" max="14623" width="11.5703125" style="2" customWidth="1"/>
    <col min="14624" max="14624" width="24.7109375" style="2" customWidth="1"/>
    <col min="14625" max="14625" width="12" style="2" customWidth="1"/>
    <col min="14626" max="14627" width="0.28515625" style="2" customWidth="1"/>
    <col min="14628" max="14628" width="1.42578125" style="2" customWidth="1"/>
    <col min="14629" max="14629" width="0" style="2" hidden="1" customWidth="1"/>
    <col min="14630" max="14848" width="11.42578125" style="2"/>
    <col min="14849" max="14849" width="8" style="2" customWidth="1"/>
    <col min="14850" max="14850" width="13.42578125" style="2" customWidth="1"/>
    <col min="14851" max="14851" width="4.28515625" style="2" customWidth="1"/>
    <col min="14852" max="14852" width="4" style="2" customWidth="1"/>
    <col min="14853" max="14853" width="17" style="2" customWidth="1"/>
    <col min="14854" max="14854" width="4.140625" style="2" customWidth="1"/>
    <col min="14855" max="14855" width="11.28515625" style="2" customWidth="1"/>
    <col min="14856" max="14856" width="11" style="2" customWidth="1"/>
    <col min="14857" max="14858" width="2.140625" style="2" customWidth="1"/>
    <col min="14859" max="14859" width="3.28515625" style="2" customWidth="1"/>
    <col min="14860" max="14861" width="0" style="2" hidden="1" customWidth="1"/>
    <col min="14862" max="14862" width="2.85546875" style="2" customWidth="1"/>
    <col min="14863" max="14863" width="3.28515625" style="2" customWidth="1"/>
    <col min="14864" max="14864" width="1.5703125" style="2" customWidth="1"/>
    <col min="14865" max="14865" width="0" style="2" hidden="1" customWidth="1"/>
    <col min="14866" max="14866" width="6.85546875" style="2" customWidth="1"/>
    <col min="14867" max="14867" width="0" style="2" hidden="1" customWidth="1"/>
    <col min="14868" max="14869" width="6.28515625" style="2" customWidth="1"/>
    <col min="14870" max="14870" width="13.85546875" style="2" customWidth="1"/>
    <col min="14871" max="14871" width="10.85546875" style="2" customWidth="1"/>
    <col min="14872" max="14872" width="14.7109375" style="2" customWidth="1"/>
    <col min="14873" max="14873" width="0" style="2" hidden="1" customWidth="1"/>
    <col min="14874" max="14874" width="13" style="2" customWidth="1"/>
    <col min="14875" max="14875" width="12.7109375" style="2" customWidth="1"/>
    <col min="14876" max="14876" width="13.140625" style="2" customWidth="1"/>
    <col min="14877" max="14877" width="14" style="2" customWidth="1"/>
    <col min="14878" max="14878" width="8.140625" style="2" customWidth="1"/>
    <col min="14879" max="14879" width="11.5703125" style="2" customWidth="1"/>
    <col min="14880" max="14880" width="24.7109375" style="2" customWidth="1"/>
    <col min="14881" max="14881" width="12" style="2" customWidth="1"/>
    <col min="14882" max="14883" width="0.28515625" style="2" customWidth="1"/>
    <col min="14884" max="14884" width="1.42578125" style="2" customWidth="1"/>
    <col min="14885" max="14885" width="0" style="2" hidden="1" customWidth="1"/>
    <col min="14886" max="15104" width="11.42578125" style="2"/>
    <col min="15105" max="15105" width="8" style="2" customWidth="1"/>
    <col min="15106" max="15106" width="13.42578125" style="2" customWidth="1"/>
    <col min="15107" max="15107" width="4.28515625" style="2" customWidth="1"/>
    <col min="15108" max="15108" width="4" style="2" customWidth="1"/>
    <col min="15109" max="15109" width="17" style="2" customWidth="1"/>
    <col min="15110" max="15110" width="4.140625" style="2" customWidth="1"/>
    <col min="15111" max="15111" width="11.28515625" style="2" customWidth="1"/>
    <col min="15112" max="15112" width="11" style="2" customWidth="1"/>
    <col min="15113" max="15114" width="2.140625" style="2" customWidth="1"/>
    <col min="15115" max="15115" width="3.28515625" style="2" customWidth="1"/>
    <col min="15116" max="15117" width="0" style="2" hidden="1" customWidth="1"/>
    <col min="15118" max="15118" width="2.85546875" style="2" customWidth="1"/>
    <col min="15119" max="15119" width="3.28515625" style="2" customWidth="1"/>
    <col min="15120" max="15120" width="1.5703125" style="2" customWidth="1"/>
    <col min="15121" max="15121" width="0" style="2" hidden="1" customWidth="1"/>
    <col min="15122" max="15122" width="6.85546875" style="2" customWidth="1"/>
    <col min="15123" max="15123" width="0" style="2" hidden="1" customWidth="1"/>
    <col min="15124" max="15125" width="6.28515625" style="2" customWidth="1"/>
    <col min="15126" max="15126" width="13.85546875" style="2" customWidth="1"/>
    <col min="15127" max="15127" width="10.85546875" style="2" customWidth="1"/>
    <col min="15128" max="15128" width="14.7109375" style="2" customWidth="1"/>
    <col min="15129" max="15129" width="0" style="2" hidden="1" customWidth="1"/>
    <col min="15130" max="15130" width="13" style="2" customWidth="1"/>
    <col min="15131" max="15131" width="12.7109375" style="2" customWidth="1"/>
    <col min="15132" max="15132" width="13.140625" style="2" customWidth="1"/>
    <col min="15133" max="15133" width="14" style="2" customWidth="1"/>
    <col min="15134" max="15134" width="8.140625" style="2" customWidth="1"/>
    <col min="15135" max="15135" width="11.5703125" style="2" customWidth="1"/>
    <col min="15136" max="15136" width="24.7109375" style="2" customWidth="1"/>
    <col min="15137" max="15137" width="12" style="2" customWidth="1"/>
    <col min="15138" max="15139" width="0.28515625" style="2" customWidth="1"/>
    <col min="15140" max="15140" width="1.42578125" style="2" customWidth="1"/>
    <col min="15141" max="15141" width="0" style="2" hidden="1" customWidth="1"/>
    <col min="15142" max="15360" width="11.42578125" style="2"/>
    <col min="15361" max="15361" width="8" style="2" customWidth="1"/>
    <col min="15362" max="15362" width="13.42578125" style="2" customWidth="1"/>
    <col min="15363" max="15363" width="4.28515625" style="2" customWidth="1"/>
    <col min="15364" max="15364" width="4" style="2" customWidth="1"/>
    <col min="15365" max="15365" width="17" style="2" customWidth="1"/>
    <col min="15366" max="15366" width="4.140625" style="2" customWidth="1"/>
    <col min="15367" max="15367" width="11.28515625" style="2" customWidth="1"/>
    <col min="15368" max="15368" width="11" style="2" customWidth="1"/>
    <col min="15369" max="15370" width="2.140625" style="2" customWidth="1"/>
    <col min="15371" max="15371" width="3.28515625" style="2" customWidth="1"/>
    <col min="15372" max="15373" width="0" style="2" hidden="1" customWidth="1"/>
    <col min="15374" max="15374" width="2.85546875" style="2" customWidth="1"/>
    <col min="15375" max="15375" width="3.28515625" style="2" customWidth="1"/>
    <col min="15376" max="15376" width="1.5703125" style="2" customWidth="1"/>
    <col min="15377" max="15377" width="0" style="2" hidden="1" customWidth="1"/>
    <col min="15378" max="15378" width="6.85546875" style="2" customWidth="1"/>
    <col min="15379" max="15379" width="0" style="2" hidden="1" customWidth="1"/>
    <col min="15380" max="15381" width="6.28515625" style="2" customWidth="1"/>
    <col min="15382" max="15382" width="13.85546875" style="2" customWidth="1"/>
    <col min="15383" max="15383" width="10.85546875" style="2" customWidth="1"/>
    <col min="15384" max="15384" width="14.7109375" style="2" customWidth="1"/>
    <col min="15385" max="15385" width="0" style="2" hidden="1" customWidth="1"/>
    <col min="15386" max="15386" width="13" style="2" customWidth="1"/>
    <col min="15387" max="15387" width="12.7109375" style="2" customWidth="1"/>
    <col min="15388" max="15388" width="13.140625" style="2" customWidth="1"/>
    <col min="15389" max="15389" width="14" style="2" customWidth="1"/>
    <col min="15390" max="15390" width="8.140625" style="2" customWidth="1"/>
    <col min="15391" max="15391" width="11.5703125" style="2" customWidth="1"/>
    <col min="15392" max="15392" width="24.7109375" style="2" customWidth="1"/>
    <col min="15393" max="15393" width="12" style="2" customWidth="1"/>
    <col min="15394" max="15395" width="0.28515625" style="2" customWidth="1"/>
    <col min="15396" max="15396" width="1.42578125" style="2" customWidth="1"/>
    <col min="15397" max="15397" width="0" style="2" hidden="1" customWidth="1"/>
    <col min="15398" max="15616" width="11.42578125" style="2"/>
    <col min="15617" max="15617" width="8" style="2" customWidth="1"/>
    <col min="15618" max="15618" width="13.42578125" style="2" customWidth="1"/>
    <col min="15619" max="15619" width="4.28515625" style="2" customWidth="1"/>
    <col min="15620" max="15620" width="4" style="2" customWidth="1"/>
    <col min="15621" max="15621" width="17" style="2" customWidth="1"/>
    <col min="15622" max="15622" width="4.140625" style="2" customWidth="1"/>
    <col min="15623" max="15623" width="11.28515625" style="2" customWidth="1"/>
    <col min="15624" max="15624" width="11" style="2" customWidth="1"/>
    <col min="15625" max="15626" width="2.140625" style="2" customWidth="1"/>
    <col min="15627" max="15627" width="3.28515625" style="2" customWidth="1"/>
    <col min="15628" max="15629" width="0" style="2" hidden="1" customWidth="1"/>
    <col min="15630" max="15630" width="2.85546875" style="2" customWidth="1"/>
    <col min="15631" max="15631" width="3.28515625" style="2" customWidth="1"/>
    <col min="15632" max="15632" width="1.5703125" style="2" customWidth="1"/>
    <col min="15633" max="15633" width="0" style="2" hidden="1" customWidth="1"/>
    <col min="15634" max="15634" width="6.85546875" style="2" customWidth="1"/>
    <col min="15635" max="15635" width="0" style="2" hidden="1" customWidth="1"/>
    <col min="15636" max="15637" width="6.28515625" style="2" customWidth="1"/>
    <col min="15638" max="15638" width="13.85546875" style="2" customWidth="1"/>
    <col min="15639" max="15639" width="10.85546875" style="2" customWidth="1"/>
    <col min="15640" max="15640" width="14.7109375" style="2" customWidth="1"/>
    <col min="15641" max="15641" width="0" style="2" hidden="1" customWidth="1"/>
    <col min="15642" max="15642" width="13" style="2" customWidth="1"/>
    <col min="15643" max="15643" width="12.7109375" style="2" customWidth="1"/>
    <col min="15644" max="15644" width="13.140625" style="2" customWidth="1"/>
    <col min="15645" max="15645" width="14" style="2" customWidth="1"/>
    <col min="15646" max="15646" width="8.140625" style="2" customWidth="1"/>
    <col min="15647" max="15647" width="11.5703125" style="2" customWidth="1"/>
    <col min="15648" max="15648" width="24.7109375" style="2" customWidth="1"/>
    <col min="15649" max="15649" width="12" style="2" customWidth="1"/>
    <col min="15650" max="15651" width="0.28515625" style="2" customWidth="1"/>
    <col min="15652" max="15652" width="1.42578125" style="2" customWidth="1"/>
    <col min="15653" max="15653" width="0" style="2" hidden="1" customWidth="1"/>
    <col min="15654" max="15872" width="11.42578125" style="2"/>
    <col min="15873" max="15873" width="8" style="2" customWidth="1"/>
    <col min="15874" max="15874" width="13.42578125" style="2" customWidth="1"/>
    <col min="15875" max="15875" width="4.28515625" style="2" customWidth="1"/>
    <col min="15876" max="15876" width="4" style="2" customWidth="1"/>
    <col min="15877" max="15877" width="17" style="2" customWidth="1"/>
    <col min="15878" max="15878" width="4.140625" style="2" customWidth="1"/>
    <col min="15879" max="15879" width="11.28515625" style="2" customWidth="1"/>
    <col min="15880" max="15880" width="11" style="2" customWidth="1"/>
    <col min="15881" max="15882" width="2.140625" style="2" customWidth="1"/>
    <col min="15883" max="15883" width="3.28515625" style="2" customWidth="1"/>
    <col min="15884" max="15885" width="0" style="2" hidden="1" customWidth="1"/>
    <col min="15886" max="15886" width="2.85546875" style="2" customWidth="1"/>
    <col min="15887" max="15887" width="3.28515625" style="2" customWidth="1"/>
    <col min="15888" max="15888" width="1.5703125" style="2" customWidth="1"/>
    <col min="15889" max="15889" width="0" style="2" hidden="1" customWidth="1"/>
    <col min="15890" max="15890" width="6.85546875" style="2" customWidth="1"/>
    <col min="15891" max="15891" width="0" style="2" hidden="1" customWidth="1"/>
    <col min="15892" max="15893" width="6.28515625" style="2" customWidth="1"/>
    <col min="15894" max="15894" width="13.85546875" style="2" customWidth="1"/>
    <col min="15895" max="15895" width="10.85546875" style="2" customWidth="1"/>
    <col min="15896" max="15896" width="14.7109375" style="2" customWidth="1"/>
    <col min="15897" max="15897" width="0" style="2" hidden="1" customWidth="1"/>
    <col min="15898" max="15898" width="13" style="2" customWidth="1"/>
    <col min="15899" max="15899" width="12.7109375" style="2" customWidth="1"/>
    <col min="15900" max="15900" width="13.140625" style="2" customWidth="1"/>
    <col min="15901" max="15901" width="14" style="2" customWidth="1"/>
    <col min="15902" max="15902" width="8.140625" style="2" customWidth="1"/>
    <col min="15903" max="15903" width="11.5703125" style="2" customWidth="1"/>
    <col min="15904" max="15904" width="24.7109375" style="2" customWidth="1"/>
    <col min="15905" max="15905" width="12" style="2" customWidth="1"/>
    <col min="15906" max="15907" width="0.28515625" style="2" customWidth="1"/>
    <col min="15908" max="15908" width="1.42578125" style="2" customWidth="1"/>
    <col min="15909" max="15909" width="0" style="2" hidden="1" customWidth="1"/>
    <col min="15910" max="16128" width="11.42578125" style="2"/>
    <col min="16129" max="16129" width="8" style="2" customWidth="1"/>
    <col min="16130" max="16130" width="13.42578125" style="2" customWidth="1"/>
    <col min="16131" max="16131" width="4.28515625" style="2" customWidth="1"/>
    <col min="16132" max="16132" width="4" style="2" customWidth="1"/>
    <col min="16133" max="16133" width="17" style="2" customWidth="1"/>
    <col min="16134" max="16134" width="4.140625" style="2" customWidth="1"/>
    <col min="16135" max="16135" width="11.28515625" style="2" customWidth="1"/>
    <col min="16136" max="16136" width="11" style="2" customWidth="1"/>
    <col min="16137" max="16138" width="2.140625" style="2" customWidth="1"/>
    <col min="16139" max="16139" width="3.28515625" style="2" customWidth="1"/>
    <col min="16140" max="16141" width="0" style="2" hidden="1" customWidth="1"/>
    <col min="16142" max="16142" width="2.85546875" style="2" customWidth="1"/>
    <col min="16143" max="16143" width="3.28515625" style="2" customWidth="1"/>
    <col min="16144" max="16144" width="1.5703125" style="2" customWidth="1"/>
    <col min="16145" max="16145" width="0" style="2" hidden="1" customWidth="1"/>
    <col min="16146" max="16146" width="6.85546875" style="2" customWidth="1"/>
    <col min="16147" max="16147" width="0" style="2" hidden="1" customWidth="1"/>
    <col min="16148" max="16149" width="6.28515625" style="2" customWidth="1"/>
    <col min="16150" max="16150" width="13.85546875" style="2" customWidth="1"/>
    <col min="16151" max="16151" width="10.85546875" style="2" customWidth="1"/>
    <col min="16152" max="16152" width="14.7109375" style="2" customWidth="1"/>
    <col min="16153" max="16153" width="0" style="2" hidden="1" customWidth="1"/>
    <col min="16154" max="16154" width="13" style="2" customWidth="1"/>
    <col min="16155" max="16155" width="12.7109375" style="2" customWidth="1"/>
    <col min="16156" max="16156" width="13.140625" style="2" customWidth="1"/>
    <col min="16157" max="16157" width="14" style="2" customWidth="1"/>
    <col min="16158" max="16158" width="8.140625" style="2" customWidth="1"/>
    <col min="16159" max="16159" width="11.5703125" style="2" customWidth="1"/>
    <col min="16160" max="16160" width="24.7109375" style="2" customWidth="1"/>
    <col min="16161" max="16161" width="12" style="2" customWidth="1"/>
    <col min="16162" max="16163" width="0.28515625" style="2" customWidth="1"/>
    <col min="16164" max="16164" width="1.42578125" style="2" customWidth="1"/>
    <col min="16165" max="16165" width="0" style="2" hidden="1" customWidth="1"/>
    <col min="16166" max="16384" width="11.42578125" style="2"/>
  </cols>
  <sheetData>
    <row r="1" spans="1:38" ht="45" customHeight="1">
      <c r="A1" s="600"/>
      <c r="B1" s="600"/>
      <c r="C1" s="601" t="s">
        <v>0</v>
      </c>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2" t="s">
        <v>95</v>
      </c>
      <c r="AH1" s="3" t="s">
        <v>17</v>
      </c>
      <c r="AI1" s="6" t="s">
        <v>23</v>
      </c>
    </row>
    <row r="2" spans="1:38" ht="45" customHeight="1">
      <c r="A2" s="600"/>
      <c r="B2" s="600"/>
      <c r="C2" s="603" t="s">
        <v>37</v>
      </c>
      <c r="D2" s="603"/>
      <c r="E2" s="603"/>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2"/>
      <c r="AH2" s="2" t="s">
        <v>18</v>
      </c>
      <c r="AI2" s="7" t="s">
        <v>24</v>
      </c>
    </row>
    <row r="3" spans="1:38"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H3" s="3" t="s">
        <v>16</v>
      </c>
      <c r="AI3" s="6" t="s">
        <v>25</v>
      </c>
    </row>
    <row r="4" spans="1:38" ht="30.75" customHeight="1">
      <c r="A4" s="597" t="s">
        <v>5</v>
      </c>
      <c r="B4" s="597"/>
      <c r="C4" s="597"/>
      <c r="D4" s="597"/>
      <c r="E4" s="598" t="s">
        <v>618</v>
      </c>
      <c r="F4" s="598"/>
      <c r="G4" s="598"/>
      <c r="H4" s="598"/>
      <c r="I4" s="598"/>
      <c r="J4" s="598"/>
      <c r="K4" s="598"/>
      <c r="L4" s="598"/>
      <c r="M4" s="598"/>
      <c r="N4" s="598"/>
      <c r="O4" s="598"/>
      <c r="P4" s="598"/>
      <c r="Q4" s="598"/>
      <c r="R4" s="598"/>
      <c r="S4" s="598"/>
      <c r="T4" s="598"/>
      <c r="U4" s="598"/>
      <c r="V4" s="599" t="s">
        <v>20</v>
      </c>
      <c r="W4" s="599"/>
      <c r="X4" s="598" t="s">
        <v>619</v>
      </c>
      <c r="Y4" s="598"/>
      <c r="Z4" s="598"/>
      <c r="AA4" s="598"/>
      <c r="AB4" s="598"/>
      <c r="AC4" s="598"/>
      <c r="AD4" s="599" t="s">
        <v>98</v>
      </c>
      <c r="AE4" s="599"/>
      <c r="AF4" s="45" t="s">
        <v>99</v>
      </c>
      <c r="AH4" s="6" t="s">
        <v>19</v>
      </c>
    </row>
    <row r="5" spans="1:38" ht="4.5" customHeight="1" thickBo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row>
    <row r="6" spans="1:38" ht="57" customHeight="1">
      <c r="A6" s="605" t="s">
        <v>39</v>
      </c>
      <c r="B6" s="606"/>
      <c r="C6" s="599" t="s">
        <v>1</v>
      </c>
      <c r="D6" s="599" t="s">
        <v>100</v>
      </c>
      <c r="E6" s="599"/>
      <c r="F6" s="608" t="s">
        <v>6</v>
      </c>
      <c r="G6" s="599" t="s">
        <v>9</v>
      </c>
      <c r="H6" s="599" t="s">
        <v>2</v>
      </c>
      <c r="I6" s="599" t="s">
        <v>21</v>
      </c>
      <c r="J6" s="599"/>
      <c r="K6" s="599"/>
      <c r="L6" s="599"/>
      <c r="M6" s="599"/>
      <c r="N6" s="599"/>
      <c r="O6" s="599"/>
      <c r="P6" s="599"/>
      <c r="Q6" s="599"/>
      <c r="R6" s="599"/>
      <c r="S6" s="599"/>
      <c r="T6" s="599"/>
      <c r="U6" s="599"/>
      <c r="V6" s="599" t="s">
        <v>101</v>
      </c>
      <c r="W6" s="599" t="s">
        <v>3</v>
      </c>
      <c r="X6" s="599"/>
      <c r="Y6" s="599"/>
      <c r="Z6" s="610" t="s">
        <v>102</v>
      </c>
      <c r="AA6" s="610" t="s">
        <v>103</v>
      </c>
      <c r="AB6" s="610" t="s">
        <v>4</v>
      </c>
      <c r="AC6" s="610"/>
      <c r="AD6" s="599" t="s">
        <v>104</v>
      </c>
      <c r="AE6" s="599" t="s">
        <v>105</v>
      </c>
      <c r="AF6" s="599" t="s">
        <v>106</v>
      </c>
    </row>
    <row r="7" spans="1:38" ht="37.5" customHeight="1" thickBot="1">
      <c r="A7" s="97" t="s">
        <v>40</v>
      </c>
      <c r="B7" s="98" t="s">
        <v>41</v>
      </c>
      <c r="C7" s="607"/>
      <c r="D7" s="836"/>
      <c r="E7" s="836"/>
      <c r="F7" s="1216"/>
      <c r="G7" s="836"/>
      <c r="H7" s="836"/>
      <c r="I7" s="836" t="s">
        <v>11</v>
      </c>
      <c r="J7" s="836"/>
      <c r="K7" s="836"/>
      <c r="L7" s="836"/>
      <c r="M7" s="836"/>
      <c r="N7" s="836"/>
      <c r="O7" s="1211" t="s">
        <v>12</v>
      </c>
      <c r="P7" s="1211"/>
      <c r="Q7" s="1211"/>
      <c r="R7" s="1211"/>
      <c r="S7" s="1211"/>
      <c r="T7" s="1211" t="s">
        <v>13</v>
      </c>
      <c r="U7" s="1211"/>
      <c r="V7" s="836"/>
      <c r="W7" s="836"/>
      <c r="X7" s="836"/>
      <c r="Y7" s="836"/>
      <c r="Z7" s="837"/>
      <c r="AA7" s="837"/>
      <c r="AB7" s="270" t="s">
        <v>14</v>
      </c>
      <c r="AC7" s="269" t="s">
        <v>15</v>
      </c>
      <c r="AD7" s="836"/>
      <c r="AE7" s="836"/>
      <c r="AF7" s="836"/>
    </row>
    <row r="8" spans="1:38" ht="0.75" customHeight="1" thickBot="1">
      <c r="A8" s="629"/>
      <c r="B8" s="632"/>
      <c r="C8" s="632">
        <v>1</v>
      </c>
      <c r="D8" s="627" t="s">
        <v>620</v>
      </c>
      <c r="E8" s="627"/>
      <c r="F8" s="639" t="s">
        <v>621</v>
      </c>
      <c r="G8" s="1212" t="s">
        <v>10</v>
      </c>
      <c r="H8" s="621" t="s">
        <v>23</v>
      </c>
      <c r="I8" s="624" t="s">
        <v>162</v>
      </c>
      <c r="J8" s="624"/>
      <c r="K8" s="624"/>
      <c r="L8" s="624"/>
      <c r="M8" s="624"/>
      <c r="N8" s="624"/>
      <c r="O8" s="624" t="s">
        <v>162</v>
      </c>
      <c r="P8" s="624"/>
      <c r="Q8" s="624"/>
      <c r="R8" s="624"/>
      <c r="S8" s="273"/>
      <c r="T8" s="624" t="s">
        <v>162</v>
      </c>
      <c r="U8" s="624"/>
      <c r="V8" s="636" t="s">
        <v>622</v>
      </c>
      <c r="W8" s="1202" t="s">
        <v>623</v>
      </c>
      <c r="X8" s="1203"/>
      <c r="Y8" s="1204"/>
      <c r="Z8" s="278" t="s">
        <v>624</v>
      </c>
      <c r="AA8" s="320" t="s">
        <v>625</v>
      </c>
      <c r="AB8" s="321" t="s">
        <v>626</v>
      </c>
      <c r="AC8" s="321" t="s">
        <v>627</v>
      </c>
      <c r="AD8" s="279">
        <v>1</v>
      </c>
      <c r="AE8" s="263" t="s">
        <v>17</v>
      </c>
      <c r="AF8" s="205" t="s">
        <v>628</v>
      </c>
      <c r="AG8" s="105"/>
      <c r="AH8" s="105"/>
      <c r="AI8" s="92"/>
      <c r="AJ8" s="92"/>
      <c r="AK8" s="92"/>
      <c r="AL8" s="92"/>
    </row>
    <row r="9" spans="1:38" ht="51" hidden="1" customHeight="1">
      <c r="A9" s="630"/>
      <c r="B9" s="633"/>
      <c r="C9" s="633"/>
      <c r="D9" s="627"/>
      <c r="E9" s="627"/>
      <c r="F9" s="639"/>
      <c r="G9" s="1212"/>
      <c r="H9" s="621"/>
      <c r="I9" s="624"/>
      <c r="J9" s="624"/>
      <c r="K9" s="624"/>
      <c r="L9" s="624"/>
      <c r="M9" s="624"/>
      <c r="N9" s="624"/>
      <c r="O9" s="624"/>
      <c r="P9" s="624"/>
      <c r="Q9" s="624"/>
      <c r="R9" s="624"/>
      <c r="S9" s="273"/>
      <c r="T9" s="624"/>
      <c r="U9" s="624"/>
      <c r="V9" s="636"/>
      <c r="W9" s="1205" t="s">
        <v>629</v>
      </c>
      <c r="X9" s="1206"/>
      <c r="Y9" s="1207"/>
      <c r="Z9" s="271" t="s">
        <v>630</v>
      </c>
      <c r="AA9" s="322" t="s">
        <v>631</v>
      </c>
      <c r="AB9" s="319" t="s">
        <v>632</v>
      </c>
      <c r="AC9" s="319" t="s">
        <v>633</v>
      </c>
      <c r="AD9" s="279">
        <v>0.8</v>
      </c>
      <c r="AE9" s="263" t="s">
        <v>19</v>
      </c>
      <c r="AF9" s="205" t="s">
        <v>634</v>
      </c>
      <c r="AG9" s="105"/>
      <c r="AH9" s="105"/>
      <c r="AI9" s="92"/>
      <c r="AJ9" s="92"/>
      <c r="AK9" s="92"/>
      <c r="AL9" s="92"/>
    </row>
    <row r="10" spans="1:38" ht="56.25" hidden="1" customHeight="1">
      <c r="A10" s="630"/>
      <c r="B10" s="633"/>
      <c r="C10" s="633"/>
      <c r="D10" s="627"/>
      <c r="E10" s="627"/>
      <c r="F10" s="639"/>
      <c r="G10" s="1212"/>
      <c r="H10" s="621"/>
      <c r="I10" s="624"/>
      <c r="J10" s="624"/>
      <c r="K10" s="624"/>
      <c r="L10" s="624"/>
      <c r="M10" s="624"/>
      <c r="N10" s="624"/>
      <c r="O10" s="624"/>
      <c r="P10" s="624"/>
      <c r="Q10" s="624"/>
      <c r="R10" s="624"/>
      <c r="S10" s="273"/>
      <c r="T10" s="624"/>
      <c r="U10" s="624"/>
      <c r="V10" s="636"/>
      <c r="W10" s="1205" t="s">
        <v>635</v>
      </c>
      <c r="X10" s="1206"/>
      <c r="Y10" s="1207"/>
      <c r="Z10" s="271" t="s">
        <v>636</v>
      </c>
      <c r="AA10" s="264" t="s">
        <v>637</v>
      </c>
      <c r="AB10" s="319" t="s">
        <v>638</v>
      </c>
      <c r="AC10" s="319" t="s">
        <v>639</v>
      </c>
      <c r="AD10" s="279">
        <v>0.5</v>
      </c>
      <c r="AE10" s="263" t="s">
        <v>19</v>
      </c>
      <c r="AF10" s="205" t="s">
        <v>640</v>
      </c>
      <c r="AG10" s="105"/>
      <c r="AH10" s="105"/>
      <c r="AI10" s="92"/>
      <c r="AJ10" s="92"/>
      <c r="AK10" s="92"/>
      <c r="AL10" s="92"/>
    </row>
    <row r="11" spans="1:38" ht="63.75" hidden="1" customHeight="1">
      <c r="A11" s="630"/>
      <c r="B11" s="633"/>
      <c r="C11" s="633"/>
      <c r="D11" s="627"/>
      <c r="E11" s="627"/>
      <c r="F11" s="639"/>
      <c r="G11" s="1212"/>
      <c r="H11" s="621"/>
      <c r="I11" s="624"/>
      <c r="J11" s="624"/>
      <c r="K11" s="624"/>
      <c r="L11" s="624"/>
      <c r="M11" s="624"/>
      <c r="N11" s="624"/>
      <c r="O11" s="624"/>
      <c r="P11" s="624"/>
      <c r="Q11" s="624"/>
      <c r="R11" s="624"/>
      <c r="S11" s="273"/>
      <c r="T11" s="624"/>
      <c r="U11" s="624"/>
      <c r="V11" s="636"/>
      <c r="W11" s="1205" t="s">
        <v>641</v>
      </c>
      <c r="X11" s="1206"/>
      <c r="Y11" s="1207"/>
      <c r="Z11" s="271" t="s">
        <v>642</v>
      </c>
      <c r="AA11" s="322" t="s">
        <v>643</v>
      </c>
      <c r="AB11" s="319" t="s">
        <v>639</v>
      </c>
      <c r="AC11" s="319" t="s">
        <v>644</v>
      </c>
      <c r="AD11" s="279">
        <v>0</v>
      </c>
      <c r="AE11" s="263" t="s">
        <v>19</v>
      </c>
      <c r="AF11" s="205" t="s">
        <v>645</v>
      </c>
      <c r="AG11" s="105"/>
      <c r="AH11" s="105"/>
      <c r="AI11" s="92"/>
      <c r="AJ11" s="92"/>
      <c r="AK11" s="92"/>
      <c r="AL11" s="92"/>
    </row>
    <row r="12" spans="1:38" ht="67.5" hidden="1" customHeight="1">
      <c r="A12" s="630"/>
      <c r="B12" s="633"/>
      <c r="C12" s="633"/>
      <c r="D12" s="655"/>
      <c r="E12" s="655"/>
      <c r="F12" s="800"/>
      <c r="G12" s="1213"/>
      <c r="H12" s="598"/>
      <c r="I12" s="848"/>
      <c r="J12" s="848"/>
      <c r="K12" s="848"/>
      <c r="L12" s="848"/>
      <c r="M12" s="848"/>
      <c r="N12" s="848"/>
      <c r="O12" s="848"/>
      <c r="P12" s="848"/>
      <c r="Q12" s="848"/>
      <c r="R12" s="848"/>
      <c r="S12" s="274"/>
      <c r="T12" s="848"/>
      <c r="U12" s="848"/>
      <c r="V12" s="846"/>
      <c r="W12" s="1205" t="s">
        <v>646</v>
      </c>
      <c r="X12" s="1206"/>
      <c r="Y12" s="1207"/>
      <c r="Z12" s="271" t="s">
        <v>647</v>
      </c>
      <c r="AA12" s="264" t="s">
        <v>648</v>
      </c>
      <c r="AB12" s="319" t="s">
        <v>649</v>
      </c>
      <c r="AC12" s="319" t="s">
        <v>650</v>
      </c>
      <c r="AD12" s="5">
        <v>0</v>
      </c>
      <c r="AE12" s="259" t="s">
        <v>19</v>
      </c>
      <c r="AF12" s="165" t="s">
        <v>651</v>
      </c>
      <c r="AG12" s="105"/>
      <c r="AH12" s="105"/>
      <c r="AI12" s="92"/>
      <c r="AJ12" s="92"/>
      <c r="AK12" s="92"/>
      <c r="AL12" s="92"/>
    </row>
    <row r="13" spans="1:38" ht="102" hidden="1" thickBot="1">
      <c r="A13" s="630"/>
      <c r="B13" s="633"/>
      <c r="C13" s="633"/>
      <c r="D13" s="700"/>
      <c r="E13" s="700"/>
      <c r="F13" s="778"/>
      <c r="G13" s="1214"/>
      <c r="H13" s="773"/>
      <c r="I13" s="1215"/>
      <c r="J13" s="1215"/>
      <c r="K13" s="1215"/>
      <c r="L13" s="1215"/>
      <c r="M13" s="1215"/>
      <c r="N13" s="1215"/>
      <c r="O13" s="1215"/>
      <c r="P13" s="1215"/>
      <c r="Q13" s="1215"/>
      <c r="R13" s="1215"/>
      <c r="S13" s="173"/>
      <c r="T13" s="1215"/>
      <c r="U13" s="1215"/>
      <c r="V13" s="786"/>
      <c r="W13" s="1208" t="s">
        <v>652</v>
      </c>
      <c r="X13" s="1209"/>
      <c r="Y13" s="1210"/>
      <c r="Z13" s="277" t="s">
        <v>653</v>
      </c>
      <c r="AA13" s="272" t="s">
        <v>654</v>
      </c>
      <c r="AB13" s="323" t="s">
        <v>655</v>
      </c>
      <c r="AC13" s="323" t="s">
        <v>656</v>
      </c>
      <c r="AD13" s="268">
        <v>1</v>
      </c>
      <c r="AE13" s="267"/>
      <c r="AF13" s="324" t="s">
        <v>657</v>
      </c>
      <c r="AG13" s="105"/>
      <c r="AH13" s="105"/>
      <c r="AI13" s="92"/>
      <c r="AJ13" s="92"/>
      <c r="AK13" s="92"/>
      <c r="AL13" s="92"/>
    </row>
    <row r="14" spans="1:38" ht="152.25" customHeight="1" thickBot="1">
      <c r="A14" s="147"/>
      <c r="B14" s="148"/>
      <c r="C14" s="148">
        <v>1</v>
      </c>
      <c r="D14" s="1198" t="s">
        <v>658</v>
      </c>
      <c r="E14" s="1178"/>
      <c r="F14" s="149">
        <v>43693</v>
      </c>
      <c r="G14" s="150" t="s">
        <v>10</v>
      </c>
      <c r="H14" s="148" t="s">
        <v>25</v>
      </c>
      <c r="I14" s="840" t="s">
        <v>162</v>
      </c>
      <c r="J14" s="841"/>
      <c r="K14" s="841"/>
      <c r="L14" s="841"/>
      <c r="M14" s="841"/>
      <c r="N14" s="842"/>
      <c r="O14" s="840" t="s">
        <v>162</v>
      </c>
      <c r="P14" s="841"/>
      <c r="Q14" s="841"/>
      <c r="R14" s="842"/>
      <c r="S14" s="266"/>
      <c r="T14" s="840" t="s">
        <v>162</v>
      </c>
      <c r="U14" s="842"/>
      <c r="V14" s="265" t="s">
        <v>162</v>
      </c>
      <c r="W14" s="1199" t="s">
        <v>659</v>
      </c>
      <c r="X14" s="1200"/>
      <c r="Y14" s="1201"/>
      <c r="Z14" s="230" t="s">
        <v>660</v>
      </c>
      <c r="AA14" s="230" t="s">
        <v>661</v>
      </c>
      <c r="AB14" s="200">
        <v>43697</v>
      </c>
      <c r="AC14" s="200">
        <v>44133</v>
      </c>
      <c r="AD14" s="216">
        <v>0.28999999999999998</v>
      </c>
      <c r="AE14" s="148" t="s">
        <v>16</v>
      </c>
      <c r="AF14" s="325" t="s">
        <v>665</v>
      </c>
      <c r="AG14" s="105"/>
      <c r="AH14" s="105"/>
      <c r="AI14" s="92"/>
      <c r="AJ14" s="92"/>
      <c r="AK14" s="92"/>
      <c r="AL14" s="92"/>
    </row>
    <row r="15" spans="1:38" ht="6" customHeight="1">
      <c r="A15" s="643"/>
      <c r="B15" s="643"/>
      <c r="C15" s="643"/>
      <c r="D15" s="643"/>
      <c r="E15" s="643"/>
      <c r="F15" s="643"/>
      <c r="G15" s="643"/>
      <c r="H15" s="643"/>
      <c r="I15" s="643"/>
      <c r="J15" s="643"/>
      <c r="K15" s="643"/>
      <c r="L15" s="643"/>
      <c r="M15" s="643"/>
      <c r="N15" s="643"/>
      <c r="O15" s="643"/>
      <c r="P15" s="643"/>
      <c r="Q15" s="643"/>
      <c r="R15" s="643"/>
      <c r="S15" s="643"/>
      <c r="T15" s="643"/>
      <c r="U15" s="643"/>
      <c r="V15" s="643"/>
      <c r="W15" s="643"/>
      <c r="X15" s="643"/>
      <c r="Y15" s="643"/>
      <c r="Z15" s="643"/>
      <c r="AA15" s="643"/>
      <c r="AB15" s="643"/>
      <c r="AC15" s="643"/>
      <c r="AD15" s="643"/>
      <c r="AE15" s="643"/>
      <c r="AF15" s="643"/>
    </row>
    <row r="16" spans="1:38" ht="12.75" customHeight="1">
      <c r="A16" s="644" t="s">
        <v>22</v>
      </c>
      <c r="B16" s="644"/>
      <c r="C16" s="644"/>
      <c r="D16" s="644"/>
      <c r="E16" s="644"/>
      <c r="F16" s="644"/>
      <c r="G16" s="644"/>
      <c r="H16" s="644"/>
      <c r="I16" s="644"/>
      <c r="J16" s="644"/>
      <c r="K16" s="644"/>
      <c r="L16" s="4"/>
      <c r="M16" s="4"/>
      <c r="N16" s="645" t="s">
        <v>34</v>
      </c>
      <c r="O16" s="645"/>
      <c r="P16" s="645"/>
      <c r="Q16" s="645"/>
      <c r="R16" s="645"/>
      <c r="S16" s="645"/>
      <c r="T16" s="645"/>
      <c r="U16" s="645"/>
      <c r="V16" s="645"/>
      <c r="W16" s="645"/>
      <c r="X16" s="645"/>
      <c r="Y16" s="645"/>
      <c r="Z16" s="645"/>
      <c r="AA16" s="645"/>
      <c r="AB16" s="645"/>
      <c r="AC16" s="646" t="s">
        <v>35</v>
      </c>
      <c r="AD16" s="646"/>
      <c r="AE16" s="646"/>
      <c r="AF16" s="646"/>
    </row>
    <row r="17" spans="1:35">
      <c r="A17" s="644"/>
      <c r="B17" s="644"/>
      <c r="C17" s="644"/>
      <c r="D17" s="644"/>
      <c r="E17" s="644"/>
      <c r="F17" s="644"/>
      <c r="G17" s="644"/>
      <c r="H17" s="644"/>
      <c r="I17" s="644"/>
      <c r="J17" s="644"/>
      <c r="K17" s="644"/>
      <c r="L17" s="4"/>
      <c r="M17" s="4"/>
      <c r="N17" s="645"/>
      <c r="O17" s="645"/>
      <c r="P17" s="645"/>
      <c r="Q17" s="645"/>
      <c r="R17" s="645"/>
      <c r="S17" s="645"/>
      <c r="T17" s="645"/>
      <c r="U17" s="645"/>
      <c r="V17" s="645"/>
      <c r="W17" s="645"/>
      <c r="X17" s="645"/>
      <c r="Y17" s="645"/>
      <c r="Z17" s="645"/>
      <c r="AA17" s="645"/>
      <c r="AB17" s="645"/>
      <c r="AC17" s="646"/>
      <c r="AD17" s="646"/>
      <c r="AE17" s="646"/>
      <c r="AF17" s="646"/>
    </row>
    <row r="18" spans="1:35" ht="38.25" customHeight="1">
      <c r="A18" s="1197" t="s">
        <v>662</v>
      </c>
      <c r="B18" s="905"/>
      <c r="C18" s="905"/>
      <c r="D18" s="905"/>
      <c r="E18" s="905"/>
      <c r="F18" s="905"/>
      <c r="G18" s="905"/>
      <c r="H18" s="905"/>
      <c r="I18" s="905"/>
      <c r="J18" s="905"/>
      <c r="K18" s="906"/>
      <c r="L18" s="4"/>
      <c r="M18" s="4"/>
      <c r="N18" s="650" t="s">
        <v>663</v>
      </c>
      <c r="O18" s="650"/>
      <c r="P18" s="650"/>
      <c r="Q18" s="650"/>
      <c r="R18" s="650"/>
      <c r="S18" s="650"/>
      <c r="T18" s="650"/>
      <c r="U18" s="650"/>
      <c r="V18" s="650"/>
      <c r="W18" s="650"/>
      <c r="X18" s="650"/>
      <c r="Y18" s="650"/>
      <c r="Z18" s="650"/>
      <c r="AA18" s="650"/>
      <c r="AB18" s="650"/>
      <c r="AC18" s="651" t="s">
        <v>664</v>
      </c>
      <c r="AD18" s="651"/>
      <c r="AE18" s="651"/>
      <c r="AF18" s="651"/>
    </row>
    <row r="19" spans="1:35" ht="15" customHeight="1">
      <c r="A19" s="641" t="s">
        <v>36</v>
      </c>
      <c r="B19" s="641"/>
      <c r="C19" s="641"/>
      <c r="D19" s="641"/>
      <c r="E19" s="641"/>
      <c r="F19" s="641"/>
      <c r="G19" s="641"/>
      <c r="H19" s="641"/>
      <c r="I19" s="641"/>
      <c r="J19" s="641"/>
      <c r="K19" s="641"/>
      <c r="L19" s="641"/>
      <c r="M19" s="641"/>
      <c r="N19" s="641"/>
      <c r="O19" s="641"/>
      <c r="P19" s="641"/>
      <c r="Q19" s="641"/>
      <c r="R19" s="641"/>
      <c r="S19" s="641"/>
      <c r="T19" s="641"/>
      <c r="U19" s="641"/>
      <c r="V19" s="641"/>
      <c r="W19" s="641"/>
      <c r="X19" s="641"/>
      <c r="Y19" s="641"/>
      <c r="Z19" s="641"/>
      <c r="AA19" s="641"/>
      <c r="AB19" s="641"/>
      <c r="AC19" s="641"/>
      <c r="AD19" s="641"/>
      <c r="AE19" s="641"/>
      <c r="AF19" s="641"/>
    </row>
    <row r="20" spans="1:35" ht="15.75" customHeight="1">
      <c r="A20" s="642"/>
      <c r="B20" s="642"/>
      <c r="C20" s="642"/>
      <c r="D20" s="642"/>
      <c r="E20" s="642"/>
      <c r="F20" s="642"/>
      <c r="G20" s="642"/>
      <c r="H20" s="642"/>
      <c r="I20" s="642"/>
      <c r="J20" s="642"/>
      <c r="K20" s="642"/>
      <c r="L20" s="642"/>
      <c r="M20" s="642"/>
      <c r="N20" s="642"/>
      <c r="O20" s="642"/>
      <c r="P20" s="642"/>
      <c r="Q20" s="642"/>
      <c r="R20" s="642"/>
      <c r="S20" s="642"/>
      <c r="T20" s="642"/>
      <c r="U20" s="642"/>
      <c r="V20" s="642"/>
      <c r="W20" s="642"/>
      <c r="X20" s="642"/>
      <c r="Y20" s="642"/>
      <c r="Z20" s="642"/>
      <c r="AA20" s="642"/>
      <c r="AB20" s="642"/>
      <c r="AC20" s="642"/>
      <c r="AD20" s="642"/>
      <c r="AE20" s="642"/>
      <c r="AF20" s="642"/>
      <c r="AG20" s="642"/>
    </row>
    <row r="21" spans="1:35" ht="22.5" customHeight="1">
      <c r="A21" s="642"/>
      <c r="B21" s="642"/>
      <c r="C21" s="642"/>
      <c r="D21" s="642"/>
      <c r="E21" s="642"/>
      <c r="F21" s="642"/>
      <c r="G21" s="642"/>
      <c r="H21" s="642"/>
      <c r="I21" s="642"/>
      <c r="J21" s="642"/>
      <c r="K21" s="642"/>
      <c r="L21" s="642"/>
      <c r="M21" s="642"/>
      <c r="N21" s="642"/>
      <c r="O21" s="642"/>
      <c r="P21" s="642"/>
      <c r="Q21" s="642"/>
      <c r="R21" s="642"/>
      <c r="S21" s="642"/>
      <c r="T21" s="642"/>
      <c r="U21" s="642"/>
      <c r="V21" s="642"/>
      <c r="W21" s="642"/>
      <c r="X21" s="642"/>
      <c r="Y21" s="642"/>
      <c r="Z21" s="642"/>
      <c r="AA21" s="642"/>
      <c r="AB21" s="642"/>
      <c r="AC21" s="642"/>
      <c r="AD21" s="642"/>
      <c r="AE21" s="642"/>
      <c r="AF21" s="642"/>
      <c r="AG21" s="8"/>
      <c r="AH21" s="8"/>
    </row>
    <row r="24" spans="1:35" ht="24.75" customHeight="1">
      <c r="AI24" s="6" t="s">
        <v>38</v>
      </c>
    </row>
    <row r="25" spans="1:35" ht="24.75" customHeight="1">
      <c r="AI25" s="6" t="s">
        <v>10</v>
      </c>
    </row>
    <row r="26" spans="1:35" ht="24.75" customHeight="1">
      <c r="AI26" s="6" t="s">
        <v>42</v>
      </c>
    </row>
    <row r="27" spans="1:35" ht="24.75" customHeight="1">
      <c r="AI27" s="6" t="s">
        <v>43</v>
      </c>
    </row>
    <row r="28" spans="1:35" ht="24.75" customHeight="1">
      <c r="AI28" s="6" t="s">
        <v>44</v>
      </c>
    </row>
    <row r="29" spans="1:35" ht="24.75" customHeight="1">
      <c r="AI29" s="6" t="s">
        <v>26</v>
      </c>
    </row>
    <row r="30" spans="1:35" ht="24.75" customHeight="1">
      <c r="AI30" s="6" t="s">
        <v>27</v>
      </c>
    </row>
    <row r="31" spans="1:35" ht="24.75" customHeight="1">
      <c r="AI31" s="6" t="s">
        <v>28</v>
      </c>
    </row>
    <row r="32" spans="1:35" ht="24.75" customHeight="1">
      <c r="AI32" s="6" t="s">
        <v>30</v>
      </c>
    </row>
    <row r="33" spans="35:35" ht="24.75" customHeight="1">
      <c r="AI33" s="6" t="s">
        <v>29</v>
      </c>
    </row>
    <row r="34" spans="35:35" ht="24.75" customHeight="1">
      <c r="AI34" s="6" t="s">
        <v>31</v>
      </c>
    </row>
    <row r="35" spans="35:35" ht="24.75" customHeight="1">
      <c r="AI35" s="6" t="s">
        <v>32</v>
      </c>
    </row>
    <row r="36" spans="35:35" ht="51">
      <c r="AI36" s="6" t="s">
        <v>33</v>
      </c>
    </row>
  </sheetData>
  <mergeCells count="61">
    <mergeCell ref="A4:D4"/>
    <mergeCell ref="E4:U4"/>
    <mergeCell ref="V4:W4"/>
    <mergeCell ref="X4:AC4"/>
    <mergeCell ref="AD4:AE4"/>
    <mergeCell ref="A1:B2"/>
    <mergeCell ref="C1:AE1"/>
    <mergeCell ref="AF1:AF2"/>
    <mergeCell ref="C2:AE2"/>
    <mergeCell ref="A3:AF3"/>
    <mergeCell ref="AF6:AF7"/>
    <mergeCell ref="A5:AF5"/>
    <mergeCell ref="A6:B6"/>
    <mergeCell ref="C6:C7"/>
    <mergeCell ref="D6:E7"/>
    <mergeCell ref="F6:F7"/>
    <mergeCell ref="G6:G7"/>
    <mergeCell ref="H6:H7"/>
    <mergeCell ref="I6:U6"/>
    <mergeCell ref="V6:V7"/>
    <mergeCell ref="W6:Y7"/>
    <mergeCell ref="Z6:Z7"/>
    <mergeCell ref="AA6:AA7"/>
    <mergeCell ref="AB6:AC6"/>
    <mergeCell ref="AD6:AD7"/>
    <mergeCell ref="AE6:AE7"/>
    <mergeCell ref="I7:N7"/>
    <mergeCell ref="O7:S7"/>
    <mergeCell ref="T7:U7"/>
    <mergeCell ref="A8:A13"/>
    <mergeCell ref="B8:B13"/>
    <mergeCell ref="C8:C13"/>
    <mergeCell ref="D8:E13"/>
    <mergeCell ref="F8:F13"/>
    <mergeCell ref="G8:G13"/>
    <mergeCell ref="H8:H13"/>
    <mergeCell ref="I8:N13"/>
    <mergeCell ref="O8:R13"/>
    <mergeCell ref="T8:U13"/>
    <mergeCell ref="V8:V13"/>
    <mergeCell ref="W8:Y8"/>
    <mergeCell ref="W9:Y9"/>
    <mergeCell ref="W10:Y10"/>
    <mergeCell ref="W11:Y11"/>
    <mergeCell ref="W12:Y12"/>
    <mergeCell ref="W13:Y13"/>
    <mergeCell ref="D14:E14"/>
    <mergeCell ref="I14:N14"/>
    <mergeCell ref="O14:R14"/>
    <mergeCell ref="T14:U14"/>
    <mergeCell ref="W14:Y14"/>
    <mergeCell ref="A19:AF19"/>
    <mergeCell ref="A20:AG20"/>
    <mergeCell ref="A21:AF21"/>
    <mergeCell ref="A15:AF15"/>
    <mergeCell ref="A16:K17"/>
    <mergeCell ref="N16:AB17"/>
    <mergeCell ref="AC16:AF17"/>
    <mergeCell ref="A18:K18"/>
    <mergeCell ref="N18:AB18"/>
    <mergeCell ref="AC18:AF18"/>
  </mergeCells>
  <conditionalFormatting sqref="AD8:AD13">
    <cfRule type="cellIs" dxfId="43" priority="19" operator="between">
      <formula>0.001</formula>
      <formula>0.99</formula>
    </cfRule>
    <cfRule type="cellIs" dxfId="42" priority="20" operator="equal">
      <formula>1</formula>
    </cfRule>
    <cfRule type="cellIs" dxfId="41" priority="21" operator="equal">
      <formula>0</formula>
    </cfRule>
  </conditionalFormatting>
  <conditionalFormatting sqref="AD8:AD13">
    <cfRule type="cellIs" dxfId="40" priority="22" operator="between">
      <formula>0.01</formula>
      <formula>0.99</formula>
    </cfRule>
    <cfRule type="cellIs" dxfId="39" priority="23" operator="equal">
      <formula>1</formula>
    </cfRule>
    <cfRule type="cellIs" dxfId="38" priority="24" operator="equal">
      <formula>0</formula>
    </cfRule>
  </conditionalFormatting>
  <conditionalFormatting sqref="AA8:AA13">
    <cfRule type="cellIs" dxfId="37" priority="17" stopIfTrue="1" operator="greaterThan">
      <formula>#REF!</formula>
    </cfRule>
    <cfRule type="cellIs" dxfId="36" priority="18" stopIfTrue="1" operator="lessThan">
      <formula>#REF!</formula>
    </cfRule>
  </conditionalFormatting>
  <conditionalFormatting sqref="AD14">
    <cfRule type="cellIs" dxfId="35" priority="11" operator="between">
      <formula>0.001</formula>
      <formula>0.99</formula>
    </cfRule>
    <cfRule type="cellIs" dxfId="34" priority="12" operator="equal">
      <formula>1</formula>
    </cfRule>
    <cfRule type="cellIs" dxfId="33" priority="13" operator="equal">
      <formula>0</formula>
    </cfRule>
  </conditionalFormatting>
  <conditionalFormatting sqref="AD14">
    <cfRule type="cellIs" dxfId="32" priority="14" operator="between">
      <formula>0.01</formula>
      <formula>0.99</formula>
    </cfRule>
    <cfRule type="cellIs" dxfId="31" priority="15" operator="equal">
      <formula>1</formula>
    </cfRule>
    <cfRule type="cellIs" dxfId="30" priority="16" operator="equal">
      <formula>0</formula>
    </cfRule>
  </conditionalFormatting>
  <conditionalFormatting sqref="AA14">
    <cfRule type="cellIs" dxfId="29" priority="9" stopIfTrue="1" operator="greaterThan">
      <formula>#REF!</formula>
    </cfRule>
    <cfRule type="cellIs" dxfId="28" priority="10" stopIfTrue="1" operator="lessThan">
      <formula>#REF!</formula>
    </cfRule>
  </conditionalFormatting>
  <dataValidations count="4">
    <dataValidation type="date" showInputMessage="1" showErrorMessage="1" error="Debe Digitar una Fecha Valida o Verificar la Fecha Inicial" sqref="AC65544 JY65544 TU65544 ADQ65544 ANM65544 AXI65544 BHE65544 BRA65544 CAW65544 CKS65544 CUO65544 DEK65544 DOG65544 DYC65544 EHY65544 ERU65544 FBQ65544 FLM65544 FVI65544 GFE65544 GPA65544 GYW65544 HIS65544 HSO65544 ICK65544 IMG65544 IWC65544 JFY65544 JPU65544 JZQ65544 KJM65544 KTI65544 LDE65544 LNA65544 LWW65544 MGS65544 MQO65544 NAK65544 NKG65544 NUC65544 ODY65544 ONU65544 OXQ65544 PHM65544 PRI65544 QBE65544 QLA65544 QUW65544 RES65544 ROO65544 RYK65544 SIG65544 SSC65544 TBY65544 TLU65544 TVQ65544 UFM65544 UPI65544 UZE65544 VJA65544 VSW65544 WCS65544 WMO65544 WWK65544 AC131080 JY131080 TU131080 ADQ131080 ANM131080 AXI131080 BHE131080 BRA131080 CAW131080 CKS131080 CUO131080 DEK131080 DOG131080 DYC131080 EHY131080 ERU131080 FBQ131080 FLM131080 FVI131080 GFE131080 GPA131080 GYW131080 HIS131080 HSO131080 ICK131080 IMG131080 IWC131080 JFY131080 JPU131080 JZQ131080 KJM131080 KTI131080 LDE131080 LNA131080 LWW131080 MGS131080 MQO131080 NAK131080 NKG131080 NUC131080 ODY131080 ONU131080 OXQ131080 PHM131080 PRI131080 QBE131080 QLA131080 QUW131080 RES131080 ROO131080 RYK131080 SIG131080 SSC131080 TBY131080 TLU131080 TVQ131080 UFM131080 UPI131080 UZE131080 VJA131080 VSW131080 WCS131080 WMO131080 WWK131080 AC196616 JY196616 TU196616 ADQ196616 ANM196616 AXI196616 BHE196616 BRA196616 CAW196616 CKS196616 CUO196616 DEK196616 DOG196616 DYC196616 EHY196616 ERU196616 FBQ196616 FLM196616 FVI196616 GFE196616 GPA196616 GYW196616 HIS196616 HSO196616 ICK196616 IMG196616 IWC196616 JFY196616 JPU196616 JZQ196616 KJM196616 KTI196616 LDE196616 LNA196616 LWW196616 MGS196616 MQO196616 NAK196616 NKG196616 NUC196616 ODY196616 ONU196616 OXQ196616 PHM196616 PRI196616 QBE196616 QLA196616 QUW196616 RES196616 ROO196616 RYK196616 SIG196616 SSC196616 TBY196616 TLU196616 TVQ196616 UFM196616 UPI196616 UZE196616 VJA196616 VSW196616 WCS196616 WMO196616 WWK196616 AC262152 JY262152 TU262152 ADQ262152 ANM262152 AXI262152 BHE262152 BRA262152 CAW262152 CKS262152 CUO262152 DEK262152 DOG262152 DYC262152 EHY262152 ERU262152 FBQ262152 FLM262152 FVI262152 GFE262152 GPA262152 GYW262152 HIS262152 HSO262152 ICK262152 IMG262152 IWC262152 JFY262152 JPU262152 JZQ262152 KJM262152 KTI262152 LDE262152 LNA262152 LWW262152 MGS262152 MQO262152 NAK262152 NKG262152 NUC262152 ODY262152 ONU262152 OXQ262152 PHM262152 PRI262152 QBE262152 QLA262152 QUW262152 RES262152 ROO262152 RYK262152 SIG262152 SSC262152 TBY262152 TLU262152 TVQ262152 UFM262152 UPI262152 UZE262152 VJA262152 VSW262152 WCS262152 WMO262152 WWK262152 AC327688 JY327688 TU327688 ADQ327688 ANM327688 AXI327688 BHE327688 BRA327688 CAW327688 CKS327688 CUO327688 DEK327688 DOG327688 DYC327688 EHY327688 ERU327688 FBQ327688 FLM327688 FVI327688 GFE327688 GPA327688 GYW327688 HIS327688 HSO327688 ICK327688 IMG327688 IWC327688 JFY327688 JPU327688 JZQ327688 KJM327688 KTI327688 LDE327688 LNA327688 LWW327688 MGS327688 MQO327688 NAK327688 NKG327688 NUC327688 ODY327688 ONU327688 OXQ327688 PHM327688 PRI327688 QBE327688 QLA327688 QUW327688 RES327688 ROO327688 RYK327688 SIG327688 SSC327688 TBY327688 TLU327688 TVQ327688 UFM327688 UPI327688 UZE327688 VJA327688 VSW327688 WCS327688 WMO327688 WWK327688 AC393224 JY393224 TU393224 ADQ393224 ANM393224 AXI393224 BHE393224 BRA393224 CAW393224 CKS393224 CUO393224 DEK393224 DOG393224 DYC393224 EHY393224 ERU393224 FBQ393224 FLM393224 FVI393224 GFE393224 GPA393224 GYW393224 HIS393224 HSO393224 ICK393224 IMG393224 IWC393224 JFY393224 JPU393224 JZQ393224 KJM393224 KTI393224 LDE393224 LNA393224 LWW393224 MGS393224 MQO393224 NAK393224 NKG393224 NUC393224 ODY393224 ONU393224 OXQ393224 PHM393224 PRI393224 QBE393224 QLA393224 QUW393224 RES393224 ROO393224 RYK393224 SIG393224 SSC393224 TBY393224 TLU393224 TVQ393224 UFM393224 UPI393224 UZE393224 VJA393224 VSW393224 WCS393224 WMO393224 WWK393224 AC458760 JY458760 TU458760 ADQ458760 ANM458760 AXI458760 BHE458760 BRA458760 CAW458760 CKS458760 CUO458760 DEK458760 DOG458760 DYC458760 EHY458760 ERU458760 FBQ458760 FLM458760 FVI458760 GFE458760 GPA458760 GYW458760 HIS458760 HSO458760 ICK458760 IMG458760 IWC458760 JFY458760 JPU458760 JZQ458760 KJM458760 KTI458760 LDE458760 LNA458760 LWW458760 MGS458760 MQO458760 NAK458760 NKG458760 NUC458760 ODY458760 ONU458760 OXQ458760 PHM458760 PRI458760 QBE458760 QLA458760 QUW458760 RES458760 ROO458760 RYK458760 SIG458760 SSC458760 TBY458760 TLU458760 TVQ458760 UFM458760 UPI458760 UZE458760 VJA458760 VSW458760 WCS458760 WMO458760 WWK458760 AC524296 JY524296 TU524296 ADQ524296 ANM524296 AXI524296 BHE524296 BRA524296 CAW524296 CKS524296 CUO524296 DEK524296 DOG524296 DYC524296 EHY524296 ERU524296 FBQ524296 FLM524296 FVI524296 GFE524296 GPA524296 GYW524296 HIS524296 HSO524296 ICK524296 IMG524296 IWC524296 JFY524296 JPU524296 JZQ524296 KJM524296 KTI524296 LDE524296 LNA524296 LWW524296 MGS524296 MQO524296 NAK524296 NKG524296 NUC524296 ODY524296 ONU524296 OXQ524296 PHM524296 PRI524296 QBE524296 QLA524296 QUW524296 RES524296 ROO524296 RYK524296 SIG524296 SSC524296 TBY524296 TLU524296 TVQ524296 UFM524296 UPI524296 UZE524296 VJA524296 VSW524296 WCS524296 WMO524296 WWK524296 AC589832 JY589832 TU589832 ADQ589832 ANM589832 AXI589832 BHE589832 BRA589832 CAW589832 CKS589832 CUO589832 DEK589832 DOG589832 DYC589832 EHY589832 ERU589832 FBQ589832 FLM589832 FVI589832 GFE589832 GPA589832 GYW589832 HIS589832 HSO589832 ICK589832 IMG589832 IWC589832 JFY589832 JPU589832 JZQ589832 KJM589832 KTI589832 LDE589832 LNA589832 LWW589832 MGS589832 MQO589832 NAK589832 NKG589832 NUC589832 ODY589832 ONU589832 OXQ589832 PHM589832 PRI589832 QBE589832 QLA589832 QUW589832 RES589832 ROO589832 RYK589832 SIG589832 SSC589832 TBY589832 TLU589832 TVQ589832 UFM589832 UPI589832 UZE589832 VJA589832 VSW589832 WCS589832 WMO589832 WWK589832 AC655368 JY655368 TU655368 ADQ655368 ANM655368 AXI655368 BHE655368 BRA655368 CAW655368 CKS655368 CUO655368 DEK655368 DOG655368 DYC655368 EHY655368 ERU655368 FBQ655368 FLM655368 FVI655368 GFE655368 GPA655368 GYW655368 HIS655368 HSO655368 ICK655368 IMG655368 IWC655368 JFY655368 JPU655368 JZQ655368 KJM655368 KTI655368 LDE655368 LNA655368 LWW655368 MGS655368 MQO655368 NAK655368 NKG655368 NUC655368 ODY655368 ONU655368 OXQ655368 PHM655368 PRI655368 QBE655368 QLA655368 QUW655368 RES655368 ROO655368 RYK655368 SIG655368 SSC655368 TBY655368 TLU655368 TVQ655368 UFM655368 UPI655368 UZE655368 VJA655368 VSW655368 WCS655368 WMO655368 WWK655368 AC720904 JY720904 TU720904 ADQ720904 ANM720904 AXI720904 BHE720904 BRA720904 CAW720904 CKS720904 CUO720904 DEK720904 DOG720904 DYC720904 EHY720904 ERU720904 FBQ720904 FLM720904 FVI720904 GFE720904 GPA720904 GYW720904 HIS720904 HSO720904 ICK720904 IMG720904 IWC720904 JFY720904 JPU720904 JZQ720904 KJM720904 KTI720904 LDE720904 LNA720904 LWW720904 MGS720904 MQO720904 NAK720904 NKG720904 NUC720904 ODY720904 ONU720904 OXQ720904 PHM720904 PRI720904 QBE720904 QLA720904 QUW720904 RES720904 ROO720904 RYK720904 SIG720904 SSC720904 TBY720904 TLU720904 TVQ720904 UFM720904 UPI720904 UZE720904 VJA720904 VSW720904 WCS720904 WMO720904 WWK720904 AC786440 JY786440 TU786440 ADQ786440 ANM786440 AXI786440 BHE786440 BRA786440 CAW786440 CKS786440 CUO786440 DEK786440 DOG786440 DYC786440 EHY786440 ERU786440 FBQ786440 FLM786440 FVI786440 GFE786440 GPA786440 GYW786440 HIS786440 HSO786440 ICK786440 IMG786440 IWC786440 JFY786440 JPU786440 JZQ786440 KJM786440 KTI786440 LDE786440 LNA786440 LWW786440 MGS786440 MQO786440 NAK786440 NKG786440 NUC786440 ODY786440 ONU786440 OXQ786440 PHM786440 PRI786440 QBE786440 QLA786440 QUW786440 RES786440 ROO786440 RYK786440 SIG786440 SSC786440 TBY786440 TLU786440 TVQ786440 UFM786440 UPI786440 UZE786440 VJA786440 VSW786440 WCS786440 WMO786440 WWK786440 AC851976 JY851976 TU851976 ADQ851976 ANM851976 AXI851976 BHE851976 BRA851976 CAW851976 CKS851976 CUO851976 DEK851976 DOG851976 DYC851976 EHY851976 ERU851976 FBQ851976 FLM851976 FVI851976 GFE851976 GPA851976 GYW851976 HIS851976 HSO851976 ICK851976 IMG851976 IWC851976 JFY851976 JPU851976 JZQ851976 KJM851976 KTI851976 LDE851976 LNA851976 LWW851976 MGS851976 MQO851976 NAK851976 NKG851976 NUC851976 ODY851976 ONU851976 OXQ851976 PHM851976 PRI851976 QBE851976 QLA851976 QUW851976 RES851976 ROO851976 RYK851976 SIG851976 SSC851976 TBY851976 TLU851976 TVQ851976 UFM851976 UPI851976 UZE851976 VJA851976 VSW851976 WCS851976 WMO851976 WWK851976 AC917512 JY917512 TU917512 ADQ917512 ANM917512 AXI917512 BHE917512 BRA917512 CAW917512 CKS917512 CUO917512 DEK917512 DOG917512 DYC917512 EHY917512 ERU917512 FBQ917512 FLM917512 FVI917512 GFE917512 GPA917512 GYW917512 HIS917512 HSO917512 ICK917512 IMG917512 IWC917512 JFY917512 JPU917512 JZQ917512 KJM917512 KTI917512 LDE917512 LNA917512 LWW917512 MGS917512 MQO917512 NAK917512 NKG917512 NUC917512 ODY917512 ONU917512 OXQ917512 PHM917512 PRI917512 QBE917512 QLA917512 QUW917512 RES917512 ROO917512 RYK917512 SIG917512 SSC917512 TBY917512 TLU917512 TVQ917512 UFM917512 UPI917512 UZE917512 VJA917512 VSW917512 WCS917512 WMO917512 WWK917512 AC983048 JY983048 TU983048 ADQ983048 ANM983048 AXI983048 BHE983048 BRA983048 CAW983048 CKS983048 CUO983048 DEK983048 DOG983048 DYC983048 EHY983048 ERU983048 FBQ983048 FLM983048 FVI983048 GFE983048 GPA983048 GYW983048 HIS983048 HSO983048 ICK983048 IMG983048 IWC983048 JFY983048 JPU983048 JZQ983048 KJM983048 KTI983048 LDE983048 LNA983048 LWW983048 MGS983048 MQO983048 NAK983048 NKG983048 NUC983048 ODY983048 ONU983048 OXQ983048 PHM983048 PRI983048 QBE983048 QLA983048 QUW983048 RES983048 ROO983048 RYK983048 SIG983048 SSC983048 TBY983048 TLU983048 TVQ983048 UFM983048 UPI983048 UZE983048 VJA983048 VSW983048 WCS983048 WMO983048 WWK983048 AC65546:AC65550 JY65546:JY65550 TU65546:TU65550 ADQ65546:ADQ65550 ANM65546:ANM65550 AXI65546:AXI65550 BHE65546:BHE65550 BRA65546:BRA65550 CAW65546:CAW65550 CKS65546:CKS65550 CUO65546:CUO65550 DEK65546:DEK65550 DOG65546:DOG65550 DYC65546:DYC65550 EHY65546:EHY65550 ERU65546:ERU65550 FBQ65546:FBQ65550 FLM65546:FLM65550 FVI65546:FVI65550 GFE65546:GFE65550 GPA65546:GPA65550 GYW65546:GYW65550 HIS65546:HIS65550 HSO65546:HSO65550 ICK65546:ICK65550 IMG65546:IMG65550 IWC65546:IWC65550 JFY65546:JFY65550 JPU65546:JPU65550 JZQ65546:JZQ65550 KJM65546:KJM65550 KTI65546:KTI65550 LDE65546:LDE65550 LNA65546:LNA65550 LWW65546:LWW65550 MGS65546:MGS65550 MQO65546:MQO65550 NAK65546:NAK65550 NKG65546:NKG65550 NUC65546:NUC65550 ODY65546:ODY65550 ONU65546:ONU65550 OXQ65546:OXQ65550 PHM65546:PHM65550 PRI65546:PRI65550 QBE65546:QBE65550 QLA65546:QLA65550 QUW65546:QUW65550 RES65546:RES65550 ROO65546:ROO65550 RYK65546:RYK65550 SIG65546:SIG65550 SSC65546:SSC65550 TBY65546:TBY65550 TLU65546:TLU65550 TVQ65546:TVQ65550 UFM65546:UFM65550 UPI65546:UPI65550 UZE65546:UZE65550 VJA65546:VJA65550 VSW65546:VSW65550 WCS65546:WCS65550 WMO65546:WMO65550 WWK65546:WWK65550 AC131082:AC131086 JY131082:JY131086 TU131082:TU131086 ADQ131082:ADQ131086 ANM131082:ANM131086 AXI131082:AXI131086 BHE131082:BHE131086 BRA131082:BRA131086 CAW131082:CAW131086 CKS131082:CKS131086 CUO131082:CUO131086 DEK131082:DEK131086 DOG131082:DOG131086 DYC131082:DYC131086 EHY131082:EHY131086 ERU131082:ERU131086 FBQ131082:FBQ131086 FLM131082:FLM131086 FVI131082:FVI131086 GFE131082:GFE131086 GPA131082:GPA131086 GYW131082:GYW131086 HIS131082:HIS131086 HSO131082:HSO131086 ICK131082:ICK131086 IMG131082:IMG131086 IWC131082:IWC131086 JFY131082:JFY131086 JPU131082:JPU131086 JZQ131082:JZQ131086 KJM131082:KJM131086 KTI131082:KTI131086 LDE131082:LDE131086 LNA131082:LNA131086 LWW131082:LWW131086 MGS131082:MGS131086 MQO131082:MQO131086 NAK131082:NAK131086 NKG131082:NKG131086 NUC131082:NUC131086 ODY131082:ODY131086 ONU131082:ONU131086 OXQ131082:OXQ131086 PHM131082:PHM131086 PRI131082:PRI131086 QBE131082:QBE131086 QLA131082:QLA131086 QUW131082:QUW131086 RES131082:RES131086 ROO131082:ROO131086 RYK131082:RYK131086 SIG131082:SIG131086 SSC131082:SSC131086 TBY131082:TBY131086 TLU131082:TLU131086 TVQ131082:TVQ131086 UFM131082:UFM131086 UPI131082:UPI131086 UZE131082:UZE131086 VJA131082:VJA131086 VSW131082:VSW131086 WCS131082:WCS131086 WMO131082:WMO131086 WWK131082:WWK131086 AC196618:AC196622 JY196618:JY196622 TU196618:TU196622 ADQ196618:ADQ196622 ANM196618:ANM196622 AXI196618:AXI196622 BHE196618:BHE196622 BRA196618:BRA196622 CAW196618:CAW196622 CKS196618:CKS196622 CUO196618:CUO196622 DEK196618:DEK196622 DOG196618:DOG196622 DYC196618:DYC196622 EHY196618:EHY196622 ERU196618:ERU196622 FBQ196618:FBQ196622 FLM196618:FLM196622 FVI196618:FVI196622 GFE196618:GFE196622 GPA196618:GPA196622 GYW196618:GYW196622 HIS196618:HIS196622 HSO196618:HSO196622 ICK196618:ICK196622 IMG196618:IMG196622 IWC196618:IWC196622 JFY196618:JFY196622 JPU196618:JPU196622 JZQ196618:JZQ196622 KJM196618:KJM196622 KTI196618:KTI196622 LDE196618:LDE196622 LNA196618:LNA196622 LWW196618:LWW196622 MGS196618:MGS196622 MQO196618:MQO196622 NAK196618:NAK196622 NKG196618:NKG196622 NUC196618:NUC196622 ODY196618:ODY196622 ONU196618:ONU196622 OXQ196618:OXQ196622 PHM196618:PHM196622 PRI196618:PRI196622 QBE196618:QBE196622 QLA196618:QLA196622 QUW196618:QUW196622 RES196618:RES196622 ROO196618:ROO196622 RYK196618:RYK196622 SIG196618:SIG196622 SSC196618:SSC196622 TBY196618:TBY196622 TLU196618:TLU196622 TVQ196618:TVQ196622 UFM196618:UFM196622 UPI196618:UPI196622 UZE196618:UZE196622 VJA196618:VJA196622 VSW196618:VSW196622 WCS196618:WCS196622 WMO196618:WMO196622 WWK196618:WWK196622 AC262154:AC262158 JY262154:JY262158 TU262154:TU262158 ADQ262154:ADQ262158 ANM262154:ANM262158 AXI262154:AXI262158 BHE262154:BHE262158 BRA262154:BRA262158 CAW262154:CAW262158 CKS262154:CKS262158 CUO262154:CUO262158 DEK262154:DEK262158 DOG262154:DOG262158 DYC262154:DYC262158 EHY262154:EHY262158 ERU262154:ERU262158 FBQ262154:FBQ262158 FLM262154:FLM262158 FVI262154:FVI262158 GFE262154:GFE262158 GPA262154:GPA262158 GYW262154:GYW262158 HIS262154:HIS262158 HSO262154:HSO262158 ICK262154:ICK262158 IMG262154:IMG262158 IWC262154:IWC262158 JFY262154:JFY262158 JPU262154:JPU262158 JZQ262154:JZQ262158 KJM262154:KJM262158 KTI262154:KTI262158 LDE262154:LDE262158 LNA262154:LNA262158 LWW262154:LWW262158 MGS262154:MGS262158 MQO262154:MQO262158 NAK262154:NAK262158 NKG262154:NKG262158 NUC262154:NUC262158 ODY262154:ODY262158 ONU262154:ONU262158 OXQ262154:OXQ262158 PHM262154:PHM262158 PRI262154:PRI262158 QBE262154:QBE262158 QLA262154:QLA262158 QUW262154:QUW262158 RES262154:RES262158 ROO262154:ROO262158 RYK262154:RYK262158 SIG262154:SIG262158 SSC262154:SSC262158 TBY262154:TBY262158 TLU262154:TLU262158 TVQ262154:TVQ262158 UFM262154:UFM262158 UPI262154:UPI262158 UZE262154:UZE262158 VJA262154:VJA262158 VSW262154:VSW262158 WCS262154:WCS262158 WMO262154:WMO262158 WWK262154:WWK262158 AC327690:AC327694 JY327690:JY327694 TU327690:TU327694 ADQ327690:ADQ327694 ANM327690:ANM327694 AXI327690:AXI327694 BHE327690:BHE327694 BRA327690:BRA327694 CAW327690:CAW327694 CKS327690:CKS327694 CUO327690:CUO327694 DEK327690:DEK327694 DOG327690:DOG327694 DYC327690:DYC327694 EHY327690:EHY327694 ERU327690:ERU327694 FBQ327690:FBQ327694 FLM327690:FLM327694 FVI327690:FVI327694 GFE327690:GFE327694 GPA327690:GPA327694 GYW327690:GYW327694 HIS327690:HIS327694 HSO327690:HSO327694 ICK327690:ICK327694 IMG327690:IMG327694 IWC327690:IWC327694 JFY327690:JFY327694 JPU327690:JPU327694 JZQ327690:JZQ327694 KJM327690:KJM327694 KTI327690:KTI327694 LDE327690:LDE327694 LNA327690:LNA327694 LWW327690:LWW327694 MGS327690:MGS327694 MQO327690:MQO327694 NAK327690:NAK327694 NKG327690:NKG327694 NUC327690:NUC327694 ODY327690:ODY327694 ONU327690:ONU327694 OXQ327690:OXQ327694 PHM327690:PHM327694 PRI327690:PRI327694 QBE327690:QBE327694 QLA327690:QLA327694 QUW327690:QUW327694 RES327690:RES327694 ROO327690:ROO327694 RYK327690:RYK327694 SIG327690:SIG327694 SSC327690:SSC327694 TBY327690:TBY327694 TLU327690:TLU327694 TVQ327690:TVQ327694 UFM327690:UFM327694 UPI327690:UPI327694 UZE327690:UZE327694 VJA327690:VJA327694 VSW327690:VSW327694 WCS327690:WCS327694 WMO327690:WMO327694 WWK327690:WWK327694 AC393226:AC393230 JY393226:JY393230 TU393226:TU393230 ADQ393226:ADQ393230 ANM393226:ANM393230 AXI393226:AXI393230 BHE393226:BHE393230 BRA393226:BRA393230 CAW393226:CAW393230 CKS393226:CKS393230 CUO393226:CUO393230 DEK393226:DEK393230 DOG393226:DOG393230 DYC393226:DYC393230 EHY393226:EHY393230 ERU393226:ERU393230 FBQ393226:FBQ393230 FLM393226:FLM393230 FVI393226:FVI393230 GFE393226:GFE393230 GPA393226:GPA393230 GYW393226:GYW393230 HIS393226:HIS393230 HSO393226:HSO393230 ICK393226:ICK393230 IMG393226:IMG393230 IWC393226:IWC393230 JFY393226:JFY393230 JPU393226:JPU393230 JZQ393226:JZQ393230 KJM393226:KJM393230 KTI393226:KTI393230 LDE393226:LDE393230 LNA393226:LNA393230 LWW393226:LWW393230 MGS393226:MGS393230 MQO393226:MQO393230 NAK393226:NAK393230 NKG393226:NKG393230 NUC393226:NUC393230 ODY393226:ODY393230 ONU393226:ONU393230 OXQ393226:OXQ393230 PHM393226:PHM393230 PRI393226:PRI393230 QBE393226:QBE393230 QLA393226:QLA393230 QUW393226:QUW393230 RES393226:RES393230 ROO393226:ROO393230 RYK393226:RYK393230 SIG393226:SIG393230 SSC393226:SSC393230 TBY393226:TBY393230 TLU393226:TLU393230 TVQ393226:TVQ393230 UFM393226:UFM393230 UPI393226:UPI393230 UZE393226:UZE393230 VJA393226:VJA393230 VSW393226:VSW393230 WCS393226:WCS393230 WMO393226:WMO393230 WWK393226:WWK393230 AC458762:AC458766 JY458762:JY458766 TU458762:TU458766 ADQ458762:ADQ458766 ANM458762:ANM458766 AXI458762:AXI458766 BHE458762:BHE458766 BRA458762:BRA458766 CAW458762:CAW458766 CKS458762:CKS458766 CUO458762:CUO458766 DEK458762:DEK458766 DOG458762:DOG458766 DYC458762:DYC458766 EHY458762:EHY458766 ERU458762:ERU458766 FBQ458762:FBQ458766 FLM458762:FLM458766 FVI458762:FVI458766 GFE458762:GFE458766 GPA458762:GPA458766 GYW458762:GYW458766 HIS458762:HIS458766 HSO458762:HSO458766 ICK458762:ICK458766 IMG458762:IMG458766 IWC458762:IWC458766 JFY458762:JFY458766 JPU458762:JPU458766 JZQ458762:JZQ458766 KJM458762:KJM458766 KTI458762:KTI458766 LDE458762:LDE458766 LNA458762:LNA458766 LWW458762:LWW458766 MGS458762:MGS458766 MQO458762:MQO458766 NAK458762:NAK458766 NKG458762:NKG458766 NUC458762:NUC458766 ODY458762:ODY458766 ONU458762:ONU458766 OXQ458762:OXQ458766 PHM458762:PHM458766 PRI458762:PRI458766 QBE458762:QBE458766 QLA458762:QLA458766 QUW458762:QUW458766 RES458762:RES458766 ROO458762:ROO458766 RYK458762:RYK458766 SIG458762:SIG458766 SSC458762:SSC458766 TBY458762:TBY458766 TLU458762:TLU458766 TVQ458762:TVQ458766 UFM458762:UFM458766 UPI458762:UPI458766 UZE458762:UZE458766 VJA458762:VJA458766 VSW458762:VSW458766 WCS458762:WCS458766 WMO458762:WMO458766 WWK458762:WWK458766 AC524298:AC524302 JY524298:JY524302 TU524298:TU524302 ADQ524298:ADQ524302 ANM524298:ANM524302 AXI524298:AXI524302 BHE524298:BHE524302 BRA524298:BRA524302 CAW524298:CAW524302 CKS524298:CKS524302 CUO524298:CUO524302 DEK524298:DEK524302 DOG524298:DOG524302 DYC524298:DYC524302 EHY524298:EHY524302 ERU524298:ERU524302 FBQ524298:FBQ524302 FLM524298:FLM524302 FVI524298:FVI524302 GFE524298:GFE524302 GPA524298:GPA524302 GYW524298:GYW524302 HIS524298:HIS524302 HSO524298:HSO524302 ICK524298:ICK524302 IMG524298:IMG524302 IWC524298:IWC524302 JFY524298:JFY524302 JPU524298:JPU524302 JZQ524298:JZQ524302 KJM524298:KJM524302 KTI524298:KTI524302 LDE524298:LDE524302 LNA524298:LNA524302 LWW524298:LWW524302 MGS524298:MGS524302 MQO524298:MQO524302 NAK524298:NAK524302 NKG524298:NKG524302 NUC524298:NUC524302 ODY524298:ODY524302 ONU524298:ONU524302 OXQ524298:OXQ524302 PHM524298:PHM524302 PRI524298:PRI524302 QBE524298:QBE524302 QLA524298:QLA524302 QUW524298:QUW524302 RES524298:RES524302 ROO524298:ROO524302 RYK524298:RYK524302 SIG524298:SIG524302 SSC524298:SSC524302 TBY524298:TBY524302 TLU524298:TLU524302 TVQ524298:TVQ524302 UFM524298:UFM524302 UPI524298:UPI524302 UZE524298:UZE524302 VJA524298:VJA524302 VSW524298:VSW524302 WCS524298:WCS524302 WMO524298:WMO524302 WWK524298:WWK524302 AC589834:AC589838 JY589834:JY589838 TU589834:TU589838 ADQ589834:ADQ589838 ANM589834:ANM589838 AXI589834:AXI589838 BHE589834:BHE589838 BRA589834:BRA589838 CAW589834:CAW589838 CKS589834:CKS589838 CUO589834:CUO589838 DEK589834:DEK589838 DOG589834:DOG589838 DYC589834:DYC589838 EHY589834:EHY589838 ERU589834:ERU589838 FBQ589834:FBQ589838 FLM589834:FLM589838 FVI589834:FVI589838 GFE589834:GFE589838 GPA589834:GPA589838 GYW589834:GYW589838 HIS589834:HIS589838 HSO589834:HSO589838 ICK589834:ICK589838 IMG589834:IMG589838 IWC589834:IWC589838 JFY589834:JFY589838 JPU589834:JPU589838 JZQ589834:JZQ589838 KJM589834:KJM589838 KTI589834:KTI589838 LDE589834:LDE589838 LNA589834:LNA589838 LWW589834:LWW589838 MGS589834:MGS589838 MQO589834:MQO589838 NAK589834:NAK589838 NKG589834:NKG589838 NUC589834:NUC589838 ODY589834:ODY589838 ONU589834:ONU589838 OXQ589834:OXQ589838 PHM589834:PHM589838 PRI589834:PRI589838 QBE589834:QBE589838 QLA589834:QLA589838 QUW589834:QUW589838 RES589834:RES589838 ROO589834:ROO589838 RYK589834:RYK589838 SIG589834:SIG589838 SSC589834:SSC589838 TBY589834:TBY589838 TLU589834:TLU589838 TVQ589834:TVQ589838 UFM589834:UFM589838 UPI589834:UPI589838 UZE589834:UZE589838 VJA589834:VJA589838 VSW589834:VSW589838 WCS589834:WCS589838 WMO589834:WMO589838 WWK589834:WWK589838 AC655370:AC655374 JY655370:JY655374 TU655370:TU655374 ADQ655370:ADQ655374 ANM655370:ANM655374 AXI655370:AXI655374 BHE655370:BHE655374 BRA655370:BRA655374 CAW655370:CAW655374 CKS655370:CKS655374 CUO655370:CUO655374 DEK655370:DEK655374 DOG655370:DOG655374 DYC655370:DYC655374 EHY655370:EHY655374 ERU655370:ERU655374 FBQ655370:FBQ655374 FLM655370:FLM655374 FVI655370:FVI655374 GFE655370:GFE655374 GPA655370:GPA655374 GYW655370:GYW655374 HIS655370:HIS655374 HSO655370:HSO655374 ICK655370:ICK655374 IMG655370:IMG655374 IWC655370:IWC655374 JFY655370:JFY655374 JPU655370:JPU655374 JZQ655370:JZQ655374 KJM655370:KJM655374 KTI655370:KTI655374 LDE655370:LDE655374 LNA655370:LNA655374 LWW655370:LWW655374 MGS655370:MGS655374 MQO655370:MQO655374 NAK655370:NAK655374 NKG655370:NKG655374 NUC655370:NUC655374 ODY655370:ODY655374 ONU655370:ONU655374 OXQ655370:OXQ655374 PHM655370:PHM655374 PRI655370:PRI655374 QBE655370:QBE655374 QLA655370:QLA655374 QUW655370:QUW655374 RES655370:RES655374 ROO655370:ROO655374 RYK655370:RYK655374 SIG655370:SIG655374 SSC655370:SSC655374 TBY655370:TBY655374 TLU655370:TLU655374 TVQ655370:TVQ655374 UFM655370:UFM655374 UPI655370:UPI655374 UZE655370:UZE655374 VJA655370:VJA655374 VSW655370:VSW655374 WCS655370:WCS655374 WMO655370:WMO655374 WWK655370:WWK655374 AC720906:AC720910 JY720906:JY720910 TU720906:TU720910 ADQ720906:ADQ720910 ANM720906:ANM720910 AXI720906:AXI720910 BHE720906:BHE720910 BRA720906:BRA720910 CAW720906:CAW720910 CKS720906:CKS720910 CUO720906:CUO720910 DEK720906:DEK720910 DOG720906:DOG720910 DYC720906:DYC720910 EHY720906:EHY720910 ERU720906:ERU720910 FBQ720906:FBQ720910 FLM720906:FLM720910 FVI720906:FVI720910 GFE720906:GFE720910 GPA720906:GPA720910 GYW720906:GYW720910 HIS720906:HIS720910 HSO720906:HSO720910 ICK720906:ICK720910 IMG720906:IMG720910 IWC720906:IWC720910 JFY720906:JFY720910 JPU720906:JPU720910 JZQ720906:JZQ720910 KJM720906:KJM720910 KTI720906:KTI720910 LDE720906:LDE720910 LNA720906:LNA720910 LWW720906:LWW720910 MGS720906:MGS720910 MQO720906:MQO720910 NAK720906:NAK720910 NKG720906:NKG720910 NUC720906:NUC720910 ODY720906:ODY720910 ONU720906:ONU720910 OXQ720906:OXQ720910 PHM720906:PHM720910 PRI720906:PRI720910 QBE720906:QBE720910 QLA720906:QLA720910 QUW720906:QUW720910 RES720906:RES720910 ROO720906:ROO720910 RYK720906:RYK720910 SIG720906:SIG720910 SSC720906:SSC720910 TBY720906:TBY720910 TLU720906:TLU720910 TVQ720906:TVQ720910 UFM720906:UFM720910 UPI720906:UPI720910 UZE720906:UZE720910 VJA720906:VJA720910 VSW720906:VSW720910 WCS720906:WCS720910 WMO720906:WMO720910 WWK720906:WWK720910 AC786442:AC786446 JY786442:JY786446 TU786442:TU786446 ADQ786442:ADQ786446 ANM786442:ANM786446 AXI786442:AXI786446 BHE786442:BHE786446 BRA786442:BRA786446 CAW786442:CAW786446 CKS786442:CKS786446 CUO786442:CUO786446 DEK786442:DEK786446 DOG786442:DOG786446 DYC786442:DYC786446 EHY786442:EHY786446 ERU786442:ERU786446 FBQ786442:FBQ786446 FLM786442:FLM786446 FVI786442:FVI786446 GFE786442:GFE786446 GPA786442:GPA786446 GYW786442:GYW786446 HIS786442:HIS786446 HSO786442:HSO786446 ICK786442:ICK786446 IMG786442:IMG786446 IWC786442:IWC786446 JFY786442:JFY786446 JPU786442:JPU786446 JZQ786442:JZQ786446 KJM786442:KJM786446 KTI786442:KTI786446 LDE786442:LDE786446 LNA786442:LNA786446 LWW786442:LWW786446 MGS786442:MGS786446 MQO786442:MQO786446 NAK786442:NAK786446 NKG786442:NKG786446 NUC786442:NUC786446 ODY786442:ODY786446 ONU786442:ONU786446 OXQ786442:OXQ786446 PHM786442:PHM786446 PRI786442:PRI786446 QBE786442:QBE786446 QLA786442:QLA786446 QUW786442:QUW786446 RES786442:RES786446 ROO786442:ROO786446 RYK786442:RYK786446 SIG786442:SIG786446 SSC786442:SSC786446 TBY786442:TBY786446 TLU786442:TLU786446 TVQ786442:TVQ786446 UFM786442:UFM786446 UPI786442:UPI786446 UZE786442:UZE786446 VJA786442:VJA786446 VSW786442:VSW786446 WCS786442:WCS786446 WMO786442:WMO786446 WWK786442:WWK786446 AC851978:AC851982 JY851978:JY851982 TU851978:TU851982 ADQ851978:ADQ851982 ANM851978:ANM851982 AXI851978:AXI851982 BHE851978:BHE851982 BRA851978:BRA851982 CAW851978:CAW851982 CKS851978:CKS851982 CUO851978:CUO851982 DEK851978:DEK851982 DOG851978:DOG851982 DYC851978:DYC851982 EHY851978:EHY851982 ERU851978:ERU851982 FBQ851978:FBQ851982 FLM851978:FLM851982 FVI851978:FVI851982 GFE851978:GFE851982 GPA851978:GPA851982 GYW851978:GYW851982 HIS851978:HIS851982 HSO851978:HSO851982 ICK851978:ICK851982 IMG851978:IMG851982 IWC851978:IWC851982 JFY851978:JFY851982 JPU851978:JPU851982 JZQ851978:JZQ851982 KJM851978:KJM851982 KTI851978:KTI851982 LDE851978:LDE851982 LNA851978:LNA851982 LWW851978:LWW851982 MGS851978:MGS851982 MQO851978:MQO851982 NAK851978:NAK851982 NKG851978:NKG851982 NUC851978:NUC851982 ODY851978:ODY851982 ONU851978:ONU851982 OXQ851978:OXQ851982 PHM851978:PHM851982 PRI851978:PRI851982 QBE851978:QBE851982 QLA851978:QLA851982 QUW851978:QUW851982 RES851978:RES851982 ROO851978:ROO851982 RYK851978:RYK851982 SIG851978:SIG851982 SSC851978:SSC851982 TBY851978:TBY851982 TLU851978:TLU851982 TVQ851978:TVQ851982 UFM851978:UFM851982 UPI851978:UPI851982 UZE851978:UZE851982 VJA851978:VJA851982 VSW851978:VSW851982 WCS851978:WCS851982 WMO851978:WMO851982 WWK851978:WWK851982 AC917514:AC917518 JY917514:JY917518 TU917514:TU917518 ADQ917514:ADQ917518 ANM917514:ANM917518 AXI917514:AXI917518 BHE917514:BHE917518 BRA917514:BRA917518 CAW917514:CAW917518 CKS917514:CKS917518 CUO917514:CUO917518 DEK917514:DEK917518 DOG917514:DOG917518 DYC917514:DYC917518 EHY917514:EHY917518 ERU917514:ERU917518 FBQ917514:FBQ917518 FLM917514:FLM917518 FVI917514:FVI917518 GFE917514:GFE917518 GPA917514:GPA917518 GYW917514:GYW917518 HIS917514:HIS917518 HSO917514:HSO917518 ICK917514:ICK917518 IMG917514:IMG917518 IWC917514:IWC917518 JFY917514:JFY917518 JPU917514:JPU917518 JZQ917514:JZQ917518 KJM917514:KJM917518 KTI917514:KTI917518 LDE917514:LDE917518 LNA917514:LNA917518 LWW917514:LWW917518 MGS917514:MGS917518 MQO917514:MQO917518 NAK917514:NAK917518 NKG917514:NKG917518 NUC917514:NUC917518 ODY917514:ODY917518 ONU917514:ONU917518 OXQ917514:OXQ917518 PHM917514:PHM917518 PRI917514:PRI917518 QBE917514:QBE917518 QLA917514:QLA917518 QUW917514:QUW917518 RES917514:RES917518 ROO917514:ROO917518 RYK917514:RYK917518 SIG917514:SIG917518 SSC917514:SSC917518 TBY917514:TBY917518 TLU917514:TLU917518 TVQ917514:TVQ917518 UFM917514:UFM917518 UPI917514:UPI917518 UZE917514:UZE917518 VJA917514:VJA917518 VSW917514:VSW917518 WCS917514:WCS917518 WMO917514:WMO917518 WWK917514:WWK917518 AC983050:AC983054 JY983050:JY983054 TU983050:TU983054 ADQ983050:ADQ983054 ANM983050:ANM983054 AXI983050:AXI983054 BHE983050:BHE983054 BRA983050:BRA983054 CAW983050:CAW983054 CKS983050:CKS983054 CUO983050:CUO983054 DEK983050:DEK983054 DOG983050:DOG983054 DYC983050:DYC983054 EHY983050:EHY983054 ERU983050:ERU983054 FBQ983050:FBQ983054 FLM983050:FLM983054 FVI983050:FVI983054 GFE983050:GFE983054 GPA983050:GPA983054 GYW983050:GYW983054 HIS983050:HIS983054 HSO983050:HSO983054 ICK983050:ICK983054 IMG983050:IMG983054 IWC983050:IWC983054 JFY983050:JFY983054 JPU983050:JPU983054 JZQ983050:JZQ983054 KJM983050:KJM983054 KTI983050:KTI983054 LDE983050:LDE983054 LNA983050:LNA983054 LWW983050:LWW983054 MGS983050:MGS983054 MQO983050:MQO983054 NAK983050:NAK983054 NKG983050:NKG983054 NUC983050:NUC983054 ODY983050:ODY983054 ONU983050:ONU983054 OXQ983050:OXQ983054 PHM983050:PHM983054 PRI983050:PRI983054 QBE983050:QBE983054 QLA983050:QLA983054 QUW983050:QUW983054 RES983050:RES983054 ROO983050:ROO983054 RYK983050:RYK983054 SIG983050:SIG983054 SSC983050:SSC983054 TBY983050:TBY983054 TLU983050:TLU983054 TVQ983050:TVQ983054 UFM983050:UFM983054 UPI983050:UPI983054 UZE983050:UZE983054 VJA983050:VJA983054 VSW983050:VSW983054 WCS983050:WCS983054 WMO983050:WMO983054 WWK983050:WWK983054 TU8:TU14 JY8:JY14 AC14 WWK8:WWK14 WMO8:WMO14 WCS8:WCS14 VSW8:VSW14 VJA8:VJA14 UZE8:UZE14 UPI8:UPI14 UFM8:UFM14 TVQ8:TVQ14 TLU8:TLU14 TBY8:TBY14 SSC8:SSC14 SIG8:SIG14 RYK8:RYK14 ROO8:ROO14 RES8:RES14 QUW8:QUW14 QLA8:QLA14 QBE8:QBE14 PRI8:PRI14 PHM8:PHM14 OXQ8:OXQ14 ONU8:ONU14 ODY8:ODY14 NUC8:NUC14 NKG8:NKG14 NAK8:NAK14 MQO8:MQO14 MGS8:MGS14 LWW8:LWW14 LNA8:LNA14 LDE8:LDE14 KTI8:KTI14 KJM8:KJM14 JZQ8:JZQ14 JPU8:JPU14 JFY8:JFY14 IWC8:IWC14 IMG8:IMG14 ICK8:ICK14 HSO8:HSO14 HIS8:HIS14 GYW8:GYW14 GPA8:GPA14 GFE8:GFE14 FVI8:FVI14 FLM8:FLM14 FBQ8:FBQ14 ERU8:ERU14 EHY8:EHY14 DYC8:DYC14 DOG8:DOG14 DEK8:DEK14 CUO8:CUO14 CKS8:CKS14 CAW8:CAW14 BRA8:BRA14 BHE8:BHE14 AXI8:AXI14 ANM8:ANM14 ADQ8:ADQ14">
      <formula1>AB8</formula1>
      <formula2>IF(AB8&lt;&gt;0,IF(AC8-AB8&gt;=0,AC8,),)</formula2>
    </dataValidation>
    <dataValidation type="list" allowBlank="1" showInputMessage="1" showErrorMessage="1" sqref="AE65544:AE65550 KA65544:KA65550 TW65544:TW65550 ADS65544:ADS65550 ANO65544:ANO65550 AXK65544:AXK65550 BHG65544:BHG65550 BRC65544:BRC65550 CAY65544:CAY65550 CKU65544:CKU65550 CUQ65544:CUQ65550 DEM65544:DEM65550 DOI65544:DOI65550 DYE65544:DYE65550 EIA65544:EIA65550 ERW65544:ERW65550 FBS65544:FBS65550 FLO65544:FLO65550 FVK65544:FVK65550 GFG65544:GFG65550 GPC65544:GPC65550 GYY65544:GYY65550 HIU65544:HIU65550 HSQ65544:HSQ65550 ICM65544:ICM65550 IMI65544:IMI65550 IWE65544:IWE65550 JGA65544:JGA65550 JPW65544:JPW65550 JZS65544:JZS65550 KJO65544:KJO65550 KTK65544:KTK65550 LDG65544:LDG65550 LNC65544:LNC65550 LWY65544:LWY65550 MGU65544:MGU65550 MQQ65544:MQQ65550 NAM65544:NAM65550 NKI65544:NKI65550 NUE65544:NUE65550 OEA65544:OEA65550 ONW65544:ONW65550 OXS65544:OXS65550 PHO65544:PHO65550 PRK65544:PRK65550 QBG65544:QBG65550 QLC65544:QLC65550 QUY65544:QUY65550 REU65544:REU65550 ROQ65544:ROQ65550 RYM65544:RYM65550 SII65544:SII65550 SSE65544:SSE65550 TCA65544:TCA65550 TLW65544:TLW65550 TVS65544:TVS65550 UFO65544:UFO65550 UPK65544:UPK65550 UZG65544:UZG65550 VJC65544:VJC65550 VSY65544:VSY65550 WCU65544:WCU65550 WMQ65544:WMQ65550 WWM65544:WWM65550 AE131080:AE131086 KA131080:KA131086 TW131080:TW131086 ADS131080:ADS131086 ANO131080:ANO131086 AXK131080:AXK131086 BHG131080:BHG131086 BRC131080:BRC131086 CAY131080:CAY131086 CKU131080:CKU131086 CUQ131080:CUQ131086 DEM131080:DEM131086 DOI131080:DOI131086 DYE131080:DYE131086 EIA131080:EIA131086 ERW131080:ERW131086 FBS131080:FBS131086 FLO131080:FLO131086 FVK131080:FVK131086 GFG131080:GFG131086 GPC131080:GPC131086 GYY131080:GYY131086 HIU131080:HIU131086 HSQ131080:HSQ131086 ICM131080:ICM131086 IMI131080:IMI131086 IWE131080:IWE131086 JGA131080:JGA131086 JPW131080:JPW131086 JZS131080:JZS131086 KJO131080:KJO131086 KTK131080:KTK131086 LDG131080:LDG131086 LNC131080:LNC131086 LWY131080:LWY131086 MGU131080:MGU131086 MQQ131080:MQQ131086 NAM131080:NAM131086 NKI131080:NKI131086 NUE131080:NUE131086 OEA131080:OEA131086 ONW131080:ONW131086 OXS131080:OXS131086 PHO131080:PHO131086 PRK131080:PRK131086 QBG131080:QBG131086 QLC131080:QLC131086 QUY131080:QUY131086 REU131080:REU131086 ROQ131080:ROQ131086 RYM131080:RYM131086 SII131080:SII131086 SSE131080:SSE131086 TCA131080:TCA131086 TLW131080:TLW131086 TVS131080:TVS131086 UFO131080:UFO131086 UPK131080:UPK131086 UZG131080:UZG131086 VJC131080:VJC131086 VSY131080:VSY131086 WCU131080:WCU131086 WMQ131080:WMQ131086 WWM131080:WWM131086 AE196616:AE196622 KA196616:KA196622 TW196616:TW196622 ADS196616:ADS196622 ANO196616:ANO196622 AXK196616:AXK196622 BHG196616:BHG196622 BRC196616:BRC196622 CAY196616:CAY196622 CKU196616:CKU196622 CUQ196616:CUQ196622 DEM196616:DEM196622 DOI196616:DOI196622 DYE196616:DYE196622 EIA196616:EIA196622 ERW196616:ERW196622 FBS196616:FBS196622 FLO196616:FLO196622 FVK196616:FVK196622 GFG196616:GFG196622 GPC196616:GPC196622 GYY196616:GYY196622 HIU196616:HIU196622 HSQ196616:HSQ196622 ICM196616:ICM196622 IMI196616:IMI196622 IWE196616:IWE196622 JGA196616:JGA196622 JPW196616:JPW196622 JZS196616:JZS196622 KJO196616:KJO196622 KTK196616:KTK196622 LDG196616:LDG196622 LNC196616:LNC196622 LWY196616:LWY196622 MGU196616:MGU196622 MQQ196616:MQQ196622 NAM196616:NAM196622 NKI196616:NKI196622 NUE196616:NUE196622 OEA196616:OEA196622 ONW196616:ONW196622 OXS196616:OXS196622 PHO196616:PHO196622 PRK196616:PRK196622 QBG196616:QBG196622 QLC196616:QLC196622 QUY196616:QUY196622 REU196616:REU196622 ROQ196616:ROQ196622 RYM196616:RYM196622 SII196616:SII196622 SSE196616:SSE196622 TCA196616:TCA196622 TLW196616:TLW196622 TVS196616:TVS196622 UFO196616:UFO196622 UPK196616:UPK196622 UZG196616:UZG196622 VJC196616:VJC196622 VSY196616:VSY196622 WCU196616:WCU196622 WMQ196616:WMQ196622 WWM196616:WWM196622 AE262152:AE262158 KA262152:KA262158 TW262152:TW262158 ADS262152:ADS262158 ANO262152:ANO262158 AXK262152:AXK262158 BHG262152:BHG262158 BRC262152:BRC262158 CAY262152:CAY262158 CKU262152:CKU262158 CUQ262152:CUQ262158 DEM262152:DEM262158 DOI262152:DOI262158 DYE262152:DYE262158 EIA262152:EIA262158 ERW262152:ERW262158 FBS262152:FBS262158 FLO262152:FLO262158 FVK262152:FVK262158 GFG262152:GFG262158 GPC262152:GPC262158 GYY262152:GYY262158 HIU262152:HIU262158 HSQ262152:HSQ262158 ICM262152:ICM262158 IMI262152:IMI262158 IWE262152:IWE262158 JGA262152:JGA262158 JPW262152:JPW262158 JZS262152:JZS262158 KJO262152:KJO262158 KTK262152:KTK262158 LDG262152:LDG262158 LNC262152:LNC262158 LWY262152:LWY262158 MGU262152:MGU262158 MQQ262152:MQQ262158 NAM262152:NAM262158 NKI262152:NKI262158 NUE262152:NUE262158 OEA262152:OEA262158 ONW262152:ONW262158 OXS262152:OXS262158 PHO262152:PHO262158 PRK262152:PRK262158 QBG262152:QBG262158 QLC262152:QLC262158 QUY262152:QUY262158 REU262152:REU262158 ROQ262152:ROQ262158 RYM262152:RYM262158 SII262152:SII262158 SSE262152:SSE262158 TCA262152:TCA262158 TLW262152:TLW262158 TVS262152:TVS262158 UFO262152:UFO262158 UPK262152:UPK262158 UZG262152:UZG262158 VJC262152:VJC262158 VSY262152:VSY262158 WCU262152:WCU262158 WMQ262152:WMQ262158 WWM262152:WWM262158 AE327688:AE327694 KA327688:KA327694 TW327688:TW327694 ADS327688:ADS327694 ANO327688:ANO327694 AXK327688:AXK327694 BHG327688:BHG327694 BRC327688:BRC327694 CAY327688:CAY327694 CKU327688:CKU327694 CUQ327688:CUQ327694 DEM327688:DEM327694 DOI327688:DOI327694 DYE327688:DYE327694 EIA327688:EIA327694 ERW327688:ERW327694 FBS327688:FBS327694 FLO327688:FLO327694 FVK327688:FVK327694 GFG327688:GFG327694 GPC327688:GPC327694 GYY327688:GYY327694 HIU327688:HIU327694 HSQ327688:HSQ327694 ICM327688:ICM327694 IMI327688:IMI327694 IWE327688:IWE327694 JGA327688:JGA327694 JPW327688:JPW327694 JZS327688:JZS327694 KJO327688:KJO327694 KTK327688:KTK327694 LDG327688:LDG327694 LNC327688:LNC327694 LWY327688:LWY327694 MGU327688:MGU327694 MQQ327688:MQQ327694 NAM327688:NAM327694 NKI327688:NKI327694 NUE327688:NUE327694 OEA327688:OEA327694 ONW327688:ONW327694 OXS327688:OXS327694 PHO327688:PHO327694 PRK327688:PRK327694 QBG327688:QBG327694 QLC327688:QLC327694 QUY327688:QUY327694 REU327688:REU327694 ROQ327688:ROQ327694 RYM327688:RYM327694 SII327688:SII327694 SSE327688:SSE327694 TCA327688:TCA327694 TLW327688:TLW327694 TVS327688:TVS327694 UFO327688:UFO327694 UPK327688:UPK327694 UZG327688:UZG327694 VJC327688:VJC327694 VSY327688:VSY327694 WCU327688:WCU327694 WMQ327688:WMQ327694 WWM327688:WWM327694 AE393224:AE393230 KA393224:KA393230 TW393224:TW393230 ADS393224:ADS393230 ANO393224:ANO393230 AXK393224:AXK393230 BHG393224:BHG393230 BRC393224:BRC393230 CAY393224:CAY393230 CKU393224:CKU393230 CUQ393224:CUQ393230 DEM393224:DEM393230 DOI393224:DOI393230 DYE393224:DYE393230 EIA393224:EIA393230 ERW393224:ERW393230 FBS393224:FBS393230 FLO393224:FLO393230 FVK393224:FVK393230 GFG393224:GFG393230 GPC393224:GPC393230 GYY393224:GYY393230 HIU393224:HIU393230 HSQ393224:HSQ393230 ICM393224:ICM393230 IMI393224:IMI393230 IWE393224:IWE393230 JGA393224:JGA393230 JPW393224:JPW393230 JZS393224:JZS393230 KJO393224:KJO393230 KTK393224:KTK393230 LDG393224:LDG393230 LNC393224:LNC393230 LWY393224:LWY393230 MGU393224:MGU393230 MQQ393224:MQQ393230 NAM393224:NAM393230 NKI393224:NKI393230 NUE393224:NUE393230 OEA393224:OEA393230 ONW393224:ONW393230 OXS393224:OXS393230 PHO393224:PHO393230 PRK393224:PRK393230 QBG393224:QBG393230 QLC393224:QLC393230 QUY393224:QUY393230 REU393224:REU393230 ROQ393224:ROQ393230 RYM393224:RYM393230 SII393224:SII393230 SSE393224:SSE393230 TCA393224:TCA393230 TLW393224:TLW393230 TVS393224:TVS393230 UFO393224:UFO393230 UPK393224:UPK393230 UZG393224:UZG393230 VJC393224:VJC393230 VSY393224:VSY393230 WCU393224:WCU393230 WMQ393224:WMQ393230 WWM393224:WWM393230 AE458760:AE458766 KA458760:KA458766 TW458760:TW458766 ADS458760:ADS458766 ANO458760:ANO458766 AXK458760:AXK458766 BHG458760:BHG458766 BRC458760:BRC458766 CAY458760:CAY458766 CKU458760:CKU458766 CUQ458760:CUQ458766 DEM458760:DEM458766 DOI458760:DOI458766 DYE458760:DYE458766 EIA458760:EIA458766 ERW458760:ERW458766 FBS458760:FBS458766 FLO458760:FLO458766 FVK458760:FVK458766 GFG458760:GFG458766 GPC458760:GPC458766 GYY458760:GYY458766 HIU458760:HIU458766 HSQ458760:HSQ458766 ICM458760:ICM458766 IMI458760:IMI458766 IWE458760:IWE458766 JGA458760:JGA458766 JPW458760:JPW458766 JZS458760:JZS458766 KJO458760:KJO458766 KTK458760:KTK458766 LDG458760:LDG458766 LNC458760:LNC458766 LWY458760:LWY458766 MGU458760:MGU458766 MQQ458760:MQQ458766 NAM458760:NAM458766 NKI458760:NKI458766 NUE458760:NUE458766 OEA458760:OEA458766 ONW458760:ONW458766 OXS458760:OXS458766 PHO458760:PHO458766 PRK458760:PRK458766 QBG458760:QBG458766 QLC458760:QLC458766 QUY458760:QUY458766 REU458760:REU458766 ROQ458760:ROQ458766 RYM458760:RYM458766 SII458760:SII458766 SSE458760:SSE458766 TCA458760:TCA458766 TLW458760:TLW458766 TVS458760:TVS458766 UFO458760:UFO458766 UPK458760:UPK458766 UZG458760:UZG458766 VJC458760:VJC458766 VSY458760:VSY458766 WCU458760:WCU458766 WMQ458760:WMQ458766 WWM458760:WWM458766 AE524296:AE524302 KA524296:KA524302 TW524296:TW524302 ADS524296:ADS524302 ANO524296:ANO524302 AXK524296:AXK524302 BHG524296:BHG524302 BRC524296:BRC524302 CAY524296:CAY524302 CKU524296:CKU524302 CUQ524296:CUQ524302 DEM524296:DEM524302 DOI524296:DOI524302 DYE524296:DYE524302 EIA524296:EIA524302 ERW524296:ERW524302 FBS524296:FBS524302 FLO524296:FLO524302 FVK524296:FVK524302 GFG524296:GFG524302 GPC524296:GPC524302 GYY524296:GYY524302 HIU524296:HIU524302 HSQ524296:HSQ524302 ICM524296:ICM524302 IMI524296:IMI524302 IWE524296:IWE524302 JGA524296:JGA524302 JPW524296:JPW524302 JZS524296:JZS524302 KJO524296:KJO524302 KTK524296:KTK524302 LDG524296:LDG524302 LNC524296:LNC524302 LWY524296:LWY524302 MGU524296:MGU524302 MQQ524296:MQQ524302 NAM524296:NAM524302 NKI524296:NKI524302 NUE524296:NUE524302 OEA524296:OEA524302 ONW524296:ONW524302 OXS524296:OXS524302 PHO524296:PHO524302 PRK524296:PRK524302 QBG524296:QBG524302 QLC524296:QLC524302 QUY524296:QUY524302 REU524296:REU524302 ROQ524296:ROQ524302 RYM524296:RYM524302 SII524296:SII524302 SSE524296:SSE524302 TCA524296:TCA524302 TLW524296:TLW524302 TVS524296:TVS524302 UFO524296:UFO524302 UPK524296:UPK524302 UZG524296:UZG524302 VJC524296:VJC524302 VSY524296:VSY524302 WCU524296:WCU524302 WMQ524296:WMQ524302 WWM524296:WWM524302 AE589832:AE589838 KA589832:KA589838 TW589832:TW589838 ADS589832:ADS589838 ANO589832:ANO589838 AXK589832:AXK589838 BHG589832:BHG589838 BRC589832:BRC589838 CAY589832:CAY589838 CKU589832:CKU589838 CUQ589832:CUQ589838 DEM589832:DEM589838 DOI589832:DOI589838 DYE589832:DYE589838 EIA589832:EIA589838 ERW589832:ERW589838 FBS589832:FBS589838 FLO589832:FLO589838 FVK589832:FVK589838 GFG589832:GFG589838 GPC589832:GPC589838 GYY589832:GYY589838 HIU589832:HIU589838 HSQ589832:HSQ589838 ICM589832:ICM589838 IMI589832:IMI589838 IWE589832:IWE589838 JGA589832:JGA589838 JPW589832:JPW589838 JZS589832:JZS589838 KJO589832:KJO589838 KTK589832:KTK589838 LDG589832:LDG589838 LNC589832:LNC589838 LWY589832:LWY589838 MGU589832:MGU589838 MQQ589832:MQQ589838 NAM589832:NAM589838 NKI589832:NKI589838 NUE589832:NUE589838 OEA589832:OEA589838 ONW589832:ONW589838 OXS589832:OXS589838 PHO589832:PHO589838 PRK589832:PRK589838 QBG589832:QBG589838 QLC589832:QLC589838 QUY589832:QUY589838 REU589832:REU589838 ROQ589832:ROQ589838 RYM589832:RYM589838 SII589832:SII589838 SSE589832:SSE589838 TCA589832:TCA589838 TLW589832:TLW589838 TVS589832:TVS589838 UFO589832:UFO589838 UPK589832:UPK589838 UZG589832:UZG589838 VJC589832:VJC589838 VSY589832:VSY589838 WCU589832:WCU589838 WMQ589832:WMQ589838 WWM589832:WWM589838 AE655368:AE655374 KA655368:KA655374 TW655368:TW655374 ADS655368:ADS655374 ANO655368:ANO655374 AXK655368:AXK655374 BHG655368:BHG655374 BRC655368:BRC655374 CAY655368:CAY655374 CKU655368:CKU655374 CUQ655368:CUQ655374 DEM655368:DEM655374 DOI655368:DOI655374 DYE655368:DYE655374 EIA655368:EIA655374 ERW655368:ERW655374 FBS655368:FBS655374 FLO655368:FLO655374 FVK655368:FVK655374 GFG655368:GFG655374 GPC655368:GPC655374 GYY655368:GYY655374 HIU655368:HIU655374 HSQ655368:HSQ655374 ICM655368:ICM655374 IMI655368:IMI655374 IWE655368:IWE655374 JGA655368:JGA655374 JPW655368:JPW655374 JZS655368:JZS655374 KJO655368:KJO655374 KTK655368:KTK655374 LDG655368:LDG655374 LNC655368:LNC655374 LWY655368:LWY655374 MGU655368:MGU655374 MQQ655368:MQQ655374 NAM655368:NAM655374 NKI655368:NKI655374 NUE655368:NUE655374 OEA655368:OEA655374 ONW655368:ONW655374 OXS655368:OXS655374 PHO655368:PHO655374 PRK655368:PRK655374 QBG655368:QBG655374 QLC655368:QLC655374 QUY655368:QUY655374 REU655368:REU655374 ROQ655368:ROQ655374 RYM655368:RYM655374 SII655368:SII655374 SSE655368:SSE655374 TCA655368:TCA655374 TLW655368:TLW655374 TVS655368:TVS655374 UFO655368:UFO655374 UPK655368:UPK655374 UZG655368:UZG655374 VJC655368:VJC655374 VSY655368:VSY655374 WCU655368:WCU655374 WMQ655368:WMQ655374 WWM655368:WWM655374 AE720904:AE720910 KA720904:KA720910 TW720904:TW720910 ADS720904:ADS720910 ANO720904:ANO720910 AXK720904:AXK720910 BHG720904:BHG720910 BRC720904:BRC720910 CAY720904:CAY720910 CKU720904:CKU720910 CUQ720904:CUQ720910 DEM720904:DEM720910 DOI720904:DOI720910 DYE720904:DYE720910 EIA720904:EIA720910 ERW720904:ERW720910 FBS720904:FBS720910 FLO720904:FLO720910 FVK720904:FVK720910 GFG720904:GFG720910 GPC720904:GPC720910 GYY720904:GYY720910 HIU720904:HIU720910 HSQ720904:HSQ720910 ICM720904:ICM720910 IMI720904:IMI720910 IWE720904:IWE720910 JGA720904:JGA720910 JPW720904:JPW720910 JZS720904:JZS720910 KJO720904:KJO720910 KTK720904:KTK720910 LDG720904:LDG720910 LNC720904:LNC720910 LWY720904:LWY720910 MGU720904:MGU720910 MQQ720904:MQQ720910 NAM720904:NAM720910 NKI720904:NKI720910 NUE720904:NUE720910 OEA720904:OEA720910 ONW720904:ONW720910 OXS720904:OXS720910 PHO720904:PHO720910 PRK720904:PRK720910 QBG720904:QBG720910 QLC720904:QLC720910 QUY720904:QUY720910 REU720904:REU720910 ROQ720904:ROQ720910 RYM720904:RYM720910 SII720904:SII720910 SSE720904:SSE720910 TCA720904:TCA720910 TLW720904:TLW720910 TVS720904:TVS720910 UFO720904:UFO720910 UPK720904:UPK720910 UZG720904:UZG720910 VJC720904:VJC720910 VSY720904:VSY720910 WCU720904:WCU720910 WMQ720904:WMQ720910 WWM720904:WWM720910 AE786440:AE786446 KA786440:KA786446 TW786440:TW786446 ADS786440:ADS786446 ANO786440:ANO786446 AXK786440:AXK786446 BHG786440:BHG786446 BRC786440:BRC786446 CAY786440:CAY786446 CKU786440:CKU786446 CUQ786440:CUQ786446 DEM786440:DEM786446 DOI786440:DOI786446 DYE786440:DYE786446 EIA786440:EIA786446 ERW786440:ERW786446 FBS786440:FBS786446 FLO786440:FLO786446 FVK786440:FVK786446 GFG786440:GFG786446 GPC786440:GPC786446 GYY786440:GYY786446 HIU786440:HIU786446 HSQ786440:HSQ786446 ICM786440:ICM786446 IMI786440:IMI786446 IWE786440:IWE786446 JGA786440:JGA786446 JPW786440:JPW786446 JZS786440:JZS786446 KJO786440:KJO786446 KTK786440:KTK786446 LDG786440:LDG786446 LNC786440:LNC786446 LWY786440:LWY786446 MGU786440:MGU786446 MQQ786440:MQQ786446 NAM786440:NAM786446 NKI786440:NKI786446 NUE786440:NUE786446 OEA786440:OEA786446 ONW786440:ONW786446 OXS786440:OXS786446 PHO786440:PHO786446 PRK786440:PRK786446 QBG786440:QBG786446 QLC786440:QLC786446 QUY786440:QUY786446 REU786440:REU786446 ROQ786440:ROQ786446 RYM786440:RYM786446 SII786440:SII786446 SSE786440:SSE786446 TCA786440:TCA786446 TLW786440:TLW786446 TVS786440:TVS786446 UFO786440:UFO786446 UPK786440:UPK786446 UZG786440:UZG786446 VJC786440:VJC786446 VSY786440:VSY786446 WCU786440:WCU786446 WMQ786440:WMQ786446 WWM786440:WWM786446 AE851976:AE851982 KA851976:KA851982 TW851976:TW851982 ADS851976:ADS851982 ANO851976:ANO851982 AXK851976:AXK851982 BHG851976:BHG851982 BRC851976:BRC851982 CAY851976:CAY851982 CKU851976:CKU851982 CUQ851976:CUQ851982 DEM851976:DEM851982 DOI851976:DOI851982 DYE851976:DYE851982 EIA851976:EIA851982 ERW851976:ERW851982 FBS851976:FBS851982 FLO851976:FLO851982 FVK851976:FVK851982 GFG851976:GFG851982 GPC851976:GPC851982 GYY851976:GYY851982 HIU851976:HIU851982 HSQ851976:HSQ851982 ICM851976:ICM851982 IMI851976:IMI851982 IWE851976:IWE851982 JGA851976:JGA851982 JPW851976:JPW851982 JZS851976:JZS851982 KJO851976:KJO851982 KTK851976:KTK851982 LDG851976:LDG851982 LNC851976:LNC851982 LWY851976:LWY851982 MGU851976:MGU851982 MQQ851976:MQQ851982 NAM851976:NAM851982 NKI851976:NKI851982 NUE851976:NUE851982 OEA851976:OEA851982 ONW851976:ONW851982 OXS851976:OXS851982 PHO851976:PHO851982 PRK851976:PRK851982 QBG851976:QBG851982 QLC851976:QLC851982 QUY851976:QUY851982 REU851976:REU851982 ROQ851976:ROQ851982 RYM851976:RYM851982 SII851976:SII851982 SSE851976:SSE851982 TCA851976:TCA851982 TLW851976:TLW851982 TVS851976:TVS851982 UFO851976:UFO851982 UPK851976:UPK851982 UZG851976:UZG851982 VJC851976:VJC851982 VSY851976:VSY851982 WCU851976:WCU851982 WMQ851976:WMQ851982 WWM851976:WWM851982 AE917512:AE917518 KA917512:KA917518 TW917512:TW917518 ADS917512:ADS917518 ANO917512:ANO917518 AXK917512:AXK917518 BHG917512:BHG917518 BRC917512:BRC917518 CAY917512:CAY917518 CKU917512:CKU917518 CUQ917512:CUQ917518 DEM917512:DEM917518 DOI917512:DOI917518 DYE917512:DYE917518 EIA917512:EIA917518 ERW917512:ERW917518 FBS917512:FBS917518 FLO917512:FLO917518 FVK917512:FVK917518 GFG917512:GFG917518 GPC917512:GPC917518 GYY917512:GYY917518 HIU917512:HIU917518 HSQ917512:HSQ917518 ICM917512:ICM917518 IMI917512:IMI917518 IWE917512:IWE917518 JGA917512:JGA917518 JPW917512:JPW917518 JZS917512:JZS917518 KJO917512:KJO917518 KTK917512:KTK917518 LDG917512:LDG917518 LNC917512:LNC917518 LWY917512:LWY917518 MGU917512:MGU917518 MQQ917512:MQQ917518 NAM917512:NAM917518 NKI917512:NKI917518 NUE917512:NUE917518 OEA917512:OEA917518 ONW917512:ONW917518 OXS917512:OXS917518 PHO917512:PHO917518 PRK917512:PRK917518 QBG917512:QBG917518 QLC917512:QLC917518 QUY917512:QUY917518 REU917512:REU917518 ROQ917512:ROQ917518 RYM917512:RYM917518 SII917512:SII917518 SSE917512:SSE917518 TCA917512:TCA917518 TLW917512:TLW917518 TVS917512:TVS917518 UFO917512:UFO917518 UPK917512:UPK917518 UZG917512:UZG917518 VJC917512:VJC917518 VSY917512:VSY917518 WCU917512:WCU917518 WMQ917512:WMQ917518 WWM917512:WWM917518 AE983048:AE983054 KA983048:KA983054 TW983048:TW983054 ADS983048:ADS983054 ANO983048:ANO983054 AXK983048:AXK983054 BHG983048:BHG983054 BRC983048:BRC983054 CAY983048:CAY983054 CKU983048:CKU983054 CUQ983048:CUQ983054 DEM983048:DEM983054 DOI983048:DOI983054 DYE983048:DYE983054 EIA983048:EIA983054 ERW983048:ERW983054 FBS983048:FBS983054 FLO983048:FLO983054 FVK983048:FVK983054 GFG983048:GFG983054 GPC983048:GPC983054 GYY983048:GYY983054 HIU983048:HIU983054 HSQ983048:HSQ983054 ICM983048:ICM983054 IMI983048:IMI983054 IWE983048:IWE983054 JGA983048:JGA983054 JPW983048:JPW983054 JZS983048:JZS983054 KJO983048:KJO983054 KTK983048:KTK983054 LDG983048:LDG983054 LNC983048:LNC983054 LWY983048:LWY983054 MGU983048:MGU983054 MQQ983048:MQQ983054 NAM983048:NAM983054 NKI983048:NKI983054 NUE983048:NUE983054 OEA983048:OEA983054 ONW983048:ONW983054 OXS983048:OXS983054 PHO983048:PHO983054 PRK983048:PRK983054 QBG983048:QBG983054 QLC983048:QLC983054 QUY983048:QUY983054 REU983048:REU983054 ROQ983048:ROQ983054 RYM983048:RYM983054 SII983048:SII983054 SSE983048:SSE983054 TCA983048:TCA983054 TLW983048:TLW983054 TVS983048:TVS983054 UFO983048:UFO983054 UPK983048:UPK983054 UZG983048:UZG983054 VJC983048:VJC983054 VSY983048:VSY983054 WCU983048:WCU983054 WMQ983048:WMQ983054 WWM983048:WWM983054 ADS8:ADS14 TW8:TW14 KA8:KA14 AE8:AE14 WWM8:WWM14 WMQ8:WMQ14 WCU8:WCU14 VSY8:VSY14 VJC8:VJC14 UZG8:UZG14 UPK8:UPK14 UFO8:UFO14 TVS8:TVS14 TLW8:TLW14 TCA8:TCA14 SSE8:SSE14 SII8:SII14 RYM8:RYM14 ROQ8:ROQ14 REU8:REU14 QUY8:QUY14 QLC8:QLC14 QBG8:QBG14 PRK8:PRK14 PHO8:PHO14 OXS8:OXS14 ONW8:ONW14 OEA8:OEA14 NUE8:NUE14 NKI8:NKI14 NAM8:NAM14 MQQ8:MQQ14 MGU8:MGU14 LWY8:LWY14 LNC8:LNC14 LDG8:LDG14 KTK8:KTK14 KJO8:KJO14 JZS8:JZS14 JPW8:JPW14 JGA8:JGA14 IWE8:IWE14 IMI8:IMI14 ICM8:ICM14 HSQ8:HSQ14 HIU8:HIU14 GYY8:GYY14 GPC8:GPC14 GFG8:GFG14 FVK8:FVK14 FLO8:FLO14 FBS8:FBS14 ERW8:ERW14 EIA8:EIA14 DYE8:DYE14 DOI8:DOI14 DEM8:DEM14 CUQ8:CUQ14 CKU8:CKU14 CAY8:CAY14 BRC8:BRC14 BHG8:BHG14 AXK8:AXK14 ANO8:ANO14">
      <formula1>$AH$1:$AH$4</formula1>
    </dataValidation>
    <dataValidation type="list" allowBlank="1" showInputMessage="1" showErrorMessage="1" sqref="H65544:H65550 JD65544:JD65550 SZ65544:SZ65550 ACV65544:ACV65550 AMR65544:AMR65550 AWN65544:AWN65550 BGJ65544:BGJ65550 BQF65544:BQF65550 CAB65544:CAB65550 CJX65544:CJX65550 CTT65544:CTT65550 DDP65544:DDP65550 DNL65544:DNL65550 DXH65544:DXH65550 EHD65544:EHD65550 EQZ65544:EQZ65550 FAV65544:FAV65550 FKR65544:FKR65550 FUN65544:FUN65550 GEJ65544:GEJ65550 GOF65544:GOF65550 GYB65544:GYB65550 HHX65544:HHX65550 HRT65544:HRT65550 IBP65544:IBP65550 ILL65544:ILL65550 IVH65544:IVH65550 JFD65544:JFD65550 JOZ65544:JOZ65550 JYV65544:JYV65550 KIR65544:KIR65550 KSN65544:KSN65550 LCJ65544:LCJ65550 LMF65544:LMF65550 LWB65544:LWB65550 MFX65544:MFX65550 MPT65544:MPT65550 MZP65544:MZP65550 NJL65544:NJL65550 NTH65544:NTH65550 ODD65544:ODD65550 OMZ65544:OMZ65550 OWV65544:OWV65550 PGR65544:PGR65550 PQN65544:PQN65550 QAJ65544:QAJ65550 QKF65544:QKF65550 QUB65544:QUB65550 RDX65544:RDX65550 RNT65544:RNT65550 RXP65544:RXP65550 SHL65544:SHL65550 SRH65544:SRH65550 TBD65544:TBD65550 TKZ65544:TKZ65550 TUV65544:TUV65550 UER65544:UER65550 UON65544:UON65550 UYJ65544:UYJ65550 VIF65544:VIF65550 VSB65544:VSB65550 WBX65544:WBX65550 WLT65544:WLT65550 WVP65544:WVP65550 H131080:H131086 JD131080:JD131086 SZ131080:SZ131086 ACV131080:ACV131086 AMR131080:AMR131086 AWN131080:AWN131086 BGJ131080:BGJ131086 BQF131080:BQF131086 CAB131080:CAB131086 CJX131080:CJX131086 CTT131080:CTT131086 DDP131080:DDP131086 DNL131080:DNL131086 DXH131080:DXH131086 EHD131080:EHD131086 EQZ131080:EQZ131086 FAV131080:FAV131086 FKR131080:FKR131086 FUN131080:FUN131086 GEJ131080:GEJ131086 GOF131080:GOF131086 GYB131080:GYB131086 HHX131080:HHX131086 HRT131080:HRT131086 IBP131080:IBP131086 ILL131080:ILL131086 IVH131080:IVH131086 JFD131080:JFD131086 JOZ131080:JOZ131086 JYV131080:JYV131086 KIR131080:KIR131086 KSN131080:KSN131086 LCJ131080:LCJ131086 LMF131080:LMF131086 LWB131080:LWB131086 MFX131080:MFX131086 MPT131080:MPT131086 MZP131080:MZP131086 NJL131080:NJL131086 NTH131080:NTH131086 ODD131080:ODD131086 OMZ131080:OMZ131086 OWV131080:OWV131086 PGR131080:PGR131086 PQN131080:PQN131086 QAJ131080:QAJ131086 QKF131080:QKF131086 QUB131080:QUB131086 RDX131080:RDX131086 RNT131080:RNT131086 RXP131080:RXP131086 SHL131080:SHL131086 SRH131080:SRH131086 TBD131080:TBD131086 TKZ131080:TKZ131086 TUV131080:TUV131086 UER131080:UER131086 UON131080:UON131086 UYJ131080:UYJ131086 VIF131080:VIF131086 VSB131080:VSB131086 WBX131080:WBX131086 WLT131080:WLT131086 WVP131080:WVP131086 H196616:H196622 JD196616:JD196622 SZ196616:SZ196622 ACV196616:ACV196622 AMR196616:AMR196622 AWN196616:AWN196622 BGJ196616:BGJ196622 BQF196616:BQF196622 CAB196616:CAB196622 CJX196616:CJX196622 CTT196616:CTT196622 DDP196616:DDP196622 DNL196616:DNL196622 DXH196616:DXH196622 EHD196616:EHD196622 EQZ196616:EQZ196622 FAV196616:FAV196622 FKR196616:FKR196622 FUN196616:FUN196622 GEJ196616:GEJ196622 GOF196616:GOF196622 GYB196616:GYB196622 HHX196616:HHX196622 HRT196616:HRT196622 IBP196616:IBP196622 ILL196616:ILL196622 IVH196616:IVH196622 JFD196616:JFD196622 JOZ196616:JOZ196622 JYV196616:JYV196622 KIR196616:KIR196622 KSN196616:KSN196622 LCJ196616:LCJ196622 LMF196616:LMF196622 LWB196616:LWB196622 MFX196616:MFX196622 MPT196616:MPT196622 MZP196616:MZP196622 NJL196616:NJL196622 NTH196616:NTH196622 ODD196616:ODD196622 OMZ196616:OMZ196622 OWV196616:OWV196622 PGR196616:PGR196622 PQN196616:PQN196622 QAJ196616:QAJ196622 QKF196616:QKF196622 QUB196616:QUB196622 RDX196616:RDX196622 RNT196616:RNT196622 RXP196616:RXP196622 SHL196616:SHL196622 SRH196616:SRH196622 TBD196616:TBD196622 TKZ196616:TKZ196622 TUV196616:TUV196622 UER196616:UER196622 UON196616:UON196622 UYJ196616:UYJ196622 VIF196616:VIF196622 VSB196616:VSB196622 WBX196616:WBX196622 WLT196616:WLT196622 WVP196616:WVP196622 H262152:H262158 JD262152:JD262158 SZ262152:SZ262158 ACV262152:ACV262158 AMR262152:AMR262158 AWN262152:AWN262158 BGJ262152:BGJ262158 BQF262152:BQF262158 CAB262152:CAB262158 CJX262152:CJX262158 CTT262152:CTT262158 DDP262152:DDP262158 DNL262152:DNL262158 DXH262152:DXH262158 EHD262152:EHD262158 EQZ262152:EQZ262158 FAV262152:FAV262158 FKR262152:FKR262158 FUN262152:FUN262158 GEJ262152:GEJ262158 GOF262152:GOF262158 GYB262152:GYB262158 HHX262152:HHX262158 HRT262152:HRT262158 IBP262152:IBP262158 ILL262152:ILL262158 IVH262152:IVH262158 JFD262152:JFD262158 JOZ262152:JOZ262158 JYV262152:JYV262158 KIR262152:KIR262158 KSN262152:KSN262158 LCJ262152:LCJ262158 LMF262152:LMF262158 LWB262152:LWB262158 MFX262152:MFX262158 MPT262152:MPT262158 MZP262152:MZP262158 NJL262152:NJL262158 NTH262152:NTH262158 ODD262152:ODD262158 OMZ262152:OMZ262158 OWV262152:OWV262158 PGR262152:PGR262158 PQN262152:PQN262158 QAJ262152:QAJ262158 QKF262152:QKF262158 QUB262152:QUB262158 RDX262152:RDX262158 RNT262152:RNT262158 RXP262152:RXP262158 SHL262152:SHL262158 SRH262152:SRH262158 TBD262152:TBD262158 TKZ262152:TKZ262158 TUV262152:TUV262158 UER262152:UER262158 UON262152:UON262158 UYJ262152:UYJ262158 VIF262152:VIF262158 VSB262152:VSB262158 WBX262152:WBX262158 WLT262152:WLT262158 WVP262152:WVP262158 H327688:H327694 JD327688:JD327694 SZ327688:SZ327694 ACV327688:ACV327694 AMR327688:AMR327694 AWN327688:AWN327694 BGJ327688:BGJ327694 BQF327688:BQF327694 CAB327688:CAB327694 CJX327688:CJX327694 CTT327688:CTT327694 DDP327688:DDP327694 DNL327688:DNL327694 DXH327688:DXH327694 EHD327688:EHD327694 EQZ327688:EQZ327694 FAV327688:FAV327694 FKR327688:FKR327694 FUN327688:FUN327694 GEJ327688:GEJ327694 GOF327688:GOF327694 GYB327688:GYB327694 HHX327688:HHX327694 HRT327688:HRT327694 IBP327688:IBP327694 ILL327688:ILL327694 IVH327688:IVH327694 JFD327688:JFD327694 JOZ327688:JOZ327694 JYV327688:JYV327694 KIR327688:KIR327694 KSN327688:KSN327694 LCJ327688:LCJ327694 LMF327688:LMF327694 LWB327688:LWB327694 MFX327688:MFX327694 MPT327688:MPT327694 MZP327688:MZP327694 NJL327688:NJL327694 NTH327688:NTH327694 ODD327688:ODD327694 OMZ327688:OMZ327694 OWV327688:OWV327694 PGR327688:PGR327694 PQN327688:PQN327694 QAJ327688:QAJ327694 QKF327688:QKF327694 QUB327688:QUB327694 RDX327688:RDX327694 RNT327688:RNT327694 RXP327688:RXP327694 SHL327688:SHL327694 SRH327688:SRH327694 TBD327688:TBD327694 TKZ327688:TKZ327694 TUV327688:TUV327694 UER327688:UER327694 UON327688:UON327694 UYJ327688:UYJ327694 VIF327688:VIF327694 VSB327688:VSB327694 WBX327688:WBX327694 WLT327688:WLT327694 WVP327688:WVP327694 H393224:H393230 JD393224:JD393230 SZ393224:SZ393230 ACV393224:ACV393230 AMR393224:AMR393230 AWN393224:AWN393230 BGJ393224:BGJ393230 BQF393224:BQF393230 CAB393224:CAB393230 CJX393224:CJX393230 CTT393224:CTT393230 DDP393224:DDP393230 DNL393224:DNL393230 DXH393224:DXH393230 EHD393224:EHD393230 EQZ393224:EQZ393230 FAV393224:FAV393230 FKR393224:FKR393230 FUN393224:FUN393230 GEJ393224:GEJ393230 GOF393224:GOF393230 GYB393224:GYB393230 HHX393224:HHX393230 HRT393224:HRT393230 IBP393224:IBP393230 ILL393224:ILL393230 IVH393224:IVH393230 JFD393224:JFD393230 JOZ393224:JOZ393230 JYV393224:JYV393230 KIR393224:KIR393230 KSN393224:KSN393230 LCJ393224:LCJ393230 LMF393224:LMF393230 LWB393224:LWB393230 MFX393224:MFX393230 MPT393224:MPT393230 MZP393224:MZP393230 NJL393224:NJL393230 NTH393224:NTH393230 ODD393224:ODD393230 OMZ393224:OMZ393230 OWV393224:OWV393230 PGR393224:PGR393230 PQN393224:PQN393230 QAJ393224:QAJ393230 QKF393224:QKF393230 QUB393224:QUB393230 RDX393224:RDX393230 RNT393224:RNT393230 RXP393224:RXP393230 SHL393224:SHL393230 SRH393224:SRH393230 TBD393224:TBD393230 TKZ393224:TKZ393230 TUV393224:TUV393230 UER393224:UER393230 UON393224:UON393230 UYJ393224:UYJ393230 VIF393224:VIF393230 VSB393224:VSB393230 WBX393224:WBX393230 WLT393224:WLT393230 WVP393224:WVP393230 H458760:H458766 JD458760:JD458766 SZ458760:SZ458766 ACV458760:ACV458766 AMR458760:AMR458766 AWN458760:AWN458766 BGJ458760:BGJ458766 BQF458760:BQF458766 CAB458760:CAB458766 CJX458760:CJX458766 CTT458760:CTT458766 DDP458760:DDP458766 DNL458760:DNL458766 DXH458760:DXH458766 EHD458760:EHD458766 EQZ458760:EQZ458766 FAV458760:FAV458766 FKR458760:FKR458766 FUN458760:FUN458766 GEJ458760:GEJ458766 GOF458760:GOF458766 GYB458760:GYB458766 HHX458760:HHX458766 HRT458760:HRT458766 IBP458760:IBP458766 ILL458760:ILL458766 IVH458760:IVH458766 JFD458760:JFD458766 JOZ458760:JOZ458766 JYV458760:JYV458766 KIR458760:KIR458766 KSN458760:KSN458766 LCJ458760:LCJ458766 LMF458760:LMF458766 LWB458760:LWB458766 MFX458760:MFX458766 MPT458760:MPT458766 MZP458760:MZP458766 NJL458760:NJL458766 NTH458760:NTH458766 ODD458760:ODD458766 OMZ458760:OMZ458766 OWV458760:OWV458766 PGR458760:PGR458766 PQN458760:PQN458766 QAJ458760:QAJ458766 QKF458760:QKF458766 QUB458760:QUB458766 RDX458760:RDX458766 RNT458760:RNT458766 RXP458760:RXP458766 SHL458760:SHL458766 SRH458760:SRH458766 TBD458760:TBD458766 TKZ458760:TKZ458766 TUV458760:TUV458766 UER458760:UER458766 UON458760:UON458766 UYJ458760:UYJ458766 VIF458760:VIF458766 VSB458760:VSB458766 WBX458760:WBX458766 WLT458760:WLT458766 WVP458760:WVP458766 H524296:H524302 JD524296:JD524302 SZ524296:SZ524302 ACV524296:ACV524302 AMR524296:AMR524302 AWN524296:AWN524302 BGJ524296:BGJ524302 BQF524296:BQF524302 CAB524296:CAB524302 CJX524296:CJX524302 CTT524296:CTT524302 DDP524296:DDP524302 DNL524296:DNL524302 DXH524296:DXH524302 EHD524296:EHD524302 EQZ524296:EQZ524302 FAV524296:FAV524302 FKR524296:FKR524302 FUN524296:FUN524302 GEJ524296:GEJ524302 GOF524296:GOF524302 GYB524296:GYB524302 HHX524296:HHX524302 HRT524296:HRT524302 IBP524296:IBP524302 ILL524296:ILL524302 IVH524296:IVH524302 JFD524296:JFD524302 JOZ524296:JOZ524302 JYV524296:JYV524302 KIR524296:KIR524302 KSN524296:KSN524302 LCJ524296:LCJ524302 LMF524296:LMF524302 LWB524296:LWB524302 MFX524296:MFX524302 MPT524296:MPT524302 MZP524296:MZP524302 NJL524296:NJL524302 NTH524296:NTH524302 ODD524296:ODD524302 OMZ524296:OMZ524302 OWV524296:OWV524302 PGR524296:PGR524302 PQN524296:PQN524302 QAJ524296:QAJ524302 QKF524296:QKF524302 QUB524296:QUB524302 RDX524296:RDX524302 RNT524296:RNT524302 RXP524296:RXP524302 SHL524296:SHL524302 SRH524296:SRH524302 TBD524296:TBD524302 TKZ524296:TKZ524302 TUV524296:TUV524302 UER524296:UER524302 UON524296:UON524302 UYJ524296:UYJ524302 VIF524296:VIF524302 VSB524296:VSB524302 WBX524296:WBX524302 WLT524296:WLT524302 WVP524296:WVP524302 H589832:H589838 JD589832:JD589838 SZ589832:SZ589838 ACV589832:ACV589838 AMR589832:AMR589838 AWN589832:AWN589838 BGJ589832:BGJ589838 BQF589832:BQF589838 CAB589832:CAB589838 CJX589832:CJX589838 CTT589832:CTT589838 DDP589832:DDP589838 DNL589832:DNL589838 DXH589832:DXH589838 EHD589832:EHD589838 EQZ589832:EQZ589838 FAV589832:FAV589838 FKR589832:FKR589838 FUN589832:FUN589838 GEJ589832:GEJ589838 GOF589832:GOF589838 GYB589832:GYB589838 HHX589832:HHX589838 HRT589832:HRT589838 IBP589832:IBP589838 ILL589832:ILL589838 IVH589832:IVH589838 JFD589832:JFD589838 JOZ589832:JOZ589838 JYV589832:JYV589838 KIR589832:KIR589838 KSN589832:KSN589838 LCJ589832:LCJ589838 LMF589832:LMF589838 LWB589832:LWB589838 MFX589832:MFX589838 MPT589832:MPT589838 MZP589832:MZP589838 NJL589832:NJL589838 NTH589832:NTH589838 ODD589832:ODD589838 OMZ589832:OMZ589838 OWV589832:OWV589838 PGR589832:PGR589838 PQN589832:PQN589838 QAJ589832:QAJ589838 QKF589832:QKF589838 QUB589832:QUB589838 RDX589832:RDX589838 RNT589832:RNT589838 RXP589832:RXP589838 SHL589832:SHL589838 SRH589832:SRH589838 TBD589832:TBD589838 TKZ589832:TKZ589838 TUV589832:TUV589838 UER589832:UER589838 UON589832:UON589838 UYJ589832:UYJ589838 VIF589832:VIF589838 VSB589832:VSB589838 WBX589832:WBX589838 WLT589832:WLT589838 WVP589832:WVP589838 H655368:H655374 JD655368:JD655374 SZ655368:SZ655374 ACV655368:ACV655374 AMR655368:AMR655374 AWN655368:AWN655374 BGJ655368:BGJ655374 BQF655368:BQF655374 CAB655368:CAB655374 CJX655368:CJX655374 CTT655368:CTT655374 DDP655368:DDP655374 DNL655368:DNL655374 DXH655368:DXH655374 EHD655368:EHD655374 EQZ655368:EQZ655374 FAV655368:FAV655374 FKR655368:FKR655374 FUN655368:FUN655374 GEJ655368:GEJ655374 GOF655368:GOF655374 GYB655368:GYB655374 HHX655368:HHX655374 HRT655368:HRT655374 IBP655368:IBP655374 ILL655368:ILL655374 IVH655368:IVH655374 JFD655368:JFD655374 JOZ655368:JOZ655374 JYV655368:JYV655374 KIR655368:KIR655374 KSN655368:KSN655374 LCJ655368:LCJ655374 LMF655368:LMF655374 LWB655368:LWB655374 MFX655368:MFX655374 MPT655368:MPT655374 MZP655368:MZP655374 NJL655368:NJL655374 NTH655368:NTH655374 ODD655368:ODD655374 OMZ655368:OMZ655374 OWV655368:OWV655374 PGR655368:PGR655374 PQN655368:PQN655374 QAJ655368:QAJ655374 QKF655368:QKF655374 QUB655368:QUB655374 RDX655368:RDX655374 RNT655368:RNT655374 RXP655368:RXP655374 SHL655368:SHL655374 SRH655368:SRH655374 TBD655368:TBD655374 TKZ655368:TKZ655374 TUV655368:TUV655374 UER655368:UER655374 UON655368:UON655374 UYJ655368:UYJ655374 VIF655368:VIF655374 VSB655368:VSB655374 WBX655368:WBX655374 WLT655368:WLT655374 WVP655368:WVP655374 H720904:H720910 JD720904:JD720910 SZ720904:SZ720910 ACV720904:ACV720910 AMR720904:AMR720910 AWN720904:AWN720910 BGJ720904:BGJ720910 BQF720904:BQF720910 CAB720904:CAB720910 CJX720904:CJX720910 CTT720904:CTT720910 DDP720904:DDP720910 DNL720904:DNL720910 DXH720904:DXH720910 EHD720904:EHD720910 EQZ720904:EQZ720910 FAV720904:FAV720910 FKR720904:FKR720910 FUN720904:FUN720910 GEJ720904:GEJ720910 GOF720904:GOF720910 GYB720904:GYB720910 HHX720904:HHX720910 HRT720904:HRT720910 IBP720904:IBP720910 ILL720904:ILL720910 IVH720904:IVH720910 JFD720904:JFD720910 JOZ720904:JOZ720910 JYV720904:JYV720910 KIR720904:KIR720910 KSN720904:KSN720910 LCJ720904:LCJ720910 LMF720904:LMF720910 LWB720904:LWB720910 MFX720904:MFX720910 MPT720904:MPT720910 MZP720904:MZP720910 NJL720904:NJL720910 NTH720904:NTH720910 ODD720904:ODD720910 OMZ720904:OMZ720910 OWV720904:OWV720910 PGR720904:PGR720910 PQN720904:PQN720910 QAJ720904:QAJ720910 QKF720904:QKF720910 QUB720904:QUB720910 RDX720904:RDX720910 RNT720904:RNT720910 RXP720904:RXP720910 SHL720904:SHL720910 SRH720904:SRH720910 TBD720904:TBD720910 TKZ720904:TKZ720910 TUV720904:TUV720910 UER720904:UER720910 UON720904:UON720910 UYJ720904:UYJ720910 VIF720904:VIF720910 VSB720904:VSB720910 WBX720904:WBX720910 WLT720904:WLT720910 WVP720904:WVP720910 H786440:H786446 JD786440:JD786446 SZ786440:SZ786446 ACV786440:ACV786446 AMR786440:AMR786446 AWN786440:AWN786446 BGJ786440:BGJ786446 BQF786440:BQF786446 CAB786440:CAB786446 CJX786440:CJX786446 CTT786440:CTT786446 DDP786440:DDP786446 DNL786440:DNL786446 DXH786440:DXH786446 EHD786440:EHD786446 EQZ786440:EQZ786446 FAV786440:FAV786446 FKR786440:FKR786446 FUN786440:FUN786446 GEJ786440:GEJ786446 GOF786440:GOF786446 GYB786440:GYB786446 HHX786440:HHX786446 HRT786440:HRT786446 IBP786440:IBP786446 ILL786440:ILL786446 IVH786440:IVH786446 JFD786440:JFD786446 JOZ786440:JOZ786446 JYV786440:JYV786446 KIR786440:KIR786446 KSN786440:KSN786446 LCJ786440:LCJ786446 LMF786440:LMF786446 LWB786440:LWB786446 MFX786440:MFX786446 MPT786440:MPT786446 MZP786440:MZP786446 NJL786440:NJL786446 NTH786440:NTH786446 ODD786440:ODD786446 OMZ786440:OMZ786446 OWV786440:OWV786446 PGR786440:PGR786446 PQN786440:PQN786446 QAJ786440:QAJ786446 QKF786440:QKF786446 QUB786440:QUB786446 RDX786440:RDX786446 RNT786440:RNT786446 RXP786440:RXP786446 SHL786440:SHL786446 SRH786440:SRH786446 TBD786440:TBD786446 TKZ786440:TKZ786446 TUV786440:TUV786446 UER786440:UER786446 UON786440:UON786446 UYJ786440:UYJ786446 VIF786440:VIF786446 VSB786440:VSB786446 WBX786440:WBX786446 WLT786440:WLT786446 WVP786440:WVP786446 H851976:H851982 JD851976:JD851982 SZ851976:SZ851982 ACV851976:ACV851982 AMR851976:AMR851982 AWN851976:AWN851982 BGJ851976:BGJ851982 BQF851976:BQF851982 CAB851976:CAB851982 CJX851976:CJX851982 CTT851976:CTT851982 DDP851976:DDP851982 DNL851976:DNL851982 DXH851976:DXH851982 EHD851976:EHD851982 EQZ851976:EQZ851982 FAV851976:FAV851982 FKR851976:FKR851982 FUN851976:FUN851982 GEJ851976:GEJ851982 GOF851976:GOF851982 GYB851976:GYB851982 HHX851976:HHX851982 HRT851976:HRT851982 IBP851976:IBP851982 ILL851976:ILL851982 IVH851976:IVH851982 JFD851976:JFD851982 JOZ851976:JOZ851982 JYV851976:JYV851982 KIR851976:KIR851982 KSN851976:KSN851982 LCJ851976:LCJ851982 LMF851976:LMF851982 LWB851976:LWB851982 MFX851976:MFX851982 MPT851976:MPT851982 MZP851976:MZP851982 NJL851976:NJL851982 NTH851976:NTH851982 ODD851976:ODD851982 OMZ851976:OMZ851982 OWV851976:OWV851982 PGR851976:PGR851982 PQN851976:PQN851982 QAJ851976:QAJ851982 QKF851976:QKF851982 QUB851976:QUB851982 RDX851976:RDX851982 RNT851976:RNT851982 RXP851976:RXP851982 SHL851976:SHL851982 SRH851976:SRH851982 TBD851976:TBD851982 TKZ851976:TKZ851982 TUV851976:TUV851982 UER851976:UER851982 UON851976:UON851982 UYJ851976:UYJ851982 VIF851976:VIF851982 VSB851976:VSB851982 WBX851976:WBX851982 WLT851976:WLT851982 WVP851976:WVP851982 H917512:H917518 JD917512:JD917518 SZ917512:SZ917518 ACV917512:ACV917518 AMR917512:AMR917518 AWN917512:AWN917518 BGJ917512:BGJ917518 BQF917512:BQF917518 CAB917512:CAB917518 CJX917512:CJX917518 CTT917512:CTT917518 DDP917512:DDP917518 DNL917512:DNL917518 DXH917512:DXH917518 EHD917512:EHD917518 EQZ917512:EQZ917518 FAV917512:FAV917518 FKR917512:FKR917518 FUN917512:FUN917518 GEJ917512:GEJ917518 GOF917512:GOF917518 GYB917512:GYB917518 HHX917512:HHX917518 HRT917512:HRT917518 IBP917512:IBP917518 ILL917512:ILL917518 IVH917512:IVH917518 JFD917512:JFD917518 JOZ917512:JOZ917518 JYV917512:JYV917518 KIR917512:KIR917518 KSN917512:KSN917518 LCJ917512:LCJ917518 LMF917512:LMF917518 LWB917512:LWB917518 MFX917512:MFX917518 MPT917512:MPT917518 MZP917512:MZP917518 NJL917512:NJL917518 NTH917512:NTH917518 ODD917512:ODD917518 OMZ917512:OMZ917518 OWV917512:OWV917518 PGR917512:PGR917518 PQN917512:PQN917518 QAJ917512:QAJ917518 QKF917512:QKF917518 QUB917512:QUB917518 RDX917512:RDX917518 RNT917512:RNT917518 RXP917512:RXP917518 SHL917512:SHL917518 SRH917512:SRH917518 TBD917512:TBD917518 TKZ917512:TKZ917518 TUV917512:TUV917518 UER917512:UER917518 UON917512:UON917518 UYJ917512:UYJ917518 VIF917512:VIF917518 VSB917512:VSB917518 WBX917512:WBX917518 WLT917512:WLT917518 WVP917512:WVP917518 H983048:H983054 JD983048:JD983054 SZ983048:SZ983054 ACV983048:ACV983054 AMR983048:AMR983054 AWN983048:AWN983054 BGJ983048:BGJ983054 BQF983048:BQF983054 CAB983048:CAB983054 CJX983048:CJX983054 CTT983048:CTT983054 DDP983048:DDP983054 DNL983048:DNL983054 DXH983048:DXH983054 EHD983048:EHD983054 EQZ983048:EQZ983054 FAV983048:FAV983054 FKR983048:FKR983054 FUN983048:FUN983054 GEJ983048:GEJ983054 GOF983048:GOF983054 GYB983048:GYB983054 HHX983048:HHX983054 HRT983048:HRT983054 IBP983048:IBP983054 ILL983048:ILL983054 IVH983048:IVH983054 JFD983048:JFD983054 JOZ983048:JOZ983054 JYV983048:JYV983054 KIR983048:KIR983054 KSN983048:KSN983054 LCJ983048:LCJ983054 LMF983048:LMF983054 LWB983048:LWB983054 MFX983048:MFX983054 MPT983048:MPT983054 MZP983048:MZP983054 NJL983048:NJL983054 NTH983048:NTH983054 ODD983048:ODD983054 OMZ983048:OMZ983054 OWV983048:OWV983054 PGR983048:PGR983054 PQN983048:PQN983054 QAJ983048:QAJ983054 QKF983048:QKF983054 QUB983048:QUB983054 RDX983048:RDX983054 RNT983048:RNT983054 RXP983048:RXP983054 SHL983048:SHL983054 SRH983048:SRH983054 TBD983048:TBD983054 TKZ983048:TKZ983054 TUV983048:TUV983054 UER983048:UER983054 UON983048:UON983054 UYJ983048:UYJ983054 VIF983048:VIF983054 VSB983048:VSB983054 WBX983048:WBX983054 WLT983048:WLT983054 WVP983048:WVP983054 ACV8:ACV14 SZ8:SZ14 JD8:JD14 AMR8:AMR14 WVP8:WVP14 WLT8:WLT14 WBX8:WBX14 VSB8:VSB14 VIF8:VIF14 UYJ8:UYJ14 UON8:UON14 UER8:UER14 TUV8:TUV14 TKZ8:TKZ14 TBD8:TBD14 SRH8:SRH14 SHL8:SHL14 RXP8:RXP14 RNT8:RNT14 RDX8:RDX14 QUB8:QUB14 QKF8:QKF14 QAJ8:QAJ14 PQN8:PQN14 PGR8:PGR14 OWV8:OWV14 OMZ8:OMZ14 ODD8:ODD14 NTH8:NTH14 NJL8:NJL14 MZP8:MZP14 MPT8:MPT14 MFX8:MFX14 LWB8:LWB14 LMF8:LMF14 LCJ8:LCJ14 KSN8:KSN14 KIR8:KIR14 JYV8:JYV14 JOZ8:JOZ14 JFD8:JFD14 IVH8:IVH14 ILL8:ILL14 IBP8:IBP14 HRT8:HRT14 HHX8:HHX14 GYB8:GYB14 GOF8:GOF14 GEJ8:GEJ14 FUN8:FUN14 FKR8:FKR14 FAV8:FAV14 EQZ8:EQZ14 EHD8:EHD14 DXH8:DXH14 DNL8:DNL14 DDP8:DDP14 CTT8:CTT14 CJX8:CJX14 CAB8:CAB14 BQF8:BQF14 BGJ8:BGJ14 AWN8:AWN14 H8:H14">
      <formula1>$AI$1:$AI$3</formula1>
    </dataValidation>
    <dataValidation type="list" allowBlank="1" showInputMessage="1" showErrorMessage="1" sqref="G65544:G65550 G8:G14 ACU8:ACU14 AMQ8:AMQ14 AWM8:AWM14 BGI8:BGI14 BQE8:BQE14 CAA8:CAA14 CJW8:CJW14 CTS8:CTS14 DDO8:DDO14 DNK8:DNK14 DXG8:DXG14 EHC8:EHC14 EQY8:EQY14 FAU8:FAU14 FKQ8:FKQ14 FUM8:FUM14 GEI8:GEI14 GOE8:GOE14 GYA8:GYA14 HHW8:HHW14 HRS8:HRS14 IBO8:IBO14 ILK8:ILK14 IVG8:IVG14 JFC8:JFC14 JOY8:JOY14 JYU8:JYU14 KIQ8:KIQ14 KSM8:KSM14 LCI8:LCI14 LME8:LME14 LWA8:LWA14 MFW8:MFW14 MPS8:MPS14 MZO8:MZO14 NJK8:NJK14 NTG8:NTG14 ODC8:ODC14 OMY8:OMY14 OWU8:OWU14 PGQ8:PGQ14 PQM8:PQM14 QAI8:QAI14 QKE8:QKE14 QUA8:QUA14 RDW8:RDW14 RNS8:RNS14 RXO8:RXO14 SHK8:SHK14 SRG8:SRG14 TBC8:TBC14 TKY8:TKY14 TUU8:TUU14 UEQ8:UEQ14 UOM8:UOM14 UYI8:UYI14 VIE8:VIE14 VSA8:VSA14 WBW8:WBW14 WLS8:WLS14 WVO8:WVO14 JC8:JC14 WVO983048:WVO983054 JC65544:JC65550 SY65544:SY65550 ACU65544:ACU65550 AMQ65544:AMQ65550 AWM65544:AWM65550 BGI65544:BGI65550 BQE65544:BQE65550 CAA65544:CAA65550 CJW65544:CJW65550 CTS65544:CTS65550 DDO65544:DDO65550 DNK65544:DNK65550 DXG65544:DXG65550 EHC65544:EHC65550 EQY65544:EQY65550 FAU65544:FAU65550 FKQ65544:FKQ65550 FUM65544:FUM65550 GEI65544:GEI65550 GOE65544:GOE65550 GYA65544:GYA65550 HHW65544:HHW65550 HRS65544:HRS65550 IBO65544:IBO65550 ILK65544:ILK65550 IVG65544:IVG65550 JFC65544:JFC65550 JOY65544:JOY65550 JYU65544:JYU65550 KIQ65544:KIQ65550 KSM65544:KSM65550 LCI65544:LCI65550 LME65544:LME65550 LWA65544:LWA65550 MFW65544:MFW65550 MPS65544:MPS65550 MZO65544:MZO65550 NJK65544:NJK65550 NTG65544:NTG65550 ODC65544:ODC65550 OMY65544:OMY65550 OWU65544:OWU65550 PGQ65544:PGQ65550 PQM65544:PQM65550 QAI65544:QAI65550 QKE65544:QKE65550 QUA65544:QUA65550 RDW65544:RDW65550 RNS65544:RNS65550 RXO65544:RXO65550 SHK65544:SHK65550 SRG65544:SRG65550 TBC65544:TBC65550 TKY65544:TKY65550 TUU65544:TUU65550 UEQ65544:UEQ65550 UOM65544:UOM65550 UYI65544:UYI65550 VIE65544:VIE65550 VSA65544:VSA65550 WBW65544:WBW65550 WLS65544:WLS65550 WVO65544:WVO65550 G131080:G131086 JC131080:JC131086 SY131080:SY131086 ACU131080:ACU131086 AMQ131080:AMQ131086 AWM131080:AWM131086 BGI131080:BGI131086 BQE131080:BQE131086 CAA131080:CAA131086 CJW131080:CJW131086 CTS131080:CTS131086 DDO131080:DDO131086 DNK131080:DNK131086 DXG131080:DXG131086 EHC131080:EHC131086 EQY131080:EQY131086 FAU131080:FAU131086 FKQ131080:FKQ131086 FUM131080:FUM131086 GEI131080:GEI131086 GOE131080:GOE131086 GYA131080:GYA131086 HHW131080:HHW131086 HRS131080:HRS131086 IBO131080:IBO131086 ILK131080:ILK131086 IVG131080:IVG131086 JFC131080:JFC131086 JOY131080:JOY131086 JYU131080:JYU131086 KIQ131080:KIQ131086 KSM131080:KSM131086 LCI131080:LCI131086 LME131080:LME131086 LWA131080:LWA131086 MFW131080:MFW131086 MPS131080:MPS131086 MZO131080:MZO131086 NJK131080:NJK131086 NTG131080:NTG131086 ODC131080:ODC131086 OMY131080:OMY131086 OWU131080:OWU131086 PGQ131080:PGQ131086 PQM131080:PQM131086 QAI131080:QAI131086 QKE131080:QKE131086 QUA131080:QUA131086 RDW131080:RDW131086 RNS131080:RNS131086 RXO131080:RXO131086 SHK131080:SHK131086 SRG131080:SRG131086 TBC131080:TBC131086 TKY131080:TKY131086 TUU131080:TUU131086 UEQ131080:UEQ131086 UOM131080:UOM131086 UYI131080:UYI131086 VIE131080:VIE131086 VSA131080:VSA131086 WBW131080:WBW131086 WLS131080:WLS131086 WVO131080:WVO131086 G196616:G196622 JC196616:JC196622 SY196616:SY196622 ACU196616:ACU196622 AMQ196616:AMQ196622 AWM196616:AWM196622 BGI196616:BGI196622 BQE196616:BQE196622 CAA196616:CAA196622 CJW196616:CJW196622 CTS196616:CTS196622 DDO196616:DDO196622 DNK196616:DNK196622 DXG196616:DXG196622 EHC196616:EHC196622 EQY196616:EQY196622 FAU196616:FAU196622 FKQ196616:FKQ196622 FUM196616:FUM196622 GEI196616:GEI196622 GOE196616:GOE196622 GYA196616:GYA196622 HHW196616:HHW196622 HRS196616:HRS196622 IBO196616:IBO196622 ILK196616:ILK196622 IVG196616:IVG196622 JFC196616:JFC196622 JOY196616:JOY196622 JYU196616:JYU196622 KIQ196616:KIQ196622 KSM196616:KSM196622 LCI196616:LCI196622 LME196616:LME196622 LWA196616:LWA196622 MFW196616:MFW196622 MPS196616:MPS196622 MZO196616:MZO196622 NJK196616:NJK196622 NTG196616:NTG196622 ODC196616:ODC196622 OMY196616:OMY196622 OWU196616:OWU196622 PGQ196616:PGQ196622 PQM196616:PQM196622 QAI196616:QAI196622 QKE196616:QKE196622 QUA196616:QUA196622 RDW196616:RDW196622 RNS196616:RNS196622 RXO196616:RXO196622 SHK196616:SHK196622 SRG196616:SRG196622 TBC196616:TBC196622 TKY196616:TKY196622 TUU196616:TUU196622 UEQ196616:UEQ196622 UOM196616:UOM196622 UYI196616:UYI196622 VIE196616:VIE196622 VSA196616:VSA196622 WBW196616:WBW196622 WLS196616:WLS196622 WVO196616:WVO196622 G262152:G262158 JC262152:JC262158 SY262152:SY262158 ACU262152:ACU262158 AMQ262152:AMQ262158 AWM262152:AWM262158 BGI262152:BGI262158 BQE262152:BQE262158 CAA262152:CAA262158 CJW262152:CJW262158 CTS262152:CTS262158 DDO262152:DDO262158 DNK262152:DNK262158 DXG262152:DXG262158 EHC262152:EHC262158 EQY262152:EQY262158 FAU262152:FAU262158 FKQ262152:FKQ262158 FUM262152:FUM262158 GEI262152:GEI262158 GOE262152:GOE262158 GYA262152:GYA262158 HHW262152:HHW262158 HRS262152:HRS262158 IBO262152:IBO262158 ILK262152:ILK262158 IVG262152:IVG262158 JFC262152:JFC262158 JOY262152:JOY262158 JYU262152:JYU262158 KIQ262152:KIQ262158 KSM262152:KSM262158 LCI262152:LCI262158 LME262152:LME262158 LWA262152:LWA262158 MFW262152:MFW262158 MPS262152:MPS262158 MZO262152:MZO262158 NJK262152:NJK262158 NTG262152:NTG262158 ODC262152:ODC262158 OMY262152:OMY262158 OWU262152:OWU262158 PGQ262152:PGQ262158 PQM262152:PQM262158 QAI262152:QAI262158 QKE262152:QKE262158 QUA262152:QUA262158 RDW262152:RDW262158 RNS262152:RNS262158 RXO262152:RXO262158 SHK262152:SHK262158 SRG262152:SRG262158 TBC262152:TBC262158 TKY262152:TKY262158 TUU262152:TUU262158 UEQ262152:UEQ262158 UOM262152:UOM262158 UYI262152:UYI262158 VIE262152:VIE262158 VSA262152:VSA262158 WBW262152:WBW262158 WLS262152:WLS262158 WVO262152:WVO262158 G327688:G327694 JC327688:JC327694 SY327688:SY327694 ACU327688:ACU327694 AMQ327688:AMQ327694 AWM327688:AWM327694 BGI327688:BGI327694 BQE327688:BQE327694 CAA327688:CAA327694 CJW327688:CJW327694 CTS327688:CTS327694 DDO327688:DDO327694 DNK327688:DNK327694 DXG327688:DXG327694 EHC327688:EHC327694 EQY327688:EQY327694 FAU327688:FAU327694 FKQ327688:FKQ327694 FUM327688:FUM327694 GEI327688:GEI327694 GOE327688:GOE327694 GYA327688:GYA327694 HHW327688:HHW327694 HRS327688:HRS327694 IBO327688:IBO327694 ILK327688:ILK327694 IVG327688:IVG327694 JFC327688:JFC327694 JOY327688:JOY327694 JYU327688:JYU327694 KIQ327688:KIQ327694 KSM327688:KSM327694 LCI327688:LCI327694 LME327688:LME327694 LWA327688:LWA327694 MFW327688:MFW327694 MPS327688:MPS327694 MZO327688:MZO327694 NJK327688:NJK327694 NTG327688:NTG327694 ODC327688:ODC327694 OMY327688:OMY327694 OWU327688:OWU327694 PGQ327688:PGQ327694 PQM327688:PQM327694 QAI327688:QAI327694 QKE327688:QKE327694 QUA327688:QUA327694 RDW327688:RDW327694 RNS327688:RNS327694 RXO327688:RXO327694 SHK327688:SHK327694 SRG327688:SRG327694 TBC327688:TBC327694 TKY327688:TKY327694 TUU327688:TUU327694 UEQ327688:UEQ327694 UOM327688:UOM327694 UYI327688:UYI327694 VIE327688:VIE327694 VSA327688:VSA327694 WBW327688:WBW327694 WLS327688:WLS327694 WVO327688:WVO327694 G393224:G393230 JC393224:JC393230 SY393224:SY393230 ACU393224:ACU393230 AMQ393224:AMQ393230 AWM393224:AWM393230 BGI393224:BGI393230 BQE393224:BQE393230 CAA393224:CAA393230 CJW393224:CJW393230 CTS393224:CTS393230 DDO393224:DDO393230 DNK393224:DNK393230 DXG393224:DXG393230 EHC393224:EHC393230 EQY393224:EQY393230 FAU393224:FAU393230 FKQ393224:FKQ393230 FUM393224:FUM393230 GEI393224:GEI393230 GOE393224:GOE393230 GYA393224:GYA393230 HHW393224:HHW393230 HRS393224:HRS393230 IBO393224:IBO393230 ILK393224:ILK393230 IVG393224:IVG393230 JFC393224:JFC393230 JOY393224:JOY393230 JYU393224:JYU393230 KIQ393224:KIQ393230 KSM393224:KSM393230 LCI393224:LCI393230 LME393224:LME393230 LWA393224:LWA393230 MFW393224:MFW393230 MPS393224:MPS393230 MZO393224:MZO393230 NJK393224:NJK393230 NTG393224:NTG393230 ODC393224:ODC393230 OMY393224:OMY393230 OWU393224:OWU393230 PGQ393224:PGQ393230 PQM393224:PQM393230 QAI393224:QAI393230 QKE393224:QKE393230 QUA393224:QUA393230 RDW393224:RDW393230 RNS393224:RNS393230 RXO393224:RXO393230 SHK393224:SHK393230 SRG393224:SRG393230 TBC393224:TBC393230 TKY393224:TKY393230 TUU393224:TUU393230 UEQ393224:UEQ393230 UOM393224:UOM393230 UYI393224:UYI393230 VIE393224:VIE393230 VSA393224:VSA393230 WBW393224:WBW393230 WLS393224:WLS393230 WVO393224:WVO393230 G458760:G458766 JC458760:JC458766 SY458760:SY458766 ACU458760:ACU458766 AMQ458760:AMQ458766 AWM458760:AWM458766 BGI458760:BGI458766 BQE458760:BQE458766 CAA458760:CAA458766 CJW458760:CJW458766 CTS458760:CTS458766 DDO458760:DDO458766 DNK458760:DNK458766 DXG458760:DXG458766 EHC458760:EHC458766 EQY458760:EQY458766 FAU458760:FAU458766 FKQ458760:FKQ458766 FUM458760:FUM458766 GEI458760:GEI458766 GOE458760:GOE458766 GYA458760:GYA458766 HHW458760:HHW458766 HRS458760:HRS458766 IBO458760:IBO458766 ILK458760:ILK458766 IVG458760:IVG458766 JFC458760:JFC458766 JOY458760:JOY458766 JYU458760:JYU458766 KIQ458760:KIQ458766 KSM458760:KSM458766 LCI458760:LCI458766 LME458760:LME458766 LWA458760:LWA458766 MFW458760:MFW458766 MPS458760:MPS458766 MZO458760:MZO458766 NJK458760:NJK458766 NTG458760:NTG458766 ODC458760:ODC458766 OMY458760:OMY458766 OWU458760:OWU458766 PGQ458760:PGQ458766 PQM458760:PQM458766 QAI458760:QAI458766 QKE458760:QKE458766 QUA458760:QUA458766 RDW458760:RDW458766 RNS458760:RNS458766 RXO458760:RXO458766 SHK458760:SHK458766 SRG458760:SRG458766 TBC458760:TBC458766 TKY458760:TKY458766 TUU458760:TUU458766 UEQ458760:UEQ458766 UOM458760:UOM458766 UYI458760:UYI458766 VIE458760:VIE458766 VSA458760:VSA458766 WBW458760:WBW458766 WLS458760:WLS458766 WVO458760:WVO458766 G524296:G524302 JC524296:JC524302 SY524296:SY524302 ACU524296:ACU524302 AMQ524296:AMQ524302 AWM524296:AWM524302 BGI524296:BGI524302 BQE524296:BQE524302 CAA524296:CAA524302 CJW524296:CJW524302 CTS524296:CTS524302 DDO524296:DDO524302 DNK524296:DNK524302 DXG524296:DXG524302 EHC524296:EHC524302 EQY524296:EQY524302 FAU524296:FAU524302 FKQ524296:FKQ524302 FUM524296:FUM524302 GEI524296:GEI524302 GOE524296:GOE524302 GYA524296:GYA524302 HHW524296:HHW524302 HRS524296:HRS524302 IBO524296:IBO524302 ILK524296:ILK524302 IVG524296:IVG524302 JFC524296:JFC524302 JOY524296:JOY524302 JYU524296:JYU524302 KIQ524296:KIQ524302 KSM524296:KSM524302 LCI524296:LCI524302 LME524296:LME524302 LWA524296:LWA524302 MFW524296:MFW524302 MPS524296:MPS524302 MZO524296:MZO524302 NJK524296:NJK524302 NTG524296:NTG524302 ODC524296:ODC524302 OMY524296:OMY524302 OWU524296:OWU524302 PGQ524296:PGQ524302 PQM524296:PQM524302 QAI524296:QAI524302 QKE524296:QKE524302 QUA524296:QUA524302 RDW524296:RDW524302 RNS524296:RNS524302 RXO524296:RXO524302 SHK524296:SHK524302 SRG524296:SRG524302 TBC524296:TBC524302 TKY524296:TKY524302 TUU524296:TUU524302 UEQ524296:UEQ524302 UOM524296:UOM524302 UYI524296:UYI524302 VIE524296:VIE524302 VSA524296:VSA524302 WBW524296:WBW524302 WLS524296:WLS524302 WVO524296:WVO524302 G589832:G589838 JC589832:JC589838 SY589832:SY589838 ACU589832:ACU589838 AMQ589832:AMQ589838 AWM589832:AWM589838 BGI589832:BGI589838 BQE589832:BQE589838 CAA589832:CAA589838 CJW589832:CJW589838 CTS589832:CTS589838 DDO589832:DDO589838 DNK589832:DNK589838 DXG589832:DXG589838 EHC589832:EHC589838 EQY589832:EQY589838 FAU589832:FAU589838 FKQ589832:FKQ589838 FUM589832:FUM589838 GEI589832:GEI589838 GOE589832:GOE589838 GYA589832:GYA589838 HHW589832:HHW589838 HRS589832:HRS589838 IBO589832:IBO589838 ILK589832:ILK589838 IVG589832:IVG589838 JFC589832:JFC589838 JOY589832:JOY589838 JYU589832:JYU589838 KIQ589832:KIQ589838 KSM589832:KSM589838 LCI589832:LCI589838 LME589832:LME589838 LWA589832:LWA589838 MFW589832:MFW589838 MPS589832:MPS589838 MZO589832:MZO589838 NJK589832:NJK589838 NTG589832:NTG589838 ODC589832:ODC589838 OMY589832:OMY589838 OWU589832:OWU589838 PGQ589832:PGQ589838 PQM589832:PQM589838 QAI589832:QAI589838 QKE589832:QKE589838 QUA589832:QUA589838 RDW589832:RDW589838 RNS589832:RNS589838 RXO589832:RXO589838 SHK589832:SHK589838 SRG589832:SRG589838 TBC589832:TBC589838 TKY589832:TKY589838 TUU589832:TUU589838 UEQ589832:UEQ589838 UOM589832:UOM589838 UYI589832:UYI589838 VIE589832:VIE589838 VSA589832:VSA589838 WBW589832:WBW589838 WLS589832:WLS589838 WVO589832:WVO589838 G655368:G655374 JC655368:JC655374 SY655368:SY655374 ACU655368:ACU655374 AMQ655368:AMQ655374 AWM655368:AWM655374 BGI655368:BGI655374 BQE655368:BQE655374 CAA655368:CAA655374 CJW655368:CJW655374 CTS655368:CTS655374 DDO655368:DDO655374 DNK655368:DNK655374 DXG655368:DXG655374 EHC655368:EHC655374 EQY655368:EQY655374 FAU655368:FAU655374 FKQ655368:FKQ655374 FUM655368:FUM655374 GEI655368:GEI655374 GOE655368:GOE655374 GYA655368:GYA655374 HHW655368:HHW655374 HRS655368:HRS655374 IBO655368:IBO655374 ILK655368:ILK655374 IVG655368:IVG655374 JFC655368:JFC655374 JOY655368:JOY655374 JYU655368:JYU655374 KIQ655368:KIQ655374 KSM655368:KSM655374 LCI655368:LCI655374 LME655368:LME655374 LWA655368:LWA655374 MFW655368:MFW655374 MPS655368:MPS655374 MZO655368:MZO655374 NJK655368:NJK655374 NTG655368:NTG655374 ODC655368:ODC655374 OMY655368:OMY655374 OWU655368:OWU655374 PGQ655368:PGQ655374 PQM655368:PQM655374 QAI655368:QAI655374 QKE655368:QKE655374 QUA655368:QUA655374 RDW655368:RDW655374 RNS655368:RNS655374 RXO655368:RXO655374 SHK655368:SHK655374 SRG655368:SRG655374 TBC655368:TBC655374 TKY655368:TKY655374 TUU655368:TUU655374 UEQ655368:UEQ655374 UOM655368:UOM655374 UYI655368:UYI655374 VIE655368:VIE655374 VSA655368:VSA655374 WBW655368:WBW655374 WLS655368:WLS655374 WVO655368:WVO655374 G720904:G720910 JC720904:JC720910 SY720904:SY720910 ACU720904:ACU720910 AMQ720904:AMQ720910 AWM720904:AWM720910 BGI720904:BGI720910 BQE720904:BQE720910 CAA720904:CAA720910 CJW720904:CJW720910 CTS720904:CTS720910 DDO720904:DDO720910 DNK720904:DNK720910 DXG720904:DXG720910 EHC720904:EHC720910 EQY720904:EQY720910 FAU720904:FAU720910 FKQ720904:FKQ720910 FUM720904:FUM720910 GEI720904:GEI720910 GOE720904:GOE720910 GYA720904:GYA720910 HHW720904:HHW720910 HRS720904:HRS720910 IBO720904:IBO720910 ILK720904:ILK720910 IVG720904:IVG720910 JFC720904:JFC720910 JOY720904:JOY720910 JYU720904:JYU720910 KIQ720904:KIQ720910 KSM720904:KSM720910 LCI720904:LCI720910 LME720904:LME720910 LWA720904:LWA720910 MFW720904:MFW720910 MPS720904:MPS720910 MZO720904:MZO720910 NJK720904:NJK720910 NTG720904:NTG720910 ODC720904:ODC720910 OMY720904:OMY720910 OWU720904:OWU720910 PGQ720904:PGQ720910 PQM720904:PQM720910 QAI720904:QAI720910 QKE720904:QKE720910 QUA720904:QUA720910 RDW720904:RDW720910 RNS720904:RNS720910 RXO720904:RXO720910 SHK720904:SHK720910 SRG720904:SRG720910 TBC720904:TBC720910 TKY720904:TKY720910 TUU720904:TUU720910 UEQ720904:UEQ720910 UOM720904:UOM720910 UYI720904:UYI720910 VIE720904:VIE720910 VSA720904:VSA720910 WBW720904:WBW720910 WLS720904:WLS720910 WVO720904:WVO720910 G786440:G786446 JC786440:JC786446 SY786440:SY786446 ACU786440:ACU786446 AMQ786440:AMQ786446 AWM786440:AWM786446 BGI786440:BGI786446 BQE786440:BQE786446 CAA786440:CAA786446 CJW786440:CJW786446 CTS786440:CTS786446 DDO786440:DDO786446 DNK786440:DNK786446 DXG786440:DXG786446 EHC786440:EHC786446 EQY786440:EQY786446 FAU786440:FAU786446 FKQ786440:FKQ786446 FUM786440:FUM786446 GEI786440:GEI786446 GOE786440:GOE786446 GYA786440:GYA786446 HHW786440:HHW786446 HRS786440:HRS786446 IBO786440:IBO786446 ILK786440:ILK786446 IVG786440:IVG786446 JFC786440:JFC786446 JOY786440:JOY786446 JYU786440:JYU786446 KIQ786440:KIQ786446 KSM786440:KSM786446 LCI786440:LCI786446 LME786440:LME786446 LWA786440:LWA786446 MFW786440:MFW786446 MPS786440:MPS786446 MZO786440:MZO786446 NJK786440:NJK786446 NTG786440:NTG786446 ODC786440:ODC786446 OMY786440:OMY786446 OWU786440:OWU786446 PGQ786440:PGQ786446 PQM786440:PQM786446 QAI786440:QAI786446 QKE786440:QKE786446 QUA786440:QUA786446 RDW786440:RDW786446 RNS786440:RNS786446 RXO786440:RXO786446 SHK786440:SHK786446 SRG786440:SRG786446 TBC786440:TBC786446 TKY786440:TKY786446 TUU786440:TUU786446 UEQ786440:UEQ786446 UOM786440:UOM786446 UYI786440:UYI786446 VIE786440:VIE786446 VSA786440:VSA786446 WBW786440:WBW786446 WLS786440:WLS786446 WVO786440:WVO786446 G851976:G851982 JC851976:JC851982 SY851976:SY851982 ACU851976:ACU851982 AMQ851976:AMQ851982 AWM851976:AWM851982 BGI851976:BGI851982 BQE851976:BQE851982 CAA851976:CAA851982 CJW851976:CJW851982 CTS851976:CTS851982 DDO851976:DDO851982 DNK851976:DNK851982 DXG851976:DXG851982 EHC851976:EHC851982 EQY851976:EQY851982 FAU851976:FAU851982 FKQ851976:FKQ851982 FUM851976:FUM851982 GEI851976:GEI851982 GOE851976:GOE851982 GYA851976:GYA851982 HHW851976:HHW851982 HRS851976:HRS851982 IBO851976:IBO851982 ILK851976:ILK851982 IVG851976:IVG851982 JFC851976:JFC851982 JOY851976:JOY851982 JYU851976:JYU851982 KIQ851976:KIQ851982 KSM851976:KSM851982 LCI851976:LCI851982 LME851976:LME851982 LWA851976:LWA851982 MFW851976:MFW851982 MPS851976:MPS851982 MZO851976:MZO851982 NJK851976:NJK851982 NTG851976:NTG851982 ODC851976:ODC851982 OMY851976:OMY851982 OWU851976:OWU851982 PGQ851976:PGQ851982 PQM851976:PQM851982 QAI851976:QAI851982 QKE851976:QKE851982 QUA851976:QUA851982 RDW851976:RDW851982 RNS851976:RNS851982 RXO851976:RXO851982 SHK851976:SHK851982 SRG851976:SRG851982 TBC851976:TBC851982 TKY851976:TKY851982 TUU851976:TUU851982 UEQ851976:UEQ851982 UOM851976:UOM851982 UYI851976:UYI851982 VIE851976:VIE851982 VSA851976:VSA851982 WBW851976:WBW851982 WLS851976:WLS851982 WVO851976:WVO851982 G917512:G917518 JC917512:JC917518 SY917512:SY917518 ACU917512:ACU917518 AMQ917512:AMQ917518 AWM917512:AWM917518 BGI917512:BGI917518 BQE917512:BQE917518 CAA917512:CAA917518 CJW917512:CJW917518 CTS917512:CTS917518 DDO917512:DDO917518 DNK917512:DNK917518 DXG917512:DXG917518 EHC917512:EHC917518 EQY917512:EQY917518 FAU917512:FAU917518 FKQ917512:FKQ917518 FUM917512:FUM917518 GEI917512:GEI917518 GOE917512:GOE917518 GYA917512:GYA917518 HHW917512:HHW917518 HRS917512:HRS917518 IBO917512:IBO917518 ILK917512:ILK917518 IVG917512:IVG917518 JFC917512:JFC917518 JOY917512:JOY917518 JYU917512:JYU917518 KIQ917512:KIQ917518 KSM917512:KSM917518 LCI917512:LCI917518 LME917512:LME917518 LWA917512:LWA917518 MFW917512:MFW917518 MPS917512:MPS917518 MZO917512:MZO917518 NJK917512:NJK917518 NTG917512:NTG917518 ODC917512:ODC917518 OMY917512:OMY917518 OWU917512:OWU917518 PGQ917512:PGQ917518 PQM917512:PQM917518 QAI917512:QAI917518 QKE917512:QKE917518 QUA917512:QUA917518 RDW917512:RDW917518 RNS917512:RNS917518 RXO917512:RXO917518 SHK917512:SHK917518 SRG917512:SRG917518 TBC917512:TBC917518 TKY917512:TKY917518 TUU917512:TUU917518 UEQ917512:UEQ917518 UOM917512:UOM917518 UYI917512:UYI917518 VIE917512:VIE917518 VSA917512:VSA917518 WBW917512:WBW917518 WLS917512:WLS917518 WVO917512:WVO917518 G983048:G983054 JC983048:JC983054 SY983048:SY983054 ACU983048:ACU983054 AMQ983048:AMQ983054 AWM983048:AWM983054 BGI983048:BGI983054 BQE983048:BQE983054 CAA983048:CAA983054 CJW983048:CJW983054 CTS983048:CTS983054 DDO983048:DDO983054 DNK983048:DNK983054 DXG983048:DXG983054 EHC983048:EHC983054 EQY983048:EQY983054 FAU983048:FAU983054 FKQ983048:FKQ983054 FUM983048:FUM983054 GEI983048:GEI983054 GOE983048:GOE983054 GYA983048:GYA983054 HHW983048:HHW983054 HRS983048:HRS983054 IBO983048:IBO983054 ILK983048:ILK983054 IVG983048:IVG983054 JFC983048:JFC983054 JOY983048:JOY983054 JYU983048:JYU983054 KIQ983048:KIQ983054 KSM983048:KSM983054 LCI983048:LCI983054 LME983048:LME983054 LWA983048:LWA983054 MFW983048:MFW983054 MPS983048:MPS983054 MZO983048:MZO983054 NJK983048:NJK983054 NTG983048:NTG983054 ODC983048:ODC983054 OMY983048:OMY983054 OWU983048:OWU983054 PGQ983048:PGQ983054 PQM983048:PQM983054 QAI983048:QAI983054 QKE983048:QKE983054 QUA983048:QUA983054 RDW983048:RDW983054 RNS983048:RNS983054 RXO983048:RXO983054 SHK983048:SHK983054 SRG983048:SRG983054 TBC983048:TBC983054 TKY983048:TKY983054 TUU983048:TUU983054 UEQ983048:UEQ983054 UOM983048:UOM983054 UYI983048:UYI983054 VIE983048:VIE983054 VSA983048:VSA983054 WBW983048:WBW983054 WLS983048:WLS983054 SY8:SY14">
      <formula1>$AI$24:$AI$36</formula1>
    </dataValidation>
  </dataValidations>
  <printOptions horizontalCentered="1"/>
  <pageMargins left="0.39370078740157483" right="0.19" top="0.59055118110236227" bottom="0.59055118110236227" header="0.31496062992125984" footer="0.31496062992125984"/>
  <pageSetup paperSize="268" scale="42" orientation="landscape" horizontalDpi="4294967293" r:id="rId1"/>
  <headerFooter>
    <oddFooter>&amp;C&amp;"Tahoma,Cursiva"&amp;K365F91Si usted ha accedido a este formato a través de un medio diferente al sitio http://www.unicordoba.edu.co/index.php/documentossigec/documentos-calidad asegúrese que ésta es la versión vigente</oddFooter>
  </headerFooter>
  <rowBreaks count="2" manualBreakCount="2">
    <brk id="13" max="31" man="1"/>
    <brk id="20" max="31"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1C31B"/>
  </sheetPr>
  <dimension ref="A1:AM46"/>
  <sheetViews>
    <sheetView tabSelected="1" topLeftCell="A5" zoomScale="80" zoomScaleNormal="80" zoomScaleSheetLayoutView="100" zoomScalePageLayoutView="60" workbookViewId="0">
      <selection activeCell="A5" sqref="A5:AH5"/>
    </sheetView>
  </sheetViews>
  <sheetFormatPr baseColWidth="10" defaultRowHeight="12.75"/>
  <cols>
    <col min="1" max="1" width="10.28515625" customWidth="1"/>
    <col min="2" max="2" width="13.42578125" customWidth="1"/>
    <col min="3" max="3" width="4.28515625" customWidth="1"/>
    <col min="4" max="4" width="5.28515625" customWidth="1"/>
    <col min="5" max="5" width="18" customWidth="1"/>
    <col min="6" max="6" width="4.140625" customWidth="1"/>
    <col min="7" max="7" width="11.28515625" customWidth="1"/>
    <col min="8" max="8" width="16.140625" customWidth="1"/>
    <col min="9" max="9" width="11" customWidth="1"/>
    <col min="10" max="11" width="2.140625" customWidth="1"/>
    <col min="12" max="12" width="3.28515625" customWidth="1"/>
    <col min="13" max="13" width="0.28515625" hidden="1" customWidth="1"/>
    <col min="14" max="14" width="0.42578125" hidden="1" customWidth="1"/>
    <col min="15" max="15" width="2.85546875" customWidth="1"/>
    <col min="16" max="16" width="3.28515625" customWidth="1"/>
    <col min="17" max="17" width="1.42578125" customWidth="1"/>
    <col min="18" max="18" width="1.85546875" hidden="1" customWidth="1"/>
    <col min="19" max="19" width="6.85546875" customWidth="1"/>
    <col min="20" max="20" width="3" hidden="1" customWidth="1"/>
    <col min="21" max="22" width="6.28515625" customWidth="1"/>
    <col min="23" max="24" width="13.85546875" customWidth="1"/>
    <col min="25" max="25" width="10.85546875" customWidth="1"/>
    <col min="26" max="26" width="16" customWidth="1"/>
    <col min="27" max="27" width="0.28515625" hidden="1" customWidth="1"/>
    <col min="28" max="28" width="18.42578125" customWidth="1"/>
    <col min="29" max="29" width="13.140625" customWidth="1"/>
    <col min="30" max="31" width="14" customWidth="1"/>
    <col min="32" max="32" width="11.42578125" customWidth="1"/>
    <col min="33" max="33" width="15.85546875" customWidth="1"/>
    <col min="34" max="34" width="23.7109375" customWidth="1"/>
    <col min="35" max="35" width="12" customWidth="1"/>
    <col min="36" max="36" width="2.42578125" customWidth="1"/>
    <col min="37" max="37" width="7" hidden="1" customWidth="1"/>
    <col min="38" max="38" width="1.42578125" hidden="1" customWidth="1"/>
    <col min="39" max="39" width="1.28515625" hidden="1" customWidth="1"/>
    <col min="257" max="257" width="10.28515625" customWidth="1"/>
    <col min="258" max="258" width="13.42578125" customWidth="1"/>
    <col min="259" max="259" width="4.28515625" customWidth="1"/>
    <col min="260" max="260" width="4" customWidth="1"/>
    <col min="261" max="261" width="15" customWidth="1"/>
    <col min="262" max="262" width="4.140625" customWidth="1"/>
    <col min="263" max="263" width="11.28515625" customWidth="1"/>
    <col min="264" max="264" width="16.140625" customWidth="1"/>
    <col min="265" max="265" width="11" customWidth="1"/>
    <col min="266" max="267" width="2.140625" customWidth="1"/>
    <col min="268" max="268" width="3.28515625" customWidth="1"/>
    <col min="269" max="270" width="0" hidden="1" customWidth="1"/>
    <col min="271" max="271" width="2.85546875" customWidth="1"/>
    <col min="272" max="272" width="3.28515625" customWidth="1"/>
    <col min="273" max="273" width="1.42578125" customWidth="1"/>
    <col min="274" max="274" width="0" hidden="1" customWidth="1"/>
    <col min="275" max="275" width="6.85546875" customWidth="1"/>
    <col min="276" max="276" width="0" hidden="1" customWidth="1"/>
    <col min="277" max="278" width="6.28515625" customWidth="1"/>
    <col min="279" max="280" width="13.85546875" customWidth="1"/>
    <col min="281" max="281" width="10.85546875" customWidth="1"/>
    <col min="282" max="282" width="14.140625" customWidth="1"/>
    <col min="283" max="283" width="4.42578125" customWidth="1"/>
    <col min="284" max="284" width="18.42578125" customWidth="1"/>
    <col min="285" max="285" width="13.140625" customWidth="1"/>
    <col min="286" max="287" width="14" customWidth="1"/>
    <col min="288" max="288" width="11.42578125" customWidth="1"/>
    <col min="289" max="289" width="15.85546875" customWidth="1"/>
    <col min="290" max="290" width="23.7109375" customWidth="1"/>
    <col min="291" max="291" width="12" customWidth="1"/>
    <col min="292" max="293" width="0.28515625" customWidth="1"/>
    <col min="294" max="294" width="1.42578125" customWidth="1"/>
    <col min="295" max="295" width="0" hidden="1" customWidth="1"/>
    <col min="513" max="513" width="10.28515625" customWidth="1"/>
    <col min="514" max="514" width="13.42578125" customWidth="1"/>
    <col min="515" max="515" width="4.28515625" customWidth="1"/>
    <col min="516" max="516" width="4" customWidth="1"/>
    <col min="517" max="517" width="15" customWidth="1"/>
    <col min="518" max="518" width="4.140625" customWidth="1"/>
    <col min="519" max="519" width="11.28515625" customWidth="1"/>
    <col min="520" max="520" width="16.140625" customWidth="1"/>
    <col min="521" max="521" width="11" customWidth="1"/>
    <col min="522" max="523" width="2.140625" customWidth="1"/>
    <col min="524" max="524" width="3.28515625" customWidth="1"/>
    <col min="525" max="526" width="0" hidden="1" customWidth="1"/>
    <col min="527" max="527" width="2.85546875" customWidth="1"/>
    <col min="528" max="528" width="3.28515625" customWidth="1"/>
    <col min="529" max="529" width="1.42578125" customWidth="1"/>
    <col min="530" max="530" width="0" hidden="1" customWidth="1"/>
    <col min="531" max="531" width="6.85546875" customWidth="1"/>
    <col min="532" max="532" width="0" hidden="1" customWidth="1"/>
    <col min="533" max="534" width="6.28515625" customWidth="1"/>
    <col min="535" max="536" width="13.85546875" customWidth="1"/>
    <col min="537" max="537" width="10.85546875" customWidth="1"/>
    <col min="538" max="538" width="14.140625" customWidth="1"/>
    <col min="539" max="539" width="4.42578125" customWidth="1"/>
    <col min="540" max="540" width="18.42578125" customWidth="1"/>
    <col min="541" max="541" width="13.140625" customWidth="1"/>
    <col min="542" max="543" width="14" customWidth="1"/>
    <col min="544" max="544" width="11.42578125" customWidth="1"/>
    <col min="545" max="545" width="15.85546875" customWidth="1"/>
    <col min="546" max="546" width="23.7109375" customWidth="1"/>
    <col min="547" max="547" width="12" customWidth="1"/>
    <col min="548" max="549" width="0.28515625" customWidth="1"/>
    <col min="550" max="550" width="1.42578125" customWidth="1"/>
    <col min="551" max="551" width="0" hidden="1" customWidth="1"/>
    <col min="769" max="769" width="10.28515625" customWidth="1"/>
    <col min="770" max="770" width="13.42578125" customWidth="1"/>
    <col min="771" max="771" width="4.28515625" customWidth="1"/>
    <col min="772" max="772" width="4" customWidth="1"/>
    <col min="773" max="773" width="15" customWidth="1"/>
    <col min="774" max="774" width="4.140625" customWidth="1"/>
    <col min="775" max="775" width="11.28515625" customWidth="1"/>
    <col min="776" max="776" width="16.140625" customWidth="1"/>
    <col min="777" max="777" width="11" customWidth="1"/>
    <col min="778" max="779" width="2.140625" customWidth="1"/>
    <col min="780" max="780" width="3.28515625" customWidth="1"/>
    <col min="781" max="782" width="0" hidden="1" customWidth="1"/>
    <col min="783" max="783" width="2.85546875" customWidth="1"/>
    <col min="784" max="784" width="3.28515625" customWidth="1"/>
    <col min="785" max="785" width="1.42578125" customWidth="1"/>
    <col min="786" max="786" width="0" hidden="1" customWidth="1"/>
    <col min="787" max="787" width="6.85546875" customWidth="1"/>
    <col min="788" max="788" width="0" hidden="1" customWidth="1"/>
    <col min="789" max="790" width="6.28515625" customWidth="1"/>
    <col min="791" max="792" width="13.85546875" customWidth="1"/>
    <col min="793" max="793" width="10.85546875" customWidth="1"/>
    <col min="794" max="794" width="14.140625" customWidth="1"/>
    <col min="795" max="795" width="4.42578125" customWidth="1"/>
    <col min="796" max="796" width="18.42578125" customWidth="1"/>
    <col min="797" max="797" width="13.140625" customWidth="1"/>
    <col min="798" max="799" width="14" customWidth="1"/>
    <col min="800" max="800" width="11.42578125" customWidth="1"/>
    <col min="801" max="801" width="15.85546875" customWidth="1"/>
    <col min="802" max="802" width="23.7109375" customWidth="1"/>
    <col min="803" max="803" width="12" customWidth="1"/>
    <col min="804" max="805" width="0.28515625" customWidth="1"/>
    <col min="806" max="806" width="1.42578125" customWidth="1"/>
    <col min="807" max="807" width="0" hidden="1" customWidth="1"/>
    <col min="1025" max="1025" width="10.28515625" customWidth="1"/>
    <col min="1026" max="1026" width="13.42578125" customWidth="1"/>
    <col min="1027" max="1027" width="4.28515625" customWidth="1"/>
    <col min="1028" max="1028" width="4" customWidth="1"/>
    <col min="1029" max="1029" width="15" customWidth="1"/>
    <col min="1030" max="1030" width="4.140625" customWidth="1"/>
    <col min="1031" max="1031" width="11.28515625" customWidth="1"/>
    <col min="1032" max="1032" width="16.140625" customWidth="1"/>
    <col min="1033" max="1033" width="11" customWidth="1"/>
    <col min="1034" max="1035" width="2.140625" customWidth="1"/>
    <col min="1036" max="1036" width="3.28515625" customWidth="1"/>
    <col min="1037" max="1038" width="0" hidden="1" customWidth="1"/>
    <col min="1039" max="1039" width="2.85546875" customWidth="1"/>
    <col min="1040" max="1040" width="3.28515625" customWidth="1"/>
    <col min="1041" max="1041" width="1.42578125" customWidth="1"/>
    <col min="1042" max="1042" width="0" hidden="1" customWidth="1"/>
    <col min="1043" max="1043" width="6.85546875" customWidth="1"/>
    <col min="1044" max="1044" width="0" hidden="1" customWidth="1"/>
    <col min="1045" max="1046" width="6.28515625" customWidth="1"/>
    <col min="1047" max="1048" width="13.85546875" customWidth="1"/>
    <col min="1049" max="1049" width="10.85546875" customWidth="1"/>
    <col min="1050" max="1050" width="14.140625" customWidth="1"/>
    <col min="1051" max="1051" width="4.42578125" customWidth="1"/>
    <col min="1052" max="1052" width="18.42578125" customWidth="1"/>
    <col min="1053" max="1053" width="13.140625" customWidth="1"/>
    <col min="1054" max="1055" width="14" customWidth="1"/>
    <col min="1056" max="1056" width="11.42578125" customWidth="1"/>
    <col min="1057" max="1057" width="15.85546875" customWidth="1"/>
    <col min="1058" max="1058" width="23.7109375" customWidth="1"/>
    <col min="1059" max="1059" width="12" customWidth="1"/>
    <col min="1060" max="1061" width="0.28515625" customWidth="1"/>
    <col min="1062" max="1062" width="1.42578125" customWidth="1"/>
    <col min="1063" max="1063" width="0" hidden="1" customWidth="1"/>
    <col min="1281" max="1281" width="10.28515625" customWidth="1"/>
    <col min="1282" max="1282" width="13.42578125" customWidth="1"/>
    <col min="1283" max="1283" width="4.28515625" customWidth="1"/>
    <col min="1284" max="1284" width="4" customWidth="1"/>
    <col min="1285" max="1285" width="15" customWidth="1"/>
    <col min="1286" max="1286" width="4.140625" customWidth="1"/>
    <col min="1287" max="1287" width="11.28515625" customWidth="1"/>
    <col min="1288" max="1288" width="16.140625" customWidth="1"/>
    <col min="1289" max="1289" width="11" customWidth="1"/>
    <col min="1290" max="1291" width="2.140625" customWidth="1"/>
    <col min="1292" max="1292" width="3.28515625" customWidth="1"/>
    <col min="1293" max="1294" width="0" hidden="1" customWidth="1"/>
    <col min="1295" max="1295" width="2.85546875" customWidth="1"/>
    <col min="1296" max="1296" width="3.28515625" customWidth="1"/>
    <col min="1297" max="1297" width="1.42578125" customWidth="1"/>
    <col min="1298" max="1298" width="0" hidden="1" customWidth="1"/>
    <col min="1299" max="1299" width="6.85546875" customWidth="1"/>
    <col min="1300" max="1300" width="0" hidden="1" customWidth="1"/>
    <col min="1301" max="1302" width="6.28515625" customWidth="1"/>
    <col min="1303" max="1304" width="13.85546875" customWidth="1"/>
    <col min="1305" max="1305" width="10.85546875" customWidth="1"/>
    <col min="1306" max="1306" width="14.140625" customWidth="1"/>
    <col min="1307" max="1307" width="4.42578125" customWidth="1"/>
    <col min="1308" max="1308" width="18.42578125" customWidth="1"/>
    <col min="1309" max="1309" width="13.140625" customWidth="1"/>
    <col min="1310" max="1311" width="14" customWidth="1"/>
    <col min="1312" max="1312" width="11.42578125" customWidth="1"/>
    <col min="1313" max="1313" width="15.85546875" customWidth="1"/>
    <col min="1314" max="1314" width="23.7109375" customWidth="1"/>
    <col min="1315" max="1315" width="12" customWidth="1"/>
    <col min="1316" max="1317" width="0.28515625" customWidth="1"/>
    <col min="1318" max="1318" width="1.42578125" customWidth="1"/>
    <col min="1319" max="1319" width="0" hidden="1" customWidth="1"/>
    <col min="1537" max="1537" width="10.28515625" customWidth="1"/>
    <col min="1538" max="1538" width="13.42578125" customWidth="1"/>
    <col min="1539" max="1539" width="4.28515625" customWidth="1"/>
    <col min="1540" max="1540" width="4" customWidth="1"/>
    <col min="1541" max="1541" width="15" customWidth="1"/>
    <col min="1542" max="1542" width="4.140625" customWidth="1"/>
    <col min="1543" max="1543" width="11.28515625" customWidth="1"/>
    <col min="1544" max="1544" width="16.140625" customWidth="1"/>
    <col min="1545" max="1545" width="11" customWidth="1"/>
    <col min="1546" max="1547" width="2.140625" customWidth="1"/>
    <col min="1548" max="1548" width="3.28515625" customWidth="1"/>
    <col min="1549" max="1550" width="0" hidden="1" customWidth="1"/>
    <col min="1551" max="1551" width="2.85546875" customWidth="1"/>
    <col min="1552" max="1552" width="3.28515625" customWidth="1"/>
    <col min="1553" max="1553" width="1.42578125" customWidth="1"/>
    <col min="1554" max="1554" width="0" hidden="1" customWidth="1"/>
    <col min="1555" max="1555" width="6.85546875" customWidth="1"/>
    <col min="1556" max="1556" width="0" hidden="1" customWidth="1"/>
    <col min="1557" max="1558" width="6.28515625" customWidth="1"/>
    <col min="1559" max="1560" width="13.85546875" customWidth="1"/>
    <col min="1561" max="1561" width="10.85546875" customWidth="1"/>
    <col min="1562" max="1562" width="14.140625" customWidth="1"/>
    <col min="1563" max="1563" width="4.42578125" customWidth="1"/>
    <col min="1564" max="1564" width="18.42578125" customWidth="1"/>
    <col min="1565" max="1565" width="13.140625" customWidth="1"/>
    <col min="1566" max="1567" width="14" customWidth="1"/>
    <col min="1568" max="1568" width="11.42578125" customWidth="1"/>
    <col min="1569" max="1569" width="15.85546875" customWidth="1"/>
    <col min="1570" max="1570" width="23.7109375" customWidth="1"/>
    <col min="1571" max="1571" width="12" customWidth="1"/>
    <col min="1572" max="1573" width="0.28515625" customWidth="1"/>
    <col min="1574" max="1574" width="1.42578125" customWidth="1"/>
    <col min="1575" max="1575" width="0" hidden="1" customWidth="1"/>
    <col min="1793" max="1793" width="10.28515625" customWidth="1"/>
    <col min="1794" max="1794" width="13.42578125" customWidth="1"/>
    <col min="1795" max="1795" width="4.28515625" customWidth="1"/>
    <col min="1796" max="1796" width="4" customWidth="1"/>
    <col min="1797" max="1797" width="15" customWidth="1"/>
    <col min="1798" max="1798" width="4.140625" customWidth="1"/>
    <col min="1799" max="1799" width="11.28515625" customWidth="1"/>
    <col min="1800" max="1800" width="16.140625" customWidth="1"/>
    <col min="1801" max="1801" width="11" customWidth="1"/>
    <col min="1802" max="1803" width="2.140625" customWidth="1"/>
    <col min="1804" max="1804" width="3.28515625" customWidth="1"/>
    <col min="1805" max="1806" width="0" hidden="1" customWidth="1"/>
    <col min="1807" max="1807" width="2.85546875" customWidth="1"/>
    <col min="1808" max="1808" width="3.28515625" customWidth="1"/>
    <col min="1809" max="1809" width="1.42578125" customWidth="1"/>
    <col min="1810" max="1810" width="0" hidden="1" customWidth="1"/>
    <col min="1811" max="1811" width="6.85546875" customWidth="1"/>
    <col min="1812" max="1812" width="0" hidden="1" customWidth="1"/>
    <col min="1813" max="1814" width="6.28515625" customWidth="1"/>
    <col min="1815" max="1816" width="13.85546875" customWidth="1"/>
    <col min="1817" max="1817" width="10.85546875" customWidth="1"/>
    <col min="1818" max="1818" width="14.140625" customWidth="1"/>
    <col min="1819" max="1819" width="4.42578125" customWidth="1"/>
    <col min="1820" max="1820" width="18.42578125" customWidth="1"/>
    <col min="1821" max="1821" width="13.140625" customWidth="1"/>
    <col min="1822" max="1823" width="14" customWidth="1"/>
    <col min="1824" max="1824" width="11.42578125" customWidth="1"/>
    <col min="1825" max="1825" width="15.85546875" customWidth="1"/>
    <col min="1826" max="1826" width="23.7109375" customWidth="1"/>
    <col min="1827" max="1827" width="12" customWidth="1"/>
    <col min="1828" max="1829" width="0.28515625" customWidth="1"/>
    <col min="1830" max="1830" width="1.42578125" customWidth="1"/>
    <col min="1831" max="1831" width="0" hidden="1" customWidth="1"/>
    <col min="2049" max="2049" width="10.28515625" customWidth="1"/>
    <col min="2050" max="2050" width="13.42578125" customWidth="1"/>
    <col min="2051" max="2051" width="4.28515625" customWidth="1"/>
    <col min="2052" max="2052" width="4" customWidth="1"/>
    <col min="2053" max="2053" width="15" customWidth="1"/>
    <col min="2054" max="2054" width="4.140625" customWidth="1"/>
    <col min="2055" max="2055" width="11.28515625" customWidth="1"/>
    <col min="2056" max="2056" width="16.140625" customWidth="1"/>
    <col min="2057" max="2057" width="11" customWidth="1"/>
    <col min="2058" max="2059" width="2.140625" customWidth="1"/>
    <col min="2060" max="2060" width="3.28515625" customWidth="1"/>
    <col min="2061" max="2062" width="0" hidden="1" customWidth="1"/>
    <col min="2063" max="2063" width="2.85546875" customWidth="1"/>
    <col min="2064" max="2064" width="3.28515625" customWidth="1"/>
    <col min="2065" max="2065" width="1.42578125" customWidth="1"/>
    <col min="2066" max="2066" width="0" hidden="1" customWidth="1"/>
    <col min="2067" max="2067" width="6.85546875" customWidth="1"/>
    <col min="2068" max="2068" width="0" hidden="1" customWidth="1"/>
    <col min="2069" max="2070" width="6.28515625" customWidth="1"/>
    <col min="2071" max="2072" width="13.85546875" customWidth="1"/>
    <col min="2073" max="2073" width="10.85546875" customWidth="1"/>
    <col min="2074" max="2074" width="14.140625" customWidth="1"/>
    <col min="2075" max="2075" width="4.42578125" customWidth="1"/>
    <col min="2076" max="2076" width="18.42578125" customWidth="1"/>
    <col min="2077" max="2077" width="13.140625" customWidth="1"/>
    <col min="2078" max="2079" width="14" customWidth="1"/>
    <col min="2080" max="2080" width="11.42578125" customWidth="1"/>
    <col min="2081" max="2081" width="15.85546875" customWidth="1"/>
    <col min="2082" max="2082" width="23.7109375" customWidth="1"/>
    <col min="2083" max="2083" width="12" customWidth="1"/>
    <col min="2084" max="2085" width="0.28515625" customWidth="1"/>
    <col min="2086" max="2086" width="1.42578125" customWidth="1"/>
    <col min="2087" max="2087" width="0" hidden="1" customWidth="1"/>
    <col min="2305" max="2305" width="10.28515625" customWidth="1"/>
    <col min="2306" max="2306" width="13.42578125" customWidth="1"/>
    <col min="2307" max="2307" width="4.28515625" customWidth="1"/>
    <col min="2308" max="2308" width="4" customWidth="1"/>
    <col min="2309" max="2309" width="15" customWidth="1"/>
    <col min="2310" max="2310" width="4.140625" customWidth="1"/>
    <col min="2311" max="2311" width="11.28515625" customWidth="1"/>
    <col min="2312" max="2312" width="16.140625" customWidth="1"/>
    <col min="2313" max="2313" width="11" customWidth="1"/>
    <col min="2314" max="2315" width="2.140625" customWidth="1"/>
    <col min="2316" max="2316" width="3.28515625" customWidth="1"/>
    <col min="2317" max="2318" width="0" hidden="1" customWidth="1"/>
    <col min="2319" max="2319" width="2.85546875" customWidth="1"/>
    <col min="2320" max="2320" width="3.28515625" customWidth="1"/>
    <col min="2321" max="2321" width="1.42578125" customWidth="1"/>
    <col min="2322" max="2322" width="0" hidden="1" customWidth="1"/>
    <col min="2323" max="2323" width="6.85546875" customWidth="1"/>
    <col min="2324" max="2324" width="0" hidden="1" customWidth="1"/>
    <col min="2325" max="2326" width="6.28515625" customWidth="1"/>
    <col min="2327" max="2328" width="13.85546875" customWidth="1"/>
    <col min="2329" max="2329" width="10.85546875" customWidth="1"/>
    <col min="2330" max="2330" width="14.140625" customWidth="1"/>
    <col min="2331" max="2331" width="4.42578125" customWidth="1"/>
    <col min="2332" max="2332" width="18.42578125" customWidth="1"/>
    <col min="2333" max="2333" width="13.140625" customWidth="1"/>
    <col min="2334" max="2335" width="14" customWidth="1"/>
    <col min="2336" max="2336" width="11.42578125" customWidth="1"/>
    <col min="2337" max="2337" width="15.85546875" customWidth="1"/>
    <col min="2338" max="2338" width="23.7109375" customWidth="1"/>
    <col min="2339" max="2339" width="12" customWidth="1"/>
    <col min="2340" max="2341" width="0.28515625" customWidth="1"/>
    <col min="2342" max="2342" width="1.42578125" customWidth="1"/>
    <col min="2343" max="2343" width="0" hidden="1" customWidth="1"/>
    <col min="2561" max="2561" width="10.28515625" customWidth="1"/>
    <col min="2562" max="2562" width="13.42578125" customWidth="1"/>
    <col min="2563" max="2563" width="4.28515625" customWidth="1"/>
    <col min="2564" max="2564" width="4" customWidth="1"/>
    <col min="2565" max="2565" width="15" customWidth="1"/>
    <col min="2566" max="2566" width="4.140625" customWidth="1"/>
    <col min="2567" max="2567" width="11.28515625" customWidth="1"/>
    <col min="2568" max="2568" width="16.140625" customWidth="1"/>
    <col min="2569" max="2569" width="11" customWidth="1"/>
    <col min="2570" max="2571" width="2.140625" customWidth="1"/>
    <col min="2572" max="2572" width="3.28515625" customWidth="1"/>
    <col min="2573" max="2574" width="0" hidden="1" customWidth="1"/>
    <col min="2575" max="2575" width="2.85546875" customWidth="1"/>
    <col min="2576" max="2576" width="3.28515625" customWidth="1"/>
    <col min="2577" max="2577" width="1.42578125" customWidth="1"/>
    <col min="2578" max="2578" width="0" hidden="1" customWidth="1"/>
    <col min="2579" max="2579" width="6.85546875" customWidth="1"/>
    <col min="2580" max="2580" width="0" hidden="1" customWidth="1"/>
    <col min="2581" max="2582" width="6.28515625" customWidth="1"/>
    <col min="2583" max="2584" width="13.85546875" customWidth="1"/>
    <col min="2585" max="2585" width="10.85546875" customWidth="1"/>
    <col min="2586" max="2586" width="14.140625" customWidth="1"/>
    <col min="2587" max="2587" width="4.42578125" customWidth="1"/>
    <col min="2588" max="2588" width="18.42578125" customWidth="1"/>
    <col min="2589" max="2589" width="13.140625" customWidth="1"/>
    <col min="2590" max="2591" width="14" customWidth="1"/>
    <col min="2592" max="2592" width="11.42578125" customWidth="1"/>
    <col min="2593" max="2593" width="15.85546875" customWidth="1"/>
    <col min="2594" max="2594" width="23.7109375" customWidth="1"/>
    <col min="2595" max="2595" width="12" customWidth="1"/>
    <col min="2596" max="2597" width="0.28515625" customWidth="1"/>
    <col min="2598" max="2598" width="1.42578125" customWidth="1"/>
    <col min="2599" max="2599" width="0" hidden="1" customWidth="1"/>
    <col min="2817" max="2817" width="10.28515625" customWidth="1"/>
    <col min="2818" max="2818" width="13.42578125" customWidth="1"/>
    <col min="2819" max="2819" width="4.28515625" customWidth="1"/>
    <col min="2820" max="2820" width="4" customWidth="1"/>
    <col min="2821" max="2821" width="15" customWidth="1"/>
    <col min="2822" max="2822" width="4.140625" customWidth="1"/>
    <col min="2823" max="2823" width="11.28515625" customWidth="1"/>
    <col min="2824" max="2824" width="16.140625" customWidth="1"/>
    <col min="2825" max="2825" width="11" customWidth="1"/>
    <col min="2826" max="2827" width="2.140625" customWidth="1"/>
    <col min="2828" max="2828" width="3.28515625" customWidth="1"/>
    <col min="2829" max="2830" width="0" hidden="1" customWidth="1"/>
    <col min="2831" max="2831" width="2.85546875" customWidth="1"/>
    <col min="2832" max="2832" width="3.28515625" customWidth="1"/>
    <col min="2833" max="2833" width="1.42578125" customWidth="1"/>
    <col min="2834" max="2834" width="0" hidden="1" customWidth="1"/>
    <col min="2835" max="2835" width="6.85546875" customWidth="1"/>
    <col min="2836" max="2836" width="0" hidden="1" customWidth="1"/>
    <col min="2837" max="2838" width="6.28515625" customWidth="1"/>
    <col min="2839" max="2840" width="13.85546875" customWidth="1"/>
    <col min="2841" max="2841" width="10.85546875" customWidth="1"/>
    <col min="2842" max="2842" width="14.140625" customWidth="1"/>
    <col min="2843" max="2843" width="4.42578125" customWidth="1"/>
    <col min="2844" max="2844" width="18.42578125" customWidth="1"/>
    <col min="2845" max="2845" width="13.140625" customWidth="1"/>
    <col min="2846" max="2847" width="14" customWidth="1"/>
    <col min="2848" max="2848" width="11.42578125" customWidth="1"/>
    <col min="2849" max="2849" width="15.85546875" customWidth="1"/>
    <col min="2850" max="2850" width="23.7109375" customWidth="1"/>
    <col min="2851" max="2851" width="12" customWidth="1"/>
    <col min="2852" max="2853" width="0.28515625" customWidth="1"/>
    <col min="2854" max="2854" width="1.42578125" customWidth="1"/>
    <col min="2855" max="2855" width="0" hidden="1" customWidth="1"/>
    <col min="3073" max="3073" width="10.28515625" customWidth="1"/>
    <col min="3074" max="3074" width="13.42578125" customWidth="1"/>
    <col min="3075" max="3075" width="4.28515625" customWidth="1"/>
    <col min="3076" max="3076" width="4" customWidth="1"/>
    <col min="3077" max="3077" width="15" customWidth="1"/>
    <col min="3078" max="3078" width="4.140625" customWidth="1"/>
    <col min="3079" max="3079" width="11.28515625" customWidth="1"/>
    <col min="3080" max="3080" width="16.140625" customWidth="1"/>
    <col min="3081" max="3081" width="11" customWidth="1"/>
    <col min="3082" max="3083" width="2.140625" customWidth="1"/>
    <col min="3084" max="3084" width="3.28515625" customWidth="1"/>
    <col min="3085" max="3086" width="0" hidden="1" customWidth="1"/>
    <col min="3087" max="3087" width="2.85546875" customWidth="1"/>
    <col min="3088" max="3088" width="3.28515625" customWidth="1"/>
    <col min="3089" max="3089" width="1.42578125" customWidth="1"/>
    <col min="3090" max="3090" width="0" hidden="1" customWidth="1"/>
    <col min="3091" max="3091" width="6.85546875" customWidth="1"/>
    <col min="3092" max="3092" width="0" hidden="1" customWidth="1"/>
    <col min="3093" max="3094" width="6.28515625" customWidth="1"/>
    <col min="3095" max="3096" width="13.85546875" customWidth="1"/>
    <col min="3097" max="3097" width="10.85546875" customWidth="1"/>
    <col min="3098" max="3098" width="14.140625" customWidth="1"/>
    <col min="3099" max="3099" width="4.42578125" customWidth="1"/>
    <col min="3100" max="3100" width="18.42578125" customWidth="1"/>
    <col min="3101" max="3101" width="13.140625" customWidth="1"/>
    <col min="3102" max="3103" width="14" customWidth="1"/>
    <col min="3104" max="3104" width="11.42578125" customWidth="1"/>
    <col min="3105" max="3105" width="15.85546875" customWidth="1"/>
    <col min="3106" max="3106" width="23.7109375" customWidth="1"/>
    <col min="3107" max="3107" width="12" customWidth="1"/>
    <col min="3108" max="3109" width="0.28515625" customWidth="1"/>
    <col min="3110" max="3110" width="1.42578125" customWidth="1"/>
    <col min="3111" max="3111" width="0" hidden="1" customWidth="1"/>
    <col min="3329" max="3329" width="10.28515625" customWidth="1"/>
    <col min="3330" max="3330" width="13.42578125" customWidth="1"/>
    <col min="3331" max="3331" width="4.28515625" customWidth="1"/>
    <col min="3332" max="3332" width="4" customWidth="1"/>
    <col min="3333" max="3333" width="15" customWidth="1"/>
    <col min="3334" max="3334" width="4.140625" customWidth="1"/>
    <col min="3335" max="3335" width="11.28515625" customWidth="1"/>
    <col min="3336" max="3336" width="16.140625" customWidth="1"/>
    <col min="3337" max="3337" width="11" customWidth="1"/>
    <col min="3338" max="3339" width="2.140625" customWidth="1"/>
    <col min="3340" max="3340" width="3.28515625" customWidth="1"/>
    <col min="3341" max="3342" width="0" hidden="1" customWidth="1"/>
    <col min="3343" max="3343" width="2.85546875" customWidth="1"/>
    <col min="3344" max="3344" width="3.28515625" customWidth="1"/>
    <col min="3345" max="3345" width="1.42578125" customWidth="1"/>
    <col min="3346" max="3346" width="0" hidden="1" customWidth="1"/>
    <col min="3347" max="3347" width="6.85546875" customWidth="1"/>
    <col min="3348" max="3348" width="0" hidden="1" customWidth="1"/>
    <col min="3349" max="3350" width="6.28515625" customWidth="1"/>
    <col min="3351" max="3352" width="13.85546875" customWidth="1"/>
    <col min="3353" max="3353" width="10.85546875" customWidth="1"/>
    <col min="3354" max="3354" width="14.140625" customWidth="1"/>
    <col min="3355" max="3355" width="4.42578125" customWidth="1"/>
    <col min="3356" max="3356" width="18.42578125" customWidth="1"/>
    <col min="3357" max="3357" width="13.140625" customWidth="1"/>
    <col min="3358" max="3359" width="14" customWidth="1"/>
    <col min="3360" max="3360" width="11.42578125" customWidth="1"/>
    <col min="3361" max="3361" width="15.85546875" customWidth="1"/>
    <col min="3362" max="3362" width="23.7109375" customWidth="1"/>
    <col min="3363" max="3363" width="12" customWidth="1"/>
    <col min="3364" max="3365" width="0.28515625" customWidth="1"/>
    <col min="3366" max="3366" width="1.42578125" customWidth="1"/>
    <col min="3367" max="3367" width="0" hidden="1" customWidth="1"/>
    <col min="3585" max="3585" width="10.28515625" customWidth="1"/>
    <col min="3586" max="3586" width="13.42578125" customWidth="1"/>
    <col min="3587" max="3587" width="4.28515625" customWidth="1"/>
    <col min="3588" max="3588" width="4" customWidth="1"/>
    <col min="3589" max="3589" width="15" customWidth="1"/>
    <col min="3590" max="3590" width="4.140625" customWidth="1"/>
    <col min="3591" max="3591" width="11.28515625" customWidth="1"/>
    <col min="3592" max="3592" width="16.140625" customWidth="1"/>
    <col min="3593" max="3593" width="11" customWidth="1"/>
    <col min="3594" max="3595" width="2.140625" customWidth="1"/>
    <col min="3596" max="3596" width="3.28515625" customWidth="1"/>
    <col min="3597" max="3598" width="0" hidden="1" customWidth="1"/>
    <col min="3599" max="3599" width="2.85546875" customWidth="1"/>
    <col min="3600" max="3600" width="3.28515625" customWidth="1"/>
    <col min="3601" max="3601" width="1.42578125" customWidth="1"/>
    <col min="3602" max="3602" width="0" hidden="1" customWidth="1"/>
    <col min="3603" max="3603" width="6.85546875" customWidth="1"/>
    <col min="3604" max="3604" width="0" hidden="1" customWidth="1"/>
    <col min="3605" max="3606" width="6.28515625" customWidth="1"/>
    <col min="3607" max="3608" width="13.85546875" customWidth="1"/>
    <col min="3609" max="3609" width="10.85546875" customWidth="1"/>
    <col min="3610" max="3610" width="14.140625" customWidth="1"/>
    <col min="3611" max="3611" width="4.42578125" customWidth="1"/>
    <col min="3612" max="3612" width="18.42578125" customWidth="1"/>
    <col min="3613" max="3613" width="13.140625" customWidth="1"/>
    <col min="3614" max="3615" width="14" customWidth="1"/>
    <col min="3616" max="3616" width="11.42578125" customWidth="1"/>
    <col min="3617" max="3617" width="15.85546875" customWidth="1"/>
    <col min="3618" max="3618" width="23.7109375" customWidth="1"/>
    <col min="3619" max="3619" width="12" customWidth="1"/>
    <col min="3620" max="3621" width="0.28515625" customWidth="1"/>
    <col min="3622" max="3622" width="1.42578125" customWidth="1"/>
    <col min="3623" max="3623" width="0" hidden="1" customWidth="1"/>
    <col min="3841" max="3841" width="10.28515625" customWidth="1"/>
    <col min="3842" max="3842" width="13.42578125" customWidth="1"/>
    <col min="3843" max="3843" width="4.28515625" customWidth="1"/>
    <col min="3844" max="3844" width="4" customWidth="1"/>
    <col min="3845" max="3845" width="15" customWidth="1"/>
    <col min="3846" max="3846" width="4.140625" customWidth="1"/>
    <col min="3847" max="3847" width="11.28515625" customWidth="1"/>
    <col min="3848" max="3848" width="16.140625" customWidth="1"/>
    <col min="3849" max="3849" width="11" customWidth="1"/>
    <col min="3850" max="3851" width="2.140625" customWidth="1"/>
    <col min="3852" max="3852" width="3.28515625" customWidth="1"/>
    <col min="3853" max="3854" width="0" hidden="1" customWidth="1"/>
    <col min="3855" max="3855" width="2.85546875" customWidth="1"/>
    <col min="3856" max="3856" width="3.28515625" customWidth="1"/>
    <col min="3857" max="3857" width="1.42578125" customWidth="1"/>
    <col min="3858" max="3858" width="0" hidden="1" customWidth="1"/>
    <col min="3859" max="3859" width="6.85546875" customWidth="1"/>
    <col min="3860" max="3860" width="0" hidden="1" customWidth="1"/>
    <col min="3861" max="3862" width="6.28515625" customWidth="1"/>
    <col min="3863" max="3864" width="13.85546875" customWidth="1"/>
    <col min="3865" max="3865" width="10.85546875" customWidth="1"/>
    <col min="3866" max="3866" width="14.140625" customWidth="1"/>
    <col min="3867" max="3867" width="4.42578125" customWidth="1"/>
    <col min="3868" max="3868" width="18.42578125" customWidth="1"/>
    <col min="3869" max="3869" width="13.140625" customWidth="1"/>
    <col min="3870" max="3871" width="14" customWidth="1"/>
    <col min="3872" max="3872" width="11.42578125" customWidth="1"/>
    <col min="3873" max="3873" width="15.85546875" customWidth="1"/>
    <col min="3874" max="3874" width="23.7109375" customWidth="1"/>
    <col min="3875" max="3875" width="12" customWidth="1"/>
    <col min="3876" max="3877" width="0.28515625" customWidth="1"/>
    <col min="3878" max="3878" width="1.42578125" customWidth="1"/>
    <col min="3879" max="3879" width="0" hidden="1" customWidth="1"/>
    <col min="4097" max="4097" width="10.28515625" customWidth="1"/>
    <col min="4098" max="4098" width="13.42578125" customWidth="1"/>
    <col min="4099" max="4099" width="4.28515625" customWidth="1"/>
    <col min="4100" max="4100" width="4" customWidth="1"/>
    <col min="4101" max="4101" width="15" customWidth="1"/>
    <col min="4102" max="4102" width="4.140625" customWidth="1"/>
    <col min="4103" max="4103" width="11.28515625" customWidth="1"/>
    <col min="4104" max="4104" width="16.140625" customWidth="1"/>
    <col min="4105" max="4105" width="11" customWidth="1"/>
    <col min="4106" max="4107" width="2.140625" customWidth="1"/>
    <col min="4108" max="4108" width="3.28515625" customWidth="1"/>
    <col min="4109" max="4110" width="0" hidden="1" customWidth="1"/>
    <col min="4111" max="4111" width="2.85546875" customWidth="1"/>
    <col min="4112" max="4112" width="3.28515625" customWidth="1"/>
    <col min="4113" max="4113" width="1.42578125" customWidth="1"/>
    <col min="4114" max="4114" width="0" hidden="1" customWidth="1"/>
    <col min="4115" max="4115" width="6.85546875" customWidth="1"/>
    <col min="4116" max="4116" width="0" hidden="1" customWidth="1"/>
    <col min="4117" max="4118" width="6.28515625" customWidth="1"/>
    <col min="4119" max="4120" width="13.85546875" customWidth="1"/>
    <col min="4121" max="4121" width="10.85546875" customWidth="1"/>
    <col min="4122" max="4122" width="14.140625" customWidth="1"/>
    <col min="4123" max="4123" width="4.42578125" customWidth="1"/>
    <col min="4124" max="4124" width="18.42578125" customWidth="1"/>
    <col min="4125" max="4125" width="13.140625" customWidth="1"/>
    <col min="4126" max="4127" width="14" customWidth="1"/>
    <col min="4128" max="4128" width="11.42578125" customWidth="1"/>
    <col min="4129" max="4129" width="15.85546875" customWidth="1"/>
    <col min="4130" max="4130" width="23.7109375" customWidth="1"/>
    <col min="4131" max="4131" width="12" customWidth="1"/>
    <col min="4132" max="4133" width="0.28515625" customWidth="1"/>
    <col min="4134" max="4134" width="1.42578125" customWidth="1"/>
    <col min="4135" max="4135" width="0" hidden="1" customWidth="1"/>
    <col min="4353" max="4353" width="10.28515625" customWidth="1"/>
    <col min="4354" max="4354" width="13.42578125" customWidth="1"/>
    <col min="4355" max="4355" width="4.28515625" customWidth="1"/>
    <col min="4356" max="4356" width="4" customWidth="1"/>
    <col min="4357" max="4357" width="15" customWidth="1"/>
    <col min="4358" max="4358" width="4.140625" customWidth="1"/>
    <col min="4359" max="4359" width="11.28515625" customWidth="1"/>
    <col min="4360" max="4360" width="16.140625" customWidth="1"/>
    <col min="4361" max="4361" width="11" customWidth="1"/>
    <col min="4362" max="4363" width="2.140625" customWidth="1"/>
    <col min="4364" max="4364" width="3.28515625" customWidth="1"/>
    <col min="4365" max="4366" width="0" hidden="1" customWidth="1"/>
    <col min="4367" max="4367" width="2.85546875" customWidth="1"/>
    <col min="4368" max="4368" width="3.28515625" customWidth="1"/>
    <col min="4369" max="4369" width="1.42578125" customWidth="1"/>
    <col min="4370" max="4370" width="0" hidden="1" customWidth="1"/>
    <col min="4371" max="4371" width="6.85546875" customWidth="1"/>
    <col min="4372" max="4372" width="0" hidden="1" customWidth="1"/>
    <col min="4373" max="4374" width="6.28515625" customWidth="1"/>
    <col min="4375" max="4376" width="13.85546875" customWidth="1"/>
    <col min="4377" max="4377" width="10.85546875" customWidth="1"/>
    <col min="4378" max="4378" width="14.140625" customWidth="1"/>
    <col min="4379" max="4379" width="4.42578125" customWidth="1"/>
    <col min="4380" max="4380" width="18.42578125" customWidth="1"/>
    <col min="4381" max="4381" width="13.140625" customWidth="1"/>
    <col min="4382" max="4383" width="14" customWidth="1"/>
    <col min="4384" max="4384" width="11.42578125" customWidth="1"/>
    <col min="4385" max="4385" width="15.85546875" customWidth="1"/>
    <col min="4386" max="4386" width="23.7109375" customWidth="1"/>
    <col min="4387" max="4387" width="12" customWidth="1"/>
    <col min="4388" max="4389" width="0.28515625" customWidth="1"/>
    <col min="4390" max="4390" width="1.42578125" customWidth="1"/>
    <col min="4391" max="4391" width="0" hidden="1" customWidth="1"/>
    <col min="4609" max="4609" width="10.28515625" customWidth="1"/>
    <col min="4610" max="4610" width="13.42578125" customWidth="1"/>
    <col min="4611" max="4611" width="4.28515625" customWidth="1"/>
    <col min="4612" max="4612" width="4" customWidth="1"/>
    <col min="4613" max="4613" width="15" customWidth="1"/>
    <col min="4614" max="4614" width="4.140625" customWidth="1"/>
    <col min="4615" max="4615" width="11.28515625" customWidth="1"/>
    <col min="4616" max="4616" width="16.140625" customWidth="1"/>
    <col min="4617" max="4617" width="11" customWidth="1"/>
    <col min="4618" max="4619" width="2.140625" customWidth="1"/>
    <col min="4620" max="4620" width="3.28515625" customWidth="1"/>
    <col min="4621" max="4622" width="0" hidden="1" customWidth="1"/>
    <col min="4623" max="4623" width="2.85546875" customWidth="1"/>
    <col min="4624" max="4624" width="3.28515625" customWidth="1"/>
    <col min="4625" max="4625" width="1.42578125" customWidth="1"/>
    <col min="4626" max="4626" width="0" hidden="1" customWidth="1"/>
    <col min="4627" max="4627" width="6.85546875" customWidth="1"/>
    <col min="4628" max="4628" width="0" hidden="1" customWidth="1"/>
    <col min="4629" max="4630" width="6.28515625" customWidth="1"/>
    <col min="4631" max="4632" width="13.85546875" customWidth="1"/>
    <col min="4633" max="4633" width="10.85546875" customWidth="1"/>
    <col min="4634" max="4634" width="14.140625" customWidth="1"/>
    <col min="4635" max="4635" width="4.42578125" customWidth="1"/>
    <col min="4636" max="4636" width="18.42578125" customWidth="1"/>
    <col min="4637" max="4637" width="13.140625" customWidth="1"/>
    <col min="4638" max="4639" width="14" customWidth="1"/>
    <col min="4640" max="4640" width="11.42578125" customWidth="1"/>
    <col min="4641" max="4641" width="15.85546875" customWidth="1"/>
    <col min="4642" max="4642" width="23.7109375" customWidth="1"/>
    <col min="4643" max="4643" width="12" customWidth="1"/>
    <col min="4644" max="4645" width="0.28515625" customWidth="1"/>
    <col min="4646" max="4646" width="1.42578125" customWidth="1"/>
    <col min="4647" max="4647" width="0" hidden="1" customWidth="1"/>
    <col min="4865" max="4865" width="10.28515625" customWidth="1"/>
    <col min="4866" max="4866" width="13.42578125" customWidth="1"/>
    <col min="4867" max="4867" width="4.28515625" customWidth="1"/>
    <col min="4868" max="4868" width="4" customWidth="1"/>
    <col min="4869" max="4869" width="15" customWidth="1"/>
    <col min="4870" max="4870" width="4.140625" customWidth="1"/>
    <col min="4871" max="4871" width="11.28515625" customWidth="1"/>
    <col min="4872" max="4872" width="16.140625" customWidth="1"/>
    <col min="4873" max="4873" width="11" customWidth="1"/>
    <col min="4874" max="4875" width="2.140625" customWidth="1"/>
    <col min="4876" max="4876" width="3.28515625" customWidth="1"/>
    <col min="4877" max="4878" width="0" hidden="1" customWidth="1"/>
    <col min="4879" max="4879" width="2.85546875" customWidth="1"/>
    <col min="4880" max="4880" width="3.28515625" customWidth="1"/>
    <col min="4881" max="4881" width="1.42578125" customWidth="1"/>
    <col min="4882" max="4882" width="0" hidden="1" customWidth="1"/>
    <col min="4883" max="4883" width="6.85546875" customWidth="1"/>
    <col min="4884" max="4884" width="0" hidden="1" customWidth="1"/>
    <col min="4885" max="4886" width="6.28515625" customWidth="1"/>
    <col min="4887" max="4888" width="13.85546875" customWidth="1"/>
    <col min="4889" max="4889" width="10.85546875" customWidth="1"/>
    <col min="4890" max="4890" width="14.140625" customWidth="1"/>
    <col min="4891" max="4891" width="4.42578125" customWidth="1"/>
    <col min="4892" max="4892" width="18.42578125" customWidth="1"/>
    <col min="4893" max="4893" width="13.140625" customWidth="1"/>
    <col min="4894" max="4895" width="14" customWidth="1"/>
    <col min="4896" max="4896" width="11.42578125" customWidth="1"/>
    <col min="4897" max="4897" width="15.85546875" customWidth="1"/>
    <col min="4898" max="4898" width="23.7109375" customWidth="1"/>
    <col min="4899" max="4899" width="12" customWidth="1"/>
    <col min="4900" max="4901" width="0.28515625" customWidth="1"/>
    <col min="4902" max="4902" width="1.42578125" customWidth="1"/>
    <col min="4903" max="4903" width="0" hidden="1" customWidth="1"/>
    <col min="5121" max="5121" width="10.28515625" customWidth="1"/>
    <col min="5122" max="5122" width="13.42578125" customWidth="1"/>
    <col min="5123" max="5123" width="4.28515625" customWidth="1"/>
    <col min="5124" max="5124" width="4" customWidth="1"/>
    <col min="5125" max="5125" width="15" customWidth="1"/>
    <col min="5126" max="5126" width="4.140625" customWidth="1"/>
    <col min="5127" max="5127" width="11.28515625" customWidth="1"/>
    <col min="5128" max="5128" width="16.140625" customWidth="1"/>
    <col min="5129" max="5129" width="11" customWidth="1"/>
    <col min="5130" max="5131" width="2.140625" customWidth="1"/>
    <col min="5132" max="5132" width="3.28515625" customWidth="1"/>
    <col min="5133" max="5134" width="0" hidden="1" customWidth="1"/>
    <col min="5135" max="5135" width="2.85546875" customWidth="1"/>
    <col min="5136" max="5136" width="3.28515625" customWidth="1"/>
    <col min="5137" max="5137" width="1.42578125" customWidth="1"/>
    <col min="5138" max="5138" width="0" hidden="1" customWidth="1"/>
    <col min="5139" max="5139" width="6.85546875" customWidth="1"/>
    <col min="5140" max="5140" width="0" hidden="1" customWidth="1"/>
    <col min="5141" max="5142" width="6.28515625" customWidth="1"/>
    <col min="5143" max="5144" width="13.85546875" customWidth="1"/>
    <col min="5145" max="5145" width="10.85546875" customWidth="1"/>
    <col min="5146" max="5146" width="14.140625" customWidth="1"/>
    <col min="5147" max="5147" width="4.42578125" customWidth="1"/>
    <col min="5148" max="5148" width="18.42578125" customWidth="1"/>
    <col min="5149" max="5149" width="13.140625" customWidth="1"/>
    <col min="5150" max="5151" width="14" customWidth="1"/>
    <col min="5152" max="5152" width="11.42578125" customWidth="1"/>
    <col min="5153" max="5153" width="15.85546875" customWidth="1"/>
    <col min="5154" max="5154" width="23.7109375" customWidth="1"/>
    <col min="5155" max="5155" width="12" customWidth="1"/>
    <col min="5156" max="5157" width="0.28515625" customWidth="1"/>
    <col min="5158" max="5158" width="1.42578125" customWidth="1"/>
    <col min="5159" max="5159" width="0" hidden="1" customWidth="1"/>
    <col min="5377" max="5377" width="10.28515625" customWidth="1"/>
    <col min="5378" max="5378" width="13.42578125" customWidth="1"/>
    <col min="5379" max="5379" width="4.28515625" customWidth="1"/>
    <col min="5380" max="5380" width="4" customWidth="1"/>
    <col min="5381" max="5381" width="15" customWidth="1"/>
    <col min="5382" max="5382" width="4.140625" customWidth="1"/>
    <col min="5383" max="5383" width="11.28515625" customWidth="1"/>
    <col min="5384" max="5384" width="16.140625" customWidth="1"/>
    <col min="5385" max="5385" width="11" customWidth="1"/>
    <col min="5386" max="5387" width="2.140625" customWidth="1"/>
    <col min="5388" max="5388" width="3.28515625" customWidth="1"/>
    <col min="5389" max="5390" width="0" hidden="1" customWidth="1"/>
    <col min="5391" max="5391" width="2.85546875" customWidth="1"/>
    <col min="5392" max="5392" width="3.28515625" customWidth="1"/>
    <col min="5393" max="5393" width="1.42578125" customWidth="1"/>
    <col min="5394" max="5394" width="0" hidden="1" customWidth="1"/>
    <col min="5395" max="5395" width="6.85546875" customWidth="1"/>
    <col min="5396" max="5396" width="0" hidden="1" customWidth="1"/>
    <col min="5397" max="5398" width="6.28515625" customWidth="1"/>
    <col min="5399" max="5400" width="13.85546875" customWidth="1"/>
    <col min="5401" max="5401" width="10.85546875" customWidth="1"/>
    <col min="5402" max="5402" width="14.140625" customWidth="1"/>
    <col min="5403" max="5403" width="4.42578125" customWidth="1"/>
    <col min="5404" max="5404" width="18.42578125" customWidth="1"/>
    <col min="5405" max="5405" width="13.140625" customWidth="1"/>
    <col min="5406" max="5407" width="14" customWidth="1"/>
    <col min="5408" max="5408" width="11.42578125" customWidth="1"/>
    <col min="5409" max="5409" width="15.85546875" customWidth="1"/>
    <col min="5410" max="5410" width="23.7109375" customWidth="1"/>
    <col min="5411" max="5411" width="12" customWidth="1"/>
    <col min="5412" max="5413" width="0.28515625" customWidth="1"/>
    <col min="5414" max="5414" width="1.42578125" customWidth="1"/>
    <col min="5415" max="5415" width="0" hidden="1" customWidth="1"/>
    <col min="5633" max="5633" width="10.28515625" customWidth="1"/>
    <col min="5634" max="5634" width="13.42578125" customWidth="1"/>
    <col min="5635" max="5635" width="4.28515625" customWidth="1"/>
    <col min="5636" max="5636" width="4" customWidth="1"/>
    <col min="5637" max="5637" width="15" customWidth="1"/>
    <col min="5638" max="5638" width="4.140625" customWidth="1"/>
    <col min="5639" max="5639" width="11.28515625" customWidth="1"/>
    <col min="5640" max="5640" width="16.140625" customWidth="1"/>
    <col min="5641" max="5641" width="11" customWidth="1"/>
    <col min="5642" max="5643" width="2.140625" customWidth="1"/>
    <col min="5644" max="5644" width="3.28515625" customWidth="1"/>
    <col min="5645" max="5646" width="0" hidden="1" customWidth="1"/>
    <col min="5647" max="5647" width="2.85546875" customWidth="1"/>
    <col min="5648" max="5648" width="3.28515625" customWidth="1"/>
    <col min="5649" max="5649" width="1.42578125" customWidth="1"/>
    <col min="5650" max="5650" width="0" hidden="1" customWidth="1"/>
    <col min="5651" max="5651" width="6.85546875" customWidth="1"/>
    <col min="5652" max="5652" width="0" hidden="1" customWidth="1"/>
    <col min="5653" max="5654" width="6.28515625" customWidth="1"/>
    <col min="5655" max="5656" width="13.85546875" customWidth="1"/>
    <col min="5657" max="5657" width="10.85546875" customWidth="1"/>
    <col min="5658" max="5658" width="14.140625" customWidth="1"/>
    <col min="5659" max="5659" width="4.42578125" customWidth="1"/>
    <col min="5660" max="5660" width="18.42578125" customWidth="1"/>
    <col min="5661" max="5661" width="13.140625" customWidth="1"/>
    <col min="5662" max="5663" width="14" customWidth="1"/>
    <col min="5664" max="5664" width="11.42578125" customWidth="1"/>
    <col min="5665" max="5665" width="15.85546875" customWidth="1"/>
    <col min="5666" max="5666" width="23.7109375" customWidth="1"/>
    <col min="5667" max="5667" width="12" customWidth="1"/>
    <col min="5668" max="5669" width="0.28515625" customWidth="1"/>
    <col min="5670" max="5670" width="1.42578125" customWidth="1"/>
    <col min="5671" max="5671" width="0" hidden="1" customWidth="1"/>
    <col min="5889" max="5889" width="10.28515625" customWidth="1"/>
    <col min="5890" max="5890" width="13.42578125" customWidth="1"/>
    <col min="5891" max="5891" width="4.28515625" customWidth="1"/>
    <col min="5892" max="5892" width="4" customWidth="1"/>
    <col min="5893" max="5893" width="15" customWidth="1"/>
    <col min="5894" max="5894" width="4.140625" customWidth="1"/>
    <col min="5895" max="5895" width="11.28515625" customWidth="1"/>
    <col min="5896" max="5896" width="16.140625" customWidth="1"/>
    <col min="5897" max="5897" width="11" customWidth="1"/>
    <col min="5898" max="5899" width="2.140625" customWidth="1"/>
    <col min="5900" max="5900" width="3.28515625" customWidth="1"/>
    <col min="5901" max="5902" width="0" hidden="1" customWidth="1"/>
    <col min="5903" max="5903" width="2.85546875" customWidth="1"/>
    <col min="5904" max="5904" width="3.28515625" customWidth="1"/>
    <col min="5905" max="5905" width="1.42578125" customWidth="1"/>
    <col min="5906" max="5906" width="0" hidden="1" customWidth="1"/>
    <col min="5907" max="5907" width="6.85546875" customWidth="1"/>
    <col min="5908" max="5908" width="0" hidden="1" customWidth="1"/>
    <col min="5909" max="5910" width="6.28515625" customWidth="1"/>
    <col min="5911" max="5912" width="13.85546875" customWidth="1"/>
    <col min="5913" max="5913" width="10.85546875" customWidth="1"/>
    <col min="5914" max="5914" width="14.140625" customWidth="1"/>
    <col min="5915" max="5915" width="4.42578125" customWidth="1"/>
    <col min="5916" max="5916" width="18.42578125" customWidth="1"/>
    <col min="5917" max="5917" width="13.140625" customWidth="1"/>
    <col min="5918" max="5919" width="14" customWidth="1"/>
    <col min="5920" max="5920" width="11.42578125" customWidth="1"/>
    <col min="5921" max="5921" width="15.85546875" customWidth="1"/>
    <col min="5922" max="5922" width="23.7109375" customWidth="1"/>
    <col min="5923" max="5923" width="12" customWidth="1"/>
    <col min="5924" max="5925" width="0.28515625" customWidth="1"/>
    <col min="5926" max="5926" width="1.42578125" customWidth="1"/>
    <col min="5927" max="5927" width="0" hidden="1" customWidth="1"/>
    <col min="6145" max="6145" width="10.28515625" customWidth="1"/>
    <col min="6146" max="6146" width="13.42578125" customWidth="1"/>
    <col min="6147" max="6147" width="4.28515625" customWidth="1"/>
    <col min="6148" max="6148" width="4" customWidth="1"/>
    <col min="6149" max="6149" width="15" customWidth="1"/>
    <col min="6150" max="6150" width="4.140625" customWidth="1"/>
    <col min="6151" max="6151" width="11.28515625" customWidth="1"/>
    <col min="6152" max="6152" width="16.140625" customWidth="1"/>
    <col min="6153" max="6153" width="11" customWidth="1"/>
    <col min="6154" max="6155" width="2.140625" customWidth="1"/>
    <col min="6156" max="6156" width="3.28515625" customWidth="1"/>
    <col min="6157" max="6158" width="0" hidden="1" customWidth="1"/>
    <col min="6159" max="6159" width="2.85546875" customWidth="1"/>
    <col min="6160" max="6160" width="3.28515625" customWidth="1"/>
    <col min="6161" max="6161" width="1.42578125" customWidth="1"/>
    <col min="6162" max="6162" width="0" hidden="1" customWidth="1"/>
    <col min="6163" max="6163" width="6.85546875" customWidth="1"/>
    <col min="6164" max="6164" width="0" hidden="1" customWidth="1"/>
    <col min="6165" max="6166" width="6.28515625" customWidth="1"/>
    <col min="6167" max="6168" width="13.85546875" customWidth="1"/>
    <col min="6169" max="6169" width="10.85546875" customWidth="1"/>
    <col min="6170" max="6170" width="14.140625" customWidth="1"/>
    <col min="6171" max="6171" width="4.42578125" customWidth="1"/>
    <col min="6172" max="6172" width="18.42578125" customWidth="1"/>
    <col min="6173" max="6173" width="13.140625" customWidth="1"/>
    <col min="6174" max="6175" width="14" customWidth="1"/>
    <col min="6176" max="6176" width="11.42578125" customWidth="1"/>
    <col min="6177" max="6177" width="15.85546875" customWidth="1"/>
    <col min="6178" max="6178" width="23.7109375" customWidth="1"/>
    <col min="6179" max="6179" width="12" customWidth="1"/>
    <col min="6180" max="6181" width="0.28515625" customWidth="1"/>
    <col min="6182" max="6182" width="1.42578125" customWidth="1"/>
    <col min="6183" max="6183" width="0" hidden="1" customWidth="1"/>
    <col min="6401" max="6401" width="10.28515625" customWidth="1"/>
    <col min="6402" max="6402" width="13.42578125" customWidth="1"/>
    <col min="6403" max="6403" width="4.28515625" customWidth="1"/>
    <col min="6404" max="6404" width="4" customWidth="1"/>
    <col min="6405" max="6405" width="15" customWidth="1"/>
    <col min="6406" max="6406" width="4.140625" customWidth="1"/>
    <col min="6407" max="6407" width="11.28515625" customWidth="1"/>
    <col min="6408" max="6408" width="16.140625" customWidth="1"/>
    <col min="6409" max="6409" width="11" customWidth="1"/>
    <col min="6410" max="6411" width="2.140625" customWidth="1"/>
    <col min="6412" max="6412" width="3.28515625" customWidth="1"/>
    <col min="6413" max="6414" width="0" hidden="1" customWidth="1"/>
    <col min="6415" max="6415" width="2.85546875" customWidth="1"/>
    <col min="6416" max="6416" width="3.28515625" customWidth="1"/>
    <col min="6417" max="6417" width="1.42578125" customWidth="1"/>
    <col min="6418" max="6418" width="0" hidden="1" customWidth="1"/>
    <col min="6419" max="6419" width="6.85546875" customWidth="1"/>
    <col min="6420" max="6420" width="0" hidden="1" customWidth="1"/>
    <col min="6421" max="6422" width="6.28515625" customWidth="1"/>
    <col min="6423" max="6424" width="13.85546875" customWidth="1"/>
    <col min="6425" max="6425" width="10.85546875" customWidth="1"/>
    <col min="6426" max="6426" width="14.140625" customWidth="1"/>
    <col min="6427" max="6427" width="4.42578125" customWidth="1"/>
    <col min="6428" max="6428" width="18.42578125" customWidth="1"/>
    <col min="6429" max="6429" width="13.140625" customWidth="1"/>
    <col min="6430" max="6431" width="14" customWidth="1"/>
    <col min="6432" max="6432" width="11.42578125" customWidth="1"/>
    <col min="6433" max="6433" width="15.85546875" customWidth="1"/>
    <col min="6434" max="6434" width="23.7109375" customWidth="1"/>
    <col min="6435" max="6435" width="12" customWidth="1"/>
    <col min="6436" max="6437" width="0.28515625" customWidth="1"/>
    <col min="6438" max="6438" width="1.42578125" customWidth="1"/>
    <col min="6439" max="6439" width="0" hidden="1" customWidth="1"/>
    <col min="6657" max="6657" width="10.28515625" customWidth="1"/>
    <col min="6658" max="6658" width="13.42578125" customWidth="1"/>
    <col min="6659" max="6659" width="4.28515625" customWidth="1"/>
    <col min="6660" max="6660" width="4" customWidth="1"/>
    <col min="6661" max="6661" width="15" customWidth="1"/>
    <col min="6662" max="6662" width="4.140625" customWidth="1"/>
    <col min="6663" max="6663" width="11.28515625" customWidth="1"/>
    <col min="6664" max="6664" width="16.140625" customWidth="1"/>
    <col min="6665" max="6665" width="11" customWidth="1"/>
    <col min="6666" max="6667" width="2.140625" customWidth="1"/>
    <col min="6668" max="6668" width="3.28515625" customWidth="1"/>
    <col min="6669" max="6670" width="0" hidden="1" customWidth="1"/>
    <col min="6671" max="6671" width="2.85546875" customWidth="1"/>
    <col min="6672" max="6672" width="3.28515625" customWidth="1"/>
    <col min="6673" max="6673" width="1.42578125" customWidth="1"/>
    <col min="6674" max="6674" width="0" hidden="1" customWidth="1"/>
    <col min="6675" max="6675" width="6.85546875" customWidth="1"/>
    <col min="6676" max="6676" width="0" hidden="1" customWidth="1"/>
    <col min="6677" max="6678" width="6.28515625" customWidth="1"/>
    <col min="6679" max="6680" width="13.85546875" customWidth="1"/>
    <col min="6681" max="6681" width="10.85546875" customWidth="1"/>
    <col min="6682" max="6682" width="14.140625" customWidth="1"/>
    <col min="6683" max="6683" width="4.42578125" customWidth="1"/>
    <col min="6684" max="6684" width="18.42578125" customWidth="1"/>
    <col min="6685" max="6685" width="13.140625" customWidth="1"/>
    <col min="6686" max="6687" width="14" customWidth="1"/>
    <col min="6688" max="6688" width="11.42578125" customWidth="1"/>
    <col min="6689" max="6689" width="15.85546875" customWidth="1"/>
    <col min="6690" max="6690" width="23.7109375" customWidth="1"/>
    <col min="6691" max="6691" width="12" customWidth="1"/>
    <col min="6692" max="6693" width="0.28515625" customWidth="1"/>
    <col min="6694" max="6694" width="1.42578125" customWidth="1"/>
    <col min="6695" max="6695" width="0" hidden="1" customWidth="1"/>
    <col min="6913" max="6913" width="10.28515625" customWidth="1"/>
    <col min="6914" max="6914" width="13.42578125" customWidth="1"/>
    <col min="6915" max="6915" width="4.28515625" customWidth="1"/>
    <col min="6916" max="6916" width="4" customWidth="1"/>
    <col min="6917" max="6917" width="15" customWidth="1"/>
    <col min="6918" max="6918" width="4.140625" customWidth="1"/>
    <col min="6919" max="6919" width="11.28515625" customWidth="1"/>
    <col min="6920" max="6920" width="16.140625" customWidth="1"/>
    <col min="6921" max="6921" width="11" customWidth="1"/>
    <col min="6922" max="6923" width="2.140625" customWidth="1"/>
    <col min="6924" max="6924" width="3.28515625" customWidth="1"/>
    <col min="6925" max="6926" width="0" hidden="1" customWidth="1"/>
    <col min="6927" max="6927" width="2.85546875" customWidth="1"/>
    <col min="6928" max="6928" width="3.28515625" customWidth="1"/>
    <col min="6929" max="6929" width="1.42578125" customWidth="1"/>
    <col min="6930" max="6930" width="0" hidden="1" customWidth="1"/>
    <col min="6931" max="6931" width="6.85546875" customWidth="1"/>
    <col min="6932" max="6932" width="0" hidden="1" customWidth="1"/>
    <col min="6933" max="6934" width="6.28515625" customWidth="1"/>
    <col min="6935" max="6936" width="13.85546875" customWidth="1"/>
    <col min="6937" max="6937" width="10.85546875" customWidth="1"/>
    <col min="6938" max="6938" width="14.140625" customWidth="1"/>
    <col min="6939" max="6939" width="4.42578125" customWidth="1"/>
    <col min="6940" max="6940" width="18.42578125" customWidth="1"/>
    <col min="6941" max="6941" width="13.140625" customWidth="1"/>
    <col min="6942" max="6943" width="14" customWidth="1"/>
    <col min="6944" max="6944" width="11.42578125" customWidth="1"/>
    <col min="6945" max="6945" width="15.85546875" customWidth="1"/>
    <col min="6946" max="6946" width="23.7109375" customWidth="1"/>
    <col min="6947" max="6947" width="12" customWidth="1"/>
    <col min="6948" max="6949" width="0.28515625" customWidth="1"/>
    <col min="6950" max="6950" width="1.42578125" customWidth="1"/>
    <col min="6951" max="6951" width="0" hidden="1" customWidth="1"/>
    <col min="7169" max="7169" width="10.28515625" customWidth="1"/>
    <col min="7170" max="7170" width="13.42578125" customWidth="1"/>
    <col min="7171" max="7171" width="4.28515625" customWidth="1"/>
    <col min="7172" max="7172" width="4" customWidth="1"/>
    <col min="7173" max="7173" width="15" customWidth="1"/>
    <col min="7174" max="7174" width="4.140625" customWidth="1"/>
    <col min="7175" max="7175" width="11.28515625" customWidth="1"/>
    <col min="7176" max="7176" width="16.140625" customWidth="1"/>
    <col min="7177" max="7177" width="11" customWidth="1"/>
    <col min="7178" max="7179" width="2.140625" customWidth="1"/>
    <col min="7180" max="7180" width="3.28515625" customWidth="1"/>
    <col min="7181" max="7182" width="0" hidden="1" customWidth="1"/>
    <col min="7183" max="7183" width="2.85546875" customWidth="1"/>
    <col min="7184" max="7184" width="3.28515625" customWidth="1"/>
    <col min="7185" max="7185" width="1.42578125" customWidth="1"/>
    <col min="7186" max="7186" width="0" hidden="1" customWidth="1"/>
    <col min="7187" max="7187" width="6.85546875" customWidth="1"/>
    <col min="7188" max="7188" width="0" hidden="1" customWidth="1"/>
    <col min="7189" max="7190" width="6.28515625" customWidth="1"/>
    <col min="7191" max="7192" width="13.85546875" customWidth="1"/>
    <col min="7193" max="7193" width="10.85546875" customWidth="1"/>
    <col min="7194" max="7194" width="14.140625" customWidth="1"/>
    <col min="7195" max="7195" width="4.42578125" customWidth="1"/>
    <col min="7196" max="7196" width="18.42578125" customWidth="1"/>
    <col min="7197" max="7197" width="13.140625" customWidth="1"/>
    <col min="7198" max="7199" width="14" customWidth="1"/>
    <col min="7200" max="7200" width="11.42578125" customWidth="1"/>
    <col min="7201" max="7201" width="15.85546875" customWidth="1"/>
    <col min="7202" max="7202" width="23.7109375" customWidth="1"/>
    <col min="7203" max="7203" width="12" customWidth="1"/>
    <col min="7204" max="7205" width="0.28515625" customWidth="1"/>
    <col min="7206" max="7206" width="1.42578125" customWidth="1"/>
    <col min="7207" max="7207" width="0" hidden="1" customWidth="1"/>
    <col min="7425" max="7425" width="10.28515625" customWidth="1"/>
    <col min="7426" max="7426" width="13.42578125" customWidth="1"/>
    <col min="7427" max="7427" width="4.28515625" customWidth="1"/>
    <col min="7428" max="7428" width="4" customWidth="1"/>
    <col min="7429" max="7429" width="15" customWidth="1"/>
    <col min="7430" max="7430" width="4.140625" customWidth="1"/>
    <col min="7431" max="7431" width="11.28515625" customWidth="1"/>
    <col min="7432" max="7432" width="16.140625" customWidth="1"/>
    <col min="7433" max="7433" width="11" customWidth="1"/>
    <col min="7434" max="7435" width="2.140625" customWidth="1"/>
    <col min="7436" max="7436" width="3.28515625" customWidth="1"/>
    <col min="7437" max="7438" width="0" hidden="1" customWidth="1"/>
    <col min="7439" max="7439" width="2.85546875" customWidth="1"/>
    <col min="7440" max="7440" width="3.28515625" customWidth="1"/>
    <col min="7441" max="7441" width="1.42578125" customWidth="1"/>
    <col min="7442" max="7442" width="0" hidden="1" customWidth="1"/>
    <col min="7443" max="7443" width="6.85546875" customWidth="1"/>
    <col min="7444" max="7444" width="0" hidden="1" customWidth="1"/>
    <col min="7445" max="7446" width="6.28515625" customWidth="1"/>
    <col min="7447" max="7448" width="13.85546875" customWidth="1"/>
    <col min="7449" max="7449" width="10.85546875" customWidth="1"/>
    <col min="7450" max="7450" width="14.140625" customWidth="1"/>
    <col min="7451" max="7451" width="4.42578125" customWidth="1"/>
    <col min="7452" max="7452" width="18.42578125" customWidth="1"/>
    <col min="7453" max="7453" width="13.140625" customWidth="1"/>
    <col min="7454" max="7455" width="14" customWidth="1"/>
    <col min="7456" max="7456" width="11.42578125" customWidth="1"/>
    <col min="7457" max="7457" width="15.85546875" customWidth="1"/>
    <col min="7458" max="7458" width="23.7109375" customWidth="1"/>
    <col min="7459" max="7459" width="12" customWidth="1"/>
    <col min="7460" max="7461" width="0.28515625" customWidth="1"/>
    <col min="7462" max="7462" width="1.42578125" customWidth="1"/>
    <col min="7463" max="7463" width="0" hidden="1" customWidth="1"/>
    <col min="7681" max="7681" width="10.28515625" customWidth="1"/>
    <col min="7682" max="7682" width="13.42578125" customWidth="1"/>
    <col min="7683" max="7683" width="4.28515625" customWidth="1"/>
    <col min="7684" max="7684" width="4" customWidth="1"/>
    <col min="7685" max="7685" width="15" customWidth="1"/>
    <col min="7686" max="7686" width="4.140625" customWidth="1"/>
    <col min="7687" max="7687" width="11.28515625" customWidth="1"/>
    <col min="7688" max="7688" width="16.140625" customWidth="1"/>
    <col min="7689" max="7689" width="11" customWidth="1"/>
    <col min="7690" max="7691" width="2.140625" customWidth="1"/>
    <col min="7692" max="7692" width="3.28515625" customWidth="1"/>
    <col min="7693" max="7694" width="0" hidden="1" customWidth="1"/>
    <col min="7695" max="7695" width="2.85546875" customWidth="1"/>
    <col min="7696" max="7696" width="3.28515625" customWidth="1"/>
    <col min="7697" max="7697" width="1.42578125" customWidth="1"/>
    <col min="7698" max="7698" width="0" hidden="1" customWidth="1"/>
    <col min="7699" max="7699" width="6.85546875" customWidth="1"/>
    <col min="7700" max="7700" width="0" hidden="1" customWidth="1"/>
    <col min="7701" max="7702" width="6.28515625" customWidth="1"/>
    <col min="7703" max="7704" width="13.85546875" customWidth="1"/>
    <col min="7705" max="7705" width="10.85546875" customWidth="1"/>
    <col min="7706" max="7706" width="14.140625" customWidth="1"/>
    <col min="7707" max="7707" width="4.42578125" customWidth="1"/>
    <col min="7708" max="7708" width="18.42578125" customWidth="1"/>
    <col min="7709" max="7709" width="13.140625" customWidth="1"/>
    <col min="7710" max="7711" width="14" customWidth="1"/>
    <col min="7712" max="7712" width="11.42578125" customWidth="1"/>
    <col min="7713" max="7713" width="15.85546875" customWidth="1"/>
    <col min="7714" max="7714" width="23.7109375" customWidth="1"/>
    <col min="7715" max="7715" width="12" customWidth="1"/>
    <col min="7716" max="7717" width="0.28515625" customWidth="1"/>
    <col min="7718" max="7718" width="1.42578125" customWidth="1"/>
    <col min="7719" max="7719" width="0" hidden="1" customWidth="1"/>
    <col min="7937" max="7937" width="10.28515625" customWidth="1"/>
    <col min="7938" max="7938" width="13.42578125" customWidth="1"/>
    <col min="7939" max="7939" width="4.28515625" customWidth="1"/>
    <col min="7940" max="7940" width="4" customWidth="1"/>
    <col min="7941" max="7941" width="15" customWidth="1"/>
    <col min="7942" max="7942" width="4.140625" customWidth="1"/>
    <col min="7943" max="7943" width="11.28515625" customWidth="1"/>
    <col min="7944" max="7944" width="16.140625" customWidth="1"/>
    <col min="7945" max="7945" width="11" customWidth="1"/>
    <col min="7946" max="7947" width="2.140625" customWidth="1"/>
    <col min="7948" max="7948" width="3.28515625" customWidth="1"/>
    <col min="7949" max="7950" width="0" hidden="1" customWidth="1"/>
    <col min="7951" max="7951" width="2.85546875" customWidth="1"/>
    <col min="7952" max="7952" width="3.28515625" customWidth="1"/>
    <col min="7953" max="7953" width="1.42578125" customWidth="1"/>
    <col min="7954" max="7954" width="0" hidden="1" customWidth="1"/>
    <col min="7955" max="7955" width="6.85546875" customWidth="1"/>
    <col min="7956" max="7956" width="0" hidden="1" customWidth="1"/>
    <col min="7957" max="7958" width="6.28515625" customWidth="1"/>
    <col min="7959" max="7960" width="13.85546875" customWidth="1"/>
    <col min="7961" max="7961" width="10.85546875" customWidth="1"/>
    <col min="7962" max="7962" width="14.140625" customWidth="1"/>
    <col min="7963" max="7963" width="4.42578125" customWidth="1"/>
    <col min="7964" max="7964" width="18.42578125" customWidth="1"/>
    <col min="7965" max="7965" width="13.140625" customWidth="1"/>
    <col min="7966" max="7967" width="14" customWidth="1"/>
    <col min="7968" max="7968" width="11.42578125" customWidth="1"/>
    <col min="7969" max="7969" width="15.85546875" customWidth="1"/>
    <col min="7970" max="7970" width="23.7109375" customWidth="1"/>
    <col min="7971" max="7971" width="12" customWidth="1"/>
    <col min="7972" max="7973" width="0.28515625" customWidth="1"/>
    <col min="7974" max="7974" width="1.42578125" customWidth="1"/>
    <col min="7975" max="7975" width="0" hidden="1" customWidth="1"/>
    <col min="8193" max="8193" width="10.28515625" customWidth="1"/>
    <col min="8194" max="8194" width="13.42578125" customWidth="1"/>
    <col min="8195" max="8195" width="4.28515625" customWidth="1"/>
    <col min="8196" max="8196" width="4" customWidth="1"/>
    <col min="8197" max="8197" width="15" customWidth="1"/>
    <col min="8198" max="8198" width="4.140625" customWidth="1"/>
    <col min="8199" max="8199" width="11.28515625" customWidth="1"/>
    <col min="8200" max="8200" width="16.140625" customWidth="1"/>
    <col min="8201" max="8201" width="11" customWidth="1"/>
    <col min="8202" max="8203" width="2.140625" customWidth="1"/>
    <col min="8204" max="8204" width="3.28515625" customWidth="1"/>
    <col min="8205" max="8206" width="0" hidden="1" customWidth="1"/>
    <col min="8207" max="8207" width="2.85546875" customWidth="1"/>
    <col min="8208" max="8208" width="3.28515625" customWidth="1"/>
    <col min="8209" max="8209" width="1.42578125" customWidth="1"/>
    <col min="8210" max="8210" width="0" hidden="1" customWidth="1"/>
    <col min="8211" max="8211" width="6.85546875" customWidth="1"/>
    <col min="8212" max="8212" width="0" hidden="1" customWidth="1"/>
    <col min="8213" max="8214" width="6.28515625" customWidth="1"/>
    <col min="8215" max="8216" width="13.85546875" customWidth="1"/>
    <col min="8217" max="8217" width="10.85546875" customWidth="1"/>
    <col min="8218" max="8218" width="14.140625" customWidth="1"/>
    <col min="8219" max="8219" width="4.42578125" customWidth="1"/>
    <col min="8220" max="8220" width="18.42578125" customWidth="1"/>
    <col min="8221" max="8221" width="13.140625" customWidth="1"/>
    <col min="8222" max="8223" width="14" customWidth="1"/>
    <col min="8224" max="8224" width="11.42578125" customWidth="1"/>
    <col min="8225" max="8225" width="15.85546875" customWidth="1"/>
    <col min="8226" max="8226" width="23.7109375" customWidth="1"/>
    <col min="8227" max="8227" width="12" customWidth="1"/>
    <col min="8228" max="8229" width="0.28515625" customWidth="1"/>
    <col min="8230" max="8230" width="1.42578125" customWidth="1"/>
    <col min="8231" max="8231" width="0" hidden="1" customWidth="1"/>
    <col min="8449" max="8449" width="10.28515625" customWidth="1"/>
    <col min="8450" max="8450" width="13.42578125" customWidth="1"/>
    <col min="8451" max="8451" width="4.28515625" customWidth="1"/>
    <col min="8452" max="8452" width="4" customWidth="1"/>
    <col min="8453" max="8453" width="15" customWidth="1"/>
    <col min="8454" max="8454" width="4.140625" customWidth="1"/>
    <col min="8455" max="8455" width="11.28515625" customWidth="1"/>
    <col min="8456" max="8456" width="16.140625" customWidth="1"/>
    <col min="8457" max="8457" width="11" customWidth="1"/>
    <col min="8458" max="8459" width="2.140625" customWidth="1"/>
    <col min="8460" max="8460" width="3.28515625" customWidth="1"/>
    <col min="8461" max="8462" width="0" hidden="1" customWidth="1"/>
    <col min="8463" max="8463" width="2.85546875" customWidth="1"/>
    <col min="8464" max="8464" width="3.28515625" customWidth="1"/>
    <col min="8465" max="8465" width="1.42578125" customWidth="1"/>
    <col min="8466" max="8466" width="0" hidden="1" customWidth="1"/>
    <col min="8467" max="8467" width="6.85546875" customWidth="1"/>
    <col min="8468" max="8468" width="0" hidden="1" customWidth="1"/>
    <col min="8469" max="8470" width="6.28515625" customWidth="1"/>
    <col min="8471" max="8472" width="13.85546875" customWidth="1"/>
    <col min="8473" max="8473" width="10.85546875" customWidth="1"/>
    <col min="8474" max="8474" width="14.140625" customWidth="1"/>
    <col min="8475" max="8475" width="4.42578125" customWidth="1"/>
    <col min="8476" max="8476" width="18.42578125" customWidth="1"/>
    <col min="8477" max="8477" width="13.140625" customWidth="1"/>
    <col min="8478" max="8479" width="14" customWidth="1"/>
    <col min="8480" max="8480" width="11.42578125" customWidth="1"/>
    <col min="8481" max="8481" width="15.85546875" customWidth="1"/>
    <col min="8482" max="8482" width="23.7109375" customWidth="1"/>
    <col min="8483" max="8483" width="12" customWidth="1"/>
    <col min="8484" max="8485" width="0.28515625" customWidth="1"/>
    <col min="8486" max="8486" width="1.42578125" customWidth="1"/>
    <col min="8487" max="8487" width="0" hidden="1" customWidth="1"/>
    <col min="8705" max="8705" width="10.28515625" customWidth="1"/>
    <col min="8706" max="8706" width="13.42578125" customWidth="1"/>
    <col min="8707" max="8707" width="4.28515625" customWidth="1"/>
    <col min="8708" max="8708" width="4" customWidth="1"/>
    <col min="8709" max="8709" width="15" customWidth="1"/>
    <col min="8710" max="8710" width="4.140625" customWidth="1"/>
    <col min="8711" max="8711" width="11.28515625" customWidth="1"/>
    <col min="8712" max="8712" width="16.140625" customWidth="1"/>
    <col min="8713" max="8713" width="11" customWidth="1"/>
    <col min="8714" max="8715" width="2.140625" customWidth="1"/>
    <col min="8716" max="8716" width="3.28515625" customWidth="1"/>
    <col min="8717" max="8718" width="0" hidden="1" customWidth="1"/>
    <col min="8719" max="8719" width="2.85546875" customWidth="1"/>
    <col min="8720" max="8720" width="3.28515625" customWidth="1"/>
    <col min="8721" max="8721" width="1.42578125" customWidth="1"/>
    <col min="8722" max="8722" width="0" hidden="1" customWidth="1"/>
    <col min="8723" max="8723" width="6.85546875" customWidth="1"/>
    <col min="8724" max="8724" width="0" hidden="1" customWidth="1"/>
    <col min="8725" max="8726" width="6.28515625" customWidth="1"/>
    <col min="8727" max="8728" width="13.85546875" customWidth="1"/>
    <col min="8729" max="8729" width="10.85546875" customWidth="1"/>
    <col min="8730" max="8730" width="14.140625" customWidth="1"/>
    <col min="8731" max="8731" width="4.42578125" customWidth="1"/>
    <col min="8732" max="8732" width="18.42578125" customWidth="1"/>
    <col min="8733" max="8733" width="13.140625" customWidth="1"/>
    <col min="8734" max="8735" width="14" customWidth="1"/>
    <col min="8736" max="8736" width="11.42578125" customWidth="1"/>
    <col min="8737" max="8737" width="15.85546875" customWidth="1"/>
    <col min="8738" max="8738" width="23.7109375" customWidth="1"/>
    <col min="8739" max="8739" width="12" customWidth="1"/>
    <col min="8740" max="8741" width="0.28515625" customWidth="1"/>
    <col min="8742" max="8742" width="1.42578125" customWidth="1"/>
    <col min="8743" max="8743" width="0" hidden="1" customWidth="1"/>
    <col min="8961" max="8961" width="10.28515625" customWidth="1"/>
    <col min="8962" max="8962" width="13.42578125" customWidth="1"/>
    <col min="8963" max="8963" width="4.28515625" customWidth="1"/>
    <col min="8964" max="8964" width="4" customWidth="1"/>
    <col min="8965" max="8965" width="15" customWidth="1"/>
    <col min="8966" max="8966" width="4.140625" customWidth="1"/>
    <col min="8967" max="8967" width="11.28515625" customWidth="1"/>
    <col min="8968" max="8968" width="16.140625" customWidth="1"/>
    <col min="8969" max="8969" width="11" customWidth="1"/>
    <col min="8970" max="8971" width="2.140625" customWidth="1"/>
    <col min="8972" max="8972" width="3.28515625" customWidth="1"/>
    <col min="8973" max="8974" width="0" hidden="1" customWidth="1"/>
    <col min="8975" max="8975" width="2.85546875" customWidth="1"/>
    <col min="8976" max="8976" width="3.28515625" customWidth="1"/>
    <col min="8977" max="8977" width="1.42578125" customWidth="1"/>
    <col min="8978" max="8978" width="0" hidden="1" customWidth="1"/>
    <col min="8979" max="8979" width="6.85546875" customWidth="1"/>
    <col min="8980" max="8980" width="0" hidden="1" customWidth="1"/>
    <col min="8981" max="8982" width="6.28515625" customWidth="1"/>
    <col min="8983" max="8984" width="13.85546875" customWidth="1"/>
    <col min="8985" max="8985" width="10.85546875" customWidth="1"/>
    <col min="8986" max="8986" width="14.140625" customWidth="1"/>
    <col min="8987" max="8987" width="4.42578125" customWidth="1"/>
    <col min="8988" max="8988" width="18.42578125" customWidth="1"/>
    <col min="8989" max="8989" width="13.140625" customWidth="1"/>
    <col min="8990" max="8991" width="14" customWidth="1"/>
    <col min="8992" max="8992" width="11.42578125" customWidth="1"/>
    <col min="8993" max="8993" width="15.85546875" customWidth="1"/>
    <col min="8994" max="8994" width="23.7109375" customWidth="1"/>
    <col min="8995" max="8995" width="12" customWidth="1"/>
    <col min="8996" max="8997" width="0.28515625" customWidth="1"/>
    <col min="8998" max="8998" width="1.42578125" customWidth="1"/>
    <col min="8999" max="8999" width="0" hidden="1" customWidth="1"/>
    <col min="9217" max="9217" width="10.28515625" customWidth="1"/>
    <col min="9218" max="9218" width="13.42578125" customWidth="1"/>
    <col min="9219" max="9219" width="4.28515625" customWidth="1"/>
    <col min="9220" max="9220" width="4" customWidth="1"/>
    <col min="9221" max="9221" width="15" customWidth="1"/>
    <col min="9222" max="9222" width="4.140625" customWidth="1"/>
    <col min="9223" max="9223" width="11.28515625" customWidth="1"/>
    <col min="9224" max="9224" width="16.140625" customWidth="1"/>
    <col min="9225" max="9225" width="11" customWidth="1"/>
    <col min="9226" max="9227" width="2.140625" customWidth="1"/>
    <col min="9228" max="9228" width="3.28515625" customWidth="1"/>
    <col min="9229" max="9230" width="0" hidden="1" customWidth="1"/>
    <col min="9231" max="9231" width="2.85546875" customWidth="1"/>
    <col min="9232" max="9232" width="3.28515625" customWidth="1"/>
    <col min="9233" max="9233" width="1.42578125" customWidth="1"/>
    <col min="9234" max="9234" width="0" hidden="1" customWidth="1"/>
    <col min="9235" max="9235" width="6.85546875" customWidth="1"/>
    <col min="9236" max="9236" width="0" hidden="1" customWidth="1"/>
    <col min="9237" max="9238" width="6.28515625" customWidth="1"/>
    <col min="9239" max="9240" width="13.85546875" customWidth="1"/>
    <col min="9241" max="9241" width="10.85546875" customWidth="1"/>
    <col min="9242" max="9242" width="14.140625" customWidth="1"/>
    <col min="9243" max="9243" width="4.42578125" customWidth="1"/>
    <col min="9244" max="9244" width="18.42578125" customWidth="1"/>
    <col min="9245" max="9245" width="13.140625" customWidth="1"/>
    <col min="9246" max="9247" width="14" customWidth="1"/>
    <col min="9248" max="9248" width="11.42578125" customWidth="1"/>
    <col min="9249" max="9249" width="15.85546875" customWidth="1"/>
    <col min="9250" max="9250" width="23.7109375" customWidth="1"/>
    <col min="9251" max="9251" width="12" customWidth="1"/>
    <col min="9252" max="9253" width="0.28515625" customWidth="1"/>
    <col min="9254" max="9254" width="1.42578125" customWidth="1"/>
    <col min="9255" max="9255" width="0" hidden="1" customWidth="1"/>
    <col min="9473" max="9473" width="10.28515625" customWidth="1"/>
    <col min="9474" max="9474" width="13.42578125" customWidth="1"/>
    <col min="9475" max="9475" width="4.28515625" customWidth="1"/>
    <col min="9476" max="9476" width="4" customWidth="1"/>
    <col min="9477" max="9477" width="15" customWidth="1"/>
    <col min="9478" max="9478" width="4.140625" customWidth="1"/>
    <col min="9479" max="9479" width="11.28515625" customWidth="1"/>
    <col min="9480" max="9480" width="16.140625" customWidth="1"/>
    <col min="9481" max="9481" width="11" customWidth="1"/>
    <col min="9482" max="9483" width="2.140625" customWidth="1"/>
    <col min="9484" max="9484" width="3.28515625" customWidth="1"/>
    <col min="9485" max="9486" width="0" hidden="1" customWidth="1"/>
    <col min="9487" max="9487" width="2.85546875" customWidth="1"/>
    <col min="9488" max="9488" width="3.28515625" customWidth="1"/>
    <col min="9489" max="9489" width="1.42578125" customWidth="1"/>
    <col min="9490" max="9490" width="0" hidden="1" customWidth="1"/>
    <col min="9491" max="9491" width="6.85546875" customWidth="1"/>
    <col min="9492" max="9492" width="0" hidden="1" customWidth="1"/>
    <col min="9493" max="9494" width="6.28515625" customWidth="1"/>
    <col min="9495" max="9496" width="13.85546875" customWidth="1"/>
    <col min="9497" max="9497" width="10.85546875" customWidth="1"/>
    <col min="9498" max="9498" width="14.140625" customWidth="1"/>
    <col min="9499" max="9499" width="4.42578125" customWidth="1"/>
    <col min="9500" max="9500" width="18.42578125" customWidth="1"/>
    <col min="9501" max="9501" width="13.140625" customWidth="1"/>
    <col min="9502" max="9503" width="14" customWidth="1"/>
    <col min="9504" max="9504" width="11.42578125" customWidth="1"/>
    <col min="9505" max="9505" width="15.85546875" customWidth="1"/>
    <col min="9506" max="9506" width="23.7109375" customWidth="1"/>
    <col min="9507" max="9507" width="12" customWidth="1"/>
    <col min="9508" max="9509" width="0.28515625" customWidth="1"/>
    <col min="9510" max="9510" width="1.42578125" customWidth="1"/>
    <col min="9511" max="9511" width="0" hidden="1" customWidth="1"/>
    <col min="9729" max="9729" width="10.28515625" customWidth="1"/>
    <col min="9730" max="9730" width="13.42578125" customWidth="1"/>
    <col min="9731" max="9731" width="4.28515625" customWidth="1"/>
    <col min="9732" max="9732" width="4" customWidth="1"/>
    <col min="9733" max="9733" width="15" customWidth="1"/>
    <col min="9734" max="9734" width="4.140625" customWidth="1"/>
    <col min="9735" max="9735" width="11.28515625" customWidth="1"/>
    <col min="9736" max="9736" width="16.140625" customWidth="1"/>
    <col min="9737" max="9737" width="11" customWidth="1"/>
    <col min="9738" max="9739" width="2.140625" customWidth="1"/>
    <col min="9740" max="9740" width="3.28515625" customWidth="1"/>
    <col min="9741" max="9742" width="0" hidden="1" customWidth="1"/>
    <col min="9743" max="9743" width="2.85546875" customWidth="1"/>
    <col min="9744" max="9744" width="3.28515625" customWidth="1"/>
    <col min="9745" max="9745" width="1.42578125" customWidth="1"/>
    <col min="9746" max="9746" width="0" hidden="1" customWidth="1"/>
    <col min="9747" max="9747" width="6.85546875" customWidth="1"/>
    <col min="9748" max="9748" width="0" hidden="1" customWidth="1"/>
    <col min="9749" max="9750" width="6.28515625" customWidth="1"/>
    <col min="9751" max="9752" width="13.85546875" customWidth="1"/>
    <col min="9753" max="9753" width="10.85546875" customWidth="1"/>
    <col min="9754" max="9754" width="14.140625" customWidth="1"/>
    <col min="9755" max="9755" width="4.42578125" customWidth="1"/>
    <col min="9756" max="9756" width="18.42578125" customWidth="1"/>
    <col min="9757" max="9757" width="13.140625" customWidth="1"/>
    <col min="9758" max="9759" width="14" customWidth="1"/>
    <col min="9760" max="9760" width="11.42578125" customWidth="1"/>
    <col min="9761" max="9761" width="15.85546875" customWidth="1"/>
    <col min="9762" max="9762" width="23.7109375" customWidth="1"/>
    <col min="9763" max="9763" width="12" customWidth="1"/>
    <col min="9764" max="9765" width="0.28515625" customWidth="1"/>
    <col min="9766" max="9766" width="1.42578125" customWidth="1"/>
    <col min="9767" max="9767" width="0" hidden="1" customWidth="1"/>
    <col min="9985" max="9985" width="10.28515625" customWidth="1"/>
    <col min="9986" max="9986" width="13.42578125" customWidth="1"/>
    <col min="9987" max="9987" width="4.28515625" customWidth="1"/>
    <col min="9988" max="9988" width="4" customWidth="1"/>
    <col min="9989" max="9989" width="15" customWidth="1"/>
    <col min="9990" max="9990" width="4.140625" customWidth="1"/>
    <col min="9991" max="9991" width="11.28515625" customWidth="1"/>
    <col min="9992" max="9992" width="16.140625" customWidth="1"/>
    <col min="9993" max="9993" width="11" customWidth="1"/>
    <col min="9994" max="9995" width="2.140625" customWidth="1"/>
    <col min="9996" max="9996" width="3.28515625" customWidth="1"/>
    <col min="9997" max="9998" width="0" hidden="1" customWidth="1"/>
    <col min="9999" max="9999" width="2.85546875" customWidth="1"/>
    <col min="10000" max="10000" width="3.28515625" customWidth="1"/>
    <col min="10001" max="10001" width="1.42578125" customWidth="1"/>
    <col min="10002" max="10002" width="0" hidden="1" customWidth="1"/>
    <col min="10003" max="10003" width="6.85546875" customWidth="1"/>
    <col min="10004" max="10004" width="0" hidden="1" customWidth="1"/>
    <col min="10005" max="10006" width="6.28515625" customWidth="1"/>
    <col min="10007" max="10008" width="13.85546875" customWidth="1"/>
    <col min="10009" max="10009" width="10.85546875" customWidth="1"/>
    <col min="10010" max="10010" width="14.140625" customWidth="1"/>
    <col min="10011" max="10011" width="4.42578125" customWidth="1"/>
    <col min="10012" max="10012" width="18.42578125" customWidth="1"/>
    <col min="10013" max="10013" width="13.140625" customWidth="1"/>
    <col min="10014" max="10015" width="14" customWidth="1"/>
    <col min="10016" max="10016" width="11.42578125" customWidth="1"/>
    <col min="10017" max="10017" width="15.85546875" customWidth="1"/>
    <col min="10018" max="10018" width="23.7109375" customWidth="1"/>
    <col min="10019" max="10019" width="12" customWidth="1"/>
    <col min="10020" max="10021" width="0.28515625" customWidth="1"/>
    <col min="10022" max="10022" width="1.42578125" customWidth="1"/>
    <col min="10023" max="10023" width="0" hidden="1" customWidth="1"/>
    <col min="10241" max="10241" width="10.28515625" customWidth="1"/>
    <col min="10242" max="10242" width="13.42578125" customWidth="1"/>
    <col min="10243" max="10243" width="4.28515625" customWidth="1"/>
    <col min="10244" max="10244" width="4" customWidth="1"/>
    <col min="10245" max="10245" width="15" customWidth="1"/>
    <col min="10246" max="10246" width="4.140625" customWidth="1"/>
    <col min="10247" max="10247" width="11.28515625" customWidth="1"/>
    <col min="10248" max="10248" width="16.140625" customWidth="1"/>
    <col min="10249" max="10249" width="11" customWidth="1"/>
    <col min="10250" max="10251" width="2.140625" customWidth="1"/>
    <col min="10252" max="10252" width="3.28515625" customWidth="1"/>
    <col min="10253" max="10254" width="0" hidden="1" customWidth="1"/>
    <col min="10255" max="10255" width="2.85546875" customWidth="1"/>
    <col min="10256" max="10256" width="3.28515625" customWidth="1"/>
    <col min="10257" max="10257" width="1.42578125" customWidth="1"/>
    <col min="10258" max="10258" width="0" hidden="1" customWidth="1"/>
    <col min="10259" max="10259" width="6.85546875" customWidth="1"/>
    <col min="10260" max="10260" width="0" hidden="1" customWidth="1"/>
    <col min="10261" max="10262" width="6.28515625" customWidth="1"/>
    <col min="10263" max="10264" width="13.85546875" customWidth="1"/>
    <col min="10265" max="10265" width="10.85546875" customWidth="1"/>
    <col min="10266" max="10266" width="14.140625" customWidth="1"/>
    <col min="10267" max="10267" width="4.42578125" customWidth="1"/>
    <col min="10268" max="10268" width="18.42578125" customWidth="1"/>
    <col min="10269" max="10269" width="13.140625" customWidth="1"/>
    <col min="10270" max="10271" width="14" customWidth="1"/>
    <col min="10272" max="10272" width="11.42578125" customWidth="1"/>
    <col min="10273" max="10273" width="15.85546875" customWidth="1"/>
    <col min="10274" max="10274" width="23.7109375" customWidth="1"/>
    <col min="10275" max="10275" width="12" customWidth="1"/>
    <col min="10276" max="10277" width="0.28515625" customWidth="1"/>
    <col min="10278" max="10278" width="1.42578125" customWidth="1"/>
    <col min="10279" max="10279" width="0" hidden="1" customWidth="1"/>
    <col min="10497" max="10497" width="10.28515625" customWidth="1"/>
    <col min="10498" max="10498" width="13.42578125" customWidth="1"/>
    <col min="10499" max="10499" width="4.28515625" customWidth="1"/>
    <col min="10500" max="10500" width="4" customWidth="1"/>
    <col min="10501" max="10501" width="15" customWidth="1"/>
    <col min="10502" max="10502" width="4.140625" customWidth="1"/>
    <col min="10503" max="10503" width="11.28515625" customWidth="1"/>
    <col min="10504" max="10504" width="16.140625" customWidth="1"/>
    <col min="10505" max="10505" width="11" customWidth="1"/>
    <col min="10506" max="10507" width="2.140625" customWidth="1"/>
    <col min="10508" max="10508" width="3.28515625" customWidth="1"/>
    <col min="10509" max="10510" width="0" hidden="1" customWidth="1"/>
    <col min="10511" max="10511" width="2.85546875" customWidth="1"/>
    <col min="10512" max="10512" width="3.28515625" customWidth="1"/>
    <col min="10513" max="10513" width="1.42578125" customWidth="1"/>
    <col min="10514" max="10514" width="0" hidden="1" customWidth="1"/>
    <col min="10515" max="10515" width="6.85546875" customWidth="1"/>
    <col min="10516" max="10516" width="0" hidden="1" customWidth="1"/>
    <col min="10517" max="10518" width="6.28515625" customWidth="1"/>
    <col min="10519" max="10520" width="13.85546875" customWidth="1"/>
    <col min="10521" max="10521" width="10.85546875" customWidth="1"/>
    <col min="10522" max="10522" width="14.140625" customWidth="1"/>
    <col min="10523" max="10523" width="4.42578125" customWidth="1"/>
    <col min="10524" max="10524" width="18.42578125" customWidth="1"/>
    <col min="10525" max="10525" width="13.140625" customWidth="1"/>
    <col min="10526" max="10527" width="14" customWidth="1"/>
    <col min="10528" max="10528" width="11.42578125" customWidth="1"/>
    <col min="10529" max="10529" width="15.85546875" customWidth="1"/>
    <col min="10530" max="10530" width="23.7109375" customWidth="1"/>
    <col min="10531" max="10531" width="12" customWidth="1"/>
    <col min="10532" max="10533" width="0.28515625" customWidth="1"/>
    <col min="10534" max="10534" width="1.42578125" customWidth="1"/>
    <col min="10535" max="10535" width="0" hidden="1" customWidth="1"/>
    <col min="10753" max="10753" width="10.28515625" customWidth="1"/>
    <col min="10754" max="10754" width="13.42578125" customWidth="1"/>
    <col min="10755" max="10755" width="4.28515625" customWidth="1"/>
    <col min="10756" max="10756" width="4" customWidth="1"/>
    <col min="10757" max="10757" width="15" customWidth="1"/>
    <col min="10758" max="10758" width="4.140625" customWidth="1"/>
    <col min="10759" max="10759" width="11.28515625" customWidth="1"/>
    <col min="10760" max="10760" width="16.140625" customWidth="1"/>
    <col min="10761" max="10761" width="11" customWidth="1"/>
    <col min="10762" max="10763" width="2.140625" customWidth="1"/>
    <col min="10764" max="10764" width="3.28515625" customWidth="1"/>
    <col min="10765" max="10766" width="0" hidden="1" customWidth="1"/>
    <col min="10767" max="10767" width="2.85546875" customWidth="1"/>
    <col min="10768" max="10768" width="3.28515625" customWidth="1"/>
    <col min="10769" max="10769" width="1.42578125" customWidth="1"/>
    <col min="10770" max="10770" width="0" hidden="1" customWidth="1"/>
    <col min="10771" max="10771" width="6.85546875" customWidth="1"/>
    <col min="10772" max="10772" width="0" hidden="1" customWidth="1"/>
    <col min="10773" max="10774" width="6.28515625" customWidth="1"/>
    <col min="10775" max="10776" width="13.85546875" customWidth="1"/>
    <col min="10777" max="10777" width="10.85546875" customWidth="1"/>
    <col min="10778" max="10778" width="14.140625" customWidth="1"/>
    <col min="10779" max="10779" width="4.42578125" customWidth="1"/>
    <col min="10780" max="10780" width="18.42578125" customWidth="1"/>
    <col min="10781" max="10781" width="13.140625" customWidth="1"/>
    <col min="10782" max="10783" width="14" customWidth="1"/>
    <col min="10784" max="10784" width="11.42578125" customWidth="1"/>
    <col min="10785" max="10785" width="15.85546875" customWidth="1"/>
    <col min="10786" max="10786" width="23.7109375" customWidth="1"/>
    <col min="10787" max="10787" width="12" customWidth="1"/>
    <col min="10788" max="10789" width="0.28515625" customWidth="1"/>
    <col min="10790" max="10790" width="1.42578125" customWidth="1"/>
    <col min="10791" max="10791" width="0" hidden="1" customWidth="1"/>
    <col min="11009" max="11009" width="10.28515625" customWidth="1"/>
    <col min="11010" max="11010" width="13.42578125" customWidth="1"/>
    <col min="11011" max="11011" width="4.28515625" customWidth="1"/>
    <col min="11012" max="11012" width="4" customWidth="1"/>
    <col min="11013" max="11013" width="15" customWidth="1"/>
    <col min="11014" max="11014" width="4.140625" customWidth="1"/>
    <col min="11015" max="11015" width="11.28515625" customWidth="1"/>
    <col min="11016" max="11016" width="16.140625" customWidth="1"/>
    <col min="11017" max="11017" width="11" customWidth="1"/>
    <col min="11018" max="11019" width="2.140625" customWidth="1"/>
    <col min="11020" max="11020" width="3.28515625" customWidth="1"/>
    <col min="11021" max="11022" width="0" hidden="1" customWidth="1"/>
    <col min="11023" max="11023" width="2.85546875" customWidth="1"/>
    <col min="11024" max="11024" width="3.28515625" customWidth="1"/>
    <col min="11025" max="11025" width="1.42578125" customWidth="1"/>
    <col min="11026" max="11026" width="0" hidden="1" customWidth="1"/>
    <col min="11027" max="11027" width="6.85546875" customWidth="1"/>
    <col min="11028" max="11028" width="0" hidden="1" customWidth="1"/>
    <col min="11029" max="11030" width="6.28515625" customWidth="1"/>
    <col min="11031" max="11032" width="13.85546875" customWidth="1"/>
    <col min="11033" max="11033" width="10.85546875" customWidth="1"/>
    <col min="11034" max="11034" width="14.140625" customWidth="1"/>
    <col min="11035" max="11035" width="4.42578125" customWidth="1"/>
    <col min="11036" max="11036" width="18.42578125" customWidth="1"/>
    <col min="11037" max="11037" width="13.140625" customWidth="1"/>
    <col min="11038" max="11039" width="14" customWidth="1"/>
    <col min="11040" max="11040" width="11.42578125" customWidth="1"/>
    <col min="11041" max="11041" width="15.85546875" customWidth="1"/>
    <col min="11042" max="11042" width="23.7109375" customWidth="1"/>
    <col min="11043" max="11043" width="12" customWidth="1"/>
    <col min="11044" max="11045" width="0.28515625" customWidth="1"/>
    <col min="11046" max="11046" width="1.42578125" customWidth="1"/>
    <col min="11047" max="11047" width="0" hidden="1" customWidth="1"/>
    <col min="11265" max="11265" width="10.28515625" customWidth="1"/>
    <col min="11266" max="11266" width="13.42578125" customWidth="1"/>
    <col min="11267" max="11267" width="4.28515625" customWidth="1"/>
    <col min="11268" max="11268" width="4" customWidth="1"/>
    <col min="11269" max="11269" width="15" customWidth="1"/>
    <col min="11270" max="11270" width="4.140625" customWidth="1"/>
    <col min="11271" max="11271" width="11.28515625" customWidth="1"/>
    <col min="11272" max="11272" width="16.140625" customWidth="1"/>
    <col min="11273" max="11273" width="11" customWidth="1"/>
    <col min="11274" max="11275" width="2.140625" customWidth="1"/>
    <col min="11276" max="11276" width="3.28515625" customWidth="1"/>
    <col min="11277" max="11278" width="0" hidden="1" customWidth="1"/>
    <col min="11279" max="11279" width="2.85546875" customWidth="1"/>
    <col min="11280" max="11280" width="3.28515625" customWidth="1"/>
    <col min="11281" max="11281" width="1.42578125" customWidth="1"/>
    <col min="11282" max="11282" width="0" hidden="1" customWidth="1"/>
    <col min="11283" max="11283" width="6.85546875" customWidth="1"/>
    <col min="11284" max="11284" width="0" hidden="1" customWidth="1"/>
    <col min="11285" max="11286" width="6.28515625" customWidth="1"/>
    <col min="11287" max="11288" width="13.85546875" customWidth="1"/>
    <col min="11289" max="11289" width="10.85546875" customWidth="1"/>
    <col min="11290" max="11290" width="14.140625" customWidth="1"/>
    <col min="11291" max="11291" width="4.42578125" customWidth="1"/>
    <col min="11292" max="11292" width="18.42578125" customWidth="1"/>
    <col min="11293" max="11293" width="13.140625" customWidth="1"/>
    <col min="11294" max="11295" width="14" customWidth="1"/>
    <col min="11296" max="11296" width="11.42578125" customWidth="1"/>
    <col min="11297" max="11297" width="15.85546875" customWidth="1"/>
    <col min="11298" max="11298" width="23.7109375" customWidth="1"/>
    <col min="11299" max="11299" width="12" customWidth="1"/>
    <col min="11300" max="11301" width="0.28515625" customWidth="1"/>
    <col min="11302" max="11302" width="1.42578125" customWidth="1"/>
    <col min="11303" max="11303" width="0" hidden="1" customWidth="1"/>
    <col min="11521" max="11521" width="10.28515625" customWidth="1"/>
    <col min="11522" max="11522" width="13.42578125" customWidth="1"/>
    <col min="11523" max="11523" width="4.28515625" customWidth="1"/>
    <col min="11524" max="11524" width="4" customWidth="1"/>
    <col min="11525" max="11525" width="15" customWidth="1"/>
    <col min="11526" max="11526" width="4.140625" customWidth="1"/>
    <col min="11527" max="11527" width="11.28515625" customWidth="1"/>
    <col min="11528" max="11528" width="16.140625" customWidth="1"/>
    <col min="11529" max="11529" width="11" customWidth="1"/>
    <col min="11530" max="11531" width="2.140625" customWidth="1"/>
    <col min="11532" max="11532" width="3.28515625" customWidth="1"/>
    <col min="11533" max="11534" width="0" hidden="1" customWidth="1"/>
    <col min="11535" max="11535" width="2.85546875" customWidth="1"/>
    <col min="11536" max="11536" width="3.28515625" customWidth="1"/>
    <col min="11537" max="11537" width="1.42578125" customWidth="1"/>
    <col min="11538" max="11538" width="0" hidden="1" customWidth="1"/>
    <col min="11539" max="11539" width="6.85546875" customWidth="1"/>
    <col min="11540" max="11540" width="0" hidden="1" customWidth="1"/>
    <col min="11541" max="11542" width="6.28515625" customWidth="1"/>
    <col min="11543" max="11544" width="13.85546875" customWidth="1"/>
    <col min="11545" max="11545" width="10.85546875" customWidth="1"/>
    <col min="11546" max="11546" width="14.140625" customWidth="1"/>
    <col min="11547" max="11547" width="4.42578125" customWidth="1"/>
    <col min="11548" max="11548" width="18.42578125" customWidth="1"/>
    <col min="11549" max="11549" width="13.140625" customWidth="1"/>
    <col min="11550" max="11551" width="14" customWidth="1"/>
    <col min="11552" max="11552" width="11.42578125" customWidth="1"/>
    <col min="11553" max="11553" width="15.85546875" customWidth="1"/>
    <col min="11554" max="11554" width="23.7109375" customWidth="1"/>
    <col min="11555" max="11555" width="12" customWidth="1"/>
    <col min="11556" max="11557" width="0.28515625" customWidth="1"/>
    <col min="11558" max="11558" width="1.42578125" customWidth="1"/>
    <col min="11559" max="11559" width="0" hidden="1" customWidth="1"/>
    <col min="11777" max="11777" width="10.28515625" customWidth="1"/>
    <col min="11778" max="11778" width="13.42578125" customWidth="1"/>
    <col min="11779" max="11779" width="4.28515625" customWidth="1"/>
    <col min="11780" max="11780" width="4" customWidth="1"/>
    <col min="11781" max="11781" width="15" customWidth="1"/>
    <col min="11782" max="11782" width="4.140625" customWidth="1"/>
    <col min="11783" max="11783" width="11.28515625" customWidth="1"/>
    <col min="11784" max="11784" width="16.140625" customWidth="1"/>
    <col min="11785" max="11785" width="11" customWidth="1"/>
    <col min="11786" max="11787" width="2.140625" customWidth="1"/>
    <col min="11788" max="11788" width="3.28515625" customWidth="1"/>
    <col min="11789" max="11790" width="0" hidden="1" customWidth="1"/>
    <col min="11791" max="11791" width="2.85546875" customWidth="1"/>
    <col min="11792" max="11792" width="3.28515625" customWidth="1"/>
    <col min="11793" max="11793" width="1.42578125" customWidth="1"/>
    <col min="11794" max="11794" width="0" hidden="1" customWidth="1"/>
    <col min="11795" max="11795" width="6.85546875" customWidth="1"/>
    <col min="11796" max="11796" width="0" hidden="1" customWidth="1"/>
    <col min="11797" max="11798" width="6.28515625" customWidth="1"/>
    <col min="11799" max="11800" width="13.85546875" customWidth="1"/>
    <col min="11801" max="11801" width="10.85546875" customWidth="1"/>
    <col min="11802" max="11802" width="14.140625" customWidth="1"/>
    <col min="11803" max="11803" width="4.42578125" customWidth="1"/>
    <col min="11804" max="11804" width="18.42578125" customWidth="1"/>
    <col min="11805" max="11805" width="13.140625" customWidth="1"/>
    <col min="11806" max="11807" width="14" customWidth="1"/>
    <col min="11808" max="11808" width="11.42578125" customWidth="1"/>
    <col min="11809" max="11809" width="15.85546875" customWidth="1"/>
    <col min="11810" max="11810" width="23.7109375" customWidth="1"/>
    <col min="11811" max="11811" width="12" customWidth="1"/>
    <col min="11812" max="11813" width="0.28515625" customWidth="1"/>
    <col min="11814" max="11814" width="1.42578125" customWidth="1"/>
    <col min="11815" max="11815" width="0" hidden="1" customWidth="1"/>
    <col min="12033" max="12033" width="10.28515625" customWidth="1"/>
    <col min="12034" max="12034" width="13.42578125" customWidth="1"/>
    <col min="12035" max="12035" width="4.28515625" customWidth="1"/>
    <col min="12036" max="12036" width="4" customWidth="1"/>
    <col min="12037" max="12037" width="15" customWidth="1"/>
    <col min="12038" max="12038" width="4.140625" customWidth="1"/>
    <col min="12039" max="12039" width="11.28515625" customWidth="1"/>
    <col min="12040" max="12040" width="16.140625" customWidth="1"/>
    <col min="12041" max="12041" width="11" customWidth="1"/>
    <col min="12042" max="12043" width="2.140625" customWidth="1"/>
    <col min="12044" max="12044" width="3.28515625" customWidth="1"/>
    <col min="12045" max="12046" width="0" hidden="1" customWidth="1"/>
    <col min="12047" max="12047" width="2.85546875" customWidth="1"/>
    <col min="12048" max="12048" width="3.28515625" customWidth="1"/>
    <col min="12049" max="12049" width="1.42578125" customWidth="1"/>
    <col min="12050" max="12050" width="0" hidden="1" customWidth="1"/>
    <col min="12051" max="12051" width="6.85546875" customWidth="1"/>
    <col min="12052" max="12052" width="0" hidden="1" customWidth="1"/>
    <col min="12053" max="12054" width="6.28515625" customWidth="1"/>
    <col min="12055" max="12056" width="13.85546875" customWidth="1"/>
    <col min="12057" max="12057" width="10.85546875" customWidth="1"/>
    <col min="12058" max="12058" width="14.140625" customWidth="1"/>
    <col min="12059" max="12059" width="4.42578125" customWidth="1"/>
    <col min="12060" max="12060" width="18.42578125" customWidth="1"/>
    <col min="12061" max="12061" width="13.140625" customWidth="1"/>
    <col min="12062" max="12063" width="14" customWidth="1"/>
    <col min="12064" max="12064" width="11.42578125" customWidth="1"/>
    <col min="12065" max="12065" width="15.85546875" customWidth="1"/>
    <col min="12066" max="12066" width="23.7109375" customWidth="1"/>
    <col min="12067" max="12067" width="12" customWidth="1"/>
    <col min="12068" max="12069" width="0.28515625" customWidth="1"/>
    <col min="12070" max="12070" width="1.42578125" customWidth="1"/>
    <col min="12071" max="12071" width="0" hidden="1" customWidth="1"/>
    <col min="12289" max="12289" width="10.28515625" customWidth="1"/>
    <col min="12290" max="12290" width="13.42578125" customWidth="1"/>
    <col min="12291" max="12291" width="4.28515625" customWidth="1"/>
    <col min="12292" max="12292" width="4" customWidth="1"/>
    <col min="12293" max="12293" width="15" customWidth="1"/>
    <col min="12294" max="12294" width="4.140625" customWidth="1"/>
    <col min="12295" max="12295" width="11.28515625" customWidth="1"/>
    <col min="12296" max="12296" width="16.140625" customWidth="1"/>
    <col min="12297" max="12297" width="11" customWidth="1"/>
    <col min="12298" max="12299" width="2.140625" customWidth="1"/>
    <col min="12300" max="12300" width="3.28515625" customWidth="1"/>
    <col min="12301" max="12302" width="0" hidden="1" customWidth="1"/>
    <col min="12303" max="12303" width="2.85546875" customWidth="1"/>
    <col min="12304" max="12304" width="3.28515625" customWidth="1"/>
    <col min="12305" max="12305" width="1.42578125" customWidth="1"/>
    <col min="12306" max="12306" width="0" hidden="1" customWidth="1"/>
    <col min="12307" max="12307" width="6.85546875" customWidth="1"/>
    <col min="12308" max="12308" width="0" hidden="1" customWidth="1"/>
    <col min="12309" max="12310" width="6.28515625" customWidth="1"/>
    <col min="12311" max="12312" width="13.85546875" customWidth="1"/>
    <col min="12313" max="12313" width="10.85546875" customWidth="1"/>
    <col min="12314" max="12314" width="14.140625" customWidth="1"/>
    <col min="12315" max="12315" width="4.42578125" customWidth="1"/>
    <col min="12316" max="12316" width="18.42578125" customWidth="1"/>
    <col min="12317" max="12317" width="13.140625" customWidth="1"/>
    <col min="12318" max="12319" width="14" customWidth="1"/>
    <col min="12320" max="12320" width="11.42578125" customWidth="1"/>
    <col min="12321" max="12321" width="15.85546875" customWidth="1"/>
    <col min="12322" max="12322" width="23.7109375" customWidth="1"/>
    <col min="12323" max="12323" width="12" customWidth="1"/>
    <col min="12324" max="12325" width="0.28515625" customWidth="1"/>
    <col min="12326" max="12326" width="1.42578125" customWidth="1"/>
    <col min="12327" max="12327" width="0" hidden="1" customWidth="1"/>
    <col min="12545" max="12545" width="10.28515625" customWidth="1"/>
    <col min="12546" max="12546" width="13.42578125" customWidth="1"/>
    <col min="12547" max="12547" width="4.28515625" customWidth="1"/>
    <col min="12548" max="12548" width="4" customWidth="1"/>
    <col min="12549" max="12549" width="15" customWidth="1"/>
    <col min="12550" max="12550" width="4.140625" customWidth="1"/>
    <col min="12551" max="12551" width="11.28515625" customWidth="1"/>
    <col min="12552" max="12552" width="16.140625" customWidth="1"/>
    <col min="12553" max="12553" width="11" customWidth="1"/>
    <col min="12554" max="12555" width="2.140625" customWidth="1"/>
    <col min="12556" max="12556" width="3.28515625" customWidth="1"/>
    <col min="12557" max="12558" width="0" hidden="1" customWidth="1"/>
    <col min="12559" max="12559" width="2.85546875" customWidth="1"/>
    <col min="12560" max="12560" width="3.28515625" customWidth="1"/>
    <col min="12561" max="12561" width="1.42578125" customWidth="1"/>
    <col min="12562" max="12562" width="0" hidden="1" customWidth="1"/>
    <col min="12563" max="12563" width="6.85546875" customWidth="1"/>
    <col min="12564" max="12564" width="0" hidden="1" customWidth="1"/>
    <col min="12565" max="12566" width="6.28515625" customWidth="1"/>
    <col min="12567" max="12568" width="13.85546875" customWidth="1"/>
    <col min="12569" max="12569" width="10.85546875" customWidth="1"/>
    <col min="12570" max="12570" width="14.140625" customWidth="1"/>
    <col min="12571" max="12571" width="4.42578125" customWidth="1"/>
    <col min="12572" max="12572" width="18.42578125" customWidth="1"/>
    <col min="12573" max="12573" width="13.140625" customWidth="1"/>
    <col min="12574" max="12575" width="14" customWidth="1"/>
    <col min="12576" max="12576" width="11.42578125" customWidth="1"/>
    <col min="12577" max="12577" width="15.85546875" customWidth="1"/>
    <col min="12578" max="12578" width="23.7109375" customWidth="1"/>
    <col min="12579" max="12579" width="12" customWidth="1"/>
    <col min="12580" max="12581" width="0.28515625" customWidth="1"/>
    <col min="12582" max="12582" width="1.42578125" customWidth="1"/>
    <col min="12583" max="12583" width="0" hidden="1" customWidth="1"/>
    <col min="12801" max="12801" width="10.28515625" customWidth="1"/>
    <col min="12802" max="12802" width="13.42578125" customWidth="1"/>
    <col min="12803" max="12803" width="4.28515625" customWidth="1"/>
    <col min="12804" max="12804" width="4" customWidth="1"/>
    <col min="12805" max="12805" width="15" customWidth="1"/>
    <col min="12806" max="12806" width="4.140625" customWidth="1"/>
    <col min="12807" max="12807" width="11.28515625" customWidth="1"/>
    <col min="12808" max="12808" width="16.140625" customWidth="1"/>
    <col min="12809" max="12809" width="11" customWidth="1"/>
    <col min="12810" max="12811" width="2.140625" customWidth="1"/>
    <col min="12812" max="12812" width="3.28515625" customWidth="1"/>
    <col min="12813" max="12814" width="0" hidden="1" customWidth="1"/>
    <col min="12815" max="12815" width="2.85546875" customWidth="1"/>
    <col min="12816" max="12816" width="3.28515625" customWidth="1"/>
    <col min="12817" max="12817" width="1.42578125" customWidth="1"/>
    <col min="12818" max="12818" width="0" hidden="1" customWidth="1"/>
    <col min="12819" max="12819" width="6.85546875" customWidth="1"/>
    <col min="12820" max="12820" width="0" hidden="1" customWidth="1"/>
    <col min="12821" max="12822" width="6.28515625" customWidth="1"/>
    <col min="12823" max="12824" width="13.85546875" customWidth="1"/>
    <col min="12825" max="12825" width="10.85546875" customWidth="1"/>
    <col min="12826" max="12826" width="14.140625" customWidth="1"/>
    <col min="12827" max="12827" width="4.42578125" customWidth="1"/>
    <col min="12828" max="12828" width="18.42578125" customWidth="1"/>
    <col min="12829" max="12829" width="13.140625" customWidth="1"/>
    <col min="12830" max="12831" width="14" customWidth="1"/>
    <col min="12832" max="12832" width="11.42578125" customWidth="1"/>
    <col min="12833" max="12833" width="15.85546875" customWidth="1"/>
    <col min="12834" max="12834" width="23.7109375" customWidth="1"/>
    <col min="12835" max="12835" width="12" customWidth="1"/>
    <col min="12836" max="12837" width="0.28515625" customWidth="1"/>
    <col min="12838" max="12838" width="1.42578125" customWidth="1"/>
    <col min="12839" max="12839" width="0" hidden="1" customWidth="1"/>
    <col min="13057" max="13057" width="10.28515625" customWidth="1"/>
    <col min="13058" max="13058" width="13.42578125" customWidth="1"/>
    <col min="13059" max="13059" width="4.28515625" customWidth="1"/>
    <col min="13060" max="13060" width="4" customWidth="1"/>
    <col min="13061" max="13061" width="15" customWidth="1"/>
    <col min="13062" max="13062" width="4.140625" customWidth="1"/>
    <col min="13063" max="13063" width="11.28515625" customWidth="1"/>
    <col min="13064" max="13064" width="16.140625" customWidth="1"/>
    <col min="13065" max="13065" width="11" customWidth="1"/>
    <col min="13066" max="13067" width="2.140625" customWidth="1"/>
    <col min="13068" max="13068" width="3.28515625" customWidth="1"/>
    <col min="13069" max="13070" width="0" hidden="1" customWidth="1"/>
    <col min="13071" max="13071" width="2.85546875" customWidth="1"/>
    <col min="13072" max="13072" width="3.28515625" customWidth="1"/>
    <col min="13073" max="13073" width="1.42578125" customWidth="1"/>
    <col min="13074" max="13074" width="0" hidden="1" customWidth="1"/>
    <col min="13075" max="13075" width="6.85546875" customWidth="1"/>
    <col min="13076" max="13076" width="0" hidden="1" customWidth="1"/>
    <col min="13077" max="13078" width="6.28515625" customWidth="1"/>
    <col min="13079" max="13080" width="13.85546875" customWidth="1"/>
    <col min="13081" max="13081" width="10.85546875" customWidth="1"/>
    <col min="13082" max="13082" width="14.140625" customWidth="1"/>
    <col min="13083" max="13083" width="4.42578125" customWidth="1"/>
    <col min="13084" max="13084" width="18.42578125" customWidth="1"/>
    <col min="13085" max="13085" width="13.140625" customWidth="1"/>
    <col min="13086" max="13087" width="14" customWidth="1"/>
    <col min="13088" max="13088" width="11.42578125" customWidth="1"/>
    <col min="13089" max="13089" width="15.85546875" customWidth="1"/>
    <col min="13090" max="13090" width="23.7109375" customWidth="1"/>
    <col min="13091" max="13091" width="12" customWidth="1"/>
    <col min="13092" max="13093" width="0.28515625" customWidth="1"/>
    <col min="13094" max="13094" width="1.42578125" customWidth="1"/>
    <col min="13095" max="13095" width="0" hidden="1" customWidth="1"/>
    <col min="13313" max="13313" width="10.28515625" customWidth="1"/>
    <col min="13314" max="13314" width="13.42578125" customWidth="1"/>
    <col min="13315" max="13315" width="4.28515625" customWidth="1"/>
    <col min="13316" max="13316" width="4" customWidth="1"/>
    <col min="13317" max="13317" width="15" customWidth="1"/>
    <col min="13318" max="13318" width="4.140625" customWidth="1"/>
    <col min="13319" max="13319" width="11.28515625" customWidth="1"/>
    <col min="13320" max="13320" width="16.140625" customWidth="1"/>
    <col min="13321" max="13321" width="11" customWidth="1"/>
    <col min="13322" max="13323" width="2.140625" customWidth="1"/>
    <col min="13324" max="13324" width="3.28515625" customWidth="1"/>
    <col min="13325" max="13326" width="0" hidden="1" customWidth="1"/>
    <col min="13327" max="13327" width="2.85546875" customWidth="1"/>
    <col min="13328" max="13328" width="3.28515625" customWidth="1"/>
    <col min="13329" max="13329" width="1.42578125" customWidth="1"/>
    <col min="13330" max="13330" width="0" hidden="1" customWidth="1"/>
    <col min="13331" max="13331" width="6.85546875" customWidth="1"/>
    <col min="13332" max="13332" width="0" hidden="1" customWidth="1"/>
    <col min="13333" max="13334" width="6.28515625" customWidth="1"/>
    <col min="13335" max="13336" width="13.85546875" customWidth="1"/>
    <col min="13337" max="13337" width="10.85546875" customWidth="1"/>
    <col min="13338" max="13338" width="14.140625" customWidth="1"/>
    <col min="13339" max="13339" width="4.42578125" customWidth="1"/>
    <col min="13340" max="13340" width="18.42578125" customWidth="1"/>
    <col min="13341" max="13341" width="13.140625" customWidth="1"/>
    <col min="13342" max="13343" width="14" customWidth="1"/>
    <col min="13344" max="13344" width="11.42578125" customWidth="1"/>
    <col min="13345" max="13345" width="15.85546875" customWidth="1"/>
    <col min="13346" max="13346" width="23.7109375" customWidth="1"/>
    <col min="13347" max="13347" width="12" customWidth="1"/>
    <col min="13348" max="13349" width="0.28515625" customWidth="1"/>
    <col min="13350" max="13350" width="1.42578125" customWidth="1"/>
    <col min="13351" max="13351" width="0" hidden="1" customWidth="1"/>
    <col min="13569" max="13569" width="10.28515625" customWidth="1"/>
    <col min="13570" max="13570" width="13.42578125" customWidth="1"/>
    <col min="13571" max="13571" width="4.28515625" customWidth="1"/>
    <col min="13572" max="13572" width="4" customWidth="1"/>
    <col min="13573" max="13573" width="15" customWidth="1"/>
    <col min="13574" max="13574" width="4.140625" customWidth="1"/>
    <col min="13575" max="13575" width="11.28515625" customWidth="1"/>
    <col min="13576" max="13576" width="16.140625" customWidth="1"/>
    <col min="13577" max="13577" width="11" customWidth="1"/>
    <col min="13578" max="13579" width="2.140625" customWidth="1"/>
    <col min="13580" max="13580" width="3.28515625" customWidth="1"/>
    <col min="13581" max="13582" width="0" hidden="1" customWidth="1"/>
    <col min="13583" max="13583" width="2.85546875" customWidth="1"/>
    <col min="13584" max="13584" width="3.28515625" customWidth="1"/>
    <col min="13585" max="13585" width="1.42578125" customWidth="1"/>
    <col min="13586" max="13586" width="0" hidden="1" customWidth="1"/>
    <col min="13587" max="13587" width="6.85546875" customWidth="1"/>
    <col min="13588" max="13588" width="0" hidden="1" customWidth="1"/>
    <col min="13589" max="13590" width="6.28515625" customWidth="1"/>
    <col min="13591" max="13592" width="13.85546875" customWidth="1"/>
    <col min="13593" max="13593" width="10.85546875" customWidth="1"/>
    <col min="13594" max="13594" width="14.140625" customWidth="1"/>
    <col min="13595" max="13595" width="4.42578125" customWidth="1"/>
    <col min="13596" max="13596" width="18.42578125" customWidth="1"/>
    <col min="13597" max="13597" width="13.140625" customWidth="1"/>
    <col min="13598" max="13599" width="14" customWidth="1"/>
    <col min="13600" max="13600" width="11.42578125" customWidth="1"/>
    <col min="13601" max="13601" width="15.85546875" customWidth="1"/>
    <col min="13602" max="13602" width="23.7109375" customWidth="1"/>
    <col min="13603" max="13603" width="12" customWidth="1"/>
    <col min="13604" max="13605" width="0.28515625" customWidth="1"/>
    <col min="13606" max="13606" width="1.42578125" customWidth="1"/>
    <col min="13607" max="13607" width="0" hidden="1" customWidth="1"/>
    <col min="13825" max="13825" width="10.28515625" customWidth="1"/>
    <col min="13826" max="13826" width="13.42578125" customWidth="1"/>
    <col min="13827" max="13827" width="4.28515625" customWidth="1"/>
    <col min="13828" max="13828" width="4" customWidth="1"/>
    <col min="13829" max="13829" width="15" customWidth="1"/>
    <col min="13830" max="13830" width="4.140625" customWidth="1"/>
    <col min="13831" max="13831" width="11.28515625" customWidth="1"/>
    <col min="13832" max="13832" width="16.140625" customWidth="1"/>
    <col min="13833" max="13833" width="11" customWidth="1"/>
    <col min="13834" max="13835" width="2.140625" customWidth="1"/>
    <col min="13836" max="13836" width="3.28515625" customWidth="1"/>
    <col min="13837" max="13838" width="0" hidden="1" customWidth="1"/>
    <col min="13839" max="13839" width="2.85546875" customWidth="1"/>
    <col min="13840" max="13840" width="3.28515625" customWidth="1"/>
    <col min="13841" max="13841" width="1.42578125" customWidth="1"/>
    <col min="13842" max="13842" width="0" hidden="1" customWidth="1"/>
    <col min="13843" max="13843" width="6.85546875" customWidth="1"/>
    <col min="13844" max="13844" width="0" hidden="1" customWidth="1"/>
    <col min="13845" max="13846" width="6.28515625" customWidth="1"/>
    <col min="13847" max="13848" width="13.85546875" customWidth="1"/>
    <col min="13849" max="13849" width="10.85546875" customWidth="1"/>
    <col min="13850" max="13850" width="14.140625" customWidth="1"/>
    <col min="13851" max="13851" width="4.42578125" customWidth="1"/>
    <col min="13852" max="13852" width="18.42578125" customWidth="1"/>
    <col min="13853" max="13853" width="13.140625" customWidth="1"/>
    <col min="13854" max="13855" width="14" customWidth="1"/>
    <col min="13856" max="13856" width="11.42578125" customWidth="1"/>
    <col min="13857" max="13857" width="15.85546875" customWidth="1"/>
    <col min="13858" max="13858" width="23.7109375" customWidth="1"/>
    <col min="13859" max="13859" width="12" customWidth="1"/>
    <col min="13860" max="13861" width="0.28515625" customWidth="1"/>
    <col min="13862" max="13862" width="1.42578125" customWidth="1"/>
    <col min="13863" max="13863" width="0" hidden="1" customWidth="1"/>
    <col min="14081" max="14081" width="10.28515625" customWidth="1"/>
    <col min="14082" max="14082" width="13.42578125" customWidth="1"/>
    <col min="14083" max="14083" width="4.28515625" customWidth="1"/>
    <col min="14084" max="14084" width="4" customWidth="1"/>
    <col min="14085" max="14085" width="15" customWidth="1"/>
    <col min="14086" max="14086" width="4.140625" customWidth="1"/>
    <col min="14087" max="14087" width="11.28515625" customWidth="1"/>
    <col min="14088" max="14088" width="16.140625" customWidth="1"/>
    <col min="14089" max="14089" width="11" customWidth="1"/>
    <col min="14090" max="14091" width="2.140625" customWidth="1"/>
    <col min="14092" max="14092" width="3.28515625" customWidth="1"/>
    <col min="14093" max="14094" width="0" hidden="1" customWidth="1"/>
    <col min="14095" max="14095" width="2.85546875" customWidth="1"/>
    <col min="14096" max="14096" width="3.28515625" customWidth="1"/>
    <col min="14097" max="14097" width="1.42578125" customWidth="1"/>
    <col min="14098" max="14098" width="0" hidden="1" customWidth="1"/>
    <col min="14099" max="14099" width="6.85546875" customWidth="1"/>
    <col min="14100" max="14100" width="0" hidden="1" customWidth="1"/>
    <col min="14101" max="14102" width="6.28515625" customWidth="1"/>
    <col min="14103" max="14104" width="13.85546875" customWidth="1"/>
    <col min="14105" max="14105" width="10.85546875" customWidth="1"/>
    <col min="14106" max="14106" width="14.140625" customWidth="1"/>
    <col min="14107" max="14107" width="4.42578125" customWidth="1"/>
    <col min="14108" max="14108" width="18.42578125" customWidth="1"/>
    <col min="14109" max="14109" width="13.140625" customWidth="1"/>
    <col min="14110" max="14111" width="14" customWidth="1"/>
    <col min="14112" max="14112" width="11.42578125" customWidth="1"/>
    <col min="14113" max="14113" width="15.85546875" customWidth="1"/>
    <col min="14114" max="14114" width="23.7109375" customWidth="1"/>
    <col min="14115" max="14115" width="12" customWidth="1"/>
    <col min="14116" max="14117" width="0.28515625" customWidth="1"/>
    <col min="14118" max="14118" width="1.42578125" customWidth="1"/>
    <col min="14119" max="14119" width="0" hidden="1" customWidth="1"/>
    <col min="14337" max="14337" width="10.28515625" customWidth="1"/>
    <col min="14338" max="14338" width="13.42578125" customWidth="1"/>
    <col min="14339" max="14339" width="4.28515625" customWidth="1"/>
    <col min="14340" max="14340" width="4" customWidth="1"/>
    <col min="14341" max="14341" width="15" customWidth="1"/>
    <col min="14342" max="14342" width="4.140625" customWidth="1"/>
    <col min="14343" max="14343" width="11.28515625" customWidth="1"/>
    <col min="14344" max="14344" width="16.140625" customWidth="1"/>
    <col min="14345" max="14345" width="11" customWidth="1"/>
    <col min="14346" max="14347" width="2.140625" customWidth="1"/>
    <col min="14348" max="14348" width="3.28515625" customWidth="1"/>
    <col min="14349" max="14350" width="0" hidden="1" customWidth="1"/>
    <col min="14351" max="14351" width="2.85546875" customWidth="1"/>
    <col min="14352" max="14352" width="3.28515625" customWidth="1"/>
    <col min="14353" max="14353" width="1.42578125" customWidth="1"/>
    <col min="14354" max="14354" width="0" hidden="1" customWidth="1"/>
    <col min="14355" max="14355" width="6.85546875" customWidth="1"/>
    <col min="14356" max="14356" width="0" hidden="1" customWidth="1"/>
    <col min="14357" max="14358" width="6.28515625" customWidth="1"/>
    <col min="14359" max="14360" width="13.85546875" customWidth="1"/>
    <col min="14361" max="14361" width="10.85546875" customWidth="1"/>
    <col min="14362" max="14362" width="14.140625" customWidth="1"/>
    <col min="14363" max="14363" width="4.42578125" customWidth="1"/>
    <col min="14364" max="14364" width="18.42578125" customWidth="1"/>
    <col min="14365" max="14365" width="13.140625" customWidth="1"/>
    <col min="14366" max="14367" width="14" customWidth="1"/>
    <col min="14368" max="14368" width="11.42578125" customWidth="1"/>
    <col min="14369" max="14369" width="15.85546875" customWidth="1"/>
    <col min="14370" max="14370" width="23.7109375" customWidth="1"/>
    <col min="14371" max="14371" width="12" customWidth="1"/>
    <col min="14372" max="14373" width="0.28515625" customWidth="1"/>
    <col min="14374" max="14374" width="1.42578125" customWidth="1"/>
    <col min="14375" max="14375" width="0" hidden="1" customWidth="1"/>
    <col min="14593" max="14593" width="10.28515625" customWidth="1"/>
    <col min="14594" max="14594" width="13.42578125" customWidth="1"/>
    <col min="14595" max="14595" width="4.28515625" customWidth="1"/>
    <col min="14596" max="14596" width="4" customWidth="1"/>
    <col min="14597" max="14597" width="15" customWidth="1"/>
    <col min="14598" max="14598" width="4.140625" customWidth="1"/>
    <col min="14599" max="14599" width="11.28515625" customWidth="1"/>
    <col min="14600" max="14600" width="16.140625" customWidth="1"/>
    <col min="14601" max="14601" width="11" customWidth="1"/>
    <col min="14602" max="14603" width="2.140625" customWidth="1"/>
    <col min="14604" max="14604" width="3.28515625" customWidth="1"/>
    <col min="14605" max="14606" width="0" hidden="1" customWidth="1"/>
    <col min="14607" max="14607" width="2.85546875" customWidth="1"/>
    <col min="14608" max="14608" width="3.28515625" customWidth="1"/>
    <col min="14609" max="14609" width="1.42578125" customWidth="1"/>
    <col min="14610" max="14610" width="0" hidden="1" customWidth="1"/>
    <col min="14611" max="14611" width="6.85546875" customWidth="1"/>
    <col min="14612" max="14612" width="0" hidden="1" customWidth="1"/>
    <col min="14613" max="14614" width="6.28515625" customWidth="1"/>
    <col min="14615" max="14616" width="13.85546875" customWidth="1"/>
    <col min="14617" max="14617" width="10.85546875" customWidth="1"/>
    <col min="14618" max="14618" width="14.140625" customWidth="1"/>
    <col min="14619" max="14619" width="4.42578125" customWidth="1"/>
    <col min="14620" max="14620" width="18.42578125" customWidth="1"/>
    <col min="14621" max="14621" width="13.140625" customWidth="1"/>
    <col min="14622" max="14623" width="14" customWidth="1"/>
    <col min="14624" max="14624" width="11.42578125" customWidth="1"/>
    <col min="14625" max="14625" width="15.85546875" customWidth="1"/>
    <col min="14626" max="14626" width="23.7109375" customWidth="1"/>
    <col min="14627" max="14627" width="12" customWidth="1"/>
    <col min="14628" max="14629" width="0.28515625" customWidth="1"/>
    <col min="14630" max="14630" width="1.42578125" customWidth="1"/>
    <col min="14631" max="14631" width="0" hidden="1" customWidth="1"/>
    <col min="14849" max="14849" width="10.28515625" customWidth="1"/>
    <col min="14850" max="14850" width="13.42578125" customWidth="1"/>
    <col min="14851" max="14851" width="4.28515625" customWidth="1"/>
    <col min="14852" max="14852" width="4" customWidth="1"/>
    <col min="14853" max="14853" width="15" customWidth="1"/>
    <col min="14854" max="14854" width="4.140625" customWidth="1"/>
    <col min="14855" max="14855" width="11.28515625" customWidth="1"/>
    <col min="14856" max="14856" width="16.140625" customWidth="1"/>
    <col min="14857" max="14857" width="11" customWidth="1"/>
    <col min="14858" max="14859" width="2.140625" customWidth="1"/>
    <col min="14860" max="14860" width="3.28515625" customWidth="1"/>
    <col min="14861" max="14862" width="0" hidden="1" customWidth="1"/>
    <col min="14863" max="14863" width="2.85546875" customWidth="1"/>
    <col min="14864" max="14864" width="3.28515625" customWidth="1"/>
    <col min="14865" max="14865" width="1.42578125" customWidth="1"/>
    <col min="14866" max="14866" width="0" hidden="1" customWidth="1"/>
    <col min="14867" max="14867" width="6.85546875" customWidth="1"/>
    <col min="14868" max="14868" width="0" hidden="1" customWidth="1"/>
    <col min="14869" max="14870" width="6.28515625" customWidth="1"/>
    <col min="14871" max="14872" width="13.85546875" customWidth="1"/>
    <col min="14873" max="14873" width="10.85546875" customWidth="1"/>
    <col min="14874" max="14874" width="14.140625" customWidth="1"/>
    <col min="14875" max="14875" width="4.42578125" customWidth="1"/>
    <col min="14876" max="14876" width="18.42578125" customWidth="1"/>
    <col min="14877" max="14877" width="13.140625" customWidth="1"/>
    <col min="14878" max="14879" width="14" customWidth="1"/>
    <col min="14880" max="14880" width="11.42578125" customWidth="1"/>
    <col min="14881" max="14881" width="15.85546875" customWidth="1"/>
    <col min="14882" max="14882" width="23.7109375" customWidth="1"/>
    <col min="14883" max="14883" width="12" customWidth="1"/>
    <col min="14884" max="14885" width="0.28515625" customWidth="1"/>
    <col min="14886" max="14886" width="1.42578125" customWidth="1"/>
    <col min="14887" max="14887" width="0" hidden="1" customWidth="1"/>
    <col min="15105" max="15105" width="10.28515625" customWidth="1"/>
    <col min="15106" max="15106" width="13.42578125" customWidth="1"/>
    <col min="15107" max="15107" width="4.28515625" customWidth="1"/>
    <col min="15108" max="15108" width="4" customWidth="1"/>
    <col min="15109" max="15109" width="15" customWidth="1"/>
    <col min="15110" max="15110" width="4.140625" customWidth="1"/>
    <col min="15111" max="15111" width="11.28515625" customWidth="1"/>
    <col min="15112" max="15112" width="16.140625" customWidth="1"/>
    <col min="15113" max="15113" width="11" customWidth="1"/>
    <col min="15114" max="15115" width="2.140625" customWidth="1"/>
    <col min="15116" max="15116" width="3.28515625" customWidth="1"/>
    <col min="15117" max="15118" width="0" hidden="1" customWidth="1"/>
    <col min="15119" max="15119" width="2.85546875" customWidth="1"/>
    <col min="15120" max="15120" width="3.28515625" customWidth="1"/>
    <col min="15121" max="15121" width="1.42578125" customWidth="1"/>
    <col min="15122" max="15122" width="0" hidden="1" customWidth="1"/>
    <col min="15123" max="15123" width="6.85546875" customWidth="1"/>
    <col min="15124" max="15124" width="0" hidden="1" customWidth="1"/>
    <col min="15125" max="15126" width="6.28515625" customWidth="1"/>
    <col min="15127" max="15128" width="13.85546875" customWidth="1"/>
    <col min="15129" max="15129" width="10.85546875" customWidth="1"/>
    <col min="15130" max="15130" width="14.140625" customWidth="1"/>
    <col min="15131" max="15131" width="4.42578125" customWidth="1"/>
    <col min="15132" max="15132" width="18.42578125" customWidth="1"/>
    <col min="15133" max="15133" width="13.140625" customWidth="1"/>
    <col min="15134" max="15135" width="14" customWidth="1"/>
    <col min="15136" max="15136" width="11.42578125" customWidth="1"/>
    <col min="15137" max="15137" width="15.85546875" customWidth="1"/>
    <col min="15138" max="15138" width="23.7109375" customWidth="1"/>
    <col min="15139" max="15139" width="12" customWidth="1"/>
    <col min="15140" max="15141" width="0.28515625" customWidth="1"/>
    <col min="15142" max="15142" width="1.42578125" customWidth="1"/>
    <col min="15143" max="15143" width="0" hidden="1" customWidth="1"/>
    <col min="15361" max="15361" width="10.28515625" customWidth="1"/>
    <col min="15362" max="15362" width="13.42578125" customWidth="1"/>
    <col min="15363" max="15363" width="4.28515625" customWidth="1"/>
    <col min="15364" max="15364" width="4" customWidth="1"/>
    <col min="15365" max="15365" width="15" customWidth="1"/>
    <col min="15366" max="15366" width="4.140625" customWidth="1"/>
    <col min="15367" max="15367" width="11.28515625" customWidth="1"/>
    <col min="15368" max="15368" width="16.140625" customWidth="1"/>
    <col min="15369" max="15369" width="11" customWidth="1"/>
    <col min="15370" max="15371" width="2.140625" customWidth="1"/>
    <col min="15372" max="15372" width="3.28515625" customWidth="1"/>
    <col min="15373" max="15374" width="0" hidden="1" customWidth="1"/>
    <col min="15375" max="15375" width="2.85546875" customWidth="1"/>
    <col min="15376" max="15376" width="3.28515625" customWidth="1"/>
    <col min="15377" max="15377" width="1.42578125" customWidth="1"/>
    <col min="15378" max="15378" width="0" hidden="1" customWidth="1"/>
    <col min="15379" max="15379" width="6.85546875" customWidth="1"/>
    <col min="15380" max="15380" width="0" hidden="1" customWidth="1"/>
    <col min="15381" max="15382" width="6.28515625" customWidth="1"/>
    <col min="15383" max="15384" width="13.85546875" customWidth="1"/>
    <col min="15385" max="15385" width="10.85546875" customWidth="1"/>
    <col min="15386" max="15386" width="14.140625" customWidth="1"/>
    <col min="15387" max="15387" width="4.42578125" customWidth="1"/>
    <col min="15388" max="15388" width="18.42578125" customWidth="1"/>
    <col min="15389" max="15389" width="13.140625" customWidth="1"/>
    <col min="15390" max="15391" width="14" customWidth="1"/>
    <col min="15392" max="15392" width="11.42578125" customWidth="1"/>
    <col min="15393" max="15393" width="15.85546875" customWidth="1"/>
    <col min="15394" max="15394" width="23.7109375" customWidth="1"/>
    <col min="15395" max="15395" width="12" customWidth="1"/>
    <col min="15396" max="15397" width="0.28515625" customWidth="1"/>
    <col min="15398" max="15398" width="1.42578125" customWidth="1"/>
    <col min="15399" max="15399" width="0" hidden="1" customWidth="1"/>
    <col min="15617" max="15617" width="10.28515625" customWidth="1"/>
    <col min="15618" max="15618" width="13.42578125" customWidth="1"/>
    <col min="15619" max="15619" width="4.28515625" customWidth="1"/>
    <col min="15620" max="15620" width="4" customWidth="1"/>
    <col min="15621" max="15621" width="15" customWidth="1"/>
    <col min="15622" max="15622" width="4.140625" customWidth="1"/>
    <col min="15623" max="15623" width="11.28515625" customWidth="1"/>
    <col min="15624" max="15624" width="16.140625" customWidth="1"/>
    <col min="15625" max="15625" width="11" customWidth="1"/>
    <col min="15626" max="15627" width="2.140625" customWidth="1"/>
    <col min="15628" max="15628" width="3.28515625" customWidth="1"/>
    <col min="15629" max="15630" width="0" hidden="1" customWidth="1"/>
    <col min="15631" max="15631" width="2.85546875" customWidth="1"/>
    <col min="15632" max="15632" width="3.28515625" customWidth="1"/>
    <col min="15633" max="15633" width="1.42578125" customWidth="1"/>
    <col min="15634" max="15634" width="0" hidden="1" customWidth="1"/>
    <col min="15635" max="15635" width="6.85546875" customWidth="1"/>
    <col min="15636" max="15636" width="0" hidden="1" customWidth="1"/>
    <col min="15637" max="15638" width="6.28515625" customWidth="1"/>
    <col min="15639" max="15640" width="13.85546875" customWidth="1"/>
    <col min="15641" max="15641" width="10.85546875" customWidth="1"/>
    <col min="15642" max="15642" width="14.140625" customWidth="1"/>
    <col min="15643" max="15643" width="4.42578125" customWidth="1"/>
    <col min="15644" max="15644" width="18.42578125" customWidth="1"/>
    <col min="15645" max="15645" width="13.140625" customWidth="1"/>
    <col min="15646" max="15647" width="14" customWidth="1"/>
    <col min="15648" max="15648" width="11.42578125" customWidth="1"/>
    <col min="15649" max="15649" width="15.85546875" customWidth="1"/>
    <col min="15650" max="15650" width="23.7109375" customWidth="1"/>
    <col min="15651" max="15651" width="12" customWidth="1"/>
    <col min="15652" max="15653" width="0.28515625" customWidth="1"/>
    <col min="15654" max="15654" width="1.42578125" customWidth="1"/>
    <col min="15655" max="15655" width="0" hidden="1" customWidth="1"/>
    <col min="15873" max="15873" width="10.28515625" customWidth="1"/>
    <col min="15874" max="15874" width="13.42578125" customWidth="1"/>
    <col min="15875" max="15875" width="4.28515625" customWidth="1"/>
    <col min="15876" max="15876" width="4" customWidth="1"/>
    <col min="15877" max="15877" width="15" customWidth="1"/>
    <col min="15878" max="15878" width="4.140625" customWidth="1"/>
    <col min="15879" max="15879" width="11.28515625" customWidth="1"/>
    <col min="15880" max="15880" width="16.140625" customWidth="1"/>
    <col min="15881" max="15881" width="11" customWidth="1"/>
    <col min="15882" max="15883" width="2.140625" customWidth="1"/>
    <col min="15884" max="15884" width="3.28515625" customWidth="1"/>
    <col min="15885" max="15886" width="0" hidden="1" customWidth="1"/>
    <col min="15887" max="15887" width="2.85546875" customWidth="1"/>
    <col min="15888" max="15888" width="3.28515625" customWidth="1"/>
    <col min="15889" max="15889" width="1.42578125" customWidth="1"/>
    <col min="15890" max="15890" width="0" hidden="1" customWidth="1"/>
    <col min="15891" max="15891" width="6.85546875" customWidth="1"/>
    <col min="15892" max="15892" width="0" hidden="1" customWidth="1"/>
    <col min="15893" max="15894" width="6.28515625" customWidth="1"/>
    <col min="15895" max="15896" width="13.85546875" customWidth="1"/>
    <col min="15897" max="15897" width="10.85546875" customWidth="1"/>
    <col min="15898" max="15898" width="14.140625" customWidth="1"/>
    <col min="15899" max="15899" width="4.42578125" customWidth="1"/>
    <col min="15900" max="15900" width="18.42578125" customWidth="1"/>
    <col min="15901" max="15901" width="13.140625" customWidth="1"/>
    <col min="15902" max="15903" width="14" customWidth="1"/>
    <col min="15904" max="15904" width="11.42578125" customWidth="1"/>
    <col min="15905" max="15905" width="15.85546875" customWidth="1"/>
    <col min="15906" max="15906" width="23.7109375" customWidth="1"/>
    <col min="15907" max="15907" width="12" customWidth="1"/>
    <col min="15908" max="15909" width="0.28515625" customWidth="1"/>
    <col min="15910" max="15910" width="1.42578125" customWidth="1"/>
    <col min="15911" max="15911" width="0" hidden="1" customWidth="1"/>
    <col min="16129" max="16129" width="10.28515625" customWidth="1"/>
    <col min="16130" max="16130" width="13.42578125" customWidth="1"/>
    <col min="16131" max="16131" width="4.28515625" customWidth="1"/>
    <col min="16132" max="16132" width="4" customWidth="1"/>
    <col min="16133" max="16133" width="15" customWidth="1"/>
    <col min="16134" max="16134" width="4.140625" customWidth="1"/>
    <col min="16135" max="16135" width="11.28515625" customWidth="1"/>
    <col min="16136" max="16136" width="16.140625" customWidth="1"/>
    <col min="16137" max="16137" width="11" customWidth="1"/>
    <col min="16138" max="16139" width="2.140625" customWidth="1"/>
    <col min="16140" max="16140" width="3.28515625" customWidth="1"/>
    <col min="16141" max="16142" width="0" hidden="1" customWidth="1"/>
    <col min="16143" max="16143" width="2.85546875" customWidth="1"/>
    <col min="16144" max="16144" width="3.28515625" customWidth="1"/>
    <col min="16145" max="16145" width="1.42578125" customWidth="1"/>
    <col min="16146" max="16146" width="0" hidden="1" customWidth="1"/>
    <col min="16147" max="16147" width="6.85546875" customWidth="1"/>
    <col min="16148" max="16148" width="0" hidden="1" customWidth="1"/>
    <col min="16149" max="16150" width="6.28515625" customWidth="1"/>
    <col min="16151" max="16152" width="13.85546875" customWidth="1"/>
    <col min="16153" max="16153" width="10.85546875" customWidth="1"/>
    <col min="16154" max="16154" width="14.140625" customWidth="1"/>
    <col min="16155" max="16155" width="4.42578125" customWidth="1"/>
    <col min="16156" max="16156" width="18.42578125" customWidth="1"/>
    <col min="16157" max="16157" width="13.140625" customWidth="1"/>
    <col min="16158" max="16159" width="14" customWidth="1"/>
    <col min="16160" max="16160" width="11.42578125" customWidth="1"/>
    <col min="16161" max="16161" width="15.85546875" customWidth="1"/>
    <col min="16162" max="16162" width="23.7109375" customWidth="1"/>
    <col min="16163" max="16163" width="12" customWidth="1"/>
    <col min="16164" max="16165" width="0.28515625" customWidth="1"/>
    <col min="16166" max="16166" width="1.42578125" customWidth="1"/>
    <col min="16167" max="16167" width="0" hidden="1" customWidth="1"/>
  </cols>
  <sheetData>
    <row r="1" spans="1:37" ht="45" customHeight="1">
      <c r="A1" s="886"/>
      <c r="B1" s="886"/>
      <c r="C1" s="887" t="s">
        <v>0</v>
      </c>
      <c r="D1" s="888"/>
      <c r="E1" s="888"/>
      <c r="F1" s="888"/>
      <c r="G1" s="888"/>
      <c r="H1" s="888"/>
      <c r="I1" s="888"/>
      <c r="J1" s="888"/>
      <c r="K1" s="888"/>
      <c r="L1" s="888"/>
      <c r="M1" s="888"/>
      <c r="N1" s="888"/>
      <c r="O1" s="888"/>
      <c r="P1" s="888"/>
      <c r="Q1" s="888"/>
      <c r="R1" s="888"/>
      <c r="S1" s="888"/>
      <c r="T1" s="888"/>
      <c r="U1" s="888"/>
      <c r="V1" s="888"/>
      <c r="W1" s="888"/>
      <c r="X1" s="888"/>
      <c r="Y1" s="888"/>
      <c r="Z1" s="888"/>
      <c r="AA1" s="888"/>
      <c r="AB1" s="888"/>
      <c r="AC1" s="888"/>
      <c r="AD1" s="888"/>
      <c r="AE1" s="888"/>
      <c r="AF1" s="888"/>
      <c r="AG1" s="889"/>
      <c r="AH1" s="890" t="s">
        <v>45</v>
      </c>
      <c r="AJ1" s="10" t="s">
        <v>17</v>
      </c>
      <c r="AK1" s="11" t="s">
        <v>23</v>
      </c>
    </row>
    <row r="2" spans="1:37" ht="45" customHeight="1">
      <c r="A2" s="886"/>
      <c r="B2" s="886"/>
      <c r="C2" s="891" t="s">
        <v>37</v>
      </c>
      <c r="D2" s="892"/>
      <c r="E2" s="892"/>
      <c r="F2" s="892"/>
      <c r="G2" s="892"/>
      <c r="H2" s="892"/>
      <c r="I2" s="892"/>
      <c r="J2" s="892"/>
      <c r="K2" s="892"/>
      <c r="L2" s="892"/>
      <c r="M2" s="892"/>
      <c r="N2" s="892"/>
      <c r="O2" s="892"/>
      <c r="P2" s="892"/>
      <c r="Q2" s="892"/>
      <c r="R2" s="892"/>
      <c r="S2" s="892"/>
      <c r="T2" s="892"/>
      <c r="U2" s="892"/>
      <c r="V2" s="892"/>
      <c r="W2" s="892"/>
      <c r="X2" s="892"/>
      <c r="Y2" s="892"/>
      <c r="Z2" s="892"/>
      <c r="AA2" s="892"/>
      <c r="AB2" s="892"/>
      <c r="AC2" s="892"/>
      <c r="AD2" s="892"/>
      <c r="AE2" s="892"/>
      <c r="AF2" s="892"/>
      <c r="AG2" s="893"/>
      <c r="AH2" s="890"/>
      <c r="AJ2" t="s">
        <v>18</v>
      </c>
      <c r="AK2" s="12" t="s">
        <v>24</v>
      </c>
    </row>
    <row r="3" spans="1:37" ht="6.75" customHeight="1">
      <c r="A3" s="866"/>
      <c r="B3" s="866"/>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c r="AE3" s="866"/>
      <c r="AF3" s="866"/>
      <c r="AG3" s="866"/>
      <c r="AH3" s="866"/>
      <c r="AJ3" s="10" t="s">
        <v>16</v>
      </c>
      <c r="AK3" s="11" t="s">
        <v>25</v>
      </c>
    </row>
    <row r="4" spans="1:37" ht="30.75" customHeight="1">
      <c r="A4" s="894" t="s">
        <v>5</v>
      </c>
      <c r="B4" s="894"/>
      <c r="C4" s="894"/>
      <c r="D4" s="894"/>
      <c r="E4" s="895" t="s">
        <v>727</v>
      </c>
      <c r="F4" s="895"/>
      <c r="G4" s="895"/>
      <c r="H4" s="895"/>
      <c r="I4" s="895"/>
      <c r="J4" s="895"/>
      <c r="K4" s="895"/>
      <c r="L4" s="895"/>
      <c r="M4" s="895"/>
      <c r="N4" s="895"/>
      <c r="O4" s="895"/>
      <c r="P4" s="895"/>
      <c r="Q4" s="895"/>
      <c r="R4" s="895"/>
      <c r="S4" s="895"/>
      <c r="T4" s="895"/>
      <c r="U4" s="895"/>
      <c r="V4" s="895"/>
      <c r="W4" s="874" t="s">
        <v>20</v>
      </c>
      <c r="X4" s="874"/>
      <c r="Y4" s="874"/>
      <c r="Z4" s="896" t="s">
        <v>688</v>
      </c>
      <c r="AA4" s="897"/>
      <c r="AB4" s="897"/>
      <c r="AC4" s="897"/>
      <c r="AD4" s="897"/>
      <c r="AE4" s="898"/>
      <c r="AF4" s="899" t="s">
        <v>48</v>
      </c>
      <c r="AG4" s="900"/>
      <c r="AH4" s="13" t="s">
        <v>71</v>
      </c>
      <c r="AJ4" s="11" t="s">
        <v>19</v>
      </c>
    </row>
    <row r="5" spans="1:37" ht="4.5" customHeight="1" thickBot="1">
      <c r="A5" s="866"/>
      <c r="B5" s="866"/>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c r="AE5" s="866"/>
      <c r="AF5" s="866"/>
      <c r="AG5" s="866"/>
      <c r="AH5" s="866"/>
    </row>
    <row r="6" spans="1:37" ht="57" customHeight="1">
      <c r="A6" s="881" t="s">
        <v>39</v>
      </c>
      <c r="B6" s="882"/>
      <c r="C6" s="874" t="s">
        <v>1</v>
      </c>
      <c r="D6" s="874" t="s">
        <v>49</v>
      </c>
      <c r="E6" s="874"/>
      <c r="F6" s="883" t="s">
        <v>6</v>
      </c>
      <c r="G6" s="874" t="s">
        <v>9</v>
      </c>
      <c r="H6" s="884" t="s">
        <v>50</v>
      </c>
      <c r="I6" s="874" t="s">
        <v>2</v>
      </c>
      <c r="J6" s="874" t="s">
        <v>21</v>
      </c>
      <c r="K6" s="874"/>
      <c r="L6" s="874"/>
      <c r="M6" s="874"/>
      <c r="N6" s="874"/>
      <c r="O6" s="874"/>
      <c r="P6" s="874"/>
      <c r="Q6" s="874"/>
      <c r="R6" s="874"/>
      <c r="S6" s="874"/>
      <c r="T6" s="874"/>
      <c r="U6" s="874"/>
      <c r="V6" s="874"/>
      <c r="W6" s="874" t="s">
        <v>51</v>
      </c>
      <c r="X6" s="884" t="s">
        <v>52</v>
      </c>
      <c r="Y6" s="874" t="s">
        <v>3</v>
      </c>
      <c r="Z6" s="874"/>
      <c r="AA6" s="874"/>
      <c r="AB6" s="875" t="s">
        <v>53</v>
      </c>
      <c r="AC6" s="875" t="s">
        <v>4</v>
      </c>
      <c r="AD6" s="875"/>
      <c r="AE6" s="876" t="s">
        <v>54</v>
      </c>
      <c r="AF6" s="874" t="s">
        <v>55</v>
      </c>
      <c r="AG6" s="874" t="s">
        <v>56</v>
      </c>
      <c r="AH6" s="874" t="s">
        <v>57</v>
      </c>
    </row>
    <row r="7" spans="1:37" ht="37.5" customHeight="1" thickBot="1">
      <c r="A7" s="355" t="s">
        <v>40</v>
      </c>
      <c r="B7" s="356" t="s">
        <v>41</v>
      </c>
      <c r="C7" s="874"/>
      <c r="D7" s="874"/>
      <c r="E7" s="874"/>
      <c r="F7" s="883"/>
      <c r="G7" s="874"/>
      <c r="H7" s="885"/>
      <c r="I7" s="874"/>
      <c r="J7" s="874" t="s">
        <v>11</v>
      </c>
      <c r="K7" s="874"/>
      <c r="L7" s="874"/>
      <c r="M7" s="874"/>
      <c r="N7" s="874"/>
      <c r="O7" s="874"/>
      <c r="P7" s="858" t="s">
        <v>12</v>
      </c>
      <c r="Q7" s="858"/>
      <c r="R7" s="858"/>
      <c r="S7" s="858"/>
      <c r="T7" s="858"/>
      <c r="U7" s="858" t="s">
        <v>13</v>
      </c>
      <c r="V7" s="858"/>
      <c r="W7" s="874"/>
      <c r="X7" s="885"/>
      <c r="Y7" s="874"/>
      <c r="Z7" s="874"/>
      <c r="AA7" s="874"/>
      <c r="AB7" s="875"/>
      <c r="AC7" s="470" t="s">
        <v>14</v>
      </c>
      <c r="AD7" s="472" t="s">
        <v>15</v>
      </c>
      <c r="AE7" s="877"/>
      <c r="AF7" s="874"/>
      <c r="AG7" s="874"/>
      <c r="AH7" s="874"/>
    </row>
    <row r="8" spans="1:37" ht="68.099999999999994" customHeight="1" thickBot="1">
      <c r="A8" s="1260"/>
      <c r="B8" s="1260"/>
      <c r="C8" s="1230">
        <v>1</v>
      </c>
      <c r="D8" s="1217" t="s">
        <v>1230</v>
      </c>
      <c r="E8" s="1218"/>
      <c r="F8" s="1219">
        <v>44061</v>
      </c>
      <c r="G8" s="1228" t="s">
        <v>38</v>
      </c>
      <c r="H8" s="1228" t="s">
        <v>59</v>
      </c>
      <c r="I8" s="1230" t="s">
        <v>25</v>
      </c>
      <c r="J8" s="1232" t="s">
        <v>162</v>
      </c>
      <c r="K8" s="1233"/>
      <c r="L8" s="1233"/>
      <c r="M8" s="1233"/>
      <c r="N8" s="1233"/>
      <c r="O8" s="1234"/>
      <c r="P8" s="1232" t="s">
        <v>162</v>
      </c>
      <c r="Q8" s="1233"/>
      <c r="R8" s="1233"/>
      <c r="S8" s="1234"/>
      <c r="T8" s="1273"/>
      <c r="U8" s="1232" t="s">
        <v>162</v>
      </c>
      <c r="V8" s="1234"/>
      <c r="W8" s="1221" t="s">
        <v>1231</v>
      </c>
      <c r="X8" s="1221" t="s">
        <v>1232</v>
      </c>
      <c r="Y8" s="1052" t="s">
        <v>1233</v>
      </c>
      <c r="Z8" s="1052"/>
      <c r="AA8" s="1053"/>
      <c r="AB8" s="384" t="s">
        <v>983</v>
      </c>
      <c r="AC8" s="34">
        <v>44063</v>
      </c>
      <c r="AD8" s="34">
        <v>44162</v>
      </c>
      <c r="AE8" s="562"/>
      <c r="AF8" s="24"/>
      <c r="AG8" s="1390"/>
      <c r="AH8" s="1391"/>
    </row>
    <row r="9" spans="1:37" ht="108.95" customHeight="1">
      <c r="A9" s="1392"/>
      <c r="B9" s="1392"/>
      <c r="C9" s="1392"/>
      <c r="D9" s="1393"/>
      <c r="E9" s="1394"/>
      <c r="F9" s="1395"/>
      <c r="G9" s="1396"/>
      <c r="H9" s="1396"/>
      <c r="I9" s="1392"/>
      <c r="J9" s="1397"/>
      <c r="K9" s="1398"/>
      <c r="L9" s="1398"/>
      <c r="M9" s="1398"/>
      <c r="N9" s="1398"/>
      <c r="O9" s="1399"/>
      <c r="P9" s="1397"/>
      <c r="Q9" s="1398"/>
      <c r="R9" s="1398"/>
      <c r="S9" s="1399"/>
      <c r="T9" s="1337"/>
      <c r="U9" s="1397"/>
      <c r="V9" s="1399"/>
      <c r="W9" s="1400"/>
      <c r="X9" s="1400"/>
      <c r="Y9" s="1149" t="s">
        <v>1234</v>
      </c>
      <c r="Z9" s="1149"/>
      <c r="AA9" s="1149"/>
      <c r="AB9" s="576" t="s">
        <v>1235</v>
      </c>
      <c r="AC9" s="22">
        <v>44096</v>
      </c>
      <c r="AD9" s="22">
        <v>44369</v>
      </c>
      <c r="AE9" s="1432"/>
      <c r="AF9" s="1433"/>
      <c r="AG9" s="1434"/>
      <c r="AH9" s="1435"/>
    </row>
    <row r="10" spans="1:37" ht="108.95" customHeight="1">
      <c r="A10" s="1230"/>
      <c r="B10" s="1230"/>
      <c r="C10" s="1230">
        <v>2</v>
      </c>
      <c r="D10" s="1217" t="s">
        <v>1236</v>
      </c>
      <c r="E10" s="1218"/>
      <c r="F10" s="1219">
        <v>44061</v>
      </c>
      <c r="G10" s="1228" t="s">
        <v>38</v>
      </c>
      <c r="H10" s="1228" t="s">
        <v>59</v>
      </c>
      <c r="I10" s="1230" t="s">
        <v>25</v>
      </c>
      <c r="J10" s="1232" t="s">
        <v>162</v>
      </c>
      <c r="K10" s="1233"/>
      <c r="L10" s="1233"/>
      <c r="M10" s="1233"/>
      <c r="N10" s="1233"/>
      <c r="O10" s="1234"/>
      <c r="P10" s="1232" t="s">
        <v>162</v>
      </c>
      <c r="Q10" s="1233"/>
      <c r="R10" s="1233"/>
      <c r="S10" s="1234"/>
      <c r="T10" s="1337"/>
      <c r="U10" s="1232" t="s">
        <v>162</v>
      </c>
      <c r="V10" s="1234"/>
      <c r="W10" s="1221">
        <v>1</v>
      </c>
      <c r="X10" s="1221" t="s">
        <v>1237</v>
      </c>
      <c r="Y10" s="1429" t="s">
        <v>1238</v>
      </c>
      <c r="Z10" s="1052"/>
      <c r="AA10" s="1053"/>
      <c r="AB10" s="485" t="s">
        <v>1235</v>
      </c>
      <c r="AC10" s="580">
        <v>44063</v>
      </c>
      <c r="AD10" s="580">
        <v>44162</v>
      </c>
      <c r="AE10" s="1432"/>
      <c r="AF10" s="1433"/>
      <c r="AG10" s="1434"/>
      <c r="AH10" s="1435"/>
    </row>
    <row r="11" spans="1:37" ht="108.95" customHeight="1">
      <c r="A11" s="1392"/>
      <c r="B11" s="1392"/>
      <c r="C11" s="1392"/>
      <c r="D11" s="1393"/>
      <c r="E11" s="1394"/>
      <c r="F11" s="1395"/>
      <c r="G11" s="1396"/>
      <c r="H11" s="1396"/>
      <c r="I11" s="1392"/>
      <c r="J11" s="1397"/>
      <c r="K11" s="1398"/>
      <c r="L11" s="1398"/>
      <c r="M11" s="1398"/>
      <c r="N11" s="1398"/>
      <c r="O11" s="1399"/>
      <c r="P11" s="1397"/>
      <c r="Q11" s="1398"/>
      <c r="R11" s="1398"/>
      <c r="S11" s="1399"/>
      <c r="T11" s="1337"/>
      <c r="U11" s="1397"/>
      <c r="V11" s="1399"/>
      <c r="W11" s="1400"/>
      <c r="X11" s="1400"/>
      <c r="Y11" s="1149" t="s">
        <v>1239</v>
      </c>
      <c r="Z11" s="1149"/>
      <c r="AA11" s="1149"/>
      <c r="AB11" s="576" t="s">
        <v>1240</v>
      </c>
      <c r="AC11" s="22">
        <v>44084</v>
      </c>
      <c r="AD11" s="22">
        <v>44162</v>
      </c>
      <c r="AE11" s="1432"/>
      <c r="AF11" s="1433"/>
      <c r="AG11" s="1434"/>
      <c r="AH11" s="1435"/>
    </row>
    <row r="12" spans="1:37" ht="141.94999999999999" customHeight="1">
      <c r="A12" s="1433"/>
      <c r="B12" s="1433"/>
      <c r="C12" s="1433">
        <v>3</v>
      </c>
      <c r="D12" s="867" t="s">
        <v>1241</v>
      </c>
      <c r="E12" s="868"/>
      <c r="F12" s="1336">
        <v>44061</v>
      </c>
      <c r="G12" s="579" t="s">
        <v>38</v>
      </c>
      <c r="H12" s="1436" t="s">
        <v>59</v>
      </c>
      <c r="I12" s="581" t="s">
        <v>25</v>
      </c>
      <c r="J12" s="869" t="s">
        <v>162</v>
      </c>
      <c r="K12" s="870"/>
      <c r="L12" s="870"/>
      <c r="M12" s="870"/>
      <c r="N12" s="870"/>
      <c r="O12" s="871"/>
      <c r="P12" s="869" t="s">
        <v>162</v>
      </c>
      <c r="Q12" s="870"/>
      <c r="R12" s="870"/>
      <c r="S12" s="871"/>
      <c r="T12" s="1337"/>
      <c r="U12" s="869" t="s">
        <v>162</v>
      </c>
      <c r="V12" s="871"/>
      <c r="W12" s="1437">
        <v>1</v>
      </c>
      <c r="X12" s="1437" t="s">
        <v>1242</v>
      </c>
      <c r="Y12" s="1401" t="s">
        <v>1243</v>
      </c>
      <c r="Z12" s="1401"/>
      <c r="AA12" s="1401"/>
      <c r="AB12" s="1402" t="s">
        <v>1244</v>
      </c>
      <c r="AC12" s="28">
        <v>44063</v>
      </c>
      <c r="AD12" s="28">
        <v>44183</v>
      </c>
      <c r="AE12" s="1432"/>
      <c r="AF12" s="1433"/>
      <c r="AG12" s="1434"/>
      <c r="AH12" s="1435"/>
    </row>
    <row r="13" spans="1:37" ht="141.94999999999999" customHeight="1">
      <c r="A13" s="1230"/>
      <c r="B13" s="1230"/>
      <c r="C13" s="1230">
        <v>4</v>
      </c>
      <c r="D13" s="1217" t="s">
        <v>1245</v>
      </c>
      <c r="E13" s="1218"/>
      <c r="F13" s="1219">
        <v>44061</v>
      </c>
      <c r="G13" s="1228" t="s">
        <v>38</v>
      </c>
      <c r="H13" s="1228" t="s">
        <v>65</v>
      </c>
      <c r="I13" s="1230" t="s">
        <v>23</v>
      </c>
      <c r="J13" s="1232" t="s">
        <v>162</v>
      </c>
      <c r="K13" s="1233"/>
      <c r="L13" s="1233"/>
      <c r="M13" s="1233"/>
      <c r="N13" s="1233"/>
      <c r="O13" s="1234"/>
      <c r="P13" s="1232" t="s">
        <v>162</v>
      </c>
      <c r="Q13" s="1233"/>
      <c r="R13" s="1233"/>
      <c r="S13" s="1234"/>
      <c r="T13" s="1337"/>
      <c r="U13" s="1232" t="s">
        <v>162</v>
      </c>
      <c r="V13" s="1234"/>
      <c r="W13" s="1221" t="s">
        <v>1246</v>
      </c>
      <c r="X13" s="1221" t="s">
        <v>1247</v>
      </c>
      <c r="Y13" s="1429" t="s">
        <v>1248</v>
      </c>
      <c r="Z13" s="1052"/>
      <c r="AA13" s="1053"/>
      <c r="AB13" s="384" t="s">
        <v>981</v>
      </c>
      <c r="AC13" s="580">
        <v>44042</v>
      </c>
      <c r="AD13" s="580">
        <v>44061</v>
      </c>
      <c r="AE13" s="562"/>
      <c r="AF13" s="1433"/>
      <c r="AG13" s="1434"/>
      <c r="AH13" s="1435"/>
    </row>
    <row r="14" spans="1:37" ht="141.94999999999999" customHeight="1">
      <c r="A14" s="1231"/>
      <c r="B14" s="1231"/>
      <c r="C14" s="1231"/>
      <c r="D14" s="967"/>
      <c r="E14" s="968"/>
      <c r="F14" s="1220"/>
      <c r="G14" s="1229"/>
      <c r="H14" s="1229"/>
      <c r="I14" s="1231"/>
      <c r="J14" s="1235"/>
      <c r="K14" s="1236"/>
      <c r="L14" s="1236"/>
      <c r="M14" s="1236"/>
      <c r="N14" s="1236"/>
      <c r="O14" s="1237"/>
      <c r="P14" s="1235"/>
      <c r="Q14" s="1236"/>
      <c r="R14" s="1236"/>
      <c r="S14" s="1237"/>
      <c r="T14" s="1337"/>
      <c r="U14" s="1235"/>
      <c r="V14" s="1237"/>
      <c r="W14" s="957"/>
      <c r="X14" s="957"/>
      <c r="Y14" s="1150" t="s">
        <v>1249</v>
      </c>
      <c r="Z14" s="1039"/>
      <c r="AA14" s="1040"/>
      <c r="AB14" s="384" t="s">
        <v>983</v>
      </c>
      <c r="AC14" s="22">
        <v>44061</v>
      </c>
      <c r="AD14" s="22">
        <v>44183</v>
      </c>
      <c r="AE14" s="562"/>
      <c r="AF14" s="1433"/>
      <c r="AG14" s="1434"/>
      <c r="AH14" s="1435"/>
    </row>
    <row r="15" spans="1:37" ht="141.94999999999999" customHeight="1" thickBot="1">
      <c r="A15" s="1392"/>
      <c r="B15" s="1392"/>
      <c r="C15" s="1392"/>
      <c r="D15" s="1393"/>
      <c r="E15" s="1394"/>
      <c r="F15" s="1395"/>
      <c r="G15" s="1396"/>
      <c r="H15" s="1396"/>
      <c r="I15" s="1392"/>
      <c r="J15" s="1397"/>
      <c r="K15" s="1398"/>
      <c r="L15" s="1398"/>
      <c r="M15" s="1398"/>
      <c r="N15" s="1398"/>
      <c r="O15" s="1399"/>
      <c r="P15" s="1397"/>
      <c r="Q15" s="1398"/>
      <c r="R15" s="1398"/>
      <c r="S15" s="1399"/>
      <c r="T15" s="1337"/>
      <c r="U15" s="1397"/>
      <c r="V15" s="1399"/>
      <c r="W15" s="1400"/>
      <c r="X15" s="1400"/>
      <c r="Y15" s="1150" t="s">
        <v>1250</v>
      </c>
      <c r="Z15" s="1039"/>
      <c r="AA15" s="1040"/>
      <c r="AB15" s="576" t="s">
        <v>1251</v>
      </c>
      <c r="AC15" s="22">
        <v>44061</v>
      </c>
      <c r="AD15" s="22">
        <v>44245</v>
      </c>
      <c r="AE15" s="562"/>
      <c r="AF15" s="1433"/>
      <c r="AG15" s="1434"/>
      <c r="AH15" s="1435"/>
    </row>
    <row r="16" spans="1:37" ht="90" customHeight="1">
      <c r="A16" s="944"/>
      <c r="B16" s="944"/>
      <c r="C16" s="1041">
        <v>5</v>
      </c>
      <c r="D16" s="1217" t="s">
        <v>979</v>
      </c>
      <c r="E16" s="1218"/>
      <c r="F16" s="1219">
        <v>44078</v>
      </c>
      <c r="G16" s="1228" t="s">
        <v>28</v>
      </c>
      <c r="H16" s="1228" t="s">
        <v>59</v>
      </c>
      <c r="I16" s="1230" t="s">
        <v>25</v>
      </c>
      <c r="J16" s="1232" t="s">
        <v>162</v>
      </c>
      <c r="K16" s="1233"/>
      <c r="L16" s="1233"/>
      <c r="M16" s="1233"/>
      <c r="N16" s="1233"/>
      <c r="O16" s="1234"/>
      <c r="P16" s="1232" t="s">
        <v>162</v>
      </c>
      <c r="Q16" s="1233"/>
      <c r="R16" s="1233"/>
      <c r="S16" s="1234"/>
      <c r="T16" s="471"/>
      <c r="U16" s="1232" t="s">
        <v>162</v>
      </c>
      <c r="V16" s="1234"/>
      <c r="W16" s="1221" t="s">
        <v>990</v>
      </c>
      <c r="X16" s="1221" t="s">
        <v>989</v>
      </c>
      <c r="Y16" s="1222" t="s">
        <v>980</v>
      </c>
      <c r="Z16" s="1223"/>
      <c r="AA16" s="1224"/>
      <c r="AB16" s="526" t="s">
        <v>981</v>
      </c>
      <c r="AC16" s="527">
        <v>43992</v>
      </c>
      <c r="AD16" s="527">
        <v>44071</v>
      </c>
      <c r="AE16" s="528"/>
      <c r="AF16" s="469"/>
      <c r="AG16" s="31"/>
      <c r="AH16" s="32"/>
    </row>
    <row r="17" spans="1:36" ht="78.75" customHeight="1">
      <c r="A17" s="945"/>
      <c r="B17" s="945"/>
      <c r="C17" s="945"/>
      <c r="D17" s="967"/>
      <c r="E17" s="968"/>
      <c r="F17" s="1220"/>
      <c r="G17" s="1229"/>
      <c r="H17" s="1229"/>
      <c r="I17" s="1231"/>
      <c r="J17" s="1235"/>
      <c r="K17" s="1236"/>
      <c r="L17" s="1236"/>
      <c r="M17" s="1236"/>
      <c r="N17" s="1236"/>
      <c r="O17" s="1237"/>
      <c r="P17" s="1235"/>
      <c r="Q17" s="1236"/>
      <c r="R17" s="1236"/>
      <c r="S17" s="1237"/>
      <c r="T17" s="471"/>
      <c r="U17" s="1235"/>
      <c r="V17" s="1237"/>
      <c r="W17" s="957"/>
      <c r="X17" s="957"/>
      <c r="Y17" s="1225" t="s">
        <v>982</v>
      </c>
      <c r="Z17" s="1226"/>
      <c r="AA17" s="1227"/>
      <c r="AB17" s="529" t="s">
        <v>983</v>
      </c>
      <c r="AC17" s="530">
        <v>44053</v>
      </c>
      <c r="AD17" s="530">
        <v>44113</v>
      </c>
      <c r="AE17" s="528"/>
      <c r="AF17" s="469"/>
      <c r="AG17" s="31"/>
      <c r="AH17" s="32"/>
    </row>
    <row r="18" spans="1:36" ht="48" customHeight="1">
      <c r="A18" s="945"/>
      <c r="B18" s="945"/>
      <c r="C18" s="945"/>
      <c r="D18" s="967"/>
      <c r="E18" s="968"/>
      <c r="F18" s="1220"/>
      <c r="G18" s="1229"/>
      <c r="H18" s="1229"/>
      <c r="I18" s="1231"/>
      <c r="J18" s="1235"/>
      <c r="K18" s="1236"/>
      <c r="L18" s="1236"/>
      <c r="M18" s="1236"/>
      <c r="N18" s="1236"/>
      <c r="O18" s="1237"/>
      <c r="P18" s="1235"/>
      <c r="Q18" s="1236"/>
      <c r="R18" s="1236"/>
      <c r="S18" s="1237"/>
      <c r="T18" s="471"/>
      <c r="U18" s="1235"/>
      <c r="V18" s="1237"/>
      <c r="W18" s="957"/>
      <c r="X18" s="957"/>
      <c r="Y18" s="1225" t="s">
        <v>984</v>
      </c>
      <c r="Z18" s="1226"/>
      <c r="AA18" s="531"/>
      <c r="AB18" s="529" t="s">
        <v>981</v>
      </c>
      <c r="AC18" s="530">
        <v>44081</v>
      </c>
      <c r="AD18" s="530">
        <v>44113</v>
      </c>
      <c r="AE18" s="528"/>
      <c r="AF18" s="469"/>
      <c r="AG18" s="31"/>
      <c r="AH18" s="32"/>
    </row>
    <row r="19" spans="1:36" ht="47.25" customHeight="1">
      <c r="A19" s="945"/>
      <c r="B19" s="945"/>
      <c r="C19" s="945"/>
      <c r="D19" s="967"/>
      <c r="E19" s="968"/>
      <c r="F19" s="1220"/>
      <c r="G19" s="1229"/>
      <c r="H19" s="1229"/>
      <c r="I19" s="1231"/>
      <c r="J19" s="1235"/>
      <c r="K19" s="1236"/>
      <c r="L19" s="1236"/>
      <c r="M19" s="1236"/>
      <c r="N19" s="1236"/>
      <c r="O19" s="1237"/>
      <c r="P19" s="1235"/>
      <c r="Q19" s="1236"/>
      <c r="R19" s="1236"/>
      <c r="S19" s="1237"/>
      <c r="T19" s="471"/>
      <c r="U19" s="1235"/>
      <c r="V19" s="1237"/>
      <c r="W19" s="957"/>
      <c r="X19" s="957"/>
      <c r="Y19" s="1238" t="s">
        <v>985</v>
      </c>
      <c r="Z19" s="1239"/>
      <c r="AA19" s="532"/>
      <c r="AB19" s="533" t="s">
        <v>986</v>
      </c>
      <c r="AC19" s="534">
        <v>44081</v>
      </c>
      <c r="AD19" s="535">
        <v>44131</v>
      </c>
      <c r="AE19" s="528"/>
      <c r="AF19" s="469"/>
      <c r="AG19" s="31"/>
      <c r="AH19" s="32"/>
    </row>
    <row r="20" spans="1:36" ht="68.25" customHeight="1">
      <c r="A20" s="945"/>
      <c r="B20" s="945"/>
      <c r="C20" s="945"/>
      <c r="D20" s="967"/>
      <c r="E20" s="968"/>
      <c r="F20" s="1220"/>
      <c r="G20" s="1229"/>
      <c r="H20" s="1229"/>
      <c r="I20" s="1231"/>
      <c r="J20" s="1235"/>
      <c r="K20" s="1236"/>
      <c r="L20" s="1236"/>
      <c r="M20" s="1236"/>
      <c r="N20" s="1236"/>
      <c r="O20" s="1237"/>
      <c r="P20" s="1235"/>
      <c r="Q20" s="1236"/>
      <c r="R20" s="1236"/>
      <c r="S20" s="1237"/>
      <c r="T20" s="536"/>
      <c r="U20" s="1235"/>
      <c r="V20" s="1237"/>
      <c r="W20" s="957"/>
      <c r="X20" s="957"/>
      <c r="Y20" s="1225" t="s">
        <v>987</v>
      </c>
      <c r="Z20" s="1226"/>
      <c r="AA20" s="1227"/>
      <c r="AB20" s="529" t="s">
        <v>988</v>
      </c>
      <c r="AC20" s="530">
        <v>44185</v>
      </c>
      <c r="AD20" s="530">
        <v>43864</v>
      </c>
      <c r="AE20" s="537"/>
      <c r="AF20" s="475"/>
      <c r="AG20" s="488"/>
      <c r="AH20" s="489"/>
    </row>
    <row r="21" spans="1:36" ht="6" customHeight="1">
      <c r="A21" s="866"/>
      <c r="B21" s="866"/>
      <c r="C21" s="866"/>
      <c r="D21" s="866"/>
      <c r="E21" s="866"/>
      <c r="F21" s="866"/>
      <c r="G21" s="866"/>
      <c r="H21" s="866"/>
      <c r="I21" s="866"/>
      <c r="J21" s="866"/>
      <c r="K21" s="866"/>
      <c r="L21" s="866"/>
      <c r="M21" s="866"/>
      <c r="N21" s="866"/>
      <c r="O21" s="866"/>
      <c r="P21" s="866"/>
      <c r="Q21" s="866"/>
      <c r="R21" s="866"/>
      <c r="S21" s="866"/>
      <c r="T21" s="866"/>
      <c r="U21" s="866"/>
      <c r="V21" s="866"/>
      <c r="W21" s="866"/>
      <c r="X21" s="866"/>
      <c r="Y21" s="866"/>
      <c r="Z21" s="866"/>
      <c r="AA21" s="866"/>
      <c r="AB21" s="866"/>
      <c r="AC21" s="866"/>
      <c r="AD21" s="866"/>
      <c r="AE21" s="866"/>
      <c r="AF21" s="866"/>
      <c r="AG21" s="866"/>
      <c r="AH21" s="866"/>
    </row>
    <row r="22" spans="1:36" ht="12.75" customHeight="1">
      <c r="A22" s="858" t="s">
        <v>22</v>
      </c>
      <c r="B22" s="858"/>
      <c r="C22" s="858"/>
      <c r="D22" s="858"/>
      <c r="E22" s="858"/>
      <c r="F22" s="858"/>
      <c r="G22" s="858"/>
      <c r="H22" s="858"/>
      <c r="I22" s="858"/>
      <c r="J22" s="858"/>
      <c r="K22" s="858"/>
      <c r="L22" s="858"/>
      <c r="M22" s="35"/>
      <c r="N22" s="35"/>
      <c r="O22" s="859" t="s">
        <v>34</v>
      </c>
      <c r="P22" s="859"/>
      <c r="Q22" s="859"/>
      <c r="R22" s="859"/>
      <c r="S22" s="859"/>
      <c r="T22" s="859"/>
      <c r="U22" s="859"/>
      <c r="V22" s="859"/>
      <c r="W22" s="859"/>
      <c r="X22" s="859"/>
      <c r="Y22" s="859"/>
      <c r="Z22" s="859"/>
      <c r="AA22" s="859"/>
      <c r="AB22" s="859"/>
      <c r="AC22" s="859"/>
      <c r="AD22" s="860" t="s">
        <v>35</v>
      </c>
      <c r="AE22" s="860"/>
      <c r="AF22" s="860"/>
      <c r="AG22" s="860"/>
      <c r="AH22" s="860"/>
    </row>
    <row r="23" spans="1:36">
      <c r="A23" s="858"/>
      <c r="B23" s="858"/>
      <c r="C23" s="858"/>
      <c r="D23" s="858"/>
      <c r="E23" s="858"/>
      <c r="F23" s="858"/>
      <c r="G23" s="858"/>
      <c r="H23" s="858"/>
      <c r="I23" s="858"/>
      <c r="J23" s="858"/>
      <c r="K23" s="858"/>
      <c r="L23" s="858"/>
      <c r="M23" s="35"/>
      <c r="N23" s="35"/>
      <c r="O23" s="859"/>
      <c r="P23" s="859"/>
      <c r="Q23" s="859"/>
      <c r="R23" s="859"/>
      <c r="S23" s="859"/>
      <c r="T23" s="859"/>
      <c r="U23" s="859"/>
      <c r="V23" s="859"/>
      <c r="W23" s="859"/>
      <c r="X23" s="859"/>
      <c r="Y23" s="859"/>
      <c r="Z23" s="859"/>
      <c r="AA23" s="859"/>
      <c r="AB23" s="859"/>
      <c r="AC23" s="859"/>
      <c r="AD23" s="860"/>
      <c r="AE23" s="860"/>
      <c r="AF23" s="860"/>
      <c r="AG23" s="860"/>
      <c r="AH23" s="860"/>
    </row>
    <row r="24" spans="1:36" ht="38.25" customHeight="1">
      <c r="A24" s="1036"/>
      <c r="B24" s="1036"/>
      <c r="C24" s="1036"/>
      <c r="D24" s="1036"/>
      <c r="E24" s="1036"/>
      <c r="F24" s="1036"/>
      <c r="G24" s="1036"/>
      <c r="H24" s="1036"/>
      <c r="I24" s="1036"/>
      <c r="J24" s="1036"/>
      <c r="K24" s="1036"/>
      <c r="L24" s="1036"/>
      <c r="M24" s="35"/>
      <c r="N24" s="35"/>
      <c r="O24" s="1037"/>
      <c r="P24" s="1037"/>
      <c r="Q24" s="1037"/>
      <c r="R24" s="1037"/>
      <c r="S24" s="1037"/>
      <c r="T24" s="1037"/>
      <c r="U24" s="1037"/>
      <c r="V24" s="1037"/>
      <c r="W24" s="1037"/>
      <c r="X24" s="1037"/>
      <c r="Y24" s="1037"/>
      <c r="Z24" s="1037"/>
      <c r="AA24" s="1037"/>
      <c r="AB24" s="1037"/>
      <c r="AC24" s="1037"/>
      <c r="AD24" s="1038"/>
      <c r="AE24" s="1038"/>
      <c r="AF24" s="1038"/>
      <c r="AG24" s="1038"/>
      <c r="AH24" s="1038"/>
    </row>
    <row r="25" spans="1:36" ht="15" customHeight="1">
      <c r="A25" s="856" t="s">
        <v>36</v>
      </c>
      <c r="B25" s="856"/>
      <c r="C25" s="856"/>
      <c r="D25" s="856"/>
      <c r="E25" s="856"/>
      <c r="F25" s="856"/>
      <c r="G25" s="856"/>
      <c r="H25" s="856"/>
      <c r="I25" s="856"/>
      <c r="J25" s="856"/>
      <c r="K25" s="856"/>
      <c r="L25" s="856"/>
      <c r="M25" s="856"/>
      <c r="N25" s="856"/>
      <c r="O25" s="856"/>
      <c r="P25" s="856"/>
      <c r="Q25" s="856"/>
      <c r="R25" s="856"/>
      <c r="S25" s="856"/>
      <c r="T25" s="856"/>
      <c r="U25" s="856"/>
      <c r="V25" s="856"/>
      <c r="W25" s="856"/>
      <c r="X25" s="856"/>
      <c r="Y25" s="856"/>
      <c r="Z25" s="856"/>
      <c r="AA25" s="856"/>
      <c r="AB25" s="856"/>
      <c r="AC25" s="856"/>
      <c r="AD25" s="856"/>
      <c r="AE25" s="856"/>
      <c r="AF25" s="856"/>
      <c r="AG25" s="856"/>
      <c r="AH25" s="856"/>
    </row>
    <row r="26" spans="1:36" ht="0.95" customHeight="1">
      <c r="A26" s="857"/>
      <c r="B26" s="857"/>
      <c r="C26" s="857"/>
      <c r="D26" s="857"/>
      <c r="E26" s="857"/>
      <c r="F26" s="857"/>
      <c r="G26" s="857"/>
      <c r="H26" s="857"/>
      <c r="I26" s="857"/>
      <c r="J26" s="857"/>
      <c r="K26" s="857"/>
      <c r="L26" s="857"/>
      <c r="M26" s="857"/>
      <c r="N26" s="857"/>
      <c r="O26" s="857"/>
      <c r="P26" s="857"/>
      <c r="Q26" s="857"/>
      <c r="R26" s="857"/>
      <c r="S26" s="857"/>
      <c r="T26" s="857"/>
      <c r="U26" s="857"/>
      <c r="V26" s="857"/>
      <c r="W26" s="857"/>
      <c r="X26" s="857"/>
      <c r="Y26" s="857"/>
      <c r="Z26" s="857"/>
      <c r="AA26" s="857"/>
      <c r="AB26" s="857"/>
      <c r="AC26" s="857"/>
      <c r="AD26" s="857"/>
      <c r="AE26" s="857"/>
      <c r="AF26" s="857"/>
      <c r="AG26" s="857"/>
      <c r="AH26" s="857"/>
      <c r="AI26" s="857"/>
    </row>
    <row r="27" spans="1:36">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c r="AA27" s="857"/>
      <c r="AB27" s="857"/>
      <c r="AC27" s="857"/>
      <c r="AD27" s="857"/>
      <c r="AE27" s="857"/>
      <c r="AF27" s="857"/>
      <c r="AG27" s="857"/>
      <c r="AH27" s="857"/>
      <c r="AI27" s="36"/>
      <c r="AJ27" s="36"/>
    </row>
    <row r="28" spans="1:36" ht="24" customHeight="1">
      <c r="A28" s="37"/>
      <c r="B28" s="38"/>
      <c r="C28" s="37"/>
      <c r="D28" s="37"/>
      <c r="E28" s="37"/>
      <c r="F28" s="37"/>
      <c r="G28" s="37"/>
      <c r="H28" s="39" t="s">
        <v>66</v>
      </c>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6"/>
      <c r="AJ28" s="36"/>
    </row>
    <row r="29" spans="1:36" ht="54.95" customHeight="1">
      <c r="A29" s="37"/>
      <c r="B29" s="38"/>
      <c r="C29" s="37"/>
      <c r="D29" s="37"/>
      <c r="E29" s="37"/>
      <c r="F29" s="37"/>
      <c r="G29" s="37"/>
      <c r="H29" s="39" t="s">
        <v>67</v>
      </c>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6"/>
      <c r="AJ29" s="36"/>
    </row>
    <row r="30" spans="1:36" ht="0.95" customHeight="1">
      <c r="A30" s="37"/>
      <c r="B30" s="38" t="s">
        <v>68</v>
      </c>
      <c r="C30" s="37"/>
      <c r="D30" s="37"/>
      <c r="E30" s="37"/>
      <c r="F30" s="37"/>
      <c r="G30" s="37"/>
      <c r="H30" s="39" t="s">
        <v>69</v>
      </c>
      <c r="I30" s="37"/>
      <c r="J30" s="37"/>
      <c r="K30" s="37"/>
      <c r="L30" s="37"/>
      <c r="M30" s="37"/>
      <c r="N30" s="37"/>
      <c r="O30" s="37"/>
      <c r="P30" s="37"/>
      <c r="Q30" s="37"/>
      <c r="R30" s="37"/>
      <c r="S30" s="37"/>
      <c r="T30" s="37"/>
      <c r="U30" s="37"/>
      <c r="V30" s="37"/>
      <c r="W30" s="37"/>
      <c r="X30" s="39" t="s">
        <v>23</v>
      </c>
      <c r="Y30" s="37"/>
      <c r="Z30" s="37"/>
      <c r="AA30" s="37"/>
      <c r="AB30" s="37"/>
      <c r="AC30" s="37"/>
      <c r="AD30" s="37"/>
      <c r="AE30" s="37"/>
      <c r="AF30" s="37"/>
      <c r="AG30" s="37"/>
      <c r="AH30" s="37"/>
      <c r="AI30" s="36"/>
      <c r="AJ30" s="36"/>
    </row>
    <row r="31" spans="1:36" ht="0.95" customHeight="1">
      <c r="A31" s="37"/>
      <c r="B31" s="38" t="s">
        <v>70</v>
      </c>
      <c r="C31" s="37"/>
      <c r="D31" s="37"/>
      <c r="E31" s="37"/>
      <c r="F31" s="37"/>
      <c r="G31" s="37"/>
      <c r="H31" s="40" t="s">
        <v>59</v>
      </c>
      <c r="I31" s="37"/>
      <c r="J31" s="37"/>
      <c r="K31" s="37"/>
      <c r="L31" s="37"/>
      <c r="M31" s="37"/>
      <c r="N31" s="37"/>
      <c r="O31" s="37"/>
      <c r="P31" s="37"/>
      <c r="Q31" s="37"/>
      <c r="R31" s="37"/>
      <c r="S31" s="37"/>
      <c r="T31" s="37"/>
      <c r="U31" s="37"/>
      <c r="V31" s="37"/>
      <c r="W31" s="37"/>
      <c r="X31" s="39" t="s">
        <v>25</v>
      </c>
      <c r="Y31" s="37"/>
      <c r="Z31" s="37"/>
      <c r="AA31" s="37"/>
      <c r="AB31" s="37"/>
      <c r="AC31" s="37"/>
      <c r="AD31" s="37"/>
      <c r="AE31" s="37"/>
      <c r="AF31" s="37"/>
      <c r="AG31" s="37"/>
      <c r="AH31" s="37"/>
      <c r="AI31" s="36"/>
      <c r="AJ31" s="36"/>
    </row>
    <row r="32" spans="1:36" ht="0.95" customHeight="1">
      <c r="A32" s="41"/>
      <c r="B32" s="42" t="s">
        <v>16</v>
      </c>
      <c r="C32" s="41"/>
      <c r="D32" s="41"/>
      <c r="E32" s="41"/>
      <c r="F32" s="41"/>
      <c r="G32" s="41"/>
      <c r="H32" s="43" t="s">
        <v>65</v>
      </c>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4" spans="37:37" ht="24.75" customHeight="1">
      <c r="AK34" s="11" t="s">
        <v>38</v>
      </c>
    </row>
    <row r="35" spans="37:37" ht="24.75" customHeight="1">
      <c r="AK35" s="11" t="s">
        <v>10</v>
      </c>
    </row>
    <row r="36" spans="37:37" ht="24.75" customHeight="1">
      <c r="AK36" s="11" t="s">
        <v>42</v>
      </c>
    </row>
    <row r="37" spans="37:37" ht="24.75" customHeight="1">
      <c r="AK37" s="11" t="s">
        <v>43</v>
      </c>
    </row>
    <row r="38" spans="37:37" ht="24.75" customHeight="1">
      <c r="AK38" s="11" t="s">
        <v>44</v>
      </c>
    </row>
    <row r="39" spans="37:37" ht="24.75" customHeight="1">
      <c r="AK39" s="11" t="s">
        <v>26</v>
      </c>
    </row>
    <row r="40" spans="37:37" ht="24.75" customHeight="1">
      <c r="AK40" s="11" t="s">
        <v>27</v>
      </c>
    </row>
    <row r="41" spans="37:37" ht="24.75" customHeight="1">
      <c r="AK41" s="11" t="s">
        <v>28</v>
      </c>
    </row>
    <row r="42" spans="37:37" ht="24.75" customHeight="1">
      <c r="AK42" s="11" t="s">
        <v>30</v>
      </c>
    </row>
    <row r="43" spans="37:37" ht="24.75" customHeight="1">
      <c r="AK43" s="11" t="s">
        <v>29</v>
      </c>
    </row>
    <row r="44" spans="37:37" ht="24.75" customHeight="1">
      <c r="AK44" s="11" t="s">
        <v>31</v>
      </c>
    </row>
    <row r="45" spans="37:37" ht="24.75" customHeight="1">
      <c r="AK45" s="11" t="s">
        <v>32</v>
      </c>
    </row>
    <row r="46" spans="37:37">
      <c r="AK46" s="11" t="s">
        <v>33</v>
      </c>
    </row>
  </sheetData>
  <mergeCells count="110">
    <mergeCell ref="D12:E12"/>
    <mergeCell ref="J12:O12"/>
    <mergeCell ref="P12:S12"/>
    <mergeCell ref="U12:V12"/>
    <mergeCell ref="Y12:AA12"/>
    <mergeCell ref="A13:A15"/>
    <mergeCell ref="B13:B15"/>
    <mergeCell ref="C13:C15"/>
    <mergeCell ref="D13:E15"/>
    <mergeCell ref="F13:F15"/>
    <mergeCell ref="G13:G15"/>
    <mergeCell ref="H13:H15"/>
    <mergeCell ref="I13:I15"/>
    <mergeCell ref="J13:O15"/>
    <mergeCell ref="P13:S15"/>
    <mergeCell ref="U13:V15"/>
    <mergeCell ref="W13:W15"/>
    <mergeCell ref="X13:X15"/>
    <mergeCell ref="Y13:AA13"/>
    <mergeCell ref="Y14:AA14"/>
    <mergeCell ref="Y15:AA15"/>
    <mergeCell ref="P8:S9"/>
    <mergeCell ref="U8:V9"/>
    <mergeCell ref="W8:W9"/>
    <mergeCell ref="X8:X9"/>
    <mergeCell ref="Y8:AA8"/>
    <mergeCell ref="Y9:AA9"/>
    <mergeCell ref="A10:A11"/>
    <mergeCell ref="B10:B11"/>
    <mergeCell ref="C10:C11"/>
    <mergeCell ref="D10:E11"/>
    <mergeCell ref="F10:F11"/>
    <mergeCell ref="G10:G11"/>
    <mergeCell ref="H10:H11"/>
    <mergeCell ref="I10:I11"/>
    <mergeCell ref="J10:O11"/>
    <mergeCell ref="P10:S11"/>
    <mergeCell ref="U10:V11"/>
    <mergeCell ref="W10:W11"/>
    <mergeCell ref="X10:X11"/>
    <mergeCell ref="Y10:AA10"/>
    <mergeCell ref="Y11:AA11"/>
    <mergeCell ref="A8:A9"/>
    <mergeCell ref="B8:B9"/>
    <mergeCell ref="C8:C9"/>
    <mergeCell ref="D8:E9"/>
    <mergeCell ref="F8:F9"/>
    <mergeCell ref="G8:G9"/>
    <mergeCell ref="H8:H9"/>
    <mergeCell ref="I8:I9"/>
    <mergeCell ref="J8:O9"/>
    <mergeCell ref="A25:AH25"/>
    <mergeCell ref="A26:AI26"/>
    <mergeCell ref="A27:AH27"/>
    <mergeCell ref="Y18:Z18"/>
    <mergeCell ref="Y19:Z19"/>
    <mergeCell ref="A22:L23"/>
    <mergeCell ref="O22:AC23"/>
    <mergeCell ref="AD22:AH23"/>
    <mergeCell ref="A24:L24"/>
    <mergeCell ref="O24:AC24"/>
    <mergeCell ref="AD24:AH24"/>
    <mergeCell ref="A21:AH21"/>
    <mergeCell ref="A16:A20"/>
    <mergeCell ref="B16:B20"/>
    <mergeCell ref="C16:C20"/>
    <mergeCell ref="D16:E20"/>
    <mergeCell ref="F16:F20"/>
    <mergeCell ref="X6:X7"/>
    <mergeCell ref="Y6:AA7"/>
    <mergeCell ref="AB6:AB7"/>
    <mergeCell ref="AC6:AD6"/>
    <mergeCell ref="W16:W20"/>
    <mergeCell ref="X16:X20"/>
    <mergeCell ref="Y16:AA16"/>
    <mergeCell ref="Y17:AA17"/>
    <mergeCell ref="Y20:AA20"/>
    <mergeCell ref="G16:G20"/>
    <mergeCell ref="H16:H20"/>
    <mergeCell ref="I16:I20"/>
    <mergeCell ref="J16:O20"/>
    <mergeCell ref="P16:S20"/>
    <mergeCell ref="U16:V20"/>
    <mergeCell ref="A5:AH5"/>
    <mergeCell ref="A6:B6"/>
    <mergeCell ref="C6:C7"/>
    <mergeCell ref="D6:E7"/>
    <mergeCell ref="F6:F7"/>
    <mergeCell ref="G6:G7"/>
    <mergeCell ref="H6:H7"/>
    <mergeCell ref="I6:I7"/>
    <mergeCell ref="J6:V6"/>
    <mergeCell ref="W6:W7"/>
    <mergeCell ref="AG6:AG7"/>
    <mergeCell ref="AH6:AH7"/>
    <mergeCell ref="J7:O7"/>
    <mergeCell ref="P7:T7"/>
    <mergeCell ref="U7:V7"/>
    <mergeCell ref="AE6:AE7"/>
    <mergeCell ref="AF6:AF7"/>
    <mergeCell ref="A1:B2"/>
    <mergeCell ref="C1:AG1"/>
    <mergeCell ref="AH1:AH2"/>
    <mergeCell ref="C2:AG2"/>
    <mergeCell ref="A3:AH3"/>
    <mergeCell ref="A4:D4"/>
    <mergeCell ref="E4:V4"/>
    <mergeCell ref="W4:Y4"/>
    <mergeCell ref="Z4:AE4"/>
    <mergeCell ref="AF4:AG4"/>
  </mergeCells>
  <conditionalFormatting sqref="AG16:AG20">
    <cfRule type="cellIs" dxfId="27" priority="29" operator="between">
      <formula>0.001</formula>
      <formula>0.99</formula>
    </cfRule>
    <cfRule type="cellIs" dxfId="26" priority="30" operator="equal">
      <formula>1</formula>
    </cfRule>
    <cfRule type="cellIs" dxfId="25" priority="31" operator="equal">
      <formula>0</formula>
    </cfRule>
  </conditionalFormatting>
  <conditionalFormatting sqref="AG16:AG20">
    <cfRule type="cellIs" dxfId="24" priority="32" operator="between">
      <formula>0.01</formula>
      <formula>0.99</formula>
    </cfRule>
    <cfRule type="cellIs" dxfId="23" priority="33" operator="equal">
      <formula>1</formula>
    </cfRule>
    <cfRule type="cellIs" dxfId="22" priority="34" operator="equal">
      <formula>0</formula>
    </cfRule>
  </conditionalFormatting>
  <conditionalFormatting sqref="AC16:AC20">
    <cfRule type="cellIs" dxfId="7" priority="7" stopIfTrue="1" operator="greaterThan">
      <formula>#REF!</formula>
    </cfRule>
    <cfRule type="cellIs" dxfId="6" priority="8" stopIfTrue="1" operator="lessThan">
      <formula>#REF!</formula>
    </cfRule>
  </conditionalFormatting>
  <conditionalFormatting sqref="AG8:AG15">
    <cfRule type="cellIs" dxfId="5" priority="1" operator="between">
      <formula>0.001</formula>
      <formula>0.99</formula>
    </cfRule>
    <cfRule type="cellIs" dxfId="4" priority="2" operator="equal">
      <formula>1</formula>
    </cfRule>
    <cfRule type="cellIs" dxfId="3" priority="3" operator="equal">
      <formula>0</formula>
    </cfRule>
  </conditionalFormatting>
  <conditionalFormatting sqref="AG8:AG15">
    <cfRule type="cellIs" dxfId="2" priority="4" operator="between">
      <formula>0.01</formula>
      <formula>0.99</formula>
    </cfRule>
    <cfRule type="cellIs" dxfId="1" priority="5" operator="equal">
      <formula>1</formula>
    </cfRule>
    <cfRule type="cellIs" dxfId="0" priority="6" operator="equal">
      <formula>0</formula>
    </cfRule>
  </conditionalFormatting>
  <dataValidations count="10">
    <dataValidation type="list" allowBlank="1" showInputMessage="1" showErrorMessage="1" sqref="H16 WVP983057 WLT983057 WBX983057 VSB983057 VIF983057 UYJ983057 UON983057 UER983057 TUV983057 TKZ983057 TBD983057 SRH983057 SHL983057 RXP983057 RNT983057 RDX983057 QUB983057 QKF983057 QAJ983057 PQN983057 PGR983057 OWV983057 OMZ983057 ODD983057 NTH983057 NJL983057 MZP983057 MPT983057 MFX983057 LWB983057 LMF983057 LCJ983057 KSN983057 KIR983057 JYV983057 JOZ983057 JFD983057 IVH983057 ILL983057 IBP983057 HRT983057 HHX983057 GYB983057 GOF983057 GEJ983057 FUN983057 FKR983057 FAV983057 EQZ983057 EHD983057 DXH983057 DNL983057 DDP983057 CTT983057 CJX983057 CAB983057 BQF983057 BGJ983057 AWN983057 AMR983057 ACV983057 SZ983057 JD983057 H983057 WVP917521 WLT917521 WBX917521 VSB917521 VIF917521 UYJ917521 UON917521 UER917521 TUV917521 TKZ917521 TBD917521 SRH917521 SHL917521 RXP917521 RNT917521 RDX917521 QUB917521 QKF917521 QAJ917521 PQN917521 PGR917521 OWV917521 OMZ917521 ODD917521 NTH917521 NJL917521 MZP917521 MPT917521 MFX917521 LWB917521 LMF917521 LCJ917521 KSN917521 KIR917521 JYV917521 JOZ917521 JFD917521 IVH917521 ILL917521 IBP917521 HRT917521 HHX917521 GYB917521 GOF917521 GEJ917521 FUN917521 FKR917521 FAV917521 EQZ917521 EHD917521 DXH917521 DNL917521 DDP917521 CTT917521 CJX917521 CAB917521 BQF917521 BGJ917521 AWN917521 AMR917521 ACV917521 SZ917521 JD917521 H917521 WVP851985 WLT851985 WBX851985 VSB851985 VIF851985 UYJ851985 UON851985 UER851985 TUV851985 TKZ851985 TBD851985 SRH851985 SHL851985 RXP851985 RNT851985 RDX851985 QUB851985 QKF851985 QAJ851985 PQN851985 PGR851985 OWV851985 OMZ851985 ODD851985 NTH851985 NJL851985 MZP851985 MPT851985 MFX851985 LWB851985 LMF851985 LCJ851985 KSN851985 KIR851985 JYV851985 JOZ851985 JFD851985 IVH851985 ILL851985 IBP851985 HRT851985 HHX851985 GYB851985 GOF851985 GEJ851985 FUN851985 FKR851985 FAV851985 EQZ851985 EHD851985 DXH851985 DNL851985 DDP851985 CTT851985 CJX851985 CAB851985 BQF851985 BGJ851985 AWN851985 AMR851985 ACV851985 SZ851985 JD851985 H851985 WVP786449 WLT786449 WBX786449 VSB786449 VIF786449 UYJ786449 UON786449 UER786449 TUV786449 TKZ786449 TBD786449 SRH786449 SHL786449 RXP786449 RNT786449 RDX786449 QUB786449 QKF786449 QAJ786449 PQN786449 PGR786449 OWV786449 OMZ786449 ODD786449 NTH786449 NJL786449 MZP786449 MPT786449 MFX786449 LWB786449 LMF786449 LCJ786449 KSN786449 KIR786449 JYV786449 JOZ786449 JFD786449 IVH786449 ILL786449 IBP786449 HRT786449 HHX786449 GYB786449 GOF786449 GEJ786449 FUN786449 FKR786449 FAV786449 EQZ786449 EHD786449 DXH786449 DNL786449 DDP786449 CTT786449 CJX786449 CAB786449 BQF786449 BGJ786449 AWN786449 AMR786449 ACV786449 SZ786449 JD786449 H786449 WVP720913 WLT720913 WBX720913 VSB720913 VIF720913 UYJ720913 UON720913 UER720913 TUV720913 TKZ720913 TBD720913 SRH720913 SHL720913 RXP720913 RNT720913 RDX720913 QUB720913 QKF720913 QAJ720913 PQN720913 PGR720913 OWV720913 OMZ720913 ODD720913 NTH720913 NJL720913 MZP720913 MPT720913 MFX720913 LWB720913 LMF720913 LCJ720913 KSN720913 KIR720913 JYV720913 JOZ720913 JFD720913 IVH720913 ILL720913 IBP720913 HRT720913 HHX720913 GYB720913 GOF720913 GEJ720913 FUN720913 FKR720913 FAV720913 EQZ720913 EHD720913 DXH720913 DNL720913 DDP720913 CTT720913 CJX720913 CAB720913 BQF720913 BGJ720913 AWN720913 AMR720913 ACV720913 SZ720913 JD720913 H720913 WVP655377 WLT655377 WBX655377 VSB655377 VIF655377 UYJ655377 UON655377 UER655377 TUV655377 TKZ655377 TBD655377 SRH655377 SHL655377 RXP655377 RNT655377 RDX655377 QUB655377 QKF655377 QAJ655377 PQN655377 PGR655377 OWV655377 OMZ655377 ODD655377 NTH655377 NJL655377 MZP655377 MPT655377 MFX655377 LWB655377 LMF655377 LCJ655377 KSN655377 KIR655377 JYV655377 JOZ655377 JFD655377 IVH655377 ILL655377 IBP655377 HRT655377 HHX655377 GYB655377 GOF655377 GEJ655377 FUN655377 FKR655377 FAV655377 EQZ655377 EHD655377 DXH655377 DNL655377 DDP655377 CTT655377 CJX655377 CAB655377 BQF655377 BGJ655377 AWN655377 AMR655377 ACV655377 SZ655377 JD655377 H655377 WVP589841 WLT589841 WBX589841 VSB589841 VIF589841 UYJ589841 UON589841 UER589841 TUV589841 TKZ589841 TBD589841 SRH589841 SHL589841 RXP589841 RNT589841 RDX589841 QUB589841 QKF589841 QAJ589841 PQN589841 PGR589841 OWV589841 OMZ589841 ODD589841 NTH589841 NJL589841 MZP589841 MPT589841 MFX589841 LWB589841 LMF589841 LCJ589841 KSN589841 KIR589841 JYV589841 JOZ589841 JFD589841 IVH589841 ILL589841 IBP589841 HRT589841 HHX589841 GYB589841 GOF589841 GEJ589841 FUN589841 FKR589841 FAV589841 EQZ589841 EHD589841 DXH589841 DNL589841 DDP589841 CTT589841 CJX589841 CAB589841 BQF589841 BGJ589841 AWN589841 AMR589841 ACV589841 SZ589841 JD589841 H589841 WVP524305 WLT524305 WBX524305 VSB524305 VIF524305 UYJ524305 UON524305 UER524305 TUV524305 TKZ524305 TBD524305 SRH524305 SHL524305 RXP524305 RNT524305 RDX524305 QUB524305 QKF524305 QAJ524305 PQN524305 PGR524305 OWV524305 OMZ524305 ODD524305 NTH524305 NJL524305 MZP524305 MPT524305 MFX524305 LWB524305 LMF524305 LCJ524305 KSN524305 KIR524305 JYV524305 JOZ524305 JFD524305 IVH524305 ILL524305 IBP524305 HRT524305 HHX524305 GYB524305 GOF524305 GEJ524305 FUN524305 FKR524305 FAV524305 EQZ524305 EHD524305 DXH524305 DNL524305 DDP524305 CTT524305 CJX524305 CAB524305 BQF524305 BGJ524305 AWN524305 AMR524305 ACV524305 SZ524305 JD524305 H524305 WVP458769 WLT458769 WBX458769 VSB458769 VIF458769 UYJ458769 UON458769 UER458769 TUV458769 TKZ458769 TBD458769 SRH458769 SHL458769 RXP458769 RNT458769 RDX458769 QUB458769 QKF458769 QAJ458769 PQN458769 PGR458769 OWV458769 OMZ458769 ODD458769 NTH458769 NJL458769 MZP458769 MPT458769 MFX458769 LWB458769 LMF458769 LCJ458769 KSN458769 KIR458769 JYV458769 JOZ458769 JFD458769 IVH458769 ILL458769 IBP458769 HRT458769 HHX458769 GYB458769 GOF458769 GEJ458769 FUN458769 FKR458769 FAV458769 EQZ458769 EHD458769 DXH458769 DNL458769 DDP458769 CTT458769 CJX458769 CAB458769 BQF458769 BGJ458769 AWN458769 AMR458769 ACV458769 SZ458769 JD458769 H458769 WVP393233 WLT393233 WBX393233 VSB393233 VIF393233 UYJ393233 UON393233 UER393233 TUV393233 TKZ393233 TBD393233 SRH393233 SHL393233 RXP393233 RNT393233 RDX393233 QUB393233 QKF393233 QAJ393233 PQN393233 PGR393233 OWV393233 OMZ393233 ODD393233 NTH393233 NJL393233 MZP393233 MPT393233 MFX393233 LWB393233 LMF393233 LCJ393233 KSN393233 KIR393233 JYV393233 JOZ393233 JFD393233 IVH393233 ILL393233 IBP393233 HRT393233 HHX393233 GYB393233 GOF393233 GEJ393233 FUN393233 FKR393233 FAV393233 EQZ393233 EHD393233 DXH393233 DNL393233 DDP393233 CTT393233 CJX393233 CAB393233 BQF393233 BGJ393233 AWN393233 AMR393233 ACV393233 SZ393233 JD393233 H393233 WVP327697 WLT327697 WBX327697 VSB327697 VIF327697 UYJ327697 UON327697 UER327697 TUV327697 TKZ327697 TBD327697 SRH327697 SHL327697 RXP327697 RNT327697 RDX327697 QUB327697 QKF327697 QAJ327697 PQN327697 PGR327697 OWV327697 OMZ327697 ODD327697 NTH327697 NJL327697 MZP327697 MPT327697 MFX327697 LWB327697 LMF327697 LCJ327697 KSN327697 KIR327697 JYV327697 JOZ327697 JFD327697 IVH327697 ILL327697 IBP327697 HRT327697 HHX327697 GYB327697 GOF327697 GEJ327697 FUN327697 FKR327697 FAV327697 EQZ327697 EHD327697 DXH327697 DNL327697 DDP327697 CTT327697 CJX327697 CAB327697 BQF327697 BGJ327697 AWN327697 AMR327697 ACV327697 SZ327697 JD327697 H327697 WVP262161 WLT262161 WBX262161 VSB262161 VIF262161 UYJ262161 UON262161 UER262161 TUV262161 TKZ262161 TBD262161 SRH262161 SHL262161 RXP262161 RNT262161 RDX262161 QUB262161 QKF262161 QAJ262161 PQN262161 PGR262161 OWV262161 OMZ262161 ODD262161 NTH262161 NJL262161 MZP262161 MPT262161 MFX262161 LWB262161 LMF262161 LCJ262161 KSN262161 KIR262161 JYV262161 JOZ262161 JFD262161 IVH262161 ILL262161 IBP262161 HRT262161 HHX262161 GYB262161 GOF262161 GEJ262161 FUN262161 FKR262161 FAV262161 EQZ262161 EHD262161 DXH262161 DNL262161 DDP262161 CTT262161 CJX262161 CAB262161 BQF262161 BGJ262161 AWN262161 AMR262161 ACV262161 SZ262161 JD262161 H262161 WVP196625 WLT196625 WBX196625 VSB196625 VIF196625 UYJ196625 UON196625 UER196625 TUV196625 TKZ196625 TBD196625 SRH196625 SHL196625 RXP196625 RNT196625 RDX196625 QUB196625 QKF196625 QAJ196625 PQN196625 PGR196625 OWV196625 OMZ196625 ODD196625 NTH196625 NJL196625 MZP196625 MPT196625 MFX196625 LWB196625 LMF196625 LCJ196625 KSN196625 KIR196625 JYV196625 JOZ196625 JFD196625 IVH196625 ILL196625 IBP196625 HRT196625 HHX196625 GYB196625 GOF196625 GEJ196625 FUN196625 FKR196625 FAV196625 EQZ196625 EHD196625 DXH196625 DNL196625 DDP196625 CTT196625 CJX196625 CAB196625 BQF196625 BGJ196625 AWN196625 AMR196625 ACV196625 SZ196625 JD196625 H196625 WVP131089 WLT131089 WBX131089 VSB131089 VIF131089 UYJ131089 UON131089 UER131089 TUV131089 TKZ131089 TBD131089 SRH131089 SHL131089 RXP131089 RNT131089 RDX131089 QUB131089 QKF131089 QAJ131089 PQN131089 PGR131089 OWV131089 OMZ131089 ODD131089 NTH131089 NJL131089 MZP131089 MPT131089 MFX131089 LWB131089 LMF131089 LCJ131089 KSN131089 KIR131089 JYV131089 JOZ131089 JFD131089 IVH131089 ILL131089 IBP131089 HRT131089 HHX131089 GYB131089 GOF131089 GEJ131089 FUN131089 FKR131089 FAV131089 EQZ131089 EHD131089 DXH131089 DNL131089 DDP131089 CTT131089 CJX131089 CAB131089 BQF131089 BGJ131089 AWN131089 AMR131089 ACV131089 SZ131089 JD131089 H131089 WVP65553 WLT65553 WBX65553 VSB65553 VIF65553 UYJ65553 UON65553 UER65553 TUV65553 TKZ65553 TBD65553 SRH65553 SHL65553 RXP65553 RNT65553 RDX65553 QUB65553 QKF65553 QAJ65553 PQN65553 PGR65553 OWV65553 OMZ65553 ODD65553 NTH65553 NJL65553 MZP65553 MPT65553 MFX65553 LWB65553 LMF65553 LCJ65553 KSN65553 KIR65553 JYV65553 JOZ65553 JFD65553 IVH65553 ILL65553 IBP65553 HRT65553 HHX65553 GYB65553 GOF65553 GEJ65553 FUN65553 FKR65553 FAV65553 EQZ65553 EHD65553 DXH65553 DNL65553 DDP65553 CTT65553 CJX65553 CAB65553 BQF65553 BGJ65553 AWN65553 AMR65553 ACV65553 SZ65553 JD65553 H65553 WVP16 WLT16 WBX16 VSB16 VIF16 UYJ16 UON16 UER16 TUV16 TKZ16 TBD16 SRH16 SHL16 RXP16 RNT16 RDX16 QUB16 QKF16 QAJ16 PQN16 PGR16 OWV16 OMZ16 ODD16 NTH16 NJL16 MZP16 MPT16 MFX16 LWB16 LMF16 LCJ16 KSN16 KIR16 JYV16 JOZ16 JFD16 IVH16 ILL16 IBP16 HRT16 HHX16 GYB16 GOF16 GEJ16 FUN16 FKR16 FAV16 EQZ16 EHD16 DXH16 DNL16 DDP16 CTT16 CJX16 CAB16 BQF16 BGJ16 AWN16 AMR16 ACV16 SZ16 JD16">
      <formula1>$H$28:$H$32</formula1>
    </dataValidation>
    <dataValidation type="list" allowBlank="1" showInputMessage="1" showErrorMessage="1" sqref="AE16 WWM983057 WMQ983057 WCU983057 VSY983057 VJC983057 UZG983057 UPK983057 UFO983057 TVS983057 TLW983057 TCA983057 SSE983057 SII983057 RYM983057 ROQ983057 REU983057 QUY983057 QLC983057 QBG983057 PRK983057 PHO983057 OXS983057 ONW983057 OEA983057 NUE983057 NKI983057 NAM983057 MQQ983057 MGU983057 LWY983057 LNC983057 LDG983057 KTK983057 KJO983057 JZS983057 JPW983057 JGA983057 IWE983057 IMI983057 ICM983057 HSQ983057 HIU983057 GYY983057 GPC983057 GFG983057 FVK983057 FLO983057 FBS983057 ERW983057 EIA983057 DYE983057 DOI983057 DEM983057 CUQ983057 CKU983057 CAY983057 BRC983057 BHG983057 AXK983057 ANO983057 ADS983057 TW983057 KA983057 AE983057 WWM917521 WMQ917521 WCU917521 VSY917521 VJC917521 UZG917521 UPK917521 UFO917521 TVS917521 TLW917521 TCA917521 SSE917521 SII917521 RYM917521 ROQ917521 REU917521 QUY917521 QLC917521 QBG917521 PRK917521 PHO917521 OXS917521 ONW917521 OEA917521 NUE917521 NKI917521 NAM917521 MQQ917521 MGU917521 LWY917521 LNC917521 LDG917521 KTK917521 KJO917521 JZS917521 JPW917521 JGA917521 IWE917521 IMI917521 ICM917521 HSQ917521 HIU917521 GYY917521 GPC917521 GFG917521 FVK917521 FLO917521 FBS917521 ERW917521 EIA917521 DYE917521 DOI917521 DEM917521 CUQ917521 CKU917521 CAY917521 BRC917521 BHG917521 AXK917521 ANO917521 ADS917521 TW917521 KA917521 AE917521 WWM851985 WMQ851985 WCU851985 VSY851985 VJC851985 UZG851985 UPK851985 UFO851985 TVS851985 TLW851985 TCA851985 SSE851985 SII851985 RYM851985 ROQ851985 REU851985 QUY851985 QLC851985 QBG851985 PRK851985 PHO851985 OXS851985 ONW851985 OEA851985 NUE851985 NKI851985 NAM851985 MQQ851985 MGU851985 LWY851985 LNC851985 LDG851985 KTK851985 KJO851985 JZS851985 JPW851985 JGA851985 IWE851985 IMI851985 ICM851985 HSQ851985 HIU851985 GYY851985 GPC851985 GFG851985 FVK851985 FLO851985 FBS851985 ERW851985 EIA851985 DYE851985 DOI851985 DEM851985 CUQ851985 CKU851985 CAY851985 BRC851985 BHG851985 AXK851985 ANO851985 ADS851985 TW851985 KA851985 AE851985 WWM786449 WMQ786449 WCU786449 VSY786449 VJC786449 UZG786449 UPK786449 UFO786449 TVS786449 TLW786449 TCA786449 SSE786449 SII786449 RYM786449 ROQ786449 REU786449 QUY786449 QLC786449 QBG786449 PRK786449 PHO786449 OXS786449 ONW786449 OEA786449 NUE786449 NKI786449 NAM786449 MQQ786449 MGU786449 LWY786449 LNC786449 LDG786449 KTK786449 KJO786449 JZS786449 JPW786449 JGA786449 IWE786449 IMI786449 ICM786449 HSQ786449 HIU786449 GYY786449 GPC786449 GFG786449 FVK786449 FLO786449 FBS786449 ERW786449 EIA786449 DYE786449 DOI786449 DEM786449 CUQ786449 CKU786449 CAY786449 BRC786449 BHG786449 AXK786449 ANO786449 ADS786449 TW786449 KA786449 AE786449 WWM720913 WMQ720913 WCU720913 VSY720913 VJC720913 UZG720913 UPK720913 UFO720913 TVS720913 TLW720913 TCA720913 SSE720913 SII720913 RYM720913 ROQ720913 REU720913 QUY720913 QLC720913 QBG720913 PRK720913 PHO720913 OXS720913 ONW720913 OEA720913 NUE720913 NKI720913 NAM720913 MQQ720913 MGU720913 LWY720913 LNC720913 LDG720913 KTK720913 KJO720913 JZS720913 JPW720913 JGA720913 IWE720913 IMI720913 ICM720913 HSQ720913 HIU720913 GYY720913 GPC720913 GFG720913 FVK720913 FLO720913 FBS720913 ERW720913 EIA720913 DYE720913 DOI720913 DEM720913 CUQ720913 CKU720913 CAY720913 BRC720913 BHG720913 AXK720913 ANO720913 ADS720913 TW720913 KA720913 AE720913 WWM655377 WMQ655377 WCU655377 VSY655377 VJC655377 UZG655377 UPK655377 UFO655377 TVS655377 TLW655377 TCA655377 SSE655377 SII655377 RYM655377 ROQ655377 REU655377 QUY655377 QLC655377 QBG655377 PRK655377 PHO655377 OXS655377 ONW655377 OEA655377 NUE655377 NKI655377 NAM655377 MQQ655377 MGU655377 LWY655377 LNC655377 LDG655377 KTK655377 KJO655377 JZS655377 JPW655377 JGA655377 IWE655377 IMI655377 ICM655377 HSQ655377 HIU655377 GYY655377 GPC655377 GFG655377 FVK655377 FLO655377 FBS655377 ERW655377 EIA655377 DYE655377 DOI655377 DEM655377 CUQ655377 CKU655377 CAY655377 BRC655377 BHG655377 AXK655377 ANO655377 ADS655377 TW655377 KA655377 AE655377 WWM589841 WMQ589841 WCU589841 VSY589841 VJC589841 UZG589841 UPK589841 UFO589841 TVS589841 TLW589841 TCA589841 SSE589841 SII589841 RYM589841 ROQ589841 REU589841 QUY589841 QLC589841 QBG589841 PRK589841 PHO589841 OXS589841 ONW589841 OEA589841 NUE589841 NKI589841 NAM589841 MQQ589841 MGU589841 LWY589841 LNC589841 LDG589841 KTK589841 KJO589841 JZS589841 JPW589841 JGA589841 IWE589841 IMI589841 ICM589841 HSQ589841 HIU589841 GYY589841 GPC589841 GFG589841 FVK589841 FLO589841 FBS589841 ERW589841 EIA589841 DYE589841 DOI589841 DEM589841 CUQ589841 CKU589841 CAY589841 BRC589841 BHG589841 AXK589841 ANO589841 ADS589841 TW589841 KA589841 AE589841 WWM524305 WMQ524305 WCU524305 VSY524305 VJC524305 UZG524305 UPK524305 UFO524305 TVS524305 TLW524305 TCA524305 SSE524305 SII524305 RYM524305 ROQ524305 REU524305 QUY524305 QLC524305 QBG524305 PRK524305 PHO524305 OXS524305 ONW524305 OEA524305 NUE524305 NKI524305 NAM524305 MQQ524305 MGU524305 LWY524305 LNC524305 LDG524305 KTK524305 KJO524305 JZS524305 JPW524305 JGA524305 IWE524305 IMI524305 ICM524305 HSQ524305 HIU524305 GYY524305 GPC524305 GFG524305 FVK524305 FLO524305 FBS524305 ERW524305 EIA524305 DYE524305 DOI524305 DEM524305 CUQ524305 CKU524305 CAY524305 BRC524305 BHG524305 AXK524305 ANO524305 ADS524305 TW524305 KA524305 AE524305 WWM458769 WMQ458769 WCU458769 VSY458769 VJC458769 UZG458769 UPK458769 UFO458769 TVS458769 TLW458769 TCA458769 SSE458769 SII458769 RYM458769 ROQ458769 REU458769 QUY458769 QLC458769 QBG458769 PRK458769 PHO458769 OXS458769 ONW458769 OEA458769 NUE458769 NKI458769 NAM458769 MQQ458769 MGU458769 LWY458769 LNC458769 LDG458769 KTK458769 KJO458769 JZS458769 JPW458769 JGA458769 IWE458769 IMI458769 ICM458769 HSQ458769 HIU458769 GYY458769 GPC458769 GFG458769 FVK458769 FLO458769 FBS458769 ERW458769 EIA458769 DYE458769 DOI458769 DEM458769 CUQ458769 CKU458769 CAY458769 BRC458769 BHG458769 AXK458769 ANO458769 ADS458769 TW458769 KA458769 AE458769 WWM393233 WMQ393233 WCU393233 VSY393233 VJC393233 UZG393233 UPK393233 UFO393233 TVS393233 TLW393233 TCA393233 SSE393233 SII393233 RYM393233 ROQ393233 REU393233 QUY393233 QLC393233 QBG393233 PRK393233 PHO393233 OXS393233 ONW393233 OEA393233 NUE393233 NKI393233 NAM393233 MQQ393233 MGU393233 LWY393233 LNC393233 LDG393233 KTK393233 KJO393233 JZS393233 JPW393233 JGA393233 IWE393233 IMI393233 ICM393233 HSQ393233 HIU393233 GYY393233 GPC393233 GFG393233 FVK393233 FLO393233 FBS393233 ERW393233 EIA393233 DYE393233 DOI393233 DEM393233 CUQ393233 CKU393233 CAY393233 BRC393233 BHG393233 AXK393233 ANO393233 ADS393233 TW393233 KA393233 AE393233 WWM327697 WMQ327697 WCU327697 VSY327697 VJC327697 UZG327697 UPK327697 UFO327697 TVS327697 TLW327697 TCA327697 SSE327697 SII327697 RYM327697 ROQ327697 REU327697 QUY327697 QLC327697 QBG327697 PRK327697 PHO327697 OXS327697 ONW327697 OEA327697 NUE327697 NKI327697 NAM327697 MQQ327697 MGU327697 LWY327697 LNC327697 LDG327697 KTK327697 KJO327697 JZS327697 JPW327697 JGA327697 IWE327697 IMI327697 ICM327697 HSQ327697 HIU327697 GYY327697 GPC327697 GFG327697 FVK327697 FLO327697 FBS327697 ERW327697 EIA327697 DYE327697 DOI327697 DEM327697 CUQ327697 CKU327697 CAY327697 BRC327697 BHG327697 AXK327697 ANO327697 ADS327697 TW327697 KA327697 AE327697 WWM262161 WMQ262161 WCU262161 VSY262161 VJC262161 UZG262161 UPK262161 UFO262161 TVS262161 TLW262161 TCA262161 SSE262161 SII262161 RYM262161 ROQ262161 REU262161 QUY262161 QLC262161 QBG262161 PRK262161 PHO262161 OXS262161 ONW262161 OEA262161 NUE262161 NKI262161 NAM262161 MQQ262161 MGU262161 LWY262161 LNC262161 LDG262161 KTK262161 KJO262161 JZS262161 JPW262161 JGA262161 IWE262161 IMI262161 ICM262161 HSQ262161 HIU262161 GYY262161 GPC262161 GFG262161 FVK262161 FLO262161 FBS262161 ERW262161 EIA262161 DYE262161 DOI262161 DEM262161 CUQ262161 CKU262161 CAY262161 BRC262161 BHG262161 AXK262161 ANO262161 ADS262161 TW262161 KA262161 AE262161 WWM196625 WMQ196625 WCU196625 VSY196625 VJC196625 UZG196625 UPK196625 UFO196625 TVS196625 TLW196625 TCA196625 SSE196625 SII196625 RYM196625 ROQ196625 REU196625 QUY196625 QLC196625 QBG196625 PRK196625 PHO196625 OXS196625 ONW196625 OEA196625 NUE196625 NKI196625 NAM196625 MQQ196625 MGU196625 LWY196625 LNC196625 LDG196625 KTK196625 KJO196625 JZS196625 JPW196625 JGA196625 IWE196625 IMI196625 ICM196625 HSQ196625 HIU196625 GYY196625 GPC196625 GFG196625 FVK196625 FLO196625 FBS196625 ERW196625 EIA196625 DYE196625 DOI196625 DEM196625 CUQ196625 CKU196625 CAY196625 BRC196625 BHG196625 AXK196625 ANO196625 ADS196625 TW196625 KA196625 AE196625 WWM131089 WMQ131089 WCU131089 VSY131089 VJC131089 UZG131089 UPK131089 UFO131089 TVS131089 TLW131089 TCA131089 SSE131089 SII131089 RYM131089 ROQ131089 REU131089 QUY131089 QLC131089 QBG131089 PRK131089 PHO131089 OXS131089 ONW131089 OEA131089 NUE131089 NKI131089 NAM131089 MQQ131089 MGU131089 LWY131089 LNC131089 LDG131089 KTK131089 KJO131089 JZS131089 JPW131089 JGA131089 IWE131089 IMI131089 ICM131089 HSQ131089 HIU131089 GYY131089 GPC131089 GFG131089 FVK131089 FLO131089 FBS131089 ERW131089 EIA131089 DYE131089 DOI131089 DEM131089 CUQ131089 CKU131089 CAY131089 BRC131089 BHG131089 AXK131089 ANO131089 ADS131089 TW131089 KA131089 AE131089 WWM65553 WMQ65553 WCU65553 VSY65553 VJC65553 UZG65553 UPK65553 UFO65553 TVS65553 TLW65553 TCA65553 SSE65553 SII65553 RYM65553 ROQ65553 REU65553 QUY65553 QLC65553 QBG65553 PRK65553 PHO65553 OXS65553 ONW65553 OEA65553 NUE65553 NKI65553 NAM65553 MQQ65553 MGU65553 LWY65553 LNC65553 LDG65553 KTK65553 KJO65553 JZS65553 JPW65553 JGA65553 IWE65553 IMI65553 ICM65553 HSQ65553 HIU65553 GYY65553 GPC65553 GFG65553 FVK65553 FLO65553 FBS65553 ERW65553 EIA65553 DYE65553 DOI65553 DEM65553 CUQ65553 CKU65553 CAY65553 BRC65553 BHG65553 AXK65553 ANO65553 ADS65553 TW65553 KA65553 AE65553 WWM16 WMQ16 WCU16 VSY16 VJC16 UZG16 UPK16 UFO16 TVS16 TLW16 TCA16 SSE16 SII16 RYM16 ROQ16 REU16 QUY16 QLC16 QBG16 PRK16 PHO16 OXS16 ONW16 OEA16 NUE16 NKI16 NAM16 MQQ16 MGU16 LWY16 LNC16 LDG16 KTK16 KJO16 JZS16 JPW16 JGA16 IWE16 IMI16 ICM16 HSQ16 HIU16 GYY16 GPC16 GFG16 FVK16 FLO16 FBS16 ERW16 EIA16 DYE16 DOI16 DEM16 CUQ16 CKU16 CAY16 BRC16 BHG16 AXK16 ANO16 ADS16 TW16 KA16">
      <formula1>$B$30:$B$32</formula1>
    </dataValidation>
    <dataValidation type="list" allowBlank="1" showInputMessage="1" showErrorMessage="1" sqref="WWN983057:WWN983060 AF65553:AF65556 KB65553:KB65556 TX65553:TX65556 ADT65553:ADT65556 ANP65553:ANP65556 AXL65553:AXL65556 BHH65553:BHH65556 BRD65553:BRD65556 CAZ65553:CAZ65556 CKV65553:CKV65556 CUR65553:CUR65556 DEN65553:DEN65556 DOJ65553:DOJ65556 DYF65553:DYF65556 EIB65553:EIB65556 ERX65553:ERX65556 FBT65553:FBT65556 FLP65553:FLP65556 FVL65553:FVL65556 GFH65553:GFH65556 GPD65553:GPD65556 GYZ65553:GYZ65556 HIV65553:HIV65556 HSR65553:HSR65556 ICN65553:ICN65556 IMJ65553:IMJ65556 IWF65553:IWF65556 JGB65553:JGB65556 JPX65553:JPX65556 JZT65553:JZT65556 KJP65553:KJP65556 KTL65553:KTL65556 LDH65553:LDH65556 LND65553:LND65556 LWZ65553:LWZ65556 MGV65553:MGV65556 MQR65553:MQR65556 NAN65553:NAN65556 NKJ65553:NKJ65556 NUF65553:NUF65556 OEB65553:OEB65556 ONX65553:ONX65556 OXT65553:OXT65556 PHP65553:PHP65556 PRL65553:PRL65556 QBH65553:QBH65556 QLD65553:QLD65556 QUZ65553:QUZ65556 REV65553:REV65556 ROR65553:ROR65556 RYN65553:RYN65556 SIJ65553:SIJ65556 SSF65553:SSF65556 TCB65553:TCB65556 TLX65553:TLX65556 TVT65553:TVT65556 UFP65553:UFP65556 UPL65553:UPL65556 UZH65553:UZH65556 VJD65553:VJD65556 VSZ65553:VSZ65556 WCV65553:WCV65556 WMR65553:WMR65556 WWN65553:WWN65556 AF131089:AF131092 KB131089:KB131092 TX131089:TX131092 ADT131089:ADT131092 ANP131089:ANP131092 AXL131089:AXL131092 BHH131089:BHH131092 BRD131089:BRD131092 CAZ131089:CAZ131092 CKV131089:CKV131092 CUR131089:CUR131092 DEN131089:DEN131092 DOJ131089:DOJ131092 DYF131089:DYF131092 EIB131089:EIB131092 ERX131089:ERX131092 FBT131089:FBT131092 FLP131089:FLP131092 FVL131089:FVL131092 GFH131089:GFH131092 GPD131089:GPD131092 GYZ131089:GYZ131092 HIV131089:HIV131092 HSR131089:HSR131092 ICN131089:ICN131092 IMJ131089:IMJ131092 IWF131089:IWF131092 JGB131089:JGB131092 JPX131089:JPX131092 JZT131089:JZT131092 KJP131089:KJP131092 KTL131089:KTL131092 LDH131089:LDH131092 LND131089:LND131092 LWZ131089:LWZ131092 MGV131089:MGV131092 MQR131089:MQR131092 NAN131089:NAN131092 NKJ131089:NKJ131092 NUF131089:NUF131092 OEB131089:OEB131092 ONX131089:ONX131092 OXT131089:OXT131092 PHP131089:PHP131092 PRL131089:PRL131092 QBH131089:QBH131092 QLD131089:QLD131092 QUZ131089:QUZ131092 REV131089:REV131092 ROR131089:ROR131092 RYN131089:RYN131092 SIJ131089:SIJ131092 SSF131089:SSF131092 TCB131089:TCB131092 TLX131089:TLX131092 TVT131089:TVT131092 UFP131089:UFP131092 UPL131089:UPL131092 UZH131089:UZH131092 VJD131089:VJD131092 VSZ131089:VSZ131092 WCV131089:WCV131092 WMR131089:WMR131092 WWN131089:WWN131092 AF196625:AF196628 KB196625:KB196628 TX196625:TX196628 ADT196625:ADT196628 ANP196625:ANP196628 AXL196625:AXL196628 BHH196625:BHH196628 BRD196625:BRD196628 CAZ196625:CAZ196628 CKV196625:CKV196628 CUR196625:CUR196628 DEN196625:DEN196628 DOJ196625:DOJ196628 DYF196625:DYF196628 EIB196625:EIB196628 ERX196625:ERX196628 FBT196625:FBT196628 FLP196625:FLP196628 FVL196625:FVL196628 GFH196625:GFH196628 GPD196625:GPD196628 GYZ196625:GYZ196628 HIV196625:HIV196628 HSR196625:HSR196628 ICN196625:ICN196628 IMJ196625:IMJ196628 IWF196625:IWF196628 JGB196625:JGB196628 JPX196625:JPX196628 JZT196625:JZT196628 KJP196625:KJP196628 KTL196625:KTL196628 LDH196625:LDH196628 LND196625:LND196628 LWZ196625:LWZ196628 MGV196625:MGV196628 MQR196625:MQR196628 NAN196625:NAN196628 NKJ196625:NKJ196628 NUF196625:NUF196628 OEB196625:OEB196628 ONX196625:ONX196628 OXT196625:OXT196628 PHP196625:PHP196628 PRL196625:PRL196628 QBH196625:QBH196628 QLD196625:QLD196628 QUZ196625:QUZ196628 REV196625:REV196628 ROR196625:ROR196628 RYN196625:RYN196628 SIJ196625:SIJ196628 SSF196625:SSF196628 TCB196625:TCB196628 TLX196625:TLX196628 TVT196625:TVT196628 UFP196625:UFP196628 UPL196625:UPL196628 UZH196625:UZH196628 VJD196625:VJD196628 VSZ196625:VSZ196628 WCV196625:WCV196628 WMR196625:WMR196628 WWN196625:WWN196628 AF262161:AF262164 KB262161:KB262164 TX262161:TX262164 ADT262161:ADT262164 ANP262161:ANP262164 AXL262161:AXL262164 BHH262161:BHH262164 BRD262161:BRD262164 CAZ262161:CAZ262164 CKV262161:CKV262164 CUR262161:CUR262164 DEN262161:DEN262164 DOJ262161:DOJ262164 DYF262161:DYF262164 EIB262161:EIB262164 ERX262161:ERX262164 FBT262161:FBT262164 FLP262161:FLP262164 FVL262161:FVL262164 GFH262161:GFH262164 GPD262161:GPD262164 GYZ262161:GYZ262164 HIV262161:HIV262164 HSR262161:HSR262164 ICN262161:ICN262164 IMJ262161:IMJ262164 IWF262161:IWF262164 JGB262161:JGB262164 JPX262161:JPX262164 JZT262161:JZT262164 KJP262161:KJP262164 KTL262161:KTL262164 LDH262161:LDH262164 LND262161:LND262164 LWZ262161:LWZ262164 MGV262161:MGV262164 MQR262161:MQR262164 NAN262161:NAN262164 NKJ262161:NKJ262164 NUF262161:NUF262164 OEB262161:OEB262164 ONX262161:ONX262164 OXT262161:OXT262164 PHP262161:PHP262164 PRL262161:PRL262164 QBH262161:QBH262164 QLD262161:QLD262164 QUZ262161:QUZ262164 REV262161:REV262164 ROR262161:ROR262164 RYN262161:RYN262164 SIJ262161:SIJ262164 SSF262161:SSF262164 TCB262161:TCB262164 TLX262161:TLX262164 TVT262161:TVT262164 UFP262161:UFP262164 UPL262161:UPL262164 UZH262161:UZH262164 VJD262161:VJD262164 VSZ262161:VSZ262164 WCV262161:WCV262164 WMR262161:WMR262164 WWN262161:WWN262164 AF327697:AF327700 KB327697:KB327700 TX327697:TX327700 ADT327697:ADT327700 ANP327697:ANP327700 AXL327697:AXL327700 BHH327697:BHH327700 BRD327697:BRD327700 CAZ327697:CAZ327700 CKV327697:CKV327700 CUR327697:CUR327700 DEN327697:DEN327700 DOJ327697:DOJ327700 DYF327697:DYF327700 EIB327697:EIB327700 ERX327697:ERX327700 FBT327697:FBT327700 FLP327697:FLP327700 FVL327697:FVL327700 GFH327697:GFH327700 GPD327697:GPD327700 GYZ327697:GYZ327700 HIV327697:HIV327700 HSR327697:HSR327700 ICN327697:ICN327700 IMJ327697:IMJ327700 IWF327697:IWF327700 JGB327697:JGB327700 JPX327697:JPX327700 JZT327697:JZT327700 KJP327697:KJP327700 KTL327697:KTL327700 LDH327697:LDH327700 LND327697:LND327700 LWZ327697:LWZ327700 MGV327697:MGV327700 MQR327697:MQR327700 NAN327697:NAN327700 NKJ327697:NKJ327700 NUF327697:NUF327700 OEB327697:OEB327700 ONX327697:ONX327700 OXT327697:OXT327700 PHP327697:PHP327700 PRL327697:PRL327700 QBH327697:QBH327700 QLD327697:QLD327700 QUZ327697:QUZ327700 REV327697:REV327700 ROR327697:ROR327700 RYN327697:RYN327700 SIJ327697:SIJ327700 SSF327697:SSF327700 TCB327697:TCB327700 TLX327697:TLX327700 TVT327697:TVT327700 UFP327697:UFP327700 UPL327697:UPL327700 UZH327697:UZH327700 VJD327697:VJD327700 VSZ327697:VSZ327700 WCV327697:WCV327700 WMR327697:WMR327700 WWN327697:WWN327700 AF393233:AF393236 KB393233:KB393236 TX393233:TX393236 ADT393233:ADT393236 ANP393233:ANP393236 AXL393233:AXL393236 BHH393233:BHH393236 BRD393233:BRD393236 CAZ393233:CAZ393236 CKV393233:CKV393236 CUR393233:CUR393236 DEN393233:DEN393236 DOJ393233:DOJ393236 DYF393233:DYF393236 EIB393233:EIB393236 ERX393233:ERX393236 FBT393233:FBT393236 FLP393233:FLP393236 FVL393233:FVL393236 GFH393233:GFH393236 GPD393233:GPD393236 GYZ393233:GYZ393236 HIV393233:HIV393236 HSR393233:HSR393236 ICN393233:ICN393236 IMJ393233:IMJ393236 IWF393233:IWF393236 JGB393233:JGB393236 JPX393233:JPX393236 JZT393233:JZT393236 KJP393233:KJP393236 KTL393233:KTL393236 LDH393233:LDH393236 LND393233:LND393236 LWZ393233:LWZ393236 MGV393233:MGV393236 MQR393233:MQR393236 NAN393233:NAN393236 NKJ393233:NKJ393236 NUF393233:NUF393236 OEB393233:OEB393236 ONX393233:ONX393236 OXT393233:OXT393236 PHP393233:PHP393236 PRL393233:PRL393236 QBH393233:QBH393236 QLD393233:QLD393236 QUZ393233:QUZ393236 REV393233:REV393236 ROR393233:ROR393236 RYN393233:RYN393236 SIJ393233:SIJ393236 SSF393233:SSF393236 TCB393233:TCB393236 TLX393233:TLX393236 TVT393233:TVT393236 UFP393233:UFP393236 UPL393233:UPL393236 UZH393233:UZH393236 VJD393233:VJD393236 VSZ393233:VSZ393236 WCV393233:WCV393236 WMR393233:WMR393236 WWN393233:WWN393236 AF458769:AF458772 KB458769:KB458772 TX458769:TX458772 ADT458769:ADT458772 ANP458769:ANP458772 AXL458769:AXL458772 BHH458769:BHH458772 BRD458769:BRD458772 CAZ458769:CAZ458772 CKV458769:CKV458772 CUR458769:CUR458772 DEN458769:DEN458772 DOJ458769:DOJ458772 DYF458769:DYF458772 EIB458769:EIB458772 ERX458769:ERX458772 FBT458769:FBT458772 FLP458769:FLP458772 FVL458769:FVL458772 GFH458769:GFH458772 GPD458769:GPD458772 GYZ458769:GYZ458772 HIV458769:HIV458772 HSR458769:HSR458772 ICN458769:ICN458772 IMJ458769:IMJ458772 IWF458769:IWF458772 JGB458769:JGB458772 JPX458769:JPX458772 JZT458769:JZT458772 KJP458769:KJP458772 KTL458769:KTL458772 LDH458769:LDH458772 LND458769:LND458772 LWZ458769:LWZ458772 MGV458769:MGV458772 MQR458769:MQR458772 NAN458769:NAN458772 NKJ458769:NKJ458772 NUF458769:NUF458772 OEB458769:OEB458772 ONX458769:ONX458772 OXT458769:OXT458772 PHP458769:PHP458772 PRL458769:PRL458772 QBH458769:QBH458772 QLD458769:QLD458772 QUZ458769:QUZ458772 REV458769:REV458772 ROR458769:ROR458772 RYN458769:RYN458772 SIJ458769:SIJ458772 SSF458769:SSF458772 TCB458769:TCB458772 TLX458769:TLX458772 TVT458769:TVT458772 UFP458769:UFP458772 UPL458769:UPL458772 UZH458769:UZH458772 VJD458769:VJD458772 VSZ458769:VSZ458772 WCV458769:WCV458772 WMR458769:WMR458772 WWN458769:WWN458772 AF524305:AF524308 KB524305:KB524308 TX524305:TX524308 ADT524305:ADT524308 ANP524305:ANP524308 AXL524305:AXL524308 BHH524305:BHH524308 BRD524305:BRD524308 CAZ524305:CAZ524308 CKV524305:CKV524308 CUR524305:CUR524308 DEN524305:DEN524308 DOJ524305:DOJ524308 DYF524305:DYF524308 EIB524305:EIB524308 ERX524305:ERX524308 FBT524305:FBT524308 FLP524305:FLP524308 FVL524305:FVL524308 GFH524305:GFH524308 GPD524305:GPD524308 GYZ524305:GYZ524308 HIV524305:HIV524308 HSR524305:HSR524308 ICN524305:ICN524308 IMJ524305:IMJ524308 IWF524305:IWF524308 JGB524305:JGB524308 JPX524305:JPX524308 JZT524305:JZT524308 KJP524305:KJP524308 KTL524305:KTL524308 LDH524305:LDH524308 LND524305:LND524308 LWZ524305:LWZ524308 MGV524305:MGV524308 MQR524305:MQR524308 NAN524305:NAN524308 NKJ524305:NKJ524308 NUF524305:NUF524308 OEB524305:OEB524308 ONX524305:ONX524308 OXT524305:OXT524308 PHP524305:PHP524308 PRL524305:PRL524308 QBH524305:QBH524308 QLD524305:QLD524308 QUZ524305:QUZ524308 REV524305:REV524308 ROR524305:ROR524308 RYN524305:RYN524308 SIJ524305:SIJ524308 SSF524305:SSF524308 TCB524305:TCB524308 TLX524305:TLX524308 TVT524305:TVT524308 UFP524305:UFP524308 UPL524305:UPL524308 UZH524305:UZH524308 VJD524305:VJD524308 VSZ524305:VSZ524308 WCV524305:WCV524308 WMR524305:WMR524308 WWN524305:WWN524308 AF589841:AF589844 KB589841:KB589844 TX589841:TX589844 ADT589841:ADT589844 ANP589841:ANP589844 AXL589841:AXL589844 BHH589841:BHH589844 BRD589841:BRD589844 CAZ589841:CAZ589844 CKV589841:CKV589844 CUR589841:CUR589844 DEN589841:DEN589844 DOJ589841:DOJ589844 DYF589841:DYF589844 EIB589841:EIB589844 ERX589841:ERX589844 FBT589841:FBT589844 FLP589841:FLP589844 FVL589841:FVL589844 GFH589841:GFH589844 GPD589841:GPD589844 GYZ589841:GYZ589844 HIV589841:HIV589844 HSR589841:HSR589844 ICN589841:ICN589844 IMJ589841:IMJ589844 IWF589841:IWF589844 JGB589841:JGB589844 JPX589841:JPX589844 JZT589841:JZT589844 KJP589841:KJP589844 KTL589841:KTL589844 LDH589841:LDH589844 LND589841:LND589844 LWZ589841:LWZ589844 MGV589841:MGV589844 MQR589841:MQR589844 NAN589841:NAN589844 NKJ589841:NKJ589844 NUF589841:NUF589844 OEB589841:OEB589844 ONX589841:ONX589844 OXT589841:OXT589844 PHP589841:PHP589844 PRL589841:PRL589844 QBH589841:QBH589844 QLD589841:QLD589844 QUZ589841:QUZ589844 REV589841:REV589844 ROR589841:ROR589844 RYN589841:RYN589844 SIJ589841:SIJ589844 SSF589841:SSF589844 TCB589841:TCB589844 TLX589841:TLX589844 TVT589841:TVT589844 UFP589841:UFP589844 UPL589841:UPL589844 UZH589841:UZH589844 VJD589841:VJD589844 VSZ589841:VSZ589844 WCV589841:WCV589844 WMR589841:WMR589844 WWN589841:WWN589844 AF655377:AF655380 KB655377:KB655380 TX655377:TX655380 ADT655377:ADT655380 ANP655377:ANP655380 AXL655377:AXL655380 BHH655377:BHH655380 BRD655377:BRD655380 CAZ655377:CAZ655380 CKV655377:CKV655380 CUR655377:CUR655380 DEN655377:DEN655380 DOJ655377:DOJ655380 DYF655377:DYF655380 EIB655377:EIB655380 ERX655377:ERX655380 FBT655377:FBT655380 FLP655377:FLP655380 FVL655377:FVL655380 GFH655377:GFH655380 GPD655377:GPD655380 GYZ655377:GYZ655380 HIV655377:HIV655380 HSR655377:HSR655380 ICN655377:ICN655380 IMJ655377:IMJ655380 IWF655377:IWF655380 JGB655377:JGB655380 JPX655377:JPX655380 JZT655377:JZT655380 KJP655377:KJP655380 KTL655377:KTL655380 LDH655377:LDH655380 LND655377:LND655380 LWZ655377:LWZ655380 MGV655377:MGV655380 MQR655377:MQR655380 NAN655377:NAN655380 NKJ655377:NKJ655380 NUF655377:NUF655380 OEB655377:OEB655380 ONX655377:ONX655380 OXT655377:OXT655380 PHP655377:PHP655380 PRL655377:PRL655380 QBH655377:QBH655380 QLD655377:QLD655380 QUZ655377:QUZ655380 REV655377:REV655380 ROR655377:ROR655380 RYN655377:RYN655380 SIJ655377:SIJ655380 SSF655377:SSF655380 TCB655377:TCB655380 TLX655377:TLX655380 TVT655377:TVT655380 UFP655377:UFP655380 UPL655377:UPL655380 UZH655377:UZH655380 VJD655377:VJD655380 VSZ655377:VSZ655380 WCV655377:WCV655380 WMR655377:WMR655380 WWN655377:WWN655380 AF720913:AF720916 KB720913:KB720916 TX720913:TX720916 ADT720913:ADT720916 ANP720913:ANP720916 AXL720913:AXL720916 BHH720913:BHH720916 BRD720913:BRD720916 CAZ720913:CAZ720916 CKV720913:CKV720916 CUR720913:CUR720916 DEN720913:DEN720916 DOJ720913:DOJ720916 DYF720913:DYF720916 EIB720913:EIB720916 ERX720913:ERX720916 FBT720913:FBT720916 FLP720913:FLP720916 FVL720913:FVL720916 GFH720913:GFH720916 GPD720913:GPD720916 GYZ720913:GYZ720916 HIV720913:HIV720916 HSR720913:HSR720916 ICN720913:ICN720916 IMJ720913:IMJ720916 IWF720913:IWF720916 JGB720913:JGB720916 JPX720913:JPX720916 JZT720913:JZT720916 KJP720913:KJP720916 KTL720913:KTL720916 LDH720913:LDH720916 LND720913:LND720916 LWZ720913:LWZ720916 MGV720913:MGV720916 MQR720913:MQR720916 NAN720913:NAN720916 NKJ720913:NKJ720916 NUF720913:NUF720916 OEB720913:OEB720916 ONX720913:ONX720916 OXT720913:OXT720916 PHP720913:PHP720916 PRL720913:PRL720916 QBH720913:QBH720916 QLD720913:QLD720916 QUZ720913:QUZ720916 REV720913:REV720916 ROR720913:ROR720916 RYN720913:RYN720916 SIJ720913:SIJ720916 SSF720913:SSF720916 TCB720913:TCB720916 TLX720913:TLX720916 TVT720913:TVT720916 UFP720913:UFP720916 UPL720913:UPL720916 UZH720913:UZH720916 VJD720913:VJD720916 VSZ720913:VSZ720916 WCV720913:WCV720916 WMR720913:WMR720916 WWN720913:WWN720916 AF786449:AF786452 KB786449:KB786452 TX786449:TX786452 ADT786449:ADT786452 ANP786449:ANP786452 AXL786449:AXL786452 BHH786449:BHH786452 BRD786449:BRD786452 CAZ786449:CAZ786452 CKV786449:CKV786452 CUR786449:CUR786452 DEN786449:DEN786452 DOJ786449:DOJ786452 DYF786449:DYF786452 EIB786449:EIB786452 ERX786449:ERX786452 FBT786449:FBT786452 FLP786449:FLP786452 FVL786449:FVL786452 GFH786449:GFH786452 GPD786449:GPD786452 GYZ786449:GYZ786452 HIV786449:HIV786452 HSR786449:HSR786452 ICN786449:ICN786452 IMJ786449:IMJ786452 IWF786449:IWF786452 JGB786449:JGB786452 JPX786449:JPX786452 JZT786449:JZT786452 KJP786449:KJP786452 KTL786449:KTL786452 LDH786449:LDH786452 LND786449:LND786452 LWZ786449:LWZ786452 MGV786449:MGV786452 MQR786449:MQR786452 NAN786449:NAN786452 NKJ786449:NKJ786452 NUF786449:NUF786452 OEB786449:OEB786452 ONX786449:ONX786452 OXT786449:OXT786452 PHP786449:PHP786452 PRL786449:PRL786452 QBH786449:QBH786452 QLD786449:QLD786452 QUZ786449:QUZ786452 REV786449:REV786452 ROR786449:ROR786452 RYN786449:RYN786452 SIJ786449:SIJ786452 SSF786449:SSF786452 TCB786449:TCB786452 TLX786449:TLX786452 TVT786449:TVT786452 UFP786449:UFP786452 UPL786449:UPL786452 UZH786449:UZH786452 VJD786449:VJD786452 VSZ786449:VSZ786452 WCV786449:WCV786452 WMR786449:WMR786452 WWN786449:WWN786452 AF851985:AF851988 KB851985:KB851988 TX851985:TX851988 ADT851985:ADT851988 ANP851985:ANP851988 AXL851985:AXL851988 BHH851985:BHH851988 BRD851985:BRD851988 CAZ851985:CAZ851988 CKV851985:CKV851988 CUR851985:CUR851988 DEN851985:DEN851988 DOJ851985:DOJ851988 DYF851985:DYF851988 EIB851985:EIB851988 ERX851985:ERX851988 FBT851985:FBT851988 FLP851985:FLP851988 FVL851985:FVL851988 GFH851985:GFH851988 GPD851985:GPD851988 GYZ851985:GYZ851988 HIV851985:HIV851988 HSR851985:HSR851988 ICN851985:ICN851988 IMJ851985:IMJ851988 IWF851985:IWF851988 JGB851985:JGB851988 JPX851985:JPX851988 JZT851985:JZT851988 KJP851985:KJP851988 KTL851985:KTL851988 LDH851985:LDH851988 LND851985:LND851988 LWZ851985:LWZ851988 MGV851985:MGV851988 MQR851985:MQR851988 NAN851985:NAN851988 NKJ851985:NKJ851988 NUF851985:NUF851988 OEB851985:OEB851988 ONX851985:ONX851988 OXT851985:OXT851988 PHP851985:PHP851988 PRL851985:PRL851988 QBH851985:QBH851988 QLD851985:QLD851988 QUZ851985:QUZ851988 REV851985:REV851988 ROR851985:ROR851988 RYN851985:RYN851988 SIJ851985:SIJ851988 SSF851985:SSF851988 TCB851985:TCB851988 TLX851985:TLX851988 TVT851985:TVT851988 UFP851985:UFP851988 UPL851985:UPL851988 UZH851985:UZH851988 VJD851985:VJD851988 VSZ851985:VSZ851988 WCV851985:WCV851988 WMR851985:WMR851988 WWN851985:WWN851988 AF917521:AF917524 KB917521:KB917524 TX917521:TX917524 ADT917521:ADT917524 ANP917521:ANP917524 AXL917521:AXL917524 BHH917521:BHH917524 BRD917521:BRD917524 CAZ917521:CAZ917524 CKV917521:CKV917524 CUR917521:CUR917524 DEN917521:DEN917524 DOJ917521:DOJ917524 DYF917521:DYF917524 EIB917521:EIB917524 ERX917521:ERX917524 FBT917521:FBT917524 FLP917521:FLP917524 FVL917521:FVL917524 GFH917521:GFH917524 GPD917521:GPD917524 GYZ917521:GYZ917524 HIV917521:HIV917524 HSR917521:HSR917524 ICN917521:ICN917524 IMJ917521:IMJ917524 IWF917521:IWF917524 JGB917521:JGB917524 JPX917521:JPX917524 JZT917521:JZT917524 KJP917521:KJP917524 KTL917521:KTL917524 LDH917521:LDH917524 LND917521:LND917524 LWZ917521:LWZ917524 MGV917521:MGV917524 MQR917521:MQR917524 NAN917521:NAN917524 NKJ917521:NKJ917524 NUF917521:NUF917524 OEB917521:OEB917524 ONX917521:ONX917524 OXT917521:OXT917524 PHP917521:PHP917524 PRL917521:PRL917524 QBH917521:QBH917524 QLD917521:QLD917524 QUZ917521:QUZ917524 REV917521:REV917524 ROR917521:ROR917524 RYN917521:RYN917524 SIJ917521:SIJ917524 SSF917521:SSF917524 TCB917521:TCB917524 TLX917521:TLX917524 TVT917521:TVT917524 UFP917521:UFP917524 UPL917521:UPL917524 UZH917521:UZH917524 VJD917521:VJD917524 VSZ917521:VSZ917524 WCV917521:WCV917524 WMR917521:WMR917524 WWN917521:WWN917524 AF983057:AF983060 KB983057:KB983060 TX983057:TX983060 ADT983057:ADT983060 ANP983057:ANP983060 AXL983057:AXL983060 BHH983057:BHH983060 BRD983057:BRD983060 CAZ983057:CAZ983060 CKV983057:CKV983060 CUR983057:CUR983060 DEN983057:DEN983060 DOJ983057:DOJ983060 DYF983057:DYF983060 EIB983057:EIB983060 ERX983057:ERX983060 FBT983057:FBT983060 FLP983057:FLP983060 FVL983057:FVL983060 GFH983057:GFH983060 GPD983057:GPD983060 GYZ983057:GYZ983060 HIV983057:HIV983060 HSR983057:HSR983060 ICN983057:ICN983060 IMJ983057:IMJ983060 IWF983057:IWF983060 JGB983057:JGB983060 JPX983057:JPX983060 JZT983057:JZT983060 KJP983057:KJP983060 KTL983057:KTL983060 LDH983057:LDH983060 LND983057:LND983060 LWZ983057:LWZ983060 MGV983057:MGV983060 MQR983057:MQR983060 NAN983057:NAN983060 NKJ983057:NKJ983060 NUF983057:NUF983060 OEB983057:OEB983060 ONX983057:ONX983060 OXT983057:OXT983060 PHP983057:PHP983060 PRL983057:PRL983060 QBH983057:QBH983060 QLD983057:QLD983060 QUZ983057:QUZ983060 REV983057:REV983060 ROR983057:ROR983060 RYN983057:RYN983060 SIJ983057:SIJ983060 SSF983057:SSF983060 TCB983057:TCB983060 TLX983057:TLX983060 TVT983057:TVT983060 UFP983057:UFP983060 UPL983057:UPL983060 UZH983057:UZH983060 VJD983057:VJD983060 VSZ983057:VSZ983060 WCV983057:WCV983060 WMR983057:WMR983060 WWN8:WWN20 WMR8:WMR20 WCV8:WCV20 VSZ8:VSZ20 VJD8:VJD20 UZH8:UZH20 UPL8:UPL20 UFP8:UFP20 TVT8:TVT20 TLX8:TLX20 TCB8:TCB20 SSF8:SSF20 SIJ8:SIJ20 RYN8:RYN20 ROR8:ROR20 REV8:REV20 QUZ8:QUZ20 QLD8:QLD20 QBH8:QBH20 PRL8:PRL20 PHP8:PHP20 OXT8:OXT20 ONX8:ONX20 OEB8:OEB20 NUF8:NUF20 NKJ8:NKJ20 NAN8:NAN20 MQR8:MQR20 MGV8:MGV20 LWZ8:LWZ20 LND8:LND20 LDH8:LDH20 KTL8:KTL20 KJP8:KJP20 JZT8:JZT20 JPX8:JPX20 JGB8:JGB20 IWF8:IWF20 IMJ8:IMJ20 ICN8:ICN20 HSR8:HSR20 HIV8:HIV20 GYZ8:GYZ20 GPD8:GPD20 GFH8:GFH20 FVL8:FVL20 FLP8:FLP20 FBT8:FBT20 ERX8:ERX20 EIB8:EIB20 DYF8:DYF20 DOJ8:DOJ20 DEN8:DEN20 CUR8:CUR20 CKV8:CKV20 CAZ8:CAZ20 BRD8:BRD20 BHH8:BHH20 AXL8:AXL20 ANP8:ANP20 ADT8:ADT20 TX8:TX20 KB8:KB20 AF8:AF20">
      <formula1>$AJ$1:$AJ$4</formula1>
    </dataValidation>
    <dataValidation type="list" allowBlank="1" showInputMessage="1" showErrorMessage="1" sqref="I16 WVQ983057 WLU983057 WBY983057 VSC983057 VIG983057 UYK983057 UOO983057 UES983057 TUW983057 TLA983057 TBE983057 SRI983057 SHM983057 RXQ983057 RNU983057 RDY983057 QUC983057 QKG983057 QAK983057 PQO983057 PGS983057 OWW983057 ONA983057 ODE983057 NTI983057 NJM983057 MZQ983057 MPU983057 MFY983057 LWC983057 LMG983057 LCK983057 KSO983057 KIS983057 JYW983057 JPA983057 JFE983057 IVI983057 ILM983057 IBQ983057 HRU983057 HHY983057 GYC983057 GOG983057 GEK983057 FUO983057 FKS983057 FAW983057 ERA983057 EHE983057 DXI983057 DNM983057 DDQ983057 CTU983057 CJY983057 CAC983057 BQG983057 BGK983057 AWO983057 AMS983057 ACW983057 TA983057 JE983057 I983057 WVQ917521 WLU917521 WBY917521 VSC917521 VIG917521 UYK917521 UOO917521 UES917521 TUW917521 TLA917521 TBE917521 SRI917521 SHM917521 RXQ917521 RNU917521 RDY917521 QUC917521 QKG917521 QAK917521 PQO917521 PGS917521 OWW917521 ONA917521 ODE917521 NTI917521 NJM917521 MZQ917521 MPU917521 MFY917521 LWC917521 LMG917521 LCK917521 KSO917521 KIS917521 JYW917521 JPA917521 JFE917521 IVI917521 ILM917521 IBQ917521 HRU917521 HHY917521 GYC917521 GOG917521 GEK917521 FUO917521 FKS917521 FAW917521 ERA917521 EHE917521 DXI917521 DNM917521 DDQ917521 CTU917521 CJY917521 CAC917521 BQG917521 BGK917521 AWO917521 AMS917521 ACW917521 TA917521 JE917521 I917521 WVQ851985 WLU851985 WBY851985 VSC851985 VIG851985 UYK851985 UOO851985 UES851985 TUW851985 TLA851985 TBE851985 SRI851985 SHM851985 RXQ851985 RNU851985 RDY851985 QUC851985 QKG851985 QAK851985 PQO851985 PGS851985 OWW851985 ONA851985 ODE851985 NTI851985 NJM851985 MZQ851985 MPU851985 MFY851985 LWC851985 LMG851985 LCK851985 KSO851985 KIS851985 JYW851985 JPA851985 JFE851985 IVI851985 ILM851985 IBQ851985 HRU851985 HHY851985 GYC851985 GOG851985 GEK851985 FUO851985 FKS851985 FAW851985 ERA851985 EHE851985 DXI851985 DNM851985 DDQ851985 CTU851985 CJY851985 CAC851985 BQG851985 BGK851985 AWO851985 AMS851985 ACW851985 TA851985 JE851985 I851985 WVQ786449 WLU786449 WBY786449 VSC786449 VIG786449 UYK786449 UOO786449 UES786449 TUW786449 TLA786449 TBE786449 SRI786449 SHM786449 RXQ786449 RNU786449 RDY786449 QUC786449 QKG786449 QAK786449 PQO786449 PGS786449 OWW786449 ONA786449 ODE786449 NTI786449 NJM786449 MZQ786449 MPU786449 MFY786449 LWC786449 LMG786449 LCK786449 KSO786449 KIS786449 JYW786449 JPA786449 JFE786449 IVI786449 ILM786449 IBQ786449 HRU786449 HHY786449 GYC786449 GOG786449 GEK786449 FUO786449 FKS786449 FAW786449 ERA786449 EHE786449 DXI786449 DNM786449 DDQ786449 CTU786449 CJY786449 CAC786449 BQG786449 BGK786449 AWO786449 AMS786449 ACW786449 TA786449 JE786449 I786449 WVQ720913 WLU720913 WBY720913 VSC720913 VIG720913 UYK720913 UOO720913 UES720913 TUW720913 TLA720913 TBE720913 SRI720913 SHM720913 RXQ720913 RNU720913 RDY720913 QUC720913 QKG720913 QAK720913 PQO720913 PGS720913 OWW720913 ONA720913 ODE720913 NTI720913 NJM720913 MZQ720913 MPU720913 MFY720913 LWC720913 LMG720913 LCK720913 KSO720913 KIS720913 JYW720913 JPA720913 JFE720913 IVI720913 ILM720913 IBQ720913 HRU720913 HHY720913 GYC720913 GOG720913 GEK720913 FUO720913 FKS720913 FAW720913 ERA720913 EHE720913 DXI720913 DNM720913 DDQ720913 CTU720913 CJY720913 CAC720913 BQG720913 BGK720913 AWO720913 AMS720913 ACW720913 TA720913 JE720913 I720913 WVQ655377 WLU655377 WBY655377 VSC655377 VIG655377 UYK655377 UOO655377 UES655377 TUW655377 TLA655377 TBE655377 SRI655377 SHM655377 RXQ655377 RNU655377 RDY655377 QUC655377 QKG655377 QAK655377 PQO655377 PGS655377 OWW655377 ONA655377 ODE655377 NTI655377 NJM655377 MZQ655377 MPU655377 MFY655377 LWC655377 LMG655377 LCK655377 KSO655377 KIS655377 JYW655377 JPA655377 JFE655377 IVI655377 ILM655377 IBQ655377 HRU655377 HHY655377 GYC655377 GOG655377 GEK655377 FUO655377 FKS655377 FAW655377 ERA655377 EHE655377 DXI655377 DNM655377 DDQ655377 CTU655377 CJY655377 CAC655377 BQG655377 BGK655377 AWO655377 AMS655377 ACW655377 TA655377 JE655377 I655377 WVQ589841 WLU589841 WBY589841 VSC589841 VIG589841 UYK589841 UOO589841 UES589841 TUW589841 TLA589841 TBE589841 SRI589841 SHM589841 RXQ589841 RNU589841 RDY589841 QUC589841 QKG589841 QAK589841 PQO589841 PGS589841 OWW589841 ONA589841 ODE589841 NTI589841 NJM589841 MZQ589841 MPU589841 MFY589841 LWC589841 LMG589841 LCK589841 KSO589841 KIS589841 JYW589841 JPA589841 JFE589841 IVI589841 ILM589841 IBQ589841 HRU589841 HHY589841 GYC589841 GOG589841 GEK589841 FUO589841 FKS589841 FAW589841 ERA589841 EHE589841 DXI589841 DNM589841 DDQ589841 CTU589841 CJY589841 CAC589841 BQG589841 BGK589841 AWO589841 AMS589841 ACW589841 TA589841 JE589841 I589841 WVQ524305 WLU524305 WBY524305 VSC524305 VIG524305 UYK524305 UOO524305 UES524305 TUW524305 TLA524305 TBE524305 SRI524305 SHM524305 RXQ524305 RNU524305 RDY524305 QUC524305 QKG524305 QAK524305 PQO524305 PGS524305 OWW524305 ONA524305 ODE524305 NTI524305 NJM524305 MZQ524305 MPU524305 MFY524305 LWC524305 LMG524305 LCK524305 KSO524305 KIS524305 JYW524305 JPA524305 JFE524305 IVI524305 ILM524305 IBQ524305 HRU524305 HHY524305 GYC524305 GOG524305 GEK524305 FUO524305 FKS524305 FAW524305 ERA524305 EHE524305 DXI524305 DNM524305 DDQ524305 CTU524305 CJY524305 CAC524305 BQG524305 BGK524305 AWO524305 AMS524305 ACW524305 TA524305 JE524305 I524305 WVQ458769 WLU458769 WBY458769 VSC458769 VIG458769 UYK458769 UOO458769 UES458769 TUW458769 TLA458769 TBE458769 SRI458769 SHM458769 RXQ458769 RNU458769 RDY458769 QUC458769 QKG458769 QAK458769 PQO458769 PGS458769 OWW458769 ONA458769 ODE458769 NTI458769 NJM458769 MZQ458769 MPU458769 MFY458769 LWC458769 LMG458769 LCK458769 KSO458769 KIS458769 JYW458769 JPA458769 JFE458769 IVI458769 ILM458769 IBQ458769 HRU458769 HHY458769 GYC458769 GOG458769 GEK458769 FUO458769 FKS458769 FAW458769 ERA458769 EHE458769 DXI458769 DNM458769 DDQ458769 CTU458769 CJY458769 CAC458769 BQG458769 BGK458769 AWO458769 AMS458769 ACW458769 TA458769 JE458769 I458769 WVQ393233 WLU393233 WBY393233 VSC393233 VIG393233 UYK393233 UOO393233 UES393233 TUW393233 TLA393233 TBE393233 SRI393233 SHM393233 RXQ393233 RNU393233 RDY393233 QUC393233 QKG393233 QAK393233 PQO393233 PGS393233 OWW393233 ONA393233 ODE393233 NTI393233 NJM393233 MZQ393233 MPU393233 MFY393233 LWC393233 LMG393233 LCK393233 KSO393233 KIS393233 JYW393233 JPA393233 JFE393233 IVI393233 ILM393233 IBQ393233 HRU393233 HHY393233 GYC393233 GOG393233 GEK393233 FUO393233 FKS393233 FAW393233 ERA393233 EHE393233 DXI393233 DNM393233 DDQ393233 CTU393233 CJY393233 CAC393233 BQG393233 BGK393233 AWO393233 AMS393233 ACW393233 TA393233 JE393233 I393233 WVQ327697 WLU327697 WBY327697 VSC327697 VIG327697 UYK327697 UOO327697 UES327697 TUW327697 TLA327697 TBE327697 SRI327697 SHM327697 RXQ327697 RNU327697 RDY327697 QUC327697 QKG327697 QAK327697 PQO327697 PGS327697 OWW327697 ONA327697 ODE327697 NTI327697 NJM327697 MZQ327697 MPU327697 MFY327697 LWC327697 LMG327697 LCK327697 KSO327697 KIS327697 JYW327697 JPA327697 JFE327697 IVI327697 ILM327697 IBQ327697 HRU327697 HHY327697 GYC327697 GOG327697 GEK327697 FUO327697 FKS327697 FAW327697 ERA327697 EHE327697 DXI327697 DNM327697 DDQ327697 CTU327697 CJY327697 CAC327697 BQG327697 BGK327697 AWO327697 AMS327697 ACW327697 TA327697 JE327697 I327697 WVQ262161 WLU262161 WBY262161 VSC262161 VIG262161 UYK262161 UOO262161 UES262161 TUW262161 TLA262161 TBE262161 SRI262161 SHM262161 RXQ262161 RNU262161 RDY262161 QUC262161 QKG262161 QAK262161 PQO262161 PGS262161 OWW262161 ONA262161 ODE262161 NTI262161 NJM262161 MZQ262161 MPU262161 MFY262161 LWC262161 LMG262161 LCK262161 KSO262161 KIS262161 JYW262161 JPA262161 JFE262161 IVI262161 ILM262161 IBQ262161 HRU262161 HHY262161 GYC262161 GOG262161 GEK262161 FUO262161 FKS262161 FAW262161 ERA262161 EHE262161 DXI262161 DNM262161 DDQ262161 CTU262161 CJY262161 CAC262161 BQG262161 BGK262161 AWO262161 AMS262161 ACW262161 TA262161 JE262161 I262161 WVQ196625 WLU196625 WBY196625 VSC196625 VIG196625 UYK196625 UOO196625 UES196625 TUW196625 TLA196625 TBE196625 SRI196625 SHM196625 RXQ196625 RNU196625 RDY196625 QUC196625 QKG196625 QAK196625 PQO196625 PGS196625 OWW196625 ONA196625 ODE196625 NTI196625 NJM196625 MZQ196625 MPU196625 MFY196625 LWC196625 LMG196625 LCK196625 KSO196625 KIS196625 JYW196625 JPA196625 JFE196625 IVI196625 ILM196625 IBQ196625 HRU196625 HHY196625 GYC196625 GOG196625 GEK196625 FUO196625 FKS196625 FAW196625 ERA196625 EHE196625 DXI196625 DNM196625 DDQ196625 CTU196625 CJY196625 CAC196625 BQG196625 BGK196625 AWO196625 AMS196625 ACW196625 TA196625 JE196625 I196625 WVQ131089 WLU131089 WBY131089 VSC131089 VIG131089 UYK131089 UOO131089 UES131089 TUW131089 TLA131089 TBE131089 SRI131089 SHM131089 RXQ131089 RNU131089 RDY131089 QUC131089 QKG131089 QAK131089 PQO131089 PGS131089 OWW131089 ONA131089 ODE131089 NTI131089 NJM131089 MZQ131089 MPU131089 MFY131089 LWC131089 LMG131089 LCK131089 KSO131089 KIS131089 JYW131089 JPA131089 JFE131089 IVI131089 ILM131089 IBQ131089 HRU131089 HHY131089 GYC131089 GOG131089 GEK131089 FUO131089 FKS131089 FAW131089 ERA131089 EHE131089 DXI131089 DNM131089 DDQ131089 CTU131089 CJY131089 CAC131089 BQG131089 BGK131089 AWO131089 AMS131089 ACW131089 TA131089 JE131089 I131089 WVQ65553 WLU65553 WBY65553 VSC65553 VIG65553 UYK65553 UOO65553 UES65553 TUW65553 TLA65553 TBE65553 SRI65553 SHM65553 RXQ65553 RNU65553 RDY65553 QUC65553 QKG65553 QAK65553 PQO65553 PGS65553 OWW65553 ONA65553 ODE65553 NTI65553 NJM65553 MZQ65553 MPU65553 MFY65553 LWC65553 LMG65553 LCK65553 KSO65553 KIS65553 JYW65553 JPA65553 JFE65553 IVI65553 ILM65553 IBQ65553 HRU65553 HHY65553 GYC65553 GOG65553 GEK65553 FUO65553 FKS65553 FAW65553 ERA65553 EHE65553 DXI65553 DNM65553 DDQ65553 CTU65553 CJY65553 CAC65553 BQG65553 BGK65553 AWO65553 AMS65553 ACW65553 TA65553 JE65553 I65553 WVQ16 WLU16 WBY16 VSC16 VIG16 UYK16 UOO16 UES16 TUW16 TLA16 TBE16 SRI16 SHM16 RXQ16 RNU16 RDY16 QUC16 QKG16 QAK16 PQO16 PGS16 OWW16 ONA16 ODE16 NTI16 NJM16 MZQ16 MPU16 MFY16 LWC16 LMG16 LCK16 KSO16 KIS16 JYW16 JPA16 JFE16 IVI16 ILM16 IBQ16 HRU16 HHY16 GYC16 GOG16 GEK16 FUO16 FKS16 FAW16 ERA16 EHE16 DXI16 DNM16 DDQ16 CTU16 CJY16 CAC16 BQG16 BGK16 AWO16 AMS16 ACW16 TA16 JE16">
      <formula1>$X$30:$X$31</formula1>
    </dataValidation>
    <dataValidation type="list" allowBlank="1" showInputMessage="1" showErrorMessage="1" sqref="G16 JC16 WVO983057 WLS983057 WBW983057 VSA983057 VIE983057 UYI983057 UOM983057 UEQ983057 TUU983057 TKY983057 TBC983057 SRG983057 SHK983057 RXO983057 RNS983057 RDW983057 QUA983057 QKE983057 QAI983057 PQM983057 PGQ983057 OWU983057 OMY983057 ODC983057 NTG983057 NJK983057 MZO983057 MPS983057 MFW983057 LWA983057 LME983057 LCI983057 KSM983057 KIQ983057 JYU983057 JOY983057 JFC983057 IVG983057 ILK983057 IBO983057 HRS983057 HHW983057 GYA983057 GOE983057 GEI983057 FUM983057 FKQ983057 FAU983057 EQY983057 EHC983057 DXG983057 DNK983057 DDO983057 CTS983057 CJW983057 CAA983057 BQE983057 BGI983057 AWM983057 AMQ983057 ACU983057 SY983057 JC983057 G983057 WVO917521 WLS917521 WBW917521 VSA917521 VIE917521 UYI917521 UOM917521 UEQ917521 TUU917521 TKY917521 TBC917521 SRG917521 SHK917521 RXO917521 RNS917521 RDW917521 QUA917521 QKE917521 QAI917521 PQM917521 PGQ917521 OWU917521 OMY917521 ODC917521 NTG917521 NJK917521 MZO917521 MPS917521 MFW917521 LWA917521 LME917521 LCI917521 KSM917521 KIQ917521 JYU917521 JOY917521 JFC917521 IVG917521 ILK917521 IBO917521 HRS917521 HHW917521 GYA917521 GOE917521 GEI917521 FUM917521 FKQ917521 FAU917521 EQY917521 EHC917521 DXG917521 DNK917521 DDO917521 CTS917521 CJW917521 CAA917521 BQE917521 BGI917521 AWM917521 AMQ917521 ACU917521 SY917521 JC917521 G917521 WVO851985 WLS851985 WBW851985 VSA851985 VIE851985 UYI851985 UOM851985 UEQ851985 TUU851985 TKY851985 TBC851985 SRG851985 SHK851985 RXO851985 RNS851985 RDW851985 QUA851985 QKE851985 QAI851985 PQM851985 PGQ851985 OWU851985 OMY851985 ODC851985 NTG851985 NJK851985 MZO851985 MPS851985 MFW851985 LWA851985 LME851985 LCI851985 KSM851985 KIQ851985 JYU851985 JOY851985 JFC851985 IVG851985 ILK851985 IBO851985 HRS851985 HHW851985 GYA851985 GOE851985 GEI851985 FUM851985 FKQ851985 FAU851985 EQY851985 EHC851985 DXG851985 DNK851985 DDO851985 CTS851985 CJW851985 CAA851985 BQE851985 BGI851985 AWM851985 AMQ851985 ACU851985 SY851985 JC851985 G851985 WVO786449 WLS786449 WBW786449 VSA786449 VIE786449 UYI786449 UOM786449 UEQ786449 TUU786449 TKY786449 TBC786449 SRG786449 SHK786449 RXO786449 RNS786449 RDW786449 QUA786449 QKE786449 QAI786449 PQM786449 PGQ786449 OWU786449 OMY786449 ODC786449 NTG786449 NJK786449 MZO786449 MPS786449 MFW786449 LWA786449 LME786449 LCI786449 KSM786449 KIQ786449 JYU786449 JOY786449 JFC786449 IVG786449 ILK786449 IBO786449 HRS786449 HHW786449 GYA786449 GOE786449 GEI786449 FUM786449 FKQ786449 FAU786449 EQY786449 EHC786449 DXG786449 DNK786449 DDO786449 CTS786449 CJW786449 CAA786449 BQE786449 BGI786449 AWM786449 AMQ786449 ACU786449 SY786449 JC786449 G786449 WVO720913 WLS720913 WBW720913 VSA720913 VIE720913 UYI720913 UOM720913 UEQ720913 TUU720913 TKY720913 TBC720913 SRG720913 SHK720913 RXO720913 RNS720913 RDW720913 QUA720913 QKE720913 QAI720913 PQM720913 PGQ720913 OWU720913 OMY720913 ODC720913 NTG720913 NJK720913 MZO720913 MPS720913 MFW720913 LWA720913 LME720913 LCI720913 KSM720913 KIQ720913 JYU720913 JOY720913 JFC720913 IVG720913 ILK720913 IBO720913 HRS720913 HHW720913 GYA720913 GOE720913 GEI720913 FUM720913 FKQ720913 FAU720913 EQY720913 EHC720913 DXG720913 DNK720913 DDO720913 CTS720913 CJW720913 CAA720913 BQE720913 BGI720913 AWM720913 AMQ720913 ACU720913 SY720913 JC720913 G720913 WVO655377 WLS655377 WBW655377 VSA655377 VIE655377 UYI655377 UOM655377 UEQ655377 TUU655377 TKY655377 TBC655377 SRG655377 SHK655377 RXO655377 RNS655377 RDW655377 QUA655377 QKE655377 QAI655377 PQM655377 PGQ655377 OWU655377 OMY655377 ODC655377 NTG655377 NJK655377 MZO655377 MPS655377 MFW655377 LWA655377 LME655377 LCI655377 KSM655377 KIQ655377 JYU655377 JOY655377 JFC655377 IVG655377 ILK655377 IBO655377 HRS655377 HHW655377 GYA655377 GOE655377 GEI655377 FUM655377 FKQ655377 FAU655377 EQY655377 EHC655377 DXG655377 DNK655377 DDO655377 CTS655377 CJW655377 CAA655377 BQE655377 BGI655377 AWM655377 AMQ655377 ACU655377 SY655377 JC655377 G655377 WVO589841 WLS589841 WBW589841 VSA589841 VIE589841 UYI589841 UOM589841 UEQ589841 TUU589841 TKY589841 TBC589841 SRG589841 SHK589841 RXO589841 RNS589841 RDW589841 QUA589841 QKE589841 QAI589841 PQM589841 PGQ589841 OWU589841 OMY589841 ODC589841 NTG589841 NJK589841 MZO589841 MPS589841 MFW589841 LWA589841 LME589841 LCI589841 KSM589841 KIQ589841 JYU589841 JOY589841 JFC589841 IVG589841 ILK589841 IBO589841 HRS589841 HHW589841 GYA589841 GOE589841 GEI589841 FUM589841 FKQ589841 FAU589841 EQY589841 EHC589841 DXG589841 DNK589841 DDO589841 CTS589841 CJW589841 CAA589841 BQE589841 BGI589841 AWM589841 AMQ589841 ACU589841 SY589841 JC589841 G589841 WVO524305 WLS524305 WBW524305 VSA524305 VIE524305 UYI524305 UOM524305 UEQ524305 TUU524305 TKY524305 TBC524305 SRG524305 SHK524305 RXO524305 RNS524305 RDW524305 QUA524305 QKE524305 QAI524305 PQM524305 PGQ524305 OWU524305 OMY524305 ODC524305 NTG524305 NJK524305 MZO524305 MPS524305 MFW524305 LWA524305 LME524305 LCI524305 KSM524305 KIQ524305 JYU524305 JOY524305 JFC524305 IVG524305 ILK524305 IBO524305 HRS524305 HHW524305 GYA524305 GOE524305 GEI524305 FUM524305 FKQ524305 FAU524305 EQY524305 EHC524305 DXG524305 DNK524305 DDO524305 CTS524305 CJW524305 CAA524305 BQE524305 BGI524305 AWM524305 AMQ524305 ACU524305 SY524305 JC524305 G524305 WVO458769 WLS458769 WBW458769 VSA458769 VIE458769 UYI458769 UOM458769 UEQ458769 TUU458769 TKY458769 TBC458769 SRG458769 SHK458769 RXO458769 RNS458769 RDW458769 QUA458769 QKE458769 QAI458769 PQM458769 PGQ458769 OWU458769 OMY458769 ODC458769 NTG458769 NJK458769 MZO458769 MPS458769 MFW458769 LWA458769 LME458769 LCI458769 KSM458769 KIQ458769 JYU458769 JOY458769 JFC458769 IVG458769 ILK458769 IBO458769 HRS458769 HHW458769 GYA458769 GOE458769 GEI458769 FUM458769 FKQ458769 FAU458769 EQY458769 EHC458769 DXG458769 DNK458769 DDO458769 CTS458769 CJW458769 CAA458769 BQE458769 BGI458769 AWM458769 AMQ458769 ACU458769 SY458769 JC458769 G458769 WVO393233 WLS393233 WBW393233 VSA393233 VIE393233 UYI393233 UOM393233 UEQ393233 TUU393233 TKY393233 TBC393233 SRG393233 SHK393233 RXO393233 RNS393233 RDW393233 QUA393233 QKE393233 QAI393233 PQM393233 PGQ393233 OWU393233 OMY393233 ODC393233 NTG393233 NJK393233 MZO393233 MPS393233 MFW393233 LWA393233 LME393233 LCI393233 KSM393233 KIQ393233 JYU393233 JOY393233 JFC393233 IVG393233 ILK393233 IBO393233 HRS393233 HHW393233 GYA393233 GOE393233 GEI393233 FUM393233 FKQ393233 FAU393233 EQY393233 EHC393233 DXG393233 DNK393233 DDO393233 CTS393233 CJW393233 CAA393233 BQE393233 BGI393233 AWM393233 AMQ393233 ACU393233 SY393233 JC393233 G393233 WVO327697 WLS327697 WBW327697 VSA327697 VIE327697 UYI327697 UOM327697 UEQ327697 TUU327697 TKY327697 TBC327697 SRG327697 SHK327697 RXO327697 RNS327697 RDW327697 QUA327697 QKE327697 QAI327697 PQM327697 PGQ327697 OWU327697 OMY327697 ODC327697 NTG327697 NJK327697 MZO327697 MPS327697 MFW327697 LWA327697 LME327697 LCI327697 KSM327697 KIQ327697 JYU327697 JOY327697 JFC327697 IVG327697 ILK327697 IBO327697 HRS327697 HHW327697 GYA327697 GOE327697 GEI327697 FUM327697 FKQ327697 FAU327697 EQY327697 EHC327697 DXG327697 DNK327697 DDO327697 CTS327697 CJW327697 CAA327697 BQE327697 BGI327697 AWM327697 AMQ327697 ACU327697 SY327697 JC327697 G327697 WVO262161 WLS262161 WBW262161 VSA262161 VIE262161 UYI262161 UOM262161 UEQ262161 TUU262161 TKY262161 TBC262161 SRG262161 SHK262161 RXO262161 RNS262161 RDW262161 QUA262161 QKE262161 QAI262161 PQM262161 PGQ262161 OWU262161 OMY262161 ODC262161 NTG262161 NJK262161 MZO262161 MPS262161 MFW262161 LWA262161 LME262161 LCI262161 KSM262161 KIQ262161 JYU262161 JOY262161 JFC262161 IVG262161 ILK262161 IBO262161 HRS262161 HHW262161 GYA262161 GOE262161 GEI262161 FUM262161 FKQ262161 FAU262161 EQY262161 EHC262161 DXG262161 DNK262161 DDO262161 CTS262161 CJW262161 CAA262161 BQE262161 BGI262161 AWM262161 AMQ262161 ACU262161 SY262161 JC262161 G262161 WVO196625 WLS196625 WBW196625 VSA196625 VIE196625 UYI196625 UOM196625 UEQ196625 TUU196625 TKY196625 TBC196625 SRG196625 SHK196625 RXO196625 RNS196625 RDW196625 QUA196625 QKE196625 QAI196625 PQM196625 PGQ196625 OWU196625 OMY196625 ODC196625 NTG196625 NJK196625 MZO196625 MPS196625 MFW196625 LWA196625 LME196625 LCI196625 KSM196625 KIQ196625 JYU196625 JOY196625 JFC196625 IVG196625 ILK196625 IBO196625 HRS196625 HHW196625 GYA196625 GOE196625 GEI196625 FUM196625 FKQ196625 FAU196625 EQY196625 EHC196625 DXG196625 DNK196625 DDO196625 CTS196625 CJW196625 CAA196625 BQE196625 BGI196625 AWM196625 AMQ196625 ACU196625 SY196625 JC196625 G196625 WVO131089 WLS131089 WBW131089 VSA131089 VIE131089 UYI131089 UOM131089 UEQ131089 TUU131089 TKY131089 TBC131089 SRG131089 SHK131089 RXO131089 RNS131089 RDW131089 QUA131089 QKE131089 QAI131089 PQM131089 PGQ131089 OWU131089 OMY131089 ODC131089 NTG131089 NJK131089 MZO131089 MPS131089 MFW131089 LWA131089 LME131089 LCI131089 KSM131089 KIQ131089 JYU131089 JOY131089 JFC131089 IVG131089 ILK131089 IBO131089 HRS131089 HHW131089 GYA131089 GOE131089 GEI131089 FUM131089 FKQ131089 FAU131089 EQY131089 EHC131089 DXG131089 DNK131089 DDO131089 CTS131089 CJW131089 CAA131089 BQE131089 BGI131089 AWM131089 AMQ131089 ACU131089 SY131089 JC131089 G131089 WVO65553 WLS65553 WBW65553 VSA65553 VIE65553 UYI65553 UOM65553 UEQ65553 TUU65553 TKY65553 TBC65553 SRG65553 SHK65553 RXO65553 RNS65553 RDW65553 QUA65553 QKE65553 QAI65553 PQM65553 PGQ65553 OWU65553 OMY65553 ODC65553 NTG65553 NJK65553 MZO65553 MPS65553 MFW65553 LWA65553 LME65553 LCI65553 KSM65553 KIQ65553 JYU65553 JOY65553 JFC65553 IVG65553 ILK65553 IBO65553 HRS65553 HHW65553 GYA65553 GOE65553 GEI65553 FUM65553 FKQ65553 FAU65553 EQY65553 EHC65553 DXG65553 DNK65553 DDO65553 CTS65553 CJW65553 CAA65553 BQE65553 BGI65553 AWM65553 AMQ65553 ACU65553 SY65553 JC65553 G65553 WVO16 WLS16 WBW16 VSA16 VIE16 UYI16 UOM16 UEQ16 TUU16 TKY16 TBC16 SRG16 SHK16 RXO16 RNS16 RDW16 QUA16 QKE16 QAI16 PQM16 PGQ16 OWU16 OMY16 ODC16 NTG16 NJK16 MZO16 MPS16 MFW16 LWA16 LME16 LCI16 KSM16 KIQ16 JYU16 JOY16 JFC16 IVG16 ILK16 IBO16 HRS16 HHW16 GYA16 GOE16 GEI16 FUM16 FKQ16 FAU16 EQY16 EHC16 DXG16 DNK16 DDO16 CTS16 CJW16 CAA16 BQE16 BGI16 AWM16 AMQ16 ACU16 SY16">
      <formula1>$AK$34:$AK$46</formula1>
    </dataValidation>
    <dataValidation type="date" showInputMessage="1" showErrorMessage="1" error="Debe Digitar una Fecha Valida o Verificar la Fecha Inicial" sqref="WMP8:WMP15 WCT8:WCT15 VSX8:VSX15 VJB8:VJB15 UZF8:UZF15 UPJ8:UPJ15 UFN8:UFN15 TVR8:TVR15 TLV8:TLV15 TBZ8:TBZ15 SSD8:SSD15 SIH8:SIH15 RYL8:RYL15 ROP8:ROP15 RET8:RET15 QUX8:QUX15 QLB8:QLB15 QBF8:QBF15 PRJ8:PRJ15 PHN8:PHN15 OXR8:OXR15 ONV8:ONV15 ODZ8:ODZ15 NUD8:NUD15 NKH8:NKH15 NAL8:NAL15 MQP8:MQP15 MGT8:MGT15 LWX8:LWX15 LNB8:LNB15 LDF8:LDF15 KTJ8:KTJ15 KJN8:KJN15 JZR8:JZR15 JPV8:JPV15 JFZ8:JFZ15 IWD8:IWD15 IMH8:IMH15 ICL8:ICL15 HSP8:HSP15 HIT8:HIT15 GYX8:GYX15 GPB8:GPB15 GFF8:GFF15 FVJ8:FVJ15 FLN8:FLN15 FBR8:FBR15 ERV8:ERV15 EHZ8:EHZ15 DYD8:DYD15 DOH8:DOH15 DEL8:DEL15 CUP8:CUP15 CKT8:CKT15 CAX8:CAX15 BRB8:BRB15 BHF8:BHF15 AXJ8:AXJ15 ANN8:ANN15 ADR8:ADR15 TV8:TV15 JZ8:JZ15 AD8:AD15 WWL8:WWL15">
      <formula1>AC8</formula1>
      <formula2>IF(AC8&lt;&gt;0,IF(AD8-AC8&gt;=0,AD8,),)</formula2>
    </dataValidation>
    <dataValidation type="list" allowBlank="1" showInputMessage="1" showErrorMessage="1" sqref="WVP8:WVP15 H12:H13 H8 WLT8:WLT15 WBX8:WBX15 VSB8:VSB15 VIF8:VIF15 UYJ8:UYJ15 UON8:UON15 UER8:UER15 TUV8:TUV15 TKZ8:TKZ15 TBD8:TBD15 SRH8:SRH15 SHL8:SHL15 RXP8:RXP15 RNT8:RNT15 RDX8:RDX15 QUB8:QUB15 QKF8:QKF15 QAJ8:QAJ15 PQN8:PQN15 PGR8:PGR15 OWV8:OWV15 OMZ8:OMZ15 ODD8:ODD15 NTH8:NTH15 NJL8:NJL15 MZP8:MZP15 MPT8:MPT15 MFX8:MFX15 LWB8:LWB15 LMF8:LMF15 LCJ8:LCJ15 KSN8:KSN15 KIR8:KIR15 JYV8:JYV15 JOZ8:JOZ15 JFD8:JFD15 IVH8:IVH15 ILL8:ILL15 IBP8:IBP15 HRT8:HRT15 HHX8:HHX15 GYB8:GYB15 GOF8:GOF15 GEJ8:GEJ15 FUN8:FUN15 FKR8:FKR15 FAV8:FAV15 EQZ8:EQZ15 EHD8:EHD15 DXH8:DXH15 DNL8:DNL15 DDP8:DDP15 CTT8:CTT15 CJX8:CJX15 CAB8:CAB15 BQF8:BQF15 BGJ8:BGJ15 AWN8:AWN15 AMR8:AMR15 ACV8:ACV15 SZ8:SZ15 H10 JD8:JD15">
      <formula1>#REF!</formula1>
    </dataValidation>
    <dataValidation type="list" allowBlank="1" showInputMessage="1" showErrorMessage="1" sqref="WWM8:WWM15 WMQ8:WMQ15 WCU8:WCU15 VSY8:VSY15 VJC8:VJC15 UZG8:UZG15 UPK8:UPK15 UFO8:UFO15 TVS8:TVS15 TLW8:TLW15 TCA8:TCA15 SSE8:SSE15 SII8:SII15 RYM8:RYM15 ROQ8:ROQ15 REU8:REU15 QUY8:QUY15 QLC8:QLC15 QBG8:QBG15 PRK8:PRK15 PHO8:PHO15 OXS8:OXS15 ONW8:ONW15 OEA8:OEA15 NUE8:NUE15 NKI8:NKI15 NAM8:NAM15 MQQ8:MQQ15 MGU8:MGU15 LWY8:LWY15 LNC8:LNC15 LDG8:LDG15 KTK8:KTK15 KJO8:KJO15 JZS8:JZS15 JPW8:JPW15 JGA8:JGA15 IWE8:IWE15 IMI8:IMI15 ICM8:ICM15 HSQ8:HSQ15 HIU8:HIU15 GYY8:GYY15 GPC8:GPC15 GFG8:GFG15 FVK8:FVK15 FLO8:FLO15 FBS8:FBS15 ERW8:ERW15 EIA8:EIA15 DYE8:DYE15 DOI8:DOI15 DEM8:DEM15 CUQ8:CUQ15 CKU8:CKU15 CAY8:CAY15 BRC8:BRC15 BHG8:BHG15 AXK8:AXK15 ANO8:ANO15 ADS8:ADS15 TW8:TW15 KA8:KA15 AE8:AE15">
      <formula1>#REF!</formula1>
    </dataValidation>
    <dataValidation type="list" allowBlank="1" showInputMessage="1" showErrorMessage="1" sqref="WVQ8:WVQ15 I12:I13 I8 WLU8:WLU15 WBY8:WBY15 VSC8:VSC15 VIG8:VIG15 UYK8:UYK15 UOO8:UOO15 UES8:UES15 TUW8:TUW15 TLA8:TLA15 TBE8:TBE15 SRI8:SRI15 SHM8:SHM15 RXQ8:RXQ15 RNU8:RNU15 RDY8:RDY15 QUC8:QUC15 QKG8:QKG15 QAK8:QAK15 PQO8:PQO15 PGS8:PGS15 OWW8:OWW15 ONA8:ONA15 ODE8:ODE15 NTI8:NTI15 NJM8:NJM15 MZQ8:MZQ15 MPU8:MPU15 MFY8:MFY15 LWC8:LWC15 LMG8:LMG15 LCK8:LCK15 KSO8:KSO15 KIS8:KIS15 JYW8:JYW15 JPA8:JPA15 JFE8:JFE15 IVI8:IVI15 ILM8:ILM15 IBQ8:IBQ15 HRU8:HRU15 HHY8:HHY15 GYC8:GYC15 GOG8:GOG15 GEK8:GEK15 FUO8:FUO15 FKS8:FKS15 FAW8:FAW15 ERA8:ERA15 EHE8:EHE15 DXI8:DXI15 DNM8:DNM15 DDQ8:DDQ15 CTU8:CTU15 CJY8:CJY15 CAC8:CAC15 BQG8:BQG15 BGK8:BGK15 AWO8:AWO15 AMS8:AMS15 ACW8:ACW15 TA8:TA15 I10 JE8:JE15">
      <formula1>#REF!</formula1>
    </dataValidation>
    <dataValidation type="list" allowBlank="1" showInputMessage="1" showErrorMessage="1" sqref="WVO8:WVO15 JC8:JC15 G10 SY8:SY15 ACU8:ACU15 AMQ8:AMQ15 AWM8:AWM15 BGI8:BGI15 BQE8:BQE15 CAA8:CAA15 CJW8:CJW15 CTS8:CTS15 DDO8:DDO15 DNK8:DNK15 DXG8:DXG15 EHC8:EHC15 EQY8:EQY15 FAU8:FAU15 FKQ8:FKQ15 FUM8:FUM15 GEI8:GEI15 GOE8:GOE15 GYA8:GYA15 HHW8:HHW15 HRS8:HRS15 IBO8:IBO15 ILK8:ILK15 IVG8:IVG15 JFC8:JFC15 JOY8:JOY15 JYU8:JYU15 KIQ8:KIQ15 KSM8:KSM15 LCI8:LCI15 LME8:LME15 LWA8:LWA15 MFW8:MFW15 MPS8:MPS15 MZO8:MZO15 NJK8:NJK15 NTG8:NTG15 ODC8:ODC15 OMY8:OMY15 OWU8:OWU15 PGQ8:PGQ15 PQM8:PQM15 QAI8:QAI15 QKE8:QKE15 QUA8:QUA15 RDW8:RDW15 RNS8:RNS15 RXO8:RXO15 SHK8:SHK15 SRG8:SRG15 TBC8:TBC15 TKY8:TKY15 TUU8:TUU15 UEQ8:UEQ15 UOM8:UOM15 UYI8:UYI15 VIE8:VIE15 VSA8:VSA15 WBW8:WBW15 WLS8:WLS15 G8 G12:G13">
      <formula1>$AK$21:$AK$27</formula1>
    </dataValidation>
  </dataValidations>
  <printOptions horizontalCentered="1"/>
  <pageMargins left="0.25" right="0.25" top="0.75" bottom="0.75" header="0.3" footer="0.3"/>
  <pageSetup scale="45" orientation="landscape" copies="2"/>
  <headerFooter>
    <oddFooter>&amp;C&amp;"Tahoma,Cursiva"&amp;9Si usted ha accedido a este formato a través de un medio diferente al sitio web del Sistema de Control Documental del SIGEC asegúrese que ésta es la versión vigente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M40"/>
  <sheetViews>
    <sheetView topLeftCell="A11" zoomScale="90" zoomScaleNormal="90" zoomScaleSheetLayoutView="100" zoomScalePageLayoutView="60" workbookViewId="0">
      <selection activeCell="A15" sqref="A15:AH15"/>
    </sheetView>
  </sheetViews>
  <sheetFormatPr baseColWidth="10" defaultRowHeight="12.75"/>
  <cols>
    <col min="1" max="1" width="10.28515625" style="2" customWidth="1"/>
    <col min="2" max="2" width="13.42578125" style="2" customWidth="1"/>
    <col min="3" max="3" width="4.28515625" style="2" customWidth="1"/>
    <col min="4" max="4" width="4" style="2" customWidth="1"/>
    <col min="5" max="5" width="15" style="2" customWidth="1"/>
    <col min="6" max="6" width="4.140625" style="2" customWidth="1"/>
    <col min="7" max="7" width="11.28515625" style="2" customWidth="1"/>
    <col min="8" max="8" width="16.140625" style="2" customWidth="1"/>
    <col min="9" max="9" width="11" style="2" customWidth="1"/>
    <col min="10" max="11" width="2.140625" style="2" customWidth="1"/>
    <col min="12" max="12" width="3.28515625" style="2" customWidth="1"/>
    <col min="13" max="13" width="0.28515625" style="2" hidden="1" customWidth="1"/>
    <col min="14" max="14" width="0.42578125" style="2" hidden="1" customWidth="1"/>
    <col min="15" max="15" width="2.85546875" style="2" customWidth="1"/>
    <col min="16" max="16" width="3.28515625" style="2" customWidth="1"/>
    <col min="17" max="17" width="1.42578125" style="2" customWidth="1"/>
    <col min="18" max="18" width="1.85546875" style="2" hidden="1" customWidth="1"/>
    <col min="19" max="19" width="6.85546875" style="2" customWidth="1"/>
    <col min="20" max="20" width="3" style="2" hidden="1" customWidth="1"/>
    <col min="21" max="22" width="6.28515625" style="2" customWidth="1"/>
    <col min="23" max="24" width="13.85546875" style="2" customWidth="1"/>
    <col min="25" max="25" width="10.85546875" style="2" customWidth="1"/>
    <col min="26" max="26" width="14.140625" style="2" customWidth="1"/>
    <col min="27" max="27" width="0.42578125" style="2" hidden="1" customWidth="1"/>
    <col min="28" max="28" width="13" style="2" customWidth="1"/>
    <col min="29" max="29" width="13.140625" style="2" customWidth="1"/>
    <col min="30" max="31" width="14" style="2" customWidth="1"/>
    <col min="32" max="32" width="11.42578125" style="2" customWidth="1"/>
    <col min="33" max="33" width="15.85546875" style="2" customWidth="1"/>
    <col min="34" max="34" width="23.7109375" style="2" customWidth="1"/>
    <col min="35" max="35" width="12" style="2" customWidth="1"/>
    <col min="36" max="37" width="0.28515625" style="2" customWidth="1"/>
    <col min="38" max="38" width="1.42578125" style="2" customWidth="1"/>
    <col min="39" max="39" width="1.28515625" style="2" hidden="1" customWidth="1"/>
    <col min="40" max="256" width="11.42578125" style="2"/>
    <col min="257" max="257" width="10.28515625" style="2" customWidth="1"/>
    <col min="258" max="258" width="13.42578125" style="2" customWidth="1"/>
    <col min="259" max="259" width="4.28515625" style="2" customWidth="1"/>
    <col min="260" max="260" width="4" style="2" customWidth="1"/>
    <col min="261" max="261" width="15" style="2" customWidth="1"/>
    <col min="262" max="262" width="4.140625" style="2" customWidth="1"/>
    <col min="263" max="263" width="11.28515625" style="2" customWidth="1"/>
    <col min="264" max="264" width="16.140625" style="2" customWidth="1"/>
    <col min="265" max="265" width="11" style="2" customWidth="1"/>
    <col min="266" max="267" width="2.140625" style="2" customWidth="1"/>
    <col min="268" max="268" width="3.28515625" style="2" customWidth="1"/>
    <col min="269" max="270" width="0" style="2" hidden="1" customWidth="1"/>
    <col min="271" max="271" width="2.85546875" style="2" customWidth="1"/>
    <col min="272" max="272" width="3.28515625" style="2" customWidth="1"/>
    <col min="273" max="273" width="1.42578125" style="2" customWidth="1"/>
    <col min="274" max="274" width="0" style="2" hidden="1" customWidth="1"/>
    <col min="275" max="275" width="6.85546875" style="2" customWidth="1"/>
    <col min="276" max="276" width="0" style="2" hidden="1" customWidth="1"/>
    <col min="277" max="278" width="6.28515625" style="2" customWidth="1"/>
    <col min="279" max="280" width="13.85546875" style="2" customWidth="1"/>
    <col min="281" max="281" width="10.85546875" style="2" customWidth="1"/>
    <col min="282" max="282" width="14.140625" style="2" customWidth="1"/>
    <col min="283" max="283" width="0" style="2" hidden="1" customWidth="1"/>
    <col min="284" max="284" width="13" style="2" customWidth="1"/>
    <col min="285" max="285" width="13.140625" style="2" customWidth="1"/>
    <col min="286" max="287" width="14" style="2" customWidth="1"/>
    <col min="288" max="288" width="11.42578125" style="2" customWidth="1"/>
    <col min="289" max="289" width="15.85546875" style="2" customWidth="1"/>
    <col min="290" max="290" width="23.7109375" style="2" customWidth="1"/>
    <col min="291" max="291" width="12" style="2" customWidth="1"/>
    <col min="292" max="293" width="0.28515625" style="2" customWidth="1"/>
    <col min="294" max="294" width="1.42578125" style="2" customWidth="1"/>
    <col min="295" max="295" width="0" style="2" hidden="1" customWidth="1"/>
    <col min="296" max="512" width="11.42578125" style="2"/>
    <col min="513" max="513" width="10.28515625" style="2" customWidth="1"/>
    <col min="514" max="514" width="13.42578125" style="2" customWidth="1"/>
    <col min="515" max="515" width="4.28515625" style="2" customWidth="1"/>
    <col min="516" max="516" width="4" style="2" customWidth="1"/>
    <col min="517" max="517" width="15" style="2" customWidth="1"/>
    <col min="518" max="518" width="4.140625" style="2" customWidth="1"/>
    <col min="519" max="519" width="11.28515625" style="2" customWidth="1"/>
    <col min="520" max="520" width="16.140625" style="2" customWidth="1"/>
    <col min="521" max="521" width="11" style="2" customWidth="1"/>
    <col min="522" max="523" width="2.140625" style="2" customWidth="1"/>
    <col min="524" max="524" width="3.28515625" style="2" customWidth="1"/>
    <col min="525" max="526" width="0" style="2" hidden="1" customWidth="1"/>
    <col min="527" max="527" width="2.85546875" style="2" customWidth="1"/>
    <col min="528" max="528" width="3.28515625" style="2" customWidth="1"/>
    <col min="529" max="529" width="1.42578125" style="2" customWidth="1"/>
    <col min="530" max="530" width="0" style="2" hidden="1" customWidth="1"/>
    <col min="531" max="531" width="6.85546875" style="2" customWidth="1"/>
    <col min="532" max="532" width="0" style="2" hidden="1" customWidth="1"/>
    <col min="533" max="534" width="6.28515625" style="2" customWidth="1"/>
    <col min="535" max="536" width="13.85546875" style="2" customWidth="1"/>
    <col min="537" max="537" width="10.85546875" style="2" customWidth="1"/>
    <col min="538" max="538" width="14.140625" style="2" customWidth="1"/>
    <col min="539" max="539" width="0" style="2" hidden="1" customWidth="1"/>
    <col min="540" max="540" width="13" style="2" customWidth="1"/>
    <col min="541" max="541" width="13.140625" style="2" customWidth="1"/>
    <col min="542" max="543" width="14" style="2" customWidth="1"/>
    <col min="544" max="544" width="11.42578125" style="2" customWidth="1"/>
    <col min="545" max="545" width="15.85546875" style="2" customWidth="1"/>
    <col min="546" max="546" width="23.7109375" style="2" customWidth="1"/>
    <col min="547" max="547" width="12" style="2" customWidth="1"/>
    <col min="548" max="549" width="0.28515625" style="2" customWidth="1"/>
    <col min="550" max="550" width="1.42578125" style="2" customWidth="1"/>
    <col min="551" max="551" width="0" style="2" hidden="1" customWidth="1"/>
    <col min="552" max="768" width="11.42578125" style="2"/>
    <col min="769" max="769" width="10.28515625" style="2" customWidth="1"/>
    <col min="770" max="770" width="13.42578125" style="2" customWidth="1"/>
    <col min="771" max="771" width="4.28515625" style="2" customWidth="1"/>
    <col min="772" max="772" width="4" style="2" customWidth="1"/>
    <col min="773" max="773" width="15" style="2" customWidth="1"/>
    <col min="774" max="774" width="4.140625" style="2" customWidth="1"/>
    <col min="775" max="775" width="11.28515625" style="2" customWidth="1"/>
    <col min="776" max="776" width="16.140625" style="2" customWidth="1"/>
    <col min="777" max="777" width="11" style="2" customWidth="1"/>
    <col min="778" max="779" width="2.140625" style="2" customWidth="1"/>
    <col min="780" max="780" width="3.28515625" style="2" customWidth="1"/>
    <col min="781" max="782" width="0" style="2" hidden="1" customWidth="1"/>
    <col min="783" max="783" width="2.85546875" style="2" customWidth="1"/>
    <col min="784" max="784" width="3.28515625" style="2" customWidth="1"/>
    <col min="785" max="785" width="1.42578125" style="2" customWidth="1"/>
    <col min="786" max="786" width="0" style="2" hidden="1" customWidth="1"/>
    <col min="787" max="787" width="6.85546875" style="2" customWidth="1"/>
    <col min="788" max="788" width="0" style="2" hidden="1" customWidth="1"/>
    <col min="789" max="790" width="6.28515625" style="2" customWidth="1"/>
    <col min="791" max="792" width="13.85546875" style="2" customWidth="1"/>
    <col min="793" max="793" width="10.85546875" style="2" customWidth="1"/>
    <col min="794" max="794" width="14.140625" style="2" customWidth="1"/>
    <col min="795" max="795" width="0" style="2" hidden="1" customWidth="1"/>
    <col min="796" max="796" width="13" style="2" customWidth="1"/>
    <col min="797" max="797" width="13.140625" style="2" customWidth="1"/>
    <col min="798" max="799" width="14" style="2" customWidth="1"/>
    <col min="800" max="800" width="11.42578125" style="2" customWidth="1"/>
    <col min="801" max="801" width="15.85546875" style="2" customWidth="1"/>
    <col min="802" max="802" width="23.7109375" style="2" customWidth="1"/>
    <col min="803" max="803" width="12" style="2" customWidth="1"/>
    <col min="804" max="805" width="0.28515625" style="2" customWidth="1"/>
    <col min="806" max="806" width="1.42578125" style="2" customWidth="1"/>
    <col min="807" max="807" width="0" style="2" hidden="1" customWidth="1"/>
    <col min="808" max="1024" width="11.42578125" style="2"/>
    <col min="1025" max="1025" width="10.28515625" style="2" customWidth="1"/>
    <col min="1026" max="1026" width="13.42578125" style="2" customWidth="1"/>
    <col min="1027" max="1027" width="4.28515625" style="2" customWidth="1"/>
    <col min="1028" max="1028" width="4" style="2" customWidth="1"/>
    <col min="1029" max="1029" width="15" style="2" customWidth="1"/>
    <col min="1030" max="1030" width="4.140625" style="2" customWidth="1"/>
    <col min="1031" max="1031" width="11.28515625" style="2" customWidth="1"/>
    <col min="1032" max="1032" width="16.140625" style="2" customWidth="1"/>
    <col min="1033" max="1033" width="11" style="2" customWidth="1"/>
    <col min="1034" max="1035" width="2.140625" style="2" customWidth="1"/>
    <col min="1036" max="1036" width="3.28515625" style="2" customWidth="1"/>
    <col min="1037" max="1038" width="0" style="2" hidden="1" customWidth="1"/>
    <col min="1039" max="1039" width="2.85546875" style="2" customWidth="1"/>
    <col min="1040" max="1040" width="3.28515625" style="2" customWidth="1"/>
    <col min="1041" max="1041" width="1.42578125" style="2" customWidth="1"/>
    <col min="1042" max="1042" width="0" style="2" hidden="1" customWidth="1"/>
    <col min="1043" max="1043" width="6.85546875" style="2" customWidth="1"/>
    <col min="1044" max="1044" width="0" style="2" hidden="1" customWidth="1"/>
    <col min="1045" max="1046" width="6.28515625" style="2" customWidth="1"/>
    <col min="1047" max="1048" width="13.85546875" style="2" customWidth="1"/>
    <col min="1049" max="1049" width="10.85546875" style="2" customWidth="1"/>
    <col min="1050" max="1050" width="14.140625" style="2" customWidth="1"/>
    <col min="1051" max="1051" width="0" style="2" hidden="1" customWidth="1"/>
    <col min="1052" max="1052" width="13" style="2" customWidth="1"/>
    <col min="1053" max="1053" width="13.140625" style="2" customWidth="1"/>
    <col min="1054" max="1055" width="14" style="2" customWidth="1"/>
    <col min="1056" max="1056" width="11.42578125" style="2" customWidth="1"/>
    <col min="1057" max="1057" width="15.85546875" style="2" customWidth="1"/>
    <col min="1058" max="1058" width="23.7109375" style="2" customWidth="1"/>
    <col min="1059" max="1059" width="12" style="2" customWidth="1"/>
    <col min="1060" max="1061" width="0.28515625" style="2" customWidth="1"/>
    <col min="1062" max="1062" width="1.42578125" style="2" customWidth="1"/>
    <col min="1063" max="1063" width="0" style="2" hidden="1" customWidth="1"/>
    <col min="1064" max="1280" width="11.42578125" style="2"/>
    <col min="1281" max="1281" width="10.28515625" style="2" customWidth="1"/>
    <col min="1282" max="1282" width="13.42578125" style="2" customWidth="1"/>
    <col min="1283" max="1283" width="4.28515625" style="2" customWidth="1"/>
    <col min="1284" max="1284" width="4" style="2" customWidth="1"/>
    <col min="1285" max="1285" width="15" style="2" customWidth="1"/>
    <col min="1286" max="1286" width="4.140625" style="2" customWidth="1"/>
    <col min="1287" max="1287" width="11.28515625" style="2" customWidth="1"/>
    <col min="1288" max="1288" width="16.140625" style="2" customWidth="1"/>
    <col min="1289" max="1289" width="11" style="2" customWidth="1"/>
    <col min="1290" max="1291" width="2.140625" style="2" customWidth="1"/>
    <col min="1292" max="1292" width="3.28515625" style="2" customWidth="1"/>
    <col min="1293" max="1294" width="0" style="2" hidden="1" customWidth="1"/>
    <col min="1295" max="1295" width="2.85546875" style="2" customWidth="1"/>
    <col min="1296" max="1296" width="3.28515625" style="2" customWidth="1"/>
    <col min="1297" max="1297" width="1.42578125" style="2" customWidth="1"/>
    <col min="1298" max="1298" width="0" style="2" hidden="1" customWidth="1"/>
    <col min="1299" max="1299" width="6.85546875" style="2" customWidth="1"/>
    <col min="1300" max="1300" width="0" style="2" hidden="1" customWidth="1"/>
    <col min="1301" max="1302" width="6.28515625" style="2" customWidth="1"/>
    <col min="1303" max="1304" width="13.85546875" style="2" customWidth="1"/>
    <col min="1305" max="1305" width="10.85546875" style="2" customWidth="1"/>
    <col min="1306" max="1306" width="14.140625" style="2" customWidth="1"/>
    <col min="1307" max="1307" width="0" style="2" hidden="1" customWidth="1"/>
    <col min="1308" max="1308" width="13" style="2" customWidth="1"/>
    <col min="1309" max="1309" width="13.140625" style="2" customWidth="1"/>
    <col min="1310" max="1311" width="14" style="2" customWidth="1"/>
    <col min="1312" max="1312" width="11.42578125" style="2" customWidth="1"/>
    <col min="1313" max="1313" width="15.85546875" style="2" customWidth="1"/>
    <col min="1314" max="1314" width="23.7109375" style="2" customWidth="1"/>
    <col min="1315" max="1315" width="12" style="2" customWidth="1"/>
    <col min="1316" max="1317" width="0.28515625" style="2" customWidth="1"/>
    <col min="1318" max="1318" width="1.42578125" style="2" customWidth="1"/>
    <col min="1319" max="1319" width="0" style="2" hidden="1" customWidth="1"/>
    <col min="1320" max="1536" width="11.42578125" style="2"/>
    <col min="1537" max="1537" width="10.28515625" style="2" customWidth="1"/>
    <col min="1538" max="1538" width="13.42578125" style="2" customWidth="1"/>
    <col min="1539" max="1539" width="4.28515625" style="2" customWidth="1"/>
    <col min="1540" max="1540" width="4" style="2" customWidth="1"/>
    <col min="1541" max="1541" width="15" style="2" customWidth="1"/>
    <col min="1542" max="1542" width="4.140625" style="2" customWidth="1"/>
    <col min="1543" max="1543" width="11.28515625" style="2" customWidth="1"/>
    <col min="1544" max="1544" width="16.140625" style="2" customWidth="1"/>
    <col min="1545" max="1545" width="11" style="2" customWidth="1"/>
    <col min="1546" max="1547" width="2.140625" style="2" customWidth="1"/>
    <col min="1548" max="1548" width="3.28515625" style="2" customWidth="1"/>
    <col min="1549" max="1550" width="0" style="2" hidden="1" customWidth="1"/>
    <col min="1551" max="1551" width="2.85546875" style="2" customWidth="1"/>
    <col min="1552" max="1552" width="3.28515625" style="2" customWidth="1"/>
    <col min="1553" max="1553" width="1.42578125" style="2" customWidth="1"/>
    <col min="1554" max="1554" width="0" style="2" hidden="1" customWidth="1"/>
    <col min="1555" max="1555" width="6.85546875" style="2" customWidth="1"/>
    <col min="1556" max="1556" width="0" style="2" hidden="1" customWidth="1"/>
    <col min="1557" max="1558" width="6.28515625" style="2" customWidth="1"/>
    <col min="1559" max="1560" width="13.85546875" style="2" customWidth="1"/>
    <col min="1561" max="1561" width="10.85546875" style="2" customWidth="1"/>
    <col min="1562" max="1562" width="14.140625" style="2" customWidth="1"/>
    <col min="1563" max="1563" width="0" style="2" hidden="1" customWidth="1"/>
    <col min="1564" max="1564" width="13" style="2" customWidth="1"/>
    <col min="1565" max="1565" width="13.140625" style="2" customWidth="1"/>
    <col min="1566" max="1567" width="14" style="2" customWidth="1"/>
    <col min="1568" max="1568" width="11.42578125" style="2" customWidth="1"/>
    <col min="1569" max="1569" width="15.85546875" style="2" customWidth="1"/>
    <col min="1570" max="1570" width="23.7109375" style="2" customWidth="1"/>
    <col min="1571" max="1571" width="12" style="2" customWidth="1"/>
    <col min="1572" max="1573" width="0.28515625" style="2" customWidth="1"/>
    <col min="1574" max="1574" width="1.42578125" style="2" customWidth="1"/>
    <col min="1575" max="1575" width="0" style="2" hidden="1" customWidth="1"/>
    <col min="1576" max="1792" width="11.42578125" style="2"/>
    <col min="1793" max="1793" width="10.28515625" style="2" customWidth="1"/>
    <col min="1794" max="1794" width="13.42578125" style="2" customWidth="1"/>
    <col min="1795" max="1795" width="4.28515625" style="2" customWidth="1"/>
    <col min="1796" max="1796" width="4" style="2" customWidth="1"/>
    <col min="1797" max="1797" width="15" style="2" customWidth="1"/>
    <col min="1798" max="1798" width="4.140625" style="2" customWidth="1"/>
    <col min="1799" max="1799" width="11.28515625" style="2" customWidth="1"/>
    <col min="1800" max="1800" width="16.140625" style="2" customWidth="1"/>
    <col min="1801" max="1801" width="11" style="2" customWidth="1"/>
    <col min="1802" max="1803" width="2.140625" style="2" customWidth="1"/>
    <col min="1804" max="1804" width="3.28515625" style="2" customWidth="1"/>
    <col min="1805" max="1806" width="0" style="2" hidden="1" customWidth="1"/>
    <col min="1807" max="1807" width="2.85546875" style="2" customWidth="1"/>
    <col min="1808" max="1808" width="3.28515625" style="2" customWidth="1"/>
    <col min="1809" max="1809" width="1.42578125" style="2" customWidth="1"/>
    <col min="1810" max="1810" width="0" style="2" hidden="1" customWidth="1"/>
    <col min="1811" max="1811" width="6.85546875" style="2" customWidth="1"/>
    <col min="1812" max="1812" width="0" style="2" hidden="1" customWidth="1"/>
    <col min="1813" max="1814" width="6.28515625" style="2" customWidth="1"/>
    <col min="1815" max="1816" width="13.85546875" style="2" customWidth="1"/>
    <col min="1817" max="1817" width="10.85546875" style="2" customWidth="1"/>
    <col min="1818" max="1818" width="14.140625" style="2" customWidth="1"/>
    <col min="1819" max="1819" width="0" style="2" hidden="1" customWidth="1"/>
    <col min="1820" max="1820" width="13" style="2" customWidth="1"/>
    <col min="1821" max="1821" width="13.140625" style="2" customWidth="1"/>
    <col min="1822" max="1823" width="14" style="2" customWidth="1"/>
    <col min="1824" max="1824" width="11.42578125" style="2" customWidth="1"/>
    <col min="1825" max="1825" width="15.85546875" style="2" customWidth="1"/>
    <col min="1826" max="1826" width="23.7109375" style="2" customWidth="1"/>
    <col min="1827" max="1827" width="12" style="2" customWidth="1"/>
    <col min="1828" max="1829" width="0.28515625" style="2" customWidth="1"/>
    <col min="1830" max="1830" width="1.42578125" style="2" customWidth="1"/>
    <col min="1831" max="1831" width="0" style="2" hidden="1" customWidth="1"/>
    <col min="1832" max="2048" width="11.42578125" style="2"/>
    <col min="2049" max="2049" width="10.28515625" style="2" customWidth="1"/>
    <col min="2050" max="2050" width="13.42578125" style="2" customWidth="1"/>
    <col min="2051" max="2051" width="4.28515625" style="2" customWidth="1"/>
    <col min="2052" max="2052" width="4" style="2" customWidth="1"/>
    <col min="2053" max="2053" width="15" style="2" customWidth="1"/>
    <col min="2054" max="2054" width="4.140625" style="2" customWidth="1"/>
    <col min="2055" max="2055" width="11.28515625" style="2" customWidth="1"/>
    <col min="2056" max="2056" width="16.140625" style="2" customWidth="1"/>
    <col min="2057" max="2057" width="11" style="2" customWidth="1"/>
    <col min="2058" max="2059" width="2.140625" style="2" customWidth="1"/>
    <col min="2060" max="2060" width="3.28515625" style="2" customWidth="1"/>
    <col min="2061" max="2062" width="0" style="2" hidden="1" customWidth="1"/>
    <col min="2063" max="2063" width="2.85546875" style="2" customWidth="1"/>
    <col min="2064" max="2064" width="3.28515625" style="2" customWidth="1"/>
    <col min="2065" max="2065" width="1.42578125" style="2" customWidth="1"/>
    <col min="2066" max="2066" width="0" style="2" hidden="1" customWidth="1"/>
    <col min="2067" max="2067" width="6.85546875" style="2" customWidth="1"/>
    <col min="2068" max="2068" width="0" style="2" hidden="1" customWidth="1"/>
    <col min="2069" max="2070" width="6.28515625" style="2" customWidth="1"/>
    <col min="2071" max="2072" width="13.85546875" style="2" customWidth="1"/>
    <col min="2073" max="2073" width="10.85546875" style="2" customWidth="1"/>
    <col min="2074" max="2074" width="14.140625" style="2" customWidth="1"/>
    <col min="2075" max="2075" width="0" style="2" hidden="1" customWidth="1"/>
    <col min="2076" max="2076" width="13" style="2" customWidth="1"/>
    <col min="2077" max="2077" width="13.140625" style="2" customWidth="1"/>
    <col min="2078" max="2079" width="14" style="2" customWidth="1"/>
    <col min="2080" max="2080" width="11.42578125" style="2" customWidth="1"/>
    <col min="2081" max="2081" width="15.85546875" style="2" customWidth="1"/>
    <col min="2082" max="2082" width="23.7109375" style="2" customWidth="1"/>
    <col min="2083" max="2083" width="12" style="2" customWidth="1"/>
    <col min="2084" max="2085" width="0.28515625" style="2" customWidth="1"/>
    <col min="2086" max="2086" width="1.42578125" style="2" customWidth="1"/>
    <col min="2087" max="2087" width="0" style="2" hidden="1" customWidth="1"/>
    <col min="2088" max="2304" width="11.42578125" style="2"/>
    <col min="2305" max="2305" width="10.28515625" style="2" customWidth="1"/>
    <col min="2306" max="2306" width="13.42578125" style="2" customWidth="1"/>
    <col min="2307" max="2307" width="4.28515625" style="2" customWidth="1"/>
    <col min="2308" max="2308" width="4" style="2" customWidth="1"/>
    <col min="2309" max="2309" width="15" style="2" customWidth="1"/>
    <col min="2310" max="2310" width="4.140625" style="2" customWidth="1"/>
    <col min="2311" max="2311" width="11.28515625" style="2" customWidth="1"/>
    <col min="2312" max="2312" width="16.140625" style="2" customWidth="1"/>
    <col min="2313" max="2313" width="11" style="2" customWidth="1"/>
    <col min="2314" max="2315" width="2.140625" style="2" customWidth="1"/>
    <col min="2316" max="2316" width="3.28515625" style="2" customWidth="1"/>
    <col min="2317" max="2318" width="0" style="2" hidden="1" customWidth="1"/>
    <col min="2319" max="2319" width="2.85546875" style="2" customWidth="1"/>
    <col min="2320" max="2320" width="3.28515625" style="2" customWidth="1"/>
    <col min="2321" max="2321" width="1.42578125" style="2" customWidth="1"/>
    <col min="2322" max="2322" width="0" style="2" hidden="1" customWidth="1"/>
    <col min="2323" max="2323" width="6.85546875" style="2" customWidth="1"/>
    <col min="2324" max="2324" width="0" style="2" hidden="1" customWidth="1"/>
    <col min="2325" max="2326" width="6.28515625" style="2" customWidth="1"/>
    <col min="2327" max="2328" width="13.85546875" style="2" customWidth="1"/>
    <col min="2329" max="2329" width="10.85546875" style="2" customWidth="1"/>
    <col min="2330" max="2330" width="14.140625" style="2" customWidth="1"/>
    <col min="2331" max="2331" width="0" style="2" hidden="1" customWidth="1"/>
    <col min="2332" max="2332" width="13" style="2" customWidth="1"/>
    <col min="2333" max="2333" width="13.140625" style="2" customWidth="1"/>
    <col min="2334" max="2335" width="14" style="2" customWidth="1"/>
    <col min="2336" max="2336" width="11.42578125" style="2" customWidth="1"/>
    <col min="2337" max="2337" width="15.85546875" style="2" customWidth="1"/>
    <col min="2338" max="2338" width="23.7109375" style="2" customWidth="1"/>
    <col min="2339" max="2339" width="12" style="2" customWidth="1"/>
    <col min="2340" max="2341" width="0.28515625" style="2" customWidth="1"/>
    <col min="2342" max="2342" width="1.42578125" style="2" customWidth="1"/>
    <col min="2343" max="2343" width="0" style="2" hidden="1" customWidth="1"/>
    <col min="2344" max="2560" width="11.42578125" style="2"/>
    <col min="2561" max="2561" width="10.28515625" style="2" customWidth="1"/>
    <col min="2562" max="2562" width="13.42578125" style="2" customWidth="1"/>
    <col min="2563" max="2563" width="4.28515625" style="2" customWidth="1"/>
    <col min="2564" max="2564" width="4" style="2" customWidth="1"/>
    <col min="2565" max="2565" width="15" style="2" customWidth="1"/>
    <col min="2566" max="2566" width="4.140625" style="2" customWidth="1"/>
    <col min="2567" max="2567" width="11.28515625" style="2" customWidth="1"/>
    <col min="2568" max="2568" width="16.140625" style="2" customWidth="1"/>
    <col min="2569" max="2569" width="11" style="2" customWidth="1"/>
    <col min="2570" max="2571" width="2.140625" style="2" customWidth="1"/>
    <col min="2572" max="2572" width="3.28515625" style="2" customWidth="1"/>
    <col min="2573" max="2574" width="0" style="2" hidden="1" customWidth="1"/>
    <col min="2575" max="2575" width="2.85546875" style="2" customWidth="1"/>
    <col min="2576" max="2576" width="3.28515625" style="2" customWidth="1"/>
    <col min="2577" max="2577" width="1.42578125" style="2" customWidth="1"/>
    <col min="2578" max="2578" width="0" style="2" hidden="1" customWidth="1"/>
    <col min="2579" max="2579" width="6.85546875" style="2" customWidth="1"/>
    <col min="2580" max="2580" width="0" style="2" hidden="1" customWidth="1"/>
    <col min="2581" max="2582" width="6.28515625" style="2" customWidth="1"/>
    <col min="2583" max="2584" width="13.85546875" style="2" customWidth="1"/>
    <col min="2585" max="2585" width="10.85546875" style="2" customWidth="1"/>
    <col min="2586" max="2586" width="14.140625" style="2" customWidth="1"/>
    <col min="2587" max="2587" width="0" style="2" hidden="1" customWidth="1"/>
    <col min="2588" max="2588" width="13" style="2" customWidth="1"/>
    <col min="2589" max="2589" width="13.140625" style="2" customWidth="1"/>
    <col min="2590" max="2591" width="14" style="2" customWidth="1"/>
    <col min="2592" max="2592" width="11.42578125" style="2" customWidth="1"/>
    <col min="2593" max="2593" width="15.85546875" style="2" customWidth="1"/>
    <col min="2594" max="2594" width="23.7109375" style="2" customWidth="1"/>
    <col min="2595" max="2595" width="12" style="2" customWidth="1"/>
    <col min="2596" max="2597" width="0.28515625" style="2" customWidth="1"/>
    <col min="2598" max="2598" width="1.42578125" style="2" customWidth="1"/>
    <col min="2599" max="2599" width="0" style="2" hidden="1" customWidth="1"/>
    <col min="2600" max="2816" width="11.42578125" style="2"/>
    <col min="2817" max="2817" width="10.28515625" style="2" customWidth="1"/>
    <col min="2818" max="2818" width="13.42578125" style="2" customWidth="1"/>
    <col min="2819" max="2819" width="4.28515625" style="2" customWidth="1"/>
    <col min="2820" max="2820" width="4" style="2" customWidth="1"/>
    <col min="2821" max="2821" width="15" style="2" customWidth="1"/>
    <col min="2822" max="2822" width="4.140625" style="2" customWidth="1"/>
    <col min="2823" max="2823" width="11.28515625" style="2" customWidth="1"/>
    <col min="2824" max="2824" width="16.140625" style="2" customWidth="1"/>
    <col min="2825" max="2825" width="11" style="2" customWidth="1"/>
    <col min="2826" max="2827" width="2.140625" style="2" customWidth="1"/>
    <col min="2828" max="2828" width="3.28515625" style="2" customWidth="1"/>
    <col min="2829" max="2830" width="0" style="2" hidden="1" customWidth="1"/>
    <col min="2831" max="2831" width="2.85546875" style="2" customWidth="1"/>
    <col min="2832" max="2832" width="3.28515625" style="2" customWidth="1"/>
    <col min="2833" max="2833" width="1.42578125" style="2" customWidth="1"/>
    <col min="2834" max="2834" width="0" style="2" hidden="1" customWidth="1"/>
    <col min="2835" max="2835" width="6.85546875" style="2" customWidth="1"/>
    <col min="2836" max="2836" width="0" style="2" hidden="1" customWidth="1"/>
    <col min="2837" max="2838" width="6.28515625" style="2" customWidth="1"/>
    <col min="2839" max="2840" width="13.85546875" style="2" customWidth="1"/>
    <col min="2841" max="2841" width="10.85546875" style="2" customWidth="1"/>
    <col min="2842" max="2842" width="14.140625" style="2" customWidth="1"/>
    <col min="2843" max="2843" width="0" style="2" hidden="1" customWidth="1"/>
    <col min="2844" max="2844" width="13" style="2" customWidth="1"/>
    <col min="2845" max="2845" width="13.140625" style="2" customWidth="1"/>
    <col min="2846" max="2847" width="14" style="2" customWidth="1"/>
    <col min="2848" max="2848" width="11.42578125" style="2" customWidth="1"/>
    <col min="2849" max="2849" width="15.85546875" style="2" customWidth="1"/>
    <col min="2850" max="2850" width="23.7109375" style="2" customWidth="1"/>
    <col min="2851" max="2851" width="12" style="2" customWidth="1"/>
    <col min="2852" max="2853" width="0.28515625" style="2" customWidth="1"/>
    <col min="2854" max="2854" width="1.42578125" style="2" customWidth="1"/>
    <col min="2855" max="2855" width="0" style="2" hidden="1" customWidth="1"/>
    <col min="2856" max="3072" width="11.42578125" style="2"/>
    <col min="3073" max="3073" width="10.28515625" style="2" customWidth="1"/>
    <col min="3074" max="3074" width="13.42578125" style="2" customWidth="1"/>
    <col min="3075" max="3075" width="4.28515625" style="2" customWidth="1"/>
    <col min="3076" max="3076" width="4" style="2" customWidth="1"/>
    <col min="3077" max="3077" width="15" style="2" customWidth="1"/>
    <col min="3078" max="3078" width="4.140625" style="2" customWidth="1"/>
    <col min="3079" max="3079" width="11.28515625" style="2" customWidth="1"/>
    <col min="3080" max="3080" width="16.140625" style="2" customWidth="1"/>
    <col min="3081" max="3081" width="11" style="2" customWidth="1"/>
    <col min="3082" max="3083" width="2.140625" style="2" customWidth="1"/>
    <col min="3084" max="3084" width="3.28515625" style="2" customWidth="1"/>
    <col min="3085" max="3086" width="0" style="2" hidden="1" customWidth="1"/>
    <col min="3087" max="3087" width="2.85546875" style="2" customWidth="1"/>
    <col min="3088" max="3088" width="3.28515625" style="2" customWidth="1"/>
    <col min="3089" max="3089" width="1.42578125" style="2" customWidth="1"/>
    <col min="3090" max="3090" width="0" style="2" hidden="1" customWidth="1"/>
    <col min="3091" max="3091" width="6.85546875" style="2" customWidth="1"/>
    <col min="3092" max="3092" width="0" style="2" hidden="1" customWidth="1"/>
    <col min="3093" max="3094" width="6.28515625" style="2" customWidth="1"/>
    <col min="3095" max="3096" width="13.85546875" style="2" customWidth="1"/>
    <col min="3097" max="3097" width="10.85546875" style="2" customWidth="1"/>
    <col min="3098" max="3098" width="14.140625" style="2" customWidth="1"/>
    <col min="3099" max="3099" width="0" style="2" hidden="1" customWidth="1"/>
    <col min="3100" max="3100" width="13" style="2" customWidth="1"/>
    <col min="3101" max="3101" width="13.140625" style="2" customWidth="1"/>
    <col min="3102" max="3103" width="14" style="2" customWidth="1"/>
    <col min="3104" max="3104" width="11.42578125" style="2" customWidth="1"/>
    <col min="3105" max="3105" width="15.85546875" style="2" customWidth="1"/>
    <col min="3106" max="3106" width="23.7109375" style="2" customWidth="1"/>
    <col min="3107" max="3107" width="12" style="2" customWidth="1"/>
    <col min="3108" max="3109" width="0.28515625" style="2" customWidth="1"/>
    <col min="3110" max="3110" width="1.42578125" style="2" customWidth="1"/>
    <col min="3111" max="3111" width="0" style="2" hidden="1" customWidth="1"/>
    <col min="3112" max="3328" width="11.42578125" style="2"/>
    <col min="3329" max="3329" width="10.28515625" style="2" customWidth="1"/>
    <col min="3330" max="3330" width="13.42578125" style="2" customWidth="1"/>
    <col min="3331" max="3331" width="4.28515625" style="2" customWidth="1"/>
    <col min="3332" max="3332" width="4" style="2" customWidth="1"/>
    <col min="3333" max="3333" width="15" style="2" customWidth="1"/>
    <col min="3334" max="3334" width="4.140625" style="2" customWidth="1"/>
    <col min="3335" max="3335" width="11.28515625" style="2" customWidth="1"/>
    <col min="3336" max="3336" width="16.140625" style="2" customWidth="1"/>
    <col min="3337" max="3337" width="11" style="2" customWidth="1"/>
    <col min="3338" max="3339" width="2.140625" style="2" customWidth="1"/>
    <col min="3340" max="3340" width="3.28515625" style="2" customWidth="1"/>
    <col min="3341" max="3342" width="0" style="2" hidden="1" customWidth="1"/>
    <col min="3343" max="3343" width="2.85546875" style="2" customWidth="1"/>
    <col min="3344" max="3344" width="3.28515625" style="2" customWidth="1"/>
    <col min="3345" max="3345" width="1.42578125" style="2" customWidth="1"/>
    <col min="3346" max="3346" width="0" style="2" hidden="1" customWidth="1"/>
    <col min="3347" max="3347" width="6.85546875" style="2" customWidth="1"/>
    <col min="3348" max="3348" width="0" style="2" hidden="1" customWidth="1"/>
    <col min="3349" max="3350" width="6.28515625" style="2" customWidth="1"/>
    <col min="3351" max="3352" width="13.85546875" style="2" customWidth="1"/>
    <col min="3353" max="3353" width="10.85546875" style="2" customWidth="1"/>
    <col min="3354" max="3354" width="14.140625" style="2" customWidth="1"/>
    <col min="3355" max="3355" width="0" style="2" hidden="1" customWidth="1"/>
    <col min="3356" max="3356" width="13" style="2" customWidth="1"/>
    <col min="3357" max="3357" width="13.140625" style="2" customWidth="1"/>
    <col min="3358" max="3359" width="14" style="2" customWidth="1"/>
    <col min="3360" max="3360" width="11.42578125" style="2" customWidth="1"/>
    <col min="3361" max="3361" width="15.85546875" style="2" customWidth="1"/>
    <col min="3362" max="3362" width="23.7109375" style="2" customWidth="1"/>
    <col min="3363" max="3363" width="12" style="2" customWidth="1"/>
    <col min="3364" max="3365" width="0.28515625" style="2" customWidth="1"/>
    <col min="3366" max="3366" width="1.42578125" style="2" customWidth="1"/>
    <col min="3367" max="3367" width="0" style="2" hidden="1" customWidth="1"/>
    <col min="3368" max="3584" width="11.42578125" style="2"/>
    <col min="3585" max="3585" width="10.28515625" style="2" customWidth="1"/>
    <col min="3586" max="3586" width="13.42578125" style="2" customWidth="1"/>
    <col min="3587" max="3587" width="4.28515625" style="2" customWidth="1"/>
    <col min="3588" max="3588" width="4" style="2" customWidth="1"/>
    <col min="3589" max="3589" width="15" style="2" customWidth="1"/>
    <col min="3590" max="3590" width="4.140625" style="2" customWidth="1"/>
    <col min="3591" max="3591" width="11.28515625" style="2" customWidth="1"/>
    <col min="3592" max="3592" width="16.140625" style="2" customWidth="1"/>
    <col min="3593" max="3593" width="11" style="2" customWidth="1"/>
    <col min="3594" max="3595" width="2.140625" style="2" customWidth="1"/>
    <col min="3596" max="3596" width="3.28515625" style="2" customWidth="1"/>
    <col min="3597" max="3598" width="0" style="2" hidden="1" customWidth="1"/>
    <col min="3599" max="3599" width="2.85546875" style="2" customWidth="1"/>
    <col min="3600" max="3600" width="3.28515625" style="2" customWidth="1"/>
    <col min="3601" max="3601" width="1.42578125" style="2" customWidth="1"/>
    <col min="3602" max="3602" width="0" style="2" hidden="1" customWidth="1"/>
    <col min="3603" max="3603" width="6.85546875" style="2" customWidth="1"/>
    <col min="3604" max="3604" width="0" style="2" hidden="1" customWidth="1"/>
    <col min="3605" max="3606" width="6.28515625" style="2" customWidth="1"/>
    <col min="3607" max="3608" width="13.85546875" style="2" customWidth="1"/>
    <col min="3609" max="3609" width="10.85546875" style="2" customWidth="1"/>
    <col min="3610" max="3610" width="14.140625" style="2" customWidth="1"/>
    <col min="3611" max="3611" width="0" style="2" hidden="1" customWidth="1"/>
    <col min="3612" max="3612" width="13" style="2" customWidth="1"/>
    <col min="3613" max="3613" width="13.140625" style="2" customWidth="1"/>
    <col min="3614" max="3615" width="14" style="2" customWidth="1"/>
    <col min="3616" max="3616" width="11.42578125" style="2" customWidth="1"/>
    <col min="3617" max="3617" width="15.85546875" style="2" customWidth="1"/>
    <col min="3618" max="3618" width="23.7109375" style="2" customWidth="1"/>
    <col min="3619" max="3619" width="12" style="2" customWidth="1"/>
    <col min="3620" max="3621" width="0.28515625" style="2" customWidth="1"/>
    <col min="3622" max="3622" width="1.42578125" style="2" customWidth="1"/>
    <col min="3623" max="3623" width="0" style="2" hidden="1" customWidth="1"/>
    <col min="3624" max="3840" width="11.42578125" style="2"/>
    <col min="3841" max="3841" width="10.28515625" style="2" customWidth="1"/>
    <col min="3842" max="3842" width="13.42578125" style="2" customWidth="1"/>
    <col min="3843" max="3843" width="4.28515625" style="2" customWidth="1"/>
    <col min="3844" max="3844" width="4" style="2" customWidth="1"/>
    <col min="3845" max="3845" width="15" style="2" customWidth="1"/>
    <col min="3846" max="3846" width="4.140625" style="2" customWidth="1"/>
    <col min="3847" max="3847" width="11.28515625" style="2" customWidth="1"/>
    <col min="3848" max="3848" width="16.140625" style="2" customWidth="1"/>
    <col min="3849" max="3849" width="11" style="2" customWidth="1"/>
    <col min="3850" max="3851" width="2.140625" style="2" customWidth="1"/>
    <col min="3852" max="3852" width="3.28515625" style="2" customWidth="1"/>
    <col min="3853" max="3854" width="0" style="2" hidden="1" customWidth="1"/>
    <col min="3855" max="3855" width="2.85546875" style="2" customWidth="1"/>
    <col min="3856" max="3856" width="3.28515625" style="2" customWidth="1"/>
    <col min="3857" max="3857" width="1.42578125" style="2" customWidth="1"/>
    <col min="3858" max="3858" width="0" style="2" hidden="1" customWidth="1"/>
    <col min="3859" max="3859" width="6.85546875" style="2" customWidth="1"/>
    <col min="3860" max="3860" width="0" style="2" hidden="1" customWidth="1"/>
    <col min="3861" max="3862" width="6.28515625" style="2" customWidth="1"/>
    <col min="3863" max="3864" width="13.85546875" style="2" customWidth="1"/>
    <col min="3865" max="3865" width="10.85546875" style="2" customWidth="1"/>
    <col min="3866" max="3866" width="14.140625" style="2" customWidth="1"/>
    <col min="3867" max="3867" width="0" style="2" hidden="1" customWidth="1"/>
    <col min="3868" max="3868" width="13" style="2" customWidth="1"/>
    <col min="3869" max="3869" width="13.140625" style="2" customWidth="1"/>
    <col min="3870" max="3871" width="14" style="2" customWidth="1"/>
    <col min="3872" max="3872" width="11.42578125" style="2" customWidth="1"/>
    <col min="3873" max="3873" width="15.85546875" style="2" customWidth="1"/>
    <col min="3874" max="3874" width="23.7109375" style="2" customWidth="1"/>
    <col min="3875" max="3875" width="12" style="2" customWidth="1"/>
    <col min="3876" max="3877" width="0.28515625" style="2" customWidth="1"/>
    <col min="3878" max="3878" width="1.42578125" style="2" customWidth="1"/>
    <col min="3879" max="3879" width="0" style="2" hidden="1" customWidth="1"/>
    <col min="3880" max="4096" width="11.42578125" style="2"/>
    <col min="4097" max="4097" width="10.28515625" style="2" customWidth="1"/>
    <col min="4098" max="4098" width="13.42578125" style="2" customWidth="1"/>
    <col min="4099" max="4099" width="4.28515625" style="2" customWidth="1"/>
    <col min="4100" max="4100" width="4" style="2" customWidth="1"/>
    <col min="4101" max="4101" width="15" style="2" customWidth="1"/>
    <col min="4102" max="4102" width="4.140625" style="2" customWidth="1"/>
    <col min="4103" max="4103" width="11.28515625" style="2" customWidth="1"/>
    <col min="4104" max="4104" width="16.140625" style="2" customWidth="1"/>
    <col min="4105" max="4105" width="11" style="2" customWidth="1"/>
    <col min="4106" max="4107" width="2.140625" style="2" customWidth="1"/>
    <col min="4108" max="4108" width="3.28515625" style="2" customWidth="1"/>
    <col min="4109" max="4110" width="0" style="2" hidden="1" customWidth="1"/>
    <col min="4111" max="4111" width="2.85546875" style="2" customWidth="1"/>
    <col min="4112" max="4112" width="3.28515625" style="2" customWidth="1"/>
    <col min="4113" max="4113" width="1.42578125" style="2" customWidth="1"/>
    <col min="4114" max="4114" width="0" style="2" hidden="1" customWidth="1"/>
    <col min="4115" max="4115" width="6.85546875" style="2" customWidth="1"/>
    <col min="4116" max="4116" width="0" style="2" hidden="1" customWidth="1"/>
    <col min="4117" max="4118" width="6.28515625" style="2" customWidth="1"/>
    <col min="4119" max="4120" width="13.85546875" style="2" customWidth="1"/>
    <col min="4121" max="4121" width="10.85546875" style="2" customWidth="1"/>
    <col min="4122" max="4122" width="14.140625" style="2" customWidth="1"/>
    <col min="4123" max="4123" width="0" style="2" hidden="1" customWidth="1"/>
    <col min="4124" max="4124" width="13" style="2" customWidth="1"/>
    <col min="4125" max="4125" width="13.140625" style="2" customWidth="1"/>
    <col min="4126" max="4127" width="14" style="2" customWidth="1"/>
    <col min="4128" max="4128" width="11.42578125" style="2" customWidth="1"/>
    <col min="4129" max="4129" width="15.85546875" style="2" customWidth="1"/>
    <col min="4130" max="4130" width="23.7109375" style="2" customWidth="1"/>
    <col min="4131" max="4131" width="12" style="2" customWidth="1"/>
    <col min="4132" max="4133" width="0.28515625" style="2" customWidth="1"/>
    <col min="4134" max="4134" width="1.42578125" style="2" customWidth="1"/>
    <col min="4135" max="4135" width="0" style="2" hidden="1" customWidth="1"/>
    <col min="4136" max="4352" width="11.42578125" style="2"/>
    <col min="4353" max="4353" width="10.28515625" style="2" customWidth="1"/>
    <col min="4354" max="4354" width="13.42578125" style="2" customWidth="1"/>
    <col min="4355" max="4355" width="4.28515625" style="2" customWidth="1"/>
    <col min="4356" max="4356" width="4" style="2" customWidth="1"/>
    <col min="4357" max="4357" width="15" style="2" customWidth="1"/>
    <col min="4358" max="4358" width="4.140625" style="2" customWidth="1"/>
    <col min="4359" max="4359" width="11.28515625" style="2" customWidth="1"/>
    <col min="4360" max="4360" width="16.140625" style="2" customWidth="1"/>
    <col min="4361" max="4361" width="11" style="2" customWidth="1"/>
    <col min="4362" max="4363" width="2.140625" style="2" customWidth="1"/>
    <col min="4364" max="4364" width="3.28515625" style="2" customWidth="1"/>
    <col min="4365" max="4366" width="0" style="2" hidden="1" customWidth="1"/>
    <col min="4367" max="4367" width="2.85546875" style="2" customWidth="1"/>
    <col min="4368" max="4368" width="3.28515625" style="2" customWidth="1"/>
    <col min="4369" max="4369" width="1.42578125" style="2" customWidth="1"/>
    <col min="4370" max="4370" width="0" style="2" hidden="1" customWidth="1"/>
    <col min="4371" max="4371" width="6.85546875" style="2" customWidth="1"/>
    <col min="4372" max="4372" width="0" style="2" hidden="1" customWidth="1"/>
    <col min="4373" max="4374" width="6.28515625" style="2" customWidth="1"/>
    <col min="4375" max="4376" width="13.85546875" style="2" customWidth="1"/>
    <col min="4377" max="4377" width="10.85546875" style="2" customWidth="1"/>
    <col min="4378" max="4378" width="14.140625" style="2" customWidth="1"/>
    <col min="4379" max="4379" width="0" style="2" hidden="1" customWidth="1"/>
    <col min="4380" max="4380" width="13" style="2" customWidth="1"/>
    <col min="4381" max="4381" width="13.140625" style="2" customWidth="1"/>
    <col min="4382" max="4383" width="14" style="2" customWidth="1"/>
    <col min="4384" max="4384" width="11.42578125" style="2" customWidth="1"/>
    <col min="4385" max="4385" width="15.85546875" style="2" customWidth="1"/>
    <col min="4386" max="4386" width="23.7109375" style="2" customWidth="1"/>
    <col min="4387" max="4387" width="12" style="2" customWidth="1"/>
    <col min="4388" max="4389" width="0.28515625" style="2" customWidth="1"/>
    <col min="4390" max="4390" width="1.42578125" style="2" customWidth="1"/>
    <col min="4391" max="4391" width="0" style="2" hidden="1" customWidth="1"/>
    <col min="4392" max="4608" width="11.42578125" style="2"/>
    <col min="4609" max="4609" width="10.28515625" style="2" customWidth="1"/>
    <col min="4610" max="4610" width="13.42578125" style="2" customWidth="1"/>
    <col min="4611" max="4611" width="4.28515625" style="2" customWidth="1"/>
    <col min="4612" max="4612" width="4" style="2" customWidth="1"/>
    <col min="4613" max="4613" width="15" style="2" customWidth="1"/>
    <col min="4614" max="4614" width="4.140625" style="2" customWidth="1"/>
    <col min="4615" max="4615" width="11.28515625" style="2" customWidth="1"/>
    <col min="4616" max="4616" width="16.140625" style="2" customWidth="1"/>
    <col min="4617" max="4617" width="11" style="2" customWidth="1"/>
    <col min="4618" max="4619" width="2.140625" style="2" customWidth="1"/>
    <col min="4620" max="4620" width="3.28515625" style="2" customWidth="1"/>
    <col min="4621" max="4622" width="0" style="2" hidden="1" customWidth="1"/>
    <col min="4623" max="4623" width="2.85546875" style="2" customWidth="1"/>
    <col min="4624" max="4624" width="3.28515625" style="2" customWidth="1"/>
    <col min="4625" max="4625" width="1.42578125" style="2" customWidth="1"/>
    <col min="4626" max="4626" width="0" style="2" hidden="1" customWidth="1"/>
    <col min="4627" max="4627" width="6.85546875" style="2" customWidth="1"/>
    <col min="4628" max="4628" width="0" style="2" hidden="1" customWidth="1"/>
    <col min="4629" max="4630" width="6.28515625" style="2" customWidth="1"/>
    <col min="4631" max="4632" width="13.85546875" style="2" customWidth="1"/>
    <col min="4633" max="4633" width="10.85546875" style="2" customWidth="1"/>
    <col min="4634" max="4634" width="14.140625" style="2" customWidth="1"/>
    <col min="4635" max="4635" width="0" style="2" hidden="1" customWidth="1"/>
    <col min="4636" max="4636" width="13" style="2" customWidth="1"/>
    <col min="4637" max="4637" width="13.140625" style="2" customWidth="1"/>
    <col min="4638" max="4639" width="14" style="2" customWidth="1"/>
    <col min="4640" max="4640" width="11.42578125" style="2" customWidth="1"/>
    <col min="4641" max="4641" width="15.85546875" style="2" customWidth="1"/>
    <col min="4642" max="4642" width="23.7109375" style="2" customWidth="1"/>
    <col min="4643" max="4643" width="12" style="2" customWidth="1"/>
    <col min="4644" max="4645" width="0.28515625" style="2" customWidth="1"/>
    <col min="4646" max="4646" width="1.42578125" style="2" customWidth="1"/>
    <col min="4647" max="4647" width="0" style="2" hidden="1" customWidth="1"/>
    <col min="4648" max="4864" width="11.42578125" style="2"/>
    <col min="4865" max="4865" width="10.28515625" style="2" customWidth="1"/>
    <col min="4866" max="4866" width="13.42578125" style="2" customWidth="1"/>
    <col min="4867" max="4867" width="4.28515625" style="2" customWidth="1"/>
    <col min="4868" max="4868" width="4" style="2" customWidth="1"/>
    <col min="4869" max="4869" width="15" style="2" customWidth="1"/>
    <col min="4870" max="4870" width="4.140625" style="2" customWidth="1"/>
    <col min="4871" max="4871" width="11.28515625" style="2" customWidth="1"/>
    <col min="4872" max="4872" width="16.140625" style="2" customWidth="1"/>
    <col min="4873" max="4873" width="11" style="2" customWidth="1"/>
    <col min="4874" max="4875" width="2.140625" style="2" customWidth="1"/>
    <col min="4876" max="4876" width="3.28515625" style="2" customWidth="1"/>
    <col min="4877" max="4878" width="0" style="2" hidden="1" customWidth="1"/>
    <col min="4879" max="4879" width="2.85546875" style="2" customWidth="1"/>
    <col min="4880" max="4880" width="3.28515625" style="2" customWidth="1"/>
    <col min="4881" max="4881" width="1.42578125" style="2" customWidth="1"/>
    <col min="4882" max="4882" width="0" style="2" hidden="1" customWidth="1"/>
    <col min="4883" max="4883" width="6.85546875" style="2" customWidth="1"/>
    <col min="4884" max="4884" width="0" style="2" hidden="1" customWidth="1"/>
    <col min="4885" max="4886" width="6.28515625" style="2" customWidth="1"/>
    <col min="4887" max="4888" width="13.85546875" style="2" customWidth="1"/>
    <col min="4889" max="4889" width="10.85546875" style="2" customWidth="1"/>
    <col min="4890" max="4890" width="14.140625" style="2" customWidth="1"/>
    <col min="4891" max="4891" width="0" style="2" hidden="1" customWidth="1"/>
    <col min="4892" max="4892" width="13" style="2" customWidth="1"/>
    <col min="4893" max="4893" width="13.140625" style="2" customWidth="1"/>
    <col min="4894" max="4895" width="14" style="2" customWidth="1"/>
    <col min="4896" max="4896" width="11.42578125" style="2" customWidth="1"/>
    <col min="4897" max="4897" width="15.85546875" style="2" customWidth="1"/>
    <col min="4898" max="4898" width="23.7109375" style="2" customWidth="1"/>
    <col min="4899" max="4899" width="12" style="2" customWidth="1"/>
    <col min="4900" max="4901" width="0.28515625" style="2" customWidth="1"/>
    <col min="4902" max="4902" width="1.42578125" style="2" customWidth="1"/>
    <col min="4903" max="4903" width="0" style="2" hidden="1" customWidth="1"/>
    <col min="4904" max="5120" width="11.42578125" style="2"/>
    <col min="5121" max="5121" width="10.28515625" style="2" customWidth="1"/>
    <col min="5122" max="5122" width="13.42578125" style="2" customWidth="1"/>
    <col min="5123" max="5123" width="4.28515625" style="2" customWidth="1"/>
    <col min="5124" max="5124" width="4" style="2" customWidth="1"/>
    <col min="5125" max="5125" width="15" style="2" customWidth="1"/>
    <col min="5126" max="5126" width="4.140625" style="2" customWidth="1"/>
    <col min="5127" max="5127" width="11.28515625" style="2" customWidth="1"/>
    <col min="5128" max="5128" width="16.140625" style="2" customWidth="1"/>
    <col min="5129" max="5129" width="11" style="2" customWidth="1"/>
    <col min="5130" max="5131" width="2.140625" style="2" customWidth="1"/>
    <col min="5132" max="5132" width="3.28515625" style="2" customWidth="1"/>
    <col min="5133" max="5134" width="0" style="2" hidden="1" customWidth="1"/>
    <col min="5135" max="5135" width="2.85546875" style="2" customWidth="1"/>
    <col min="5136" max="5136" width="3.28515625" style="2" customWidth="1"/>
    <col min="5137" max="5137" width="1.42578125" style="2" customWidth="1"/>
    <col min="5138" max="5138" width="0" style="2" hidden="1" customWidth="1"/>
    <col min="5139" max="5139" width="6.85546875" style="2" customWidth="1"/>
    <col min="5140" max="5140" width="0" style="2" hidden="1" customWidth="1"/>
    <col min="5141" max="5142" width="6.28515625" style="2" customWidth="1"/>
    <col min="5143" max="5144" width="13.85546875" style="2" customWidth="1"/>
    <col min="5145" max="5145" width="10.85546875" style="2" customWidth="1"/>
    <col min="5146" max="5146" width="14.140625" style="2" customWidth="1"/>
    <col min="5147" max="5147" width="0" style="2" hidden="1" customWidth="1"/>
    <col min="5148" max="5148" width="13" style="2" customWidth="1"/>
    <col min="5149" max="5149" width="13.140625" style="2" customWidth="1"/>
    <col min="5150" max="5151" width="14" style="2" customWidth="1"/>
    <col min="5152" max="5152" width="11.42578125" style="2" customWidth="1"/>
    <col min="5153" max="5153" width="15.85546875" style="2" customWidth="1"/>
    <col min="5154" max="5154" width="23.7109375" style="2" customWidth="1"/>
    <col min="5155" max="5155" width="12" style="2" customWidth="1"/>
    <col min="5156" max="5157" width="0.28515625" style="2" customWidth="1"/>
    <col min="5158" max="5158" width="1.42578125" style="2" customWidth="1"/>
    <col min="5159" max="5159" width="0" style="2" hidden="1" customWidth="1"/>
    <col min="5160" max="5376" width="11.42578125" style="2"/>
    <col min="5377" max="5377" width="10.28515625" style="2" customWidth="1"/>
    <col min="5378" max="5378" width="13.42578125" style="2" customWidth="1"/>
    <col min="5379" max="5379" width="4.28515625" style="2" customWidth="1"/>
    <col min="5380" max="5380" width="4" style="2" customWidth="1"/>
    <col min="5381" max="5381" width="15" style="2" customWidth="1"/>
    <col min="5382" max="5382" width="4.140625" style="2" customWidth="1"/>
    <col min="5383" max="5383" width="11.28515625" style="2" customWidth="1"/>
    <col min="5384" max="5384" width="16.140625" style="2" customWidth="1"/>
    <col min="5385" max="5385" width="11" style="2" customWidth="1"/>
    <col min="5386" max="5387" width="2.140625" style="2" customWidth="1"/>
    <col min="5388" max="5388" width="3.28515625" style="2" customWidth="1"/>
    <col min="5389" max="5390" width="0" style="2" hidden="1" customWidth="1"/>
    <col min="5391" max="5391" width="2.85546875" style="2" customWidth="1"/>
    <col min="5392" max="5392" width="3.28515625" style="2" customWidth="1"/>
    <col min="5393" max="5393" width="1.42578125" style="2" customWidth="1"/>
    <col min="5394" max="5394" width="0" style="2" hidden="1" customWidth="1"/>
    <col min="5395" max="5395" width="6.85546875" style="2" customWidth="1"/>
    <col min="5396" max="5396" width="0" style="2" hidden="1" customWidth="1"/>
    <col min="5397" max="5398" width="6.28515625" style="2" customWidth="1"/>
    <col min="5399" max="5400" width="13.85546875" style="2" customWidth="1"/>
    <col min="5401" max="5401" width="10.85546875" style="2" customWidth="1"/>
    <col min="5402" max="5402" width="14.140625" style="2" customWidth="1"/>
    <col min="5403" max="5403" width="0" style="2" hidden="1" customWidth="1"/>
    <col min="5404" max="5404" width="13" style="2" customWidth="1"/>
    <col min="5405" max="5405" width="13.140625" style="2" customWidth="1"/>
    <col min="5406" max="5407" width="14" style="2" customWidth="1"/>
    <col min="5408" max="5408" width="11.42578125" style="2" customWidth="1"/>
    <col min="5409" max="5409" width="15.85546875" style="2" customWidth="1"/>
    <col min="5410" max="5410" width="23.7109375" style="2" customWidth="1"/>
    <col min="5411" max="5411" width="12" style="2" customWidth="1"/>
    <col min="5412" max="5413" width="0.28515625" style="2" customWidth="1"/>
    <col min="5414" max="5414" width="1.42578125" style="2" customWidth="1"/>
    <col min="5415" max="5415" width="0" style="2" hidden="1" customWidth="1"/>
    <col min="5416" max="5632" width="11.42578125" style="2"/>
    <col min="5633" max="5633" width="10.28515625" style="2" customWidth="1"/>
    <col min="5634" max="5634" width="13.42578125" style="2" customWidth="1"/>
    <col min="5635" max="5635" width="4.28515625" style="2" customWidth="1"/>
    <col min="5636" max="5636" width="4" style="2" customWidth="1"/>
    <col min="5637" max="5637" width="15" style="2" customWidth="1"/>
    <col min="5638" max="5638" width="4.140625" style="2" customWidth="1"/>
    <col min="5639" max="5639" width="11.28515625" style="2" customWidth="1"/>
    <col min="5640" max="5640" width="16.140625" style="2" customWidth="1"/>
    <col min="5641" max="5641" width="11" style="2" customWidth="1"/>
    <col min="5642" max="5643" width="2.140625" style="2" customWidth="1"/>
    <col min="5644" max="5644" width="3.28515625" style="2" customWidth="1"/>
    <col min="5645" max="5646" width="0" style="2" hidden="1" customWidth="1"/>
    <col min="5647" max="5647" width="2.85546875" style="2" customWidth="1"/>
    <col min="5648" max="5648" width="3.28515625" style="2" customWidth="1"/>
    <col min="5649" max="5649" width="1.42578125" style="2" customWidth="1"/>
    <col min="5650" max="5650" width="0" style="2" hidden="1" customWidth="1"/>
    <col min="5651" max="5651" width="6.85546875" style="2" customWidth="1"/>
    <col min="5652" max="5652" width="0" style="2" hidden="1" customWidth="1"/>
    <col min="5653" max="5654" width="6.28515625" style="2" customWidth="1"/>
    <col min="5655" max="5656" width="13.85546875" style="2" customWidth="1"/>
    <col min="5657" max="5657" width="10.85546875" style="2" customWidth="1"/>
    <col min="5658" max="5658" width="14.140625" style="2" customWidth="1"/>
    <col min="5659" max="5659" width="0" style="2" hidden="1" customWidth="1"/>
    <col min="5660" max="5660" width="13" style="2" customWidth="1"/>
    <col min="5661" max="5661" width="13.140625" style="2" customWidth="1"/>
    <col min="5662" max="5663" width="14" style="2" customWidth="1"/>
    <col min="5664" max="5664" width="11.42578125" style="2" customWidth="1"/>
    <col min="5665" max="5665" width="15.85546875" style="2" customWidth="1"/>
    <col min="5666" max="5666" width="23.7109375" style="2" customWidth="1"/>
    <col min="5667" max="5667" width="12" style="2" customWidth="1"/>
    <col min="5668" max="5669" width="0.28515625" style="2" customWidth="1"/>
    <col min="5670" max="5670" width="1.42578125" style="2" customWidth="1"/>
    <col min="5671" max="5671" width="0" style="2" hidden="1" customWidth="1"/>
    <col min="5672" max="5888" width="11.42578125" style="2"/>
    <col min="5889" max="5889" width="10.28515625" style="2" customWidth="1"/>
    <col min="5890" max="5890" width="13.42578125" style="2" customWidth="1"/>
    <col min="5891" max="5891" width="4.28515625" style="2" customWidth="1"/>
    <col min="5892" max="5892" width="4" style="2" customWidth="1"/>
    <col min="5893" max="5893" width="15" style="2" customWidth="1"/>
    <col min="5894" max="5894" width="4.140625" style="2" customWidth="1"/>
    <col min="5895" max="5895" width="11.28515625" style="2" customWidth="1"/>
    <col min="5896" max="5896" width="16.140625" style="2" customWidth="1"/>
    <col min="5897" max="5897" width="11" style="2" customWidth="1"/>
    <col min="5898" max="5899" width="2.140625" style="2" customWidth="1"/>
    <col min="5900" max="5900" width="3.28515625" style="2" customWidth="1"/>
    <col min="5901" max="5902" width="0" style="2" hidden="1" customWidth="1"/>
    <col min="5903" max="5903" width="2.85546875" style="2" customWidth="1"/>
    <col min="5904" max="5904" width="3.28515625" style="2" customWidth="1"/>
    <col min="5905" max="5905" width="1.42578125" style="2" customWidth="1"/>
    <col min="5906" max="5906" width="0" style="2" hidden="1" customWidth="1"/>
    <col min="5907" max="5907" width="6.85546875" style="2" customWidth="1"/>
    <col min="5908" max="5908" width="0" style="2" hidden="1" customWidth="1"/>
    <col min="5909" max="5910" width="6.28515625" style="2" customWidth="1"/>
    <col min="5911" max="5912" width="13.85546875" style="2" customWidth="1"/>
    <col min="5913" max="5913" width="10.85546875" style="2" customWidth="1"/>
    <col min="5914" max="5914" width="14.140625" style="2" customWidth="1"/>
    <col min="5915" max="5915" width="0" style="2" hidden="1" customWidth="1"/>
    <col min="5916" max="5916" width="13" style="2" customWidth="1"/>
    <col min="5917" max="5917" width="13.140625" style="2" customWidth="1"/>
    <col min="5918" max="5919" width="14" style="2" customWidth="1"/>
    <col min="5920" max="5920" width="11.42578125" style="2" customWidth="1"/>
    <col min="5921" max="5921" width="15.85546875" style="2" customWidth="1"/>
    <col min="5922" max="5922" width="23.7109375" style="2" customWidth="1"/>
    <col min="5923" max="5923" width="12" style="2" customWidth="1"/>
    <col min="5924" max="5925" width="0.28515625" style="2" customWidth="1"/>
    <col min="5926" max="5926" width="1.42578125" style="2" customWidth="1"/>
    <col min="5927" max="5927" width="0" style="2" hidden="1" customWidth="1"/>
    <col min="5928" max="6144" width="11.42578125" style="2"/>
    <col min="6145" max="6145" width="10.28515625" style="2" customWidth="1"/>
    <col min="6146" max="6146" width="13.42578125" style="2" customWidth="1"/>
    <col min="6147" max="6147" width="4.28515625" style="2" customWidth="1"/>
    <col min="6148" max="6148" width="4" style="2" customWidth="1"/>
    <col min="6149" max="6149" width="15" style="2" customWidth="1"/>
    <col min="6150" max="6150" width="4.140625" style="2" customWidth="1"/>
    <col min="6151" max="6151" width="11.28515625" style="2" customWidth="1"/>
    <col min="6152" max="6152" width="16.140625" style="2" customWidth="1"/>
    <col min="6153" max="6153" width="11" style="2" customWidth="1"/>
    <col min="6154" max="6155" width="2.140625" style="2" customWidth="1"/>
    <col min="6156" max="6156" width="3.28515625" style="2" customWidth="1"/>
    <col min="6157" max="6158" width="0" style="2" hidden="1" customWidth="1"/>
    <col min="6159" max="6159" width="2.85546875" style="2" customWidth="1"/>
    <col min="6160" max="6160" width="3.28515625" style="2" customWidth="1"/>
    <col min="6161" max="6161" width="1.42578125" style="2" customWidth="1"/>
    <col min="6162" max="6162" width="0" style="2" hidden="1" customWidth="1"/>
    <col min="6163" max="6163" width="6.85546875" style="2" customWidth="1"/>
    <col min="6164" max="6164" width="0" style="2" hidden="1" customWidth="1"/>
    <col min="6165" max="6166" width="6.28515625" style="2" customWidth="1"/>
    <col min="6167" max="6168" width="13.85546875" style="2" customWidth="1"/>
    <col min="6169" max="6169" width="10.85546875" style="2" customWidth="1"/>
    <col min="6170" max="6170" width="14.140625" style="2" customWidth="1"/>
    <col min="6171" max="6171" width="0" style="2" hidden="1" customWidth="1"/>
    <col min="6172" max="6172" width="13" style="2" customWidth="1"/>
    <col min="6173" max="6173" width="13.140625" style="2" customWidth="1"/>
    <col min="6174" max="6175" width="14" style="2" customWidth="1"/>
    <col min="6176" max="6176" width="11.42578125" style="2" customWidth="1"/>
    <col min="6177" max="6177" width="15.85546875" style="2" customWidth="1"/>
    <col min="6178" max="6178" width="23.7109375" style="2" customWidth="1"/>
    <col min="6179" max="6179" width="12" style="2" customWidth="1"/>
    <col min="6180" max="6181" width="0.28515625" style="2" customWidth="1"/>
    <col min="6182" max="6182" width="1.42578125" style="2" customWidth="1"/>
    <col min="6183" max="6183" width="0" style="2" hidden="1" customWidth="1"/>
    <col min="6184" max="6400" width="11.42578125" style="2"/>
    <col min="6401" max="6401" width="10.28515625" style="2" customWidth="1"/>
    <col min="6402" max="6402" width="13.42578125" style="2" customWidth="1"/>
    <col min="6403" max="6403" width="4.28515625" style="2" customWidth="1"/>
    <col min="6404" max="6404" width="4" style="2" customWidth="1"/>
    <col min="6405" max="6405" width="15" style="2" customWidth="1"/>
    <col min="6406" max="6406" width="4.140625" style="2" customWidth="1"/>
    <col min="6407" max="6407" width="11.28515625" style="2" customWidth="1"/>
    <col min="6408" max="6408" width="16.140625" style="2" customWidth="1"/>
    <col min="6409" max="6409" width="11" style="2" customWidth="1"/>
    <col min="6410" max="6411" width="2.140625" style="2" customWidth="1"/>
    <col min="6412" max="6412" width="3.28515625" style="2" customWidth="1"/>
    <col min="6413" max="6414" width="0" style="2" hidden="1" customWidth="1"/>
    <col min="6415" max="6415" width="2.85546875" style="2" customWidth="1"/>
    <col min="6416" max="6416" width="3.28515625" style="2" customWidth="1"/>
    <col min="6417" max="6417" width="1.42578125" style="2" customWidth="1"/>
    <col min="6418" max="6418" width="0" style="2" hidden="1" customWidth="1"/>
    <col min="6419" max="6419" width="6.85546875" style="2" customWidth="1"/>
    <col min="6420" max="6420" width="0" style="2" hidden="1" customWidth="1"/>
    <col min="6421" max="6422" width="6.28515625" style="2" customWidth="1"/>
    <col min="6423" max="6424" width="13.85546875" style="2" customWidth="1"/>
    <col min="6425" max="6425" width="10.85546875" style="2" customWidth="1"/>
    <col min="6426" max="6426" width="14.140625" style="2" customWidth="1"/>
    <col min="6427" max="6427" width="0" style="2" hidden="1" customWidth="1"/>
    <col min="6428" max="6428" width="13" style="2" customWidth="1"/>
    <col min="6429" max="6429" width="13.140625" style="2" customWidth="1"/>
    <col min="6430" max="6431" width="14" style="2" customWidth="1"/>
    <col min="6432" max="6432" width="11.42578125" style="2" customWidth="1"/>
    <col min="6433" max="6433" width="15.85546875" style="2" customWidth="1"/>
    <col min="6434" max="6434" width="23.7109375" style="2" customWidth="1"/>
    <col min="6435" max="6435" width="12" style="2" customWidth="1"/>
    <col min="6436" max="6437" width="0.28515625" style="2" customWidth="1"/>
    <col min="6438" max="6438" width="1.42578125" style="2" customWidth="1"/>
    <col min="6439" max="6439" width="0" style="2" hidden="1" customWidth="1"/>
    <col min="6440" max="6656" width="11.42578125" style="2"/>
    <col min="6657" max="6657" width="10.28515625" style="2" customWidth="1"/>
    <col min="6658" max="6658" width="13.42578125" style="2" customWidth="1"/>
    <col min="6659" max="6659" width="4.28515625" style="2" customWidth="1"/>
    <col min="6660" max="6660" width="4" style="2" customWidth="1"/>
    <col min="6661" max="6661" width="15" style="2" customWidth="1"/>
    <col min="6662" max="6662" width="4.140625" style="2" customWidth="1"/>
    <col min="6663" max="6663" width="11.28515625" style="2" customWidth="1"/>
    <col min="6664" max="6664" width="16.140625" style="2" customWidth="1"/>
    <col min="6665" max="6665" width="11" style="2" customWidth="1"/>
    <col min="6666" max="6667" width="2.140625" style="2" customWidth="1"/>
    <col min="6668" max="6668" width="3.28515625" style="2" customWidth="1"/>
    <col min="6669" max="6670" width="0" style="2" hidden="1" customWidth="1"/>
    <col min="6671" max="6671" width="2.85546875" style="2" customWidth="1"/>
    <col min="6672" max="6672" width="3.28515625" style="2" customWidth="1"/>
    <col min="6673" max="6673" width="1.42578125" style="2" customWidth="1"/>
    <col min="6674" max="6674" width="0" style="2" hidden="1" customWidth="1"/>
    <col min="6675" max="6675" width="6.85546875" style="2" customWidth="1"/>
    <col min="6676" max="6676" width="0" style="2" hidden="1" customWidth="1"/>
    <col min="6677" max="6678" width="6.28515625" style="2" customWidth="1"/>
    <col min="6679" max="6680" width="13.85546875" style="2" customWidth="1"/>
    <col min="6681" max="6681" width="10.85546875" style="2" customWidth="1"/>
    <col min="6682" max="6682" width="14.140625" style="2" customWidth="1"/>
    <col min="6683" max="6683" width="0" style="2" hidden="1" customWidth="1"/>
    <col min="6684" max="6684" width="13" style="2" customWidth="1"/>
    <col min="6685" max="6685" width="13.140625" style="2" customWidth="1"/>
    <col min="6686" max="6687" width="14" style="2" customWidth="1"/>
    <col min="6688" max="6688" width="11.42578125" style="2" customWidth="1"/>
    <col min="6689" max="6689" width="15.85546875" style="2" customWidth="1"/>
    <col min="6690" max="6690" width="23.7109375" style="2" customWidth="1"/>
    <col min="6691" max="6691" width="12" style="2" customWidth="1"/>
    <col min="6692" max="6693" width="0.28515625" style="2" customWidth="1"/>
    <col min="6694" max="6694" width="1.42578125" style="2" customWidth="1"/>
    <col min="6695" max="6695" width="0" style="2" hidden="1" customWidth="1"/>
    <col min="6696" max="6912" width="11.42578125" style="2"/>
    <col min="6913" max="6913" width="10.28515625" style="2" customWidth="1"/>
    <col min="6914" max="6914" width="13.42578125" style="2" customWidth="1"/>
    <col min="6915" max="6915" width="4.28515625" style="2" customWidth="1"/>
    <col min="6916" max="6916" width="4" style="2" customWidth="1"/>
    <col min="6917" max="6917" width="15" style="2" customWidth="1"/>
    <col min="6918" max="6918" width="4.140625" style="2" customWidth="1"/>
    <col min="6919" max="6919" width="11.28515625" style="2" customWidth="1"/>
    <col min="6920" max="6920" width="16.140625" style="2" customWidth="1"/>
    <col min="6921" max="6921" width="11" style="2" customWidth="1"/>
    <col min="6922" max="6923" width="2.140625" style="2" customWidth="1"/>
    <col min="6924" max="6924" width="3.28515625" style="2" customWidth="1"/>
    <col min="6925" max="6926" width="0" style="2" hidden="1" customWidth="1"/>
    <col min="6927" max="6927" width="2.85546875" style="2" customWidth="1"/>
    <col min="6928" max="6928" width="3.28515625" style="2" customWidth="1"/>
    <col min="6929" max="6929" width="1.42578125" style="2" customWidth="1"/>
    <col min="6930" max="6930" width="0" style="2" hidden="1" customWidth="1"/>
    <col min="6931" max="6931" width="6.85546875" style="2" customWidth="1"/>
    <col min="6932" max="6932" width="0" style="2" hidden="1" customWidth="1"/>
    <col min="6933" max="6934" width="6.28515625" style="2" customWidth="1"/>
    <col min="6935" max="6936" width="13.85546875" style="2" customWidth="1"/>
    <col min="6937" max="6937" width="10.85546875" style="2" customWidth="1"/>
    <col min="6938" max="6938" width="14.140625" style="2" customWidth="1"/>
    <col min="6939" max="6939" width="0" style="2" hidden="1" customWidth="1"/>
    <col min="6940" max="6940" width="13" style="2" customWidth="1"/>
    <col min="6941" max="6941" width="13.140625" style="2" customWidth="1"/>
    <col min="6942" max="6943" width="14" style="2" customWidth="1"/>
    <col min="6944" max="6944" width="11.42578125" style="2" customWidth="1"/>
    <col min="6945" max="6945" width="15.85546875" style="2" customWidth="1"/>
    <col min="6946" max="6946" width="23.7109375" style="2" customWidth="1"/>
    <col min="6947" max="6947" width="12" style="2" customWidth="1"/>
    <col min="6948" max="6949" width="0.28515625" style="2" customWidth="1"/>
    <col min="6950" max="6950" width="1.42578125" style="2" customWidth="1"/>
    <col min="6951" max="6951" width="0" style="2" hidden="1" customWidth="1"/>
    <col min="6952" max="7168" width="11.42578125" style="2"/>
    <col min="7169" max="7169" width="10.28515625" style="2" customWidth="1"/>
    <col min="7170" max="7170" width="13.42578125" style="2" customWidth="1"/>
    <col min="7171" max="7171" width="4.28515625" style="2" customWidth="1"/>
    <col min="7172" max="7172" width="4" style="2" customWidth="1"/>
    <col min="7173" max="7173" width="15" style="2" customWidth="1"/>
    <col min="7174" max="7174" width="4.140625" style="2" customWidth="1"/>
    <col min="7175" max="7175" width="11.28515625" style="2" customWidth="1"/>
    <col min="7176" max="7176" width="16.140625" style="2" customWidth="1"/>
    <col min="7177" max="7177" width="11" style="2" customWidth="1"/>
    <col min="7178" max="7179" width="2.140625" style="2" customWidth="1"/>
    <col min="7180" max="7180" width="3.28515625" style="2" customWidth="1"/>
    <col min="7181" max="7182" width="0" style="2" hidden="1" customWidth="1"/>
    <col min="7183" max="7183" width="2.85546875" style="2" customWidth="1"/>
    <col min="7184" max="7184" width="3.28515625" style="2" customWidth="1"/>
    <col min="7185" max="7185" width="1.42578125" style="2" customWidth="1"/>
    <col min="7186" max="7186" width="0" style="2" hidden="1" customWidth="1"/>
    <col min="7187" max="7187" width="6.85546875" style="2" customWidth="1"/>
    <col min="7188" max="7188" width="0" style="2" hidden="1" customWidth="1"/>
    <col min="7189" max="7190" width="6.28515625" style="2" customWidth="1"/>
    <col min="7191" max="7192" width="13.85546875" style="2" customWidth="1"/>
    <col min="7193" max="7193" width="10.85546875" style="2" customWidth="1"/>
    <col min="7194" max="7194" width="14.140625" style="2" customWidth="1"/>
    <col min="7195" max="7195" width="0" style="2" hidden="1" customWidth="1"/>
    <col min="7196" max="7196" width="13" style="2" customWidth="1"/>
    <col min="7197" max="7197" width="13.140625" style="2" customWidth="1"/>
    <col min="7198" max="7199" width="14" style="2" customWidth="1"/>
    <col min="7200" max="7200" width="11.42578125" style="2" customWidth="1"/>
    <col min="7201" max="7201" width="15.85546875" style="2" customWidth="1"/>
    <col min="7202" max="7202" width="23.7109375" style="2" customWidth="1"/>
    <col min="7203" max="7203" width="12" style="2" customWidth="1"/>
    <col min="7204" max="7205" width="0.28515625" style="2" customWidth="1"/>
    <col min="7206" max="7206" width="1.42578125" style="2" customWidth="1"/>
    <col min="7207" max="7207" width="0" style="2" hidden="1" customWidth="1"/>
    <col min="7208" max="7424" width="11.42578125" style="2"/>
    <col min="7425" max="7425" width="10.28515625" style="2" customWidth="1"/>
    <col min="7426" max="7426" width="13.42578125" style="2" customWidth="1"/>
    <col min="7427" max="7427" width="4.28515625" style="2" customWidth="1"/>
    <col min="7428" max="7428" width="4" style="2" customWidth="1"/>
    <col min="7429" max="7429" width="15" style="2" customWidth="1"/>
    <col min="7430" max="7430" width="4.140625" style="2" customWidth="1"/>
    <col min="7431" max="7431" width="11.28515625" style="2" customWidth="1"/>
    <col min="7432" max="7432" width="16.140625" style="2" customWidth="1"/>
    <col min="7433" max="7433" width="11" style="2" customWidth="1"/>
    <col min="7434" max="7435" width="2.140625" style="2" customWidth="1"/>
    <col min="7436" max="7436" width="3.28515625" style="2" customWidth="1"/>
    <col min="7437" max="7438" width="0" style="2" hidden="1" customWidth="1"/>
    <col min="7439" max="7439" width="2.85546875" style="2" customWidth="1"/>
    <col min="7440" max="7440" width="3.28515625" style="2" customWidth="1"/>
    <col min="7441" max="7441" width="1.42578125" style="2" customWidth="1"/>
    <col min="7442" max="7442" width="0" style="2" hidden="1" customWidth="1"/>
    <col min="7443" max="7443" width="6.85546875" style="2" customWidth="1"/>
    <col min="7444" max="7444" width="0" style="2" hidden="1" customWidth="1"/>
    <col min="7445" max="7446" width="6.28515625" style="2" customWidth="1"/>
    <col min="7447" max="7448" width="13.85546875" style="2" customWidth="1"/>
    <col min="7449" max="7449" width="10.85546875" style="2" customWidth="1"/>
    <col min="7450" max="7450" width="14.140625" style="2" customWidth="1"/>
    <col min="7451" max="7451" width="0" style="2" hidden="1" customWidth="1"/>
    <col min="7452" max="7452" width="13" style="2" customWidth="1"/>
    <col min="7453" max="7453" width="13.140625" style="2" customWidth="1"/>
    <col min="7454" max="7455" width="14" style="2" customWidth="1"/>
    <col min="7456" max="7456" width="11.42578125" style="2" customWidth="1"/>
    <col min="7457" max="7457" width="15.85546875" style="2" customWidth="1"/>
    <col min="7458" max="7458" width="23.7109375" style="2" customWidth="1"/>
    <col min="7459" max="7459" width="12" style="2" customWidth="1"/>
    <col min="7460" max="7461" width="0.28515625" style="2" customWidth="1"/>
    <col min="7462" max="7462" width="1.42578125" style="2" customWidth="1"/>
    <col min="7463" max="7463" width="0" style="2" hidden="1" customWidth="1"/>
    <col min="7464" max="7680" width="11.42578125" style="2"/>
    <col min="7681" max="7681" width="10.28515625" style="2" customWidth="1"/>
    <col min="7682" max="7682" width="13.42578125" style="2" customWidth="1"/>
    <col min="7683" max="7683" width="4.28515625" style="2" customWidth="1"/>
    <col min="7684" max="7684" width="4" style="2" customWidth="1"/>
    <col min="7685" max="7685" width="15" style="2" customWidth="1"/>
    <col min="7686" max="7686" width="4.140625" style="2" customWidth="1"/>
    <col min="7687" max="7687" width="11.28515625" style="2" customWidth="1"/>
    <col min="7688" max="7688" width="16.140625" style="2" customWidth="1"/>
    <col min="7689" max="7689" width="11" style="2" customWidth="1"/>
    <col min="7690" max="7691" width="2.140625" style="2" customWidth="1"/>
    <col min="7692" max="7692" width="3.28515625" style="2" customWidth="1"/>
    <col min="7693" max="7694" width="0" style="2" hidden="1" customWidth="1"/>
    <col min="7695" max="7695" width="2.85546875" style="2" customWidth="1"/>
    <col min="7696" max="7696" width="3.28515625" style="2" customWidth="1"/>
    <col min="7697" max="7697" width="1.42578125" style="2" customWidth="1"/>
    <col min="7698" max="7698" width="0" style="2" hidden="1" customWidth="1"/>
    <col min="7699" max="7699" width="6.85546875" style="2" customWidth="1"/>
    <col min="7700" max="7700" width="0" style="2" hidden="1" customWidth="1"/>
    <col min="7701" max="7702" width="6.28515625" style="2" customWidth="1"/>
    <col min="7703" max="7704" width="13.85546875" style="2" customWidth="1"/>
    <col min="7705" max="7705" width="10.85546875" style="2" customWidth="1"/>
    <col min="7706" max="7706" width="14.140625" style="2" customWidth="1"/>
    <col min="7707" max="7707" width="0" style="2" hidden="1" customWidth="1"/>
    <col min="7708" max="7708" width="13" style="2" customWidth="1"/>
    <col min="7709" max="7709" width="13.140625" style="2" customWidth="1"/>
    <col min="7710" max="7711" width="14" style="2" customWidth="1"/>
    <col min="7712" max="7712" width="11.42578125" style="2" customWidth="1"/>
    <col min="7713" max="7713" width="15.85546875" style="2" customWidth="1"/>
    <col min="7714" max="7714" width="23.7109375" style="2" customWidth="1"/>
    <col min="7715" max="7715" width="12" style="2" customWidth="1"/>
    <col min="7716" max="7717" width="0.28515625" style="2" customWidth="1"/>
    <col min="7718" max="7718" width="1.42578125" style="2" customWidth="1"/>
    <col min="7719" max="7719" width="0" style="2" hidden="1" customWidth="1"/>
    <col min="7720" max="7936" width="11.42578125" style="2"/>
    <col min="7937" max="7937" width="10.28515625" style="2" customWidth="1"/>
    <col min="7938" max="7938" width="13.42578125" style="2" customWidth="1"/>
    <col min="7939" max="7939" width="4.28515625" style="2" customWidth="1"/>
    <col min="7940" max="7940" width="4" style="2" customWidth="1"/>
    <col min="7941" max="7941" width="15" style="2" customWidth="1"/>
    <col min="7942" max="7942" width="4.140625" style="2" customWidth="1"/>
    <col min="7943" max="7943" width="11.28515625" style="2" customWidth="1"/>
    <col min="7944" max="7944" width="16.140625" style="2" customWidth="1"/>
    <col min="7945" max="7945" width="11" style="2" customWidth="1"/>
    <col min="7946" max="7947" width="2.140625" style="2" customWidth="1"/>
    <col min="7948" max="7948" width="3.28515625" style="2" customWidth="1"/>
    <col min="7949" max="7950" width="0" style="2" hidden="1" customWidth="1"/>
    <col min="7951" max="7951" width="2.85546875" style="2" customWidth="1"/>
    <col min="7952" max="7952" width="3.28515625" style="2" customWidth="1"/>
    <col min="7953" max="7953" width="1.42578125" style="2" customWidth="1"/>
    <col min="7954" max="7954" width="0" style="2" hidden="1" customWidth="1"/>
    <col min="7955" max="7955" width="6.85546875" style="2" customWidth="1"/>
    <col min="7956" max="7956" width="0" style="2" hidden="1" customWidth="1"/>
    <col min="7957" max="7958" width="6.28515625" style="2" customWidth="1"/>
    <col min="7959" max="7960" width="13.85546875" style="2" customWidth="1"/>
    <col min="7961" max="7961" width="10.85546875" style="2" customWidth="1"/>
    <col min="7962" max="7962" width="14.140625" style="2" customWidth="1"/>
    <col min="7963" max="7963" width="0" style="2" hidden="1" customWidth="1"/>
    <col min="7964" max="7964" width="13" style="2" customWidth="1"/>
    <col min="7965" max="7965" width="13.140625" style="2" customWidth="1"/>
    <col min="7966" max="7967" width="14" style="2" customWidth="1"/>
    <col min="7968" max="7968" width="11.42578125" style="2" customWidth="1"/>
    <col min="7969" max="7969" width="15.85546875" style="2" customWidth="1"/>
    <col min="7970" max="7970" width="23.7109375" style="2" customWidth="1"/>
    <col min="7971" max="7971" width="12" style="2" customWidth="1"/>
    <col min="7972" max="7973" width="0.28515625" style="2" customWidth="1"/>
    <col min="7974" max="7974" width="1.42578125" style="2" customWidth="1"/>
    <col min="7975" max="7975" width="0" style="2" hidden="1" customWidth="1"/>
    <col min="7976" max="8192" width="11.42578125" style="2"/>
    <col min="8193" max="8193" width="10.28515625" style="2" customWidth="1"/>
    <col min="8194" max="8194" width="13.42578125" style="2" customWidth="1"/>
    <col min="8195" max="8195" width="4.28515625" style="2" customWidth="1"/>
    <col min="8196" max="8196" width="4" style="2" customWidth="1"/>
    <col min="8197" max="8197" width="15" style="2" customWidth="1"/>
    <col min="8198" max="8198" width="4.140625" style="2" customWidth="1"/>
    <col min="8199" max="8199" width="11.28515625" style="2" customWidth="1"/>
    <col min="8200" max="8200" width="16.140625" style="2" customWidth="1"/>
    <col min="8201" max="8201" width="11" style="2" customWidth="1"/>
    <col min="8202" max="8203" width="2.140625" style="2" customWidth="1"/>
    <col min="8204" max="8204" width="3.28515625" style="2" customWidth="1"/>
    <col min="8205" max="8206" width="0" style="2" hidden="1" customWidth="1"/>
    <col min="8207" max="8207" width="2.85546875" style="2" customWidth="1"/>
    <col min="8208" max="8208" width="3.28515625" style="2" customWidth="1"/>
    <col min="8209" max="8209" width="1.42578125" style="2" customWidth="1"/>
    <col min="8210" max="8210" width="0" style="2" hidden="1" customWidth="1"/>
    <col min="8211" max="8211" width="6.85546875" style="2" customWidth="1"/>
    <col min="8212" max="8212" width="0" style="2" hidden="1" customWidth="1"/>
    <col min="8213" max="8214" width="6.28515625" style="2" customWidth="1"/>
    <col min="8215" max="8216" width="13.85546875" style="2" customWidth="1"/>
    <col min="8217" max="8217" width="10.85546875" style="2" customWidth="1"/>
    <col min="8218" max="8218" width="14.140625" style="2" customWidth="1"/>
    <col min="8219" max="8219" width="0" style="2" hidden="1" customWidth="1"/>
    <col min="8220" max="8220" width="13" style="2" customWidth="1"/>
    <col min="8221" max="8221" width="13.140625" style="2" customWidth="1"/>
    <col min="8222" max="8223" width="14" style="2" customWidth="1"/>
    <col min="8224" max="8224" width="11.42578125" style="2" customWidth="1"/>
    <col min="8225" max="8225" width="15.85546875" style="2" customWidth="1"/>
    <col min="8226" max="8226" width="23.7109375" style="2" customWidth="1"/>
    <col min="8227" max="8227" width="12" style="2" customWidth="1"/>
    <col min="8228" max="8229" width="0.28515625" style="2" customWidth="1"/>
    <col min="8230" max="8230" width="1.42578125" style="2" customWidth="1"/>
    <col min="8231" max="8231" width="0" style="2" hidden="1" customWidth="1"/>
    <col min="8232" max="8448" width="11.42578125" style="2"/>
    <col min="8449" max="8449" width="10.28515625" style="2" customWidth="1"/>
    <col min="8450" max="8450" width="13.42578125" style="2" customWidth="1"/>
    <col min="8451" max="8451" width="4.28515625" style="2" customWidth="1"/>
    <col min="8452" max="8452" width="4" style="2" customWidth="1"/>
    <col min="8453" max="8453" width="15" style="2" customWidth="1"/>
    <col min="8454" max="8454" width="4.140625" style="2" customWidth="1"/>
    <col min="8455" max="8455" width="11.28515625" style="2" customWidth="1"/>
    <col min="8456" max="8456" width="16.140625" style="2" customWidth="1"/>
    <col min="8457" max="8457" width="11" style="2" customWidth="1"/>
    <col min="8458" max="8459" width="2.140625" style="2" customWidth="1"/>
    <col min="8460" max="8460" width="3.28515625" style="2" customWidth="1"/>
    <col min="8461" max="8462" width="0" style="2" hidden="1" customWidth="1"/>
    <col min="8463" max="8463" width="2.85546875" style="2" customWidth="1"/>
    <col min="8464" max="8464" width="3.28515625" style="2" customWidth="1"/>
    <col min="8465" max="8465" width="1.42578125" style="2" customWidth="1"/>
    <col min="8466" max="8466" width="0" style="2" hidden="1" customWidth="1"/>
    <col min="8467" max="8467" width="6.85546875" style="2" customWidth="1"/>
    <col min="8468" max="8468" width="0" style="2" hidden="1" customWidth="1"/>
    <col min="8469" max="8470" width="6.28515625" style="2" customWidth="1"/>
    <col min="8471" max="8472" width="13.85546875" style="2" customWidth="1"/>
    <col min="8473" max="8473" width="10.85546875" style="2" customWidth="1"/>
    <col min="8474" max="8474" width="14.140625" style="2" customWidth="1"/>
    <col min="8475" max="8475" width="0" style="2" hidden="1" customWidth="1"/>
    <col min="8476" max="8476" width="13" style="2" customWidth="1"/>
    <col min="8477" max="8477" width="13.140625" style="2" customWidth="1"/>
    <col min="8478" max="8479" width="14" style="2" customWidth="1"/>
    <col min="8480" max="8480" width="11.42578125" style="2" customWidth="1"/>
    <col min="8481" max="8481" width="15.85546875" style="2" customWidth="1"/>
    <col min="8482" max="8482" width="23.7109375" style="2" customWidth="1"/>
    <col min="8483" max="8483" width="12" style="2" customWidth="1"/>
    <col min="8484" max="8485" width="0.28515625" style="2" customWidth="1"/>
    <col min="8486" max="8486" width="1.42578125" style="2" customWidth="1"/>
    <col min="8487" max="8487" width="0" style="2" hidden="1" customWidth="1"/>
    <col min="8488" max="8704" width="11.42578125" style="2"/>
    <col min="8705" max="8705" width="10.28515625" style="2" customWidth="1"/>
    <col min="8706" max="8706" width="13.42578125" style="2" customWidth="1"/>
    <col min="8707" max="8707" width="4.28515625" style="2" customWidth="1"/>
    <col min="8708" max="8708" width="4" style="2" customWidth="1"/>
    <col min="8709" max="8709" width="15" style="2" customWidth="1"/>
    <col min="8710" max="8710" width="4.140625" style="2" customWidth="1"/>
    <col min="8711" max="8711" width="11.28515625" style="2" customWidth="1"/>
    <col min="8712" max="8712" width="16.140625" style="2" customWidth="1"/>
    <col min="8713" max="8713" width="11" style="2" customWidth="1"/>
    <col min="8714" max="8715" width="2.140625" style="2" customWidth="1"/>
    <col min="8716" max="8716" width="3.28515625" style="2" customWidth="1"/>
    <col min="8717" max="8718" width="0" style="2" hidden="1" customWidth="1"/>
    <col min="8719" max="8719" width="2.85546875" style="2" customWidth="1"/>
    <col min="8720" max="8720" width="3.28515625" style="2" customWidth="1"/>
    <col min="8721" max="8721" width="1.42578125" style="2" customWidth="1"/>
    <col min="8722" max="8722" width="0" style="2" hidden="1" customWidth="1"/>
    <col min="8723" max="8723" width="6.85546875" style="2" customWidth="1"/>
    <col min="8724" max="8724" width="0" style="2" hidden="1" customWidth="1"/>
    <col min="8725" max="8726" width="6.28515625" style="2" customWidth="1"/>
    <col min="8727" max="8728" width="13.85546875" style="2" customWidth="1"/>
    <col min="8729" max="8729" width="10.85546875" style="2" customWidth="1"/>
    <col min="8730" max="8730" width="14.140625" style="2" customWidth="1"/>
    <col min="8731" max="8731" width="0" style="2" hidden="1" customWidth="1"/>
    <col min="8732" max="8732" width="13" style="2" customWidth="1"/>
    <col min="8733" max="8733" width="13.140625" style="2" customWidth="1"/>
    <col min="8734" max="8735" width="14" style="2" customWidth="1"/>
    <col min="8736" max="8736" width="11.42578125" style="2" customWidth="1"/>
    <col min="8737" max="8737" width="15.85546875" style="2" customWidth="1"/>
    <col min="8738" max="8738" width="23.7109375" style="2" customWidth="1"/>
    <col min="8739" max="8739" width="12" style="2" customWidth="1"/>
    <col min="8740" max="8741" width="0.28515625" style="2" customWidth="1"/>
    <col min="8742" max="8742" width="1.42578125" style="2" customWidth="1"/>
    <col min="8743" max="8743" width="0" style="2" hidden="1" customWidth="1"/>
    <col min="8744" max="8960" width="11.42578125" style="2"/>
    <col min="8961" max="8961" width="10.28515625" style="2" customWidth="1"/>
    <col min="8962" max="8962" width="13.42578125" style="2" customWidth="1"/>
    <col min="8963" max="8963" width="4.28515625" style="2" customWidth="1"/>
    <col min="8964" max="8964" width="4" style="2" customWidth="1"/>
    <col min="8965" max="8965" width="15" style="2" customWidth="1"/>
    <col min="8966" max="8966" width="4.140625" style="2" customWidth="1"/>
    <col min="8967" max="8967" width="11.28515625" style="2" customWidth="1"/>
    <col min="8968" max="8968" width="16.140625" style="2" customWidth="1"/>
    <col min="8969" max="8969" width="11" style="2" customWidth="1"/>
    <col min="8970" max="8971" width="2.140625" style="2" customWidth="1"/>
    <col min="8972" max="8972" width="3.28515625" style="2" customWidth="1"/>
    <col min="8973" max="8974" width="0" style="2" hidden="1" customWidth="1"/>
    <col min="8975" max="8975" width="2.85546875" style="2" customWidth="1"/>
    <col min="8976" max="8976" width="3.28515625" style="2" customWidth="1"/>
    <col min="8977" max="8977" width="1.42578125" style="2" customWidth="1"/>
    <col min="8978" max="8978" width="0" style="2" hidden="1" customWidth="1"/>
    <col min="8979" max="8979" width="6.85546875" style="2" customWidth="1"/>
    <col min="8980" max="8980" width="0" style="2" hidden="1" customWidth="1"/>
    <col min="8981" max="8982" width="6.28515625" style="2" customWidth="1"/>
    <col min="8983" max="8984" width="13.85546875" style="2" customWidth="1"/>
    <col min="8985" max="8985" width="10.85546875" style="2" customWidth="1"/>
    <col min="8986" max="8986" width="14.140625" style="2" customWidth="1"/>
    <col min="8987" max="8987" width="0" style="2" hidden="1" customWidth="1"/>
    <col min="8988" max="8988" width="13" style="2" customWidth="1"/>
    <col min="8989" max="8989" width="13.140625" style="2" customWidth="1"/>
    <col min="8990" max="8991" width="14" style="2" customWidth="1"/>
    <col min="8992" max="8992" width="11.42578125" style="2" customWidth="1"/>
    <col min="8993" max="8993" width="15.85546875" style="2" customWidth="1"/>
    <col min="8994" max="8994" width="23.7109375" style="2" customWidth="1"/>
    <col min="8995" max="8995" width="12" style="2" customWidth="1"/>
    <col min="8996" max="8997" width="0.28515625" style="2" customWidth="1"/>
    <col min="8998" max="8998" width="1.42578125" style="2" customWidth="1"/>
    <col min="8999" max="8999" width="0" style="2" hidden="1" customWidth="1"/>
    <col min="9000" max="9216" width="11.42578125" style="2"/>
    <col min="9217" max="9217" width="10.28515625" style="2" customWidth="1"/>
    <col min="9218" max="9218" width="13.42578125" style="2" customWidth="1"/>
    <col min="9219" max="9219" width="4.28515625" style="2" customWidth="1"/>
    <col min="9220" max="9220" width="4" style="2" customWidth="1"/>
    <col min="9221" max="9221" width="15" style="2" customWidth="1"/>
    <col min="9222" max="9222" width="4.140625" style="2" customWidth="1"/>
    <col min="9223" max="9223" width="11.28515625" style="2" customWidth="1"/>
    <col min="9224" max="9224" width="16.140625" style="2" customWidth="1"/>
    <col min="9225" max="9225" width="11" style="2" customWidth="1"/>
    <col min="9226" max="9227" width="2.140625" style="2" customWidth="1"/>
    <col min="9228" max="9228" width="3.28515625" style="2" customWidth="1"/>
    <col min="9229" max="9230" width="0" style="2" hidden="1" customWidth="1"/>
    <col min="9231" max="9231" width="2.85546875" style="2" customWidth="1"/>
    <col min="9232" max="9232" width="3.28515625" style="2" customWidth="1"/>
    <col min="9233" max="9233" width="1.42578125" style="2" customWidth="1"/>
    <col min="9234" max="9234" width="0" style="2" hidden="1" customWidth="1"/>
    <col min="9235" max="9235" width="6.85546875" style="2" customWidth="1"/>
    <col min="9236" max="9236" width="0" style="2" hidden="1" customWidth="1"/>
    <col min="9237" max="9238" width="6.28515625" style="2" customWidth="1"/>
    <col min="9239" max="9240" width="13.85546875" style="2" customWidth="1"/>
    <col min="9241" max="9241" width="10.85546875" style="2" customWidth="1"/>
    <col min="9242" max="9242" width="14.140625" style="2" customWidth="1"/>
    <col min="9243" max="9243" width="0" style="2" hidden="1" customWidth="1"/>
    <col min="9244" max="9244" width="13" style="2" customWidth="1"/>
    <col min="9245" max="9245" width="13.140625" style="2" customWidth="1"/>
    <col min="9246" max="9247" width="14" style="2" customWidth="1"/>
    <col min="9248" max="9248" width="11.42578125" style="2" customWidth="1"/>
    <col min="9249" max="9249" width="15.85546875" style="2" customWidth="1"/>
    <col min="9250" max="9250" width="23.7109375" style="2" customWidth="1"/>
    <col min="9251" max="9251" width="12" style="2" customWidth="1"/>
    <col min="9252" max="9253" width="0.28515625" style="2" customWidth="1"/>
    <col min="9254" max="9254" width="1.42578125" style="2" customWidth="1"/>
    <col min="9255" max="9255" width="0" style="2" hidden="1" customWidth="1"/>
    <col min="9256" max="9472" width="11.42578125" style="2"/>
    <col min="9473" max="9473" width="10.28515625" style="2" customWidth="1"/>
    <col min="9474" max="9474" width="13.42578125" style="2" customWidth="1"/>
    <col min="9475" max="9475" width="4.28515625" style="2" customWidth="1"/>
    <col min="9476" max="9476" width="4" style="2" customWidth="1"/>
    <col min="9477" max="9477" width="15" style="2" customWidth="1"/>
    <col min="9478" max="9478" width="4.140625" style="2" customWidth="1"/>
    <col min="9479" max="9479" width="11.28515625" style="2" customWidth="1"/>
    <col min="9480" max="9480" width="16.140625" style="2" customWidth="1"/>
    <col min="9481" max="9481" width="11" style="2" customWidth="1"/>
    <col min="9482" max="9483" width="2.140625" style="2" customWidth="1"/>
    <col min="9484" max="9484" width="3.28515625" style="2" customWidth="1"/>
    <col min="9485" max="9486" width="0" style="2" hidden="1" customWidth="1"/>
    <col min="9487" max="9487" width="2.85546875" style="2" customWidth="1"/>
    <col min="9488" max="9488" width="3.28515625" style="2" customWidth="1"/>
    <col min="9489" max="9489" width="1.42578125" style="2" customWidth="1"/>
    <col min="9490" max="9490" width="0" style="2" hidden="1" customWidth="1"/>
    <col min="9491" max="9491" width="6.85546875" style="2" customWidth="1"/>
    <col min="9492" max="9492" width="0" style="2" hidden="1" customWidth="1"/>
    <col min="9493" max="9494" width="6.28515625" style="2" customWidth="1"/>
    <col min="9495" max="9496" width="13.85546875" style="2" customWidth="1"/>
    <col min="9497" max="9497" width="10.85546875" style="2" customWidth="1"/>
    <col min="9498" max="9498" width="14.140625" style="2" customWidth="1"/>
    <col min="9499" max="9499" width="0" style="2" hidden="1" customWidth="1"/>
    <col min="9500" max="9500" width="13" style="2" customWidth="1"/>
    <col min="9501" max="9501" width="13.140625" style="2" customWidth="1"/>
    <col min="9502" max="9503" width="14" style="2" customWidth="1"/>
    <col min="9504" max="9504" width="11.42578125" style="2" customWidth="1"/>
    <col min="9505" max="9505" width="15.85546875" style="2" customWidth="1"/>
    <col min="9506" max="9506" width="23.7109375" style="2" customWidth="1"/>
    <col min="9507" max="9507" width="12" style="2" customWidth="1"/>
    <col min="9508" max="9509" width="0.28515625" style="2" customWidth="1"/>
    <col min="9510" max="9510" width="1.42578125" style="2" customWidth="1"/>
    <col min="9511" max="9511" width="0" style="2" hidden="1" customWidth="1"/>
    <col min="9512" max="9728" width="11.42578125" style="2"/>
    <col min="9729" max="9729" width="10.28515625" style="2" customWidth="1"/>
    <col min="9730" max="9730" width="13.42578125" style="2" customWidth="1"/>
    <col min="9731" max="9731" width="4.28515625" style="2" customWidth="1"/>
    <col min="9732" max="9732" width="4" style="2" customWidth="1"/>
    <col min="9733" max="9733" width="15" style="2" customWidth="1"/>
    <col min="9734" max="9734" width="4.140625" style="2" customWidth="1"/>
    <col min="9735" max="9735" width="11.28515625" style="2" customWidth="1"/>
    <col min="9736" max="9736" width="16.140625" style="2" customWidth="1"/>
    <col min="9737" max="9737" width="11" style="2" customWidth="1"/>
    <col min="9738" max="9739" width="2.140625" style="2" customWidth="1"/>
    <col min="9740" max="9740" width="3.28515625" style="2" customWidth="1"/>
    <col min="9741" max="9742" width="0" style="2" hidden="1" customWidth="1"/>
    <col min="9743" max="9743" width="2.85546875" style="2" customWidth="1"/>
    <col min="9744" max="9744" width="3.28515625" style="2" customWidth="1"/>
    <col min="9745" max="9745" width="1.42578125" style="2" customWidth="1"/>
    <col min="9746" max="9746" width="0" style="2" hidden="1" customWidth="1"/>
    <col min="9747" max="9747" width="6.85546875" style="2" customWidth="1"/>
    <col min="9748" max="9748" width="0" style="2" hidden="1" customWidth="1"/>
    <col min="9749" max="9750" width="6.28515625" style="2" customWidth="1"/>
    <col min="9751" max="9752" width="13.85546875" style="2" customWidth="1"/>
    <col min="9753" max="9753" width="10.85546875" style="2" customWidth="1"/>
    <col min="9754" max="9754" width="14.140625" style="2" customWidth="1"/>
    <col min="9755" max="9755" width="0" style="2" hidden="1" customWidth="1"/>
    <col min="9756" max="9756" width="13" style="2" customWidth="1"/>
    <col min="9757" max="9757" width="13.140625" style="2" customWidth="1"/>
    <col min="9758" max="9759" width="14" style="2" customWidth="1"/>
    <col min="9760" max="9760" width="11.42578125" style="2" customWidth="1"/>
    <col min="9761" max="9761" width="15.85546875" style="2" customWidth="1"/>
    <col min="9762" max="9762" width="23.7109375" style="2" customWidth="1"/>
    <col min="9763" max="9763" width="12" style="2" customWidth="1"/>
    <col min="9764" max="9765" width="0.28515625" style="2" customWidth="1"/>
    <col min="9766" max="9766" width="1.42578125" style="2" customWidth="1"/>
    <col min="9767" max="9767" width="0" style="2" hidden="1" customWidth="1"/>
    <col min="9768" max="9984" width="11.42578125" style="2"/>
    <col min="9985" max="9985" width="10.28515625" style="2" customWidth="1"/>
    <col min="9986" max="9986" width="13.42578125" style="2" customWidth="1"/>
    <col min="9987" max="9987" width="4.28515625" style="2" customWidth="1"/>
    <col min="9988" max="9988" width="4" style="2" customWidth="1"/>
    <col min="9989" max="9989" width="15" style="2" customWidth="1"/>
    <col min="9990" max="9990" width="4.140625" style="2" customWidth="1"/>
    <col min="9991" max="9991" width="11.28515625" style="2" customWidth="1"/>
    <col min="9992" max="9992" width="16.140625" style="2" customWidth="1"/>
    <col min="9993" max="9993" width="11" style="2" customWidth="1"/>
    <col min="9994" max="9995" width="2.140625" style="2" customWidth="1"/>
    <col min="9996" max="9996" width="3.28515625" style="2" customWidth="1"/>
    <col min="9997" max="9998" width="0" style="2" hidden="1" customWidth="1"/>
    <col min="9999" max="9999" width="2.85546875" style="2" customWidth="1"/>
    <col min="10000" max="10000" width="3.28515625" style="2" customWidth="1"/>
    <col min="10001" max="10001" width="1.42578125" style="2" customWidth="1"/>
    <col min="10002" max="10002" width="0" style="2" hidden="1" customWidth="1"/>
    <col min="10003" max="10003" width="6.85546875" style="2" customWidth="1"/>
    <col min="10004" max="10004" width="0" style="2" hidden="1" customWidth="1"/>
    <col min="10005" max="10006" width="6.28515625" style="2" customWidth="1"/>
    <col min="10007" max="10008" width="13.85546875" style="2" customWidth="1"/>
    <col min="10009" max="10009" width="10.85546875" style="2" customWidth="1"/>
    <col min="10010" max="10010" width="14.140625" style="2" customWidth="1"/>
    <col min="10011" max="10011" width="0" style="2" hidden="1" customWidth="1"/>
    <col min="10012" max="10012" width="13" style="2" customWidth="1"/>
    <col min="10013" max="10013" width="13.140625" style="2" customWidth="1"/>
    <col min="10014" max="10015" width="14" style="2" customWidth="1"/>
    <col min="10016" max="10016" width="11.42578125" style="2" customWidth="1"/>
    <col min="10017" max="10017" width="15.85546875" style="2" customWidth="1"/>
    <col min="10018" max="10018" width="23.7109375" style="2" customWidth="1"/>
    <col min="10019" max="10019" width="12" style="2" customWidth="1"/>
    <col min="10020" max="10021" width="0.28515625" style="2" customWidth="1"/>
    <col min="10022" max="10022" width="1.42578125" style="2" customWidth="1"/>
    <col min="10023" max="10023" width="0" style="2" hidden="1" customWidth="1"/>
    <col min="10024" max="10240" width="11.42578125" style="2"/>
    <col min="10241" max="10241" width="10.28515625" style="2" customWidth="1"/>
    <col min="10242" max="10242" width="13.42578125" style="2" customWidth="1"/>
    <col min="10243" max="10243" width="4.28515625" style="2" customWidth="1"/>
    <col min="10244" max="10244" width="4" style="2" customWidth="1"/>
    <col min="10245" max="10245" width="15" style="2" customWidth="1"/>
    <col min="10246" max="10246" width="4.140625" style="2" customWidth="1"/>
    <col min="10247" max="10247" width="11.28515625" style="2" customWidth="1"/>
    <col min="10248" max="10248" width="16.140625" style="2" customWidth="1"/>
    <col min="10249" max="10249" width="11" style="2" customWidth="1"/>
    <col min="10250" max="10251" width="2.140625" style="2" customWidth="1"/>
    <col min="10252" max="10252" width="3.28515625" style="2" customWidth="1"/>
    <col min="10253" max="10254" width="0" style="2" hidden="1" customWidth="1"/>
    <col min="10255" max="10255" width="2.85546875" style="2" customWidth="1"/>
    <col min="10256" max="10256" width="3.28515625" style="2" customWidth="1"/>
    <col min="10257" max="10257" width="1.42578125" style="2" customWidth="1"/>
    <col min="10258" max="10258" width="0" style="2" hidden="1" customWidth="1"/>
    <col min="10259" max="10259" width="6.85546875" style="2" customWidth="1"/>
    <col min="10260" max="10260" width="0" style="2" hidden="1" customWidth="1"/>
    <col min="10261" max="10262" width="6.28515625" style="2" customWidth="1"/>
    <col min="10263" max="10264" width="13.85546875" style="2" customWidth="1"/>
    <col min="10265" max="10265" width="10.85546875" style="2" customWidth="1"/>
    <col min="10266" max="10266" width="14.140625" style="2" customWidth="1"/>
    <col min="10267" max="10267" width="0" style="2" hidden="1" customWidth="1"/>
    <col min="10268" max="10268" width="13" style="2" customWidth="1"/>
    <col min="10269" max="10269" width="13.140625" style="2" customWidth="1"/>
    <col min="10270" max="10271" width="14" style="2" customWidth="1"/>
    <col min="10272" max="10272" width="11.42578125" style="2" customWidth="1"/>
    <col min="10273" max="10273" width="15.85546875" style="2" customWidth="1"/>
    <col min="10274" max="10274" width="23.7109375" style="2" customWidth="1"/>
    <col min="10275" max="10275" width="12" style="2" customWidth="1"/>
    <col min="10276" max="10277" width="0.28515625" style="2" customWidth="1"/>
    <col min="10278" max="10278" width="1.42578125" style="2" customWidth="1"/>
    <col min="10279" max="10279" width="0" style="2" hidden="1" customWidth="1"/>
    <col min="10280" max="10496" width="11.42578125" style="2"/>
    <col min="10497" max="10497" width="10.28515625" style="2" customWidth="1"/>
    <col min="10498" max="10498" width="13.42578125" style="2" customWidth="1"/>
    <col min="10499" max="10499" width="4.28515625" style="2" customWidth="1"/>
    <col min="10500" max="10500" width="4" style="2" customWidth="1"/>
    <col min="10501" max="10501" width="15" style="2" customWidth="1"/>
    <col min="10502" max="10502" width="4.140625" style="2" customWidth="1"/>
    <col min="10503" max="10503" width="11.28515625" style="2" customWidth="1"/>
    <col min="10504" max="10504" width="16.140625" style="2" customWidth="1"/>
    <col min="10505" max="10505" width="11" style="2" customWidth="1"/>
    <col min="10506" max="10507" width="2.140625" style="2" customWidth="1"/>
    <col min="10508" max="10508" width="3.28515625" style="2" customWidth="1"/>
    <col min="10509" max="10510" width="0" style="2" hidden="1" customWidth="1"/>
    <col min="10511" max="10511" width="2.85546875" style="2" customWidth="1"/>
    <col min="10512" max="10512" width="3.28515625" style="2" customWidth="1"/>
    <col min="10513" max="10513" width="1.42578125" style="2" customWidth="1"/>
    <col min="10514" max="10514" width="0" style="2" hidden="1" customWidth="1"/>
    <col min="10515" max="10515" width="6.85546875" style="2" customWidth="1"/>
    <col min="10516" max="10516" width="0" style="2" hidden="1" customWidth="1"/>
    <col min="10517" max="10518" width="6.28515625" style="2" customWidth="1"/>
    <col min="10519" max="10520" width="13.85546875" style="2" customWidth="1"/>
    <col min="10521" max="10521" width="10.85546875" style="2" customWidth="1"/>
    <col min="10522" max="10522" width="14.140625" style="2" customWidth="1"/>
    <col min="10523" max="10523" width="0" style="2" hidden="1" customWidth="1"/>
    <col min="10524" max="10524" width="13" style="2" customWidth="1"/>
    <col min="10525" max="10525" width="13.140625" style="2" customWidth="1"/>
    <col min="10526" max="10527" width="14" style="2" customWidth="1"/>
    <col min="10528" max="10528" width="11.42578125" style="2" customWidth="1"/>
    <col min="10529" max="10529" width="15.85546875" style="2" customWidth="1"/>
    <col min="10530" max="10530" width="23.7109375" style="2" customWidth="1"/>
    <col min="10531" max="10531" width="12" style="2" customWidth="1"/>
    <col min="10532" max="10533" width="0.28515625" style="2" customWidth="1"/>
    <col min="10534" max="10534" width="1.42578125" style="2" customWidth="1"/>
    <col min="10535" max="10535" width="0" style="2" hidden="1" customWidth="1"/>
    <col min="10536" max="10752" width="11.42578125" style="2"/>
    <col min="10753" max="10753" width="10.28515625" style="2" customWidth="1"/>
    <col min="10754" max="10754" width="13.42578125" style="2" customWidth="1"/>
    <col min="10755" max="10755" width="4.28515625" style="2" customWidth="1"/>
    <col min="10756" max="10756" width="4" style="2" customWidth="1"/>
    <col min="10757" max="10757" width="15" style="2" customWidth="1"/>
    <col min="10758" max="10758" width="4.140625" style="2" customWidth="1"/>
    <col min="10759" max="10759" width="11.28515625" style="2" customWidth="1"/>
    <col min="10760" max="10760" width="16.140625" style="2" customWidth="1"/>
    <col min="10761" max="10761" width="11" style="2" customWidth="1"/>
    <col min="10762" max="10763" width="2.140625" style="2" customWidth="1"/>
    <col min="10764" max="10764" width="3.28515625" style="2" customWidth="1"/>
    <col min="10765" max="10766" width="0" style="2" hidden="1" customWidth="1"/>
    <col min="10767" max="10767" width="2.85546875" style="2" customWidth="1"/>
    <col min="10768" max="10768" width="3.28515625" style="2" customWidth="1"/>
    <col min="10769" max="10769" width="1.42578125" style="2" customWidth="1"/>
    <col min="10770" max="10770" width="0" style="2" hidden="1" customWidth="1"/>
    <col min="10771" max="10771" width="6.85546875" style="2" customWidth="1"/>
    <col min="10772" max="10772" width="0" style="2" hidden="1" customWidth="1"/>
    <col min="10773" max="10774" width="6.28515625" style="2" customWidth="1"/>
    <col min="10775" max="10776" width="13.85546875" style="2" customWidth="1"/>
    <col min="10777" max="10777" width="10.85546875" style="2" customWidth="1"/>
    <col min="10778" max="10778" width="14.140625" style="2" customWidth="1"/>
    <col min="10779" max="10779" width="0" style="2" hidden="1" customWidth="1"/>
    <col min="10780" max="10780" width="13" style="2" customWidth="1"/>
    <col min="10781" max="10781" width="13.140625" style="2" customWidth="1"/>
    <col min="10782" max="10783" width="14" style="2" customWidth="1"/>
    <col min="10784" max="10784" width="11.42578125" style="2" customWidth="1"/>
    <col min="10785" max="10785" width="15.85546875" style="2" customWidth="1"/>
    <col min="10786" max="10786" width="23.7109375" style="2" customWidth="1"/>
    <col min="10787" max="10787" width="12" style="2" customWidth="1"/>
    <col min="10788" max="10789" width="0.28515625" style="2" customWidth="1"/>
    <col min="10790" max="10790" width="1.42578125" style="2" customWidth="1"/>
    <col min="10791" max="10791" width="0" style="2" hidden="1" customWidth="1"/>
    <col min="10792" max="11008" width="11.42578125" style="2"/>
    <col min="11009" max="11009" width="10.28515625" style="2" customWidth="1"/>
    <col min="11010" max="11010" width="13.42578125" style="2" customWidth="1"/>
    <col min="11011" max="11011" width="4.28515625" style="2" customWidth="1"/>
    <col min="11012" max="11012" width="4" style="2" customWidth="1"/>
    <col min="11013" max="11013" width="15" style="2" customWidth="1"/>
    <col min="11014" max="11014" width="4.140625" style="2" customWidth="1"/>
    <col min="11015" max="11015" width="11.28515625" style="2" customWidth="1"/>
    <col min="11016" max="11016" width="16.140625" style="2" customWidth="1"/>
    <col min="11017" max="11017" width="11" style="2" customWidth="1"/>
    <col min="11018" max="11019" width="2.140625" style="2" customWidth="1"/>
    <col min="11020" max="11020" width="3.28515625" style="2" customWidth="1"/>
    <col min="11021" max="11022" width="0" style="2" hidden="1" customWidth="1"/>
    <col min="11023" max="11023" width="2.85546875" style="2" customWidth="1"/>
    <col min="11024" max="11024" width="3.28515625" style="2" customWidth="1"/>
    <col min="11025" max="11025" width="1.42578125" style="2" customWidth="1"/>
    <col min="11026" max="11026" width="0" style="2" hidden="1" customWidth="1"/>
    <col min="11027" max="11027" width="6.85546875" style="2" customWidth="1"/>
    <col min="11028" max="11028" width="0" style="2" hidden="1" customWidth="1"/>
    <col min="11029" max="11030" width="6.28515625" style="2" customWidth="1"/>
    <col min="11031" max="11032" width="13.85546875" style="2" customWidth="1"/>
    <col min="11033" max="11033" width="10.85546875" style="2" customWidth="1"/>
    <col min="11034" max="11034" width="14.140625" style="2" customWidth="1"/>
    <col min="11035" max="11035" width="0" style="2" hidden="1" customWidth="1"/>
    <col min="11036" max="11036" width="13" style="2" customWidth="1"/>
    <col min="11037" max="11037" width="13.140625" style="2" customWidth="1"/>
    <col min="11038" max="11039" width="14" style="2" customWidth="1"/>
    <col min="11040" max="11040" width="11.42578125" style="2" customWidth="1"/>
    <col min="11041" max="11041" width="15.85546875" style="2" customWidth="1"/>
    <col min="11042" max="11042" width="23.7109375" style="2" customWidth="1"/>
    <col min="11043" max="11043" width="12" style="2" customWidth="1"/>
    <col min="11044" max="11045" width="0.28515625" style="2" customWidth="1"/>
    <col min="11046" max="11046" width="1.42578125" style="2" customWidth="1"/>
    <col min="11047" max="11047" width="0" style="2" hidden="1" customWidth="1"/>
    <col min="11048" max="11264" width="11.42578125" style="2"/>
    <col min="11265" max="11265" width="10.28515625" style="2" customWidth="1"/>
    <col min="11266" max="11266" width="13.42578125" style="2" customWidth="1"/>
    <col min="11267" max="11267" width="4.28515625" style="2" customWidth="1"/>
    <col min="11268" max="11268" width="4" style="2" customWidth="1"/>
    <col min="11269" max="11269" width="15" style="2" customWidth="1"/>
    <col min="11270" max="11270" width="4.140625" style="2" customWidth="1"/>
    <col min="11271" max="11271" width="11.28515625" style="2" customWidth="1"/>
    <col min="11272" max="11272" width="16.140625" style="2" customWidth="1"/>
    <col min="11273" max="11273" width="11" style="2" customWidth="1"/>
    <col min="11274" max="11275" width="2.140625" style="2" customWidth="1"/>
    <col min="11276" max="11276" width="3.28515625" style="2" customWidth="1"/>
    <col min="11277" max="11278" width="0" style="2" hidden="1" customWidth="1"/>
    <col min="11279" max="11279" width="2.85546875" style="2" customWidth="1"/>
    <col min="11280" max="11280" width="3.28515625" style="2" customWidth="1"/>
    <col min="11281" max="11281" width="1.42578125" style="2" customWidth="1"/>
    <col min="11282" max="11282" width="0" style="2" hidden="1" customWidth="1"/>
    <col min="11283" max="11283" width="6.85546875" style="2" customWidth="1"/>
    <col min="11284" max="11284" width="0" style="2" hidden="1" customWidth="1"/>
    <col min="11285" max="11286" width="6.28515625" style="2" customWidth="1"/>
    <col min="11287" max="11288" width="13.85546875" style="2" customWidth="1"/>
    <col min="11289" max="11289" width="10.85546875" style="2" customWidth="1"/>
    <col min="11290" max="11290" width="14.140625" style="2" customWidth="1"/>
    <col min="11291" max="11291" width="0" style="2" hidden="1" customWidth="1"/>
    <col min="11292" max="11292" width="13" style="2" customWidth="1"/>
    <col min="11293" max="11293" width="13.140625" style="2" customWidth="1"/>
    <col min="11294" max="11295" width="14" style="2" customWidth="1"/>
    <col min="11296" max="11296" width="11.42578125" style="2" customWidth="1"/>
    <col min="11297" max="11297" width="15.85546875" style="2" customWidth="1"/>
    <col min="11298" max="11298" width="23.7109375" style="2" customWidth="1"/>
    <col min="11299" max="11299" width="12" style="2" customWidth="1"/>
    <col min="11300" max="11301" width="0.28515625" style="2" customWidth="1"/>
    <col min="11302" max="11302" width="1.42578125" style="2" customWidth="1"/>
    <col min="11303" max="11303" width="0" style="2" hidden="1" customWidth="1"/>
    <col min="11304" max="11520" width="11.42578125" style="2"/>
    <col min="11521" max="11521" width="10.28515625" style="2" customWidth="1"/>
    <col min="11522" max="11522" width="13.42578125" style="2" customWidth="1"/>
    <col min="11523" max="11523" width="4.28515625" style="2" customWidth="1"/>
    <col min="11524" max="11524" width="4" style="2" customWidth="1"/>
    <col min="11525" max="11525" width="15" style="2" customWidth="1"/>
    <col min="11526" max="11526" width="4.140625" style="2" customWidth="1"/>
    <col min="11527" max="11527" width="11.28515625" style="2" customWidth="1"/>
    <col min="11528" max="11528" width="16.140625" style="2" customWidth="1"/>
    <col min="11529" max="11529" width="11" style="2" customWidth="1"/>
    <col min="11530" max="11531" width="2.140625" style="2" customWidth="1"/>
    <col min="11532" max="11532" width="3.28515625" style="2" customWidth="1"/>
    <col min="11533" max="11534" width="0" style="2" hidden="1" customWidth="1"/>
    <col min="11535" max="11535" width="2.85546875" style="2" customWidth="1"/>
    <col min="11536" max="11536" width="3.28515625" style="2" customWidth="1"/>
    <col min="11537" max="11537" width="1.42578125" style="2" customWidth="1"/>
    <col min="11538" max="11538" width="0" style="2" hidden="1" customWidth="1"/>
    <col min="11539" max="11539" width="6.85546875" style="2" customWidth="1"/>
    <col min="11540" max="11540" width="0" style="2" hidden="1" customWidth="1"/>
    <col min="11541" max="11542" width="6.28515625" style="2" customWidth="1"/>
    <col min="11543" max="11544" width="13.85546875" style="2" customWidth="1"/>
    <col min="11545" max="11545" width="10.85546875" style="2" customWidth="1"/>
    <col min="11546" max="11546" width="14.140625" style="2" customWidth="1"/>
    <col min="11547" max="11547" width="0" style="2" hidden="1" customWidth="1"/>
    <col min="11548" max="11548" width="13" style="2" customWidth="1"/>
    <col min="11549" max="11549" width="13.140625" style="2" customWidth="1"/>
    <col min="11550" max="11551" width="14" style="2" customWidth="1"/>
    <col min="11552" max="11552" width="11.42578125" style="2" customWidth="1"/>
    <col min="11553" max="11553" width="15.85546875" style="2" customWidth="1"/>
    <col min="11554" max="11554" width="23.7109375" style="2" customWidth="1"/>
    <col min="11555" max="11555" width="12" style="2" customWidth="1"/>
    <col min="11556" max="11557" width="0.28515625" style="2" customWidth="1"/>
    <col min="11558" max="11558" width="1.42578125" style="2" customWidth="1"/>
    <col min="11559" max="11559" width="0" style="2" hidden="1" customWidth="1"/>
    <col min="11560" max="11776" width="11.42578125" style="2"/>
    <col min="11777" max="11777" width="10.28515625" style="2" customWidth="1"/>
    <col min="11778" max="11778" width="13.42578125" style="2" customWidth="1"/>
    <col min="11779" max="11779" width="4.28515625" style="2" customWidth="1"/>
    <col min="11780" max="11780" width="4" style="2" customWidth="1"/>
    <col min="11781" max="11781" width="15" style="2" customWidth="1"/>
    <col min="11782" max="11782" width="4.140625" style="2" customWidth="1"/>
    <col min="11783" max="11783" width="11.28515625" style="2" customWidth="1"/>
    <col min="11784" max="11784" width="16.140625" style="2" customWidth="1"/>
    <col min="11785" max="11785" width="11" style="2" customWidth="1"/>
    <col min="11786" max="11787" width="2.140625" style="2" customWidth="1"/>
    <col min="11788" max="11788" width="3.28515625" style="2" customWidth="1"/>
    <col min="11789" max="11790" width="0" style="2" hidden="1" customWidth="1"/>
    <col min="11791" max="11791" width="2.85546875" style="2" customWidth="1"/>
    <col min="11792" max="11792" width="3.28515625" style="2" customWidth="1"/>
    <col min="11793" max="11793" width="1.42578125" style="2" customWidth="1"/>
    <col min="11794" max="11794" width="0" style="2" hidden="1" customWidth="1"/>
    <col min="11795" max="11795" width="6.85546875" style="2" customWidth="1"/>
    <col min="11796" max="11796" width="0" style="2" hidden="1" customWidth="1"/>
    <col min="11797" max="11798" width="6.28515625" style="2" customWidth="1"/>
    <col min="11799" max="11800" width="13.85546875" style="2" customWidth="1"/>
    <col min="11801" max="11801" width="10.85546875" style="2" customWidth="1"/>
    <col min="11802" max="11802" width="14.140625" style="2" customWidth="1"/>
    <col min="11803" max="11803" width="0" style="2" hidden="1" customWidth="1"/>
    <col min="11804" max="11804" width="13" style="2" customWidth="1"/>
    <col min="11805" max="11805" width="13.140625" style="2" customWidth="1"/>
    <col min="11806" max="11807" width="14" style="2" customWidth="1"/>
    <col min="11808" max="11808" width="11.42578125" style="2" customWidth="1"/>
    <col min="11809" max="11809" width="15.85546875" style="2" customWidth="1"/>
    <col min="11810" max="11810" width="23.7109375" style="2" customWidth="1"/>
    <col min="11811" max="11811" width="12" style="2" customWidth="1"/>
    <col min="11812" max="11813" width="0.28515625" style="2" customWidth="1"/>
    <col min="11814" max="11814" width="1.42578125" style="2" customWidth="1"/>
    <col min="11815" max="11815" width="0" style="2" hidden="1" customWidth="1"/>
    <col min="11816" max="12032" width="11.42578125" style="2"/>
    <col min="12033" max="12033" width="10.28515625" style="2" customWidth="1"/>
    <col min="12034" max="12034" width="13.42578125" style="2" customWidth="1"/>
    <col min="12035" max="12035" width="4.28515625" style="2" customWidth="1"/>
    <col min="12036" max="12036" width="4" style="2" customWidth="1"/>
    <col min="12037" max="12037" width="15" style="2" customWidth="1"/>
    <col min="12038" max="12038" width="4.140625" style="2" customWidth="1"/>
    <col min="12039" max="12039" width="11.28515625" style="2" customWidth="1"/>
    <col min="12040" max="12040" width="16.140625" style="2" customWidth="1"/>
    <col min="12041" max="12041" width="11" style="2" customWidth="1"/>
    <col min="12042" max="12043" width="2.140625" style="2" customWidth="1"/>
    <col min="12044" max="12044" width="3.28515625" style="2" customWidth="1"/>
    <col min="12045" max="12046" width="0" style="2" hidden="1" customWidth="1"/>
    <col min="12047" max="12047" width="2.85546875" style="2" customWidth="1"/>
    <col min="12048" max="12048" width="3.28515625" style="2" customWidth="1"/>
    <col min="12049" max="12049" width="1.42578125" style="2" customWidth="1"/>
    <col min="12050" max="12050" width="0" style="2" hidden="1" customWidth="1"/>
    <col min="12051" max="12051" width="6.85546875" style="2" customWidth="1"/>
    <col min="12052" max="12052" width="0" style="2" hidden="1" customWidth="1"/>
    <col min="12053" max="12054" width="6.28515625" style="2" customWidth="1"/>
    <col min="12055" max="12056" width="13.85546875" style="2" customWidth="1"/>
    <col min="12057" max="12057" width="10.85546875" style="2" customWidth="1"/>
    <col min="12058" max="12058" width="14.140625" style="2" customWidth="1"/>
    <col min="12059" max="12059" width="0" style="2" hidden="1" customWidth="1"/>
    <col min="12060" max="12060" width="13" style="2" customWidth="1"/>
    <col min="12061" max="12061" width="13.140625" style="2" customWidth="1"/>
    <col min="12062" max="12063" width="14" style="2" customWidth="1"/>
    <col min="12064" max="12064" width="11.42578125" style="2" customWidth="1"/>
    <col min="12065" max="12065" width="15.85546875" style="2" customWidth="1"/>
    <col min="12066" max="12066" width="23.7109375" style="2" customWidth="1"/>
    <col min="12067" max="12067" width="12" style="2" customWidth="1"/>
    <col min="12068" max="12069" width="0.28515625" style="2" customWidth="1"/>
    <col min="12070" max="12070" width="1.42578125" style="2" customWidth="1"/>
    <col min="12071" max="12071" width="0" style="2" hidden="1" customWidth="1"/>
    <col min="12072" max="12288" width="11.42578125" style="2"/>
    <col min="12289" max="12289" width="10.28515625" style="2" customWidth="1"/>
    <col min="12290" max="12290" width="13.42578125" style="2" customWidth="1"/>
    <col min="12291" max="12291" width="4.28515625" style="2" customWidth="1"/>
    <col min="12292" max="12292" width="4" style="2" customWidth="1"/>
    <col min="12293" max="12293" width="15" style="2" customWidth="1"/>
    <col min="12294" max="12294" width="4.140625" style="2" customWidth="1"/>
    <col min="12295" max="12295" width="11.28515625" style="2" customWidth="1"/>
    <col min="12296" max="12296" width="16.140625" style="2" customWidth="1"/>
    <col min="12297" max="12297" width="11" style="2" customWidth="1"/>
    <col min="12298" max="12299" width="2.140625" style="2" customWidth="1"/>
    <col min="12300" max="12300" width="3.28515625" style="2" customWidth="1"/>
    <col min="12301" max="12302" width="0" style="2" hidden="1" customWidth="1"/>
    <col min="12303" max="12303" width="2.85546875" style="2" customWidth="1"/>
    <col min="12304" max="12304" width="3.28515625" style="2" customWidth="1"/>
    <col min="12305" max="12305" width="1.42578125" style="2" customWidth="1"/>
    <col min="12306" max="12306" width="0" style="2" hidden="1" customWidth="1"/>
    <col min="12307" max="12307" width="6.85546875" style="2" customWidth="1"/>
    <col min="12308" max="12308" width="0" style="2" hidden="1" customWidth="1"/>
    <col min="12309" max="12310" width="6.28515625" style="2" customWidth="1"/>
    <col min="12311" max="12312" width="13.85546875" style="2" customWidth="1"/>
    <col min="12313" max="12313" width="10.85546875" style="2" customWidth="1"/>
    <col min="12314" max="12314" width="14.140625" style="2" customWidth="1"/>
    <col min="12315" max="12315" width="0" style="2" hidden="1" customWidth="1"/>
    <col min="12316" max="12316" width="13" style="2" customWidth="1"/>
    <col min="12317" max="12317" width="13.140625" style="2" customWidth="1"/>
    <col min="12318" max="12319" width="14" style="2" customWidth="1"/>
    <col min="12320" max="12320" width="11.42578125" style="2" customWidth="1"/>
    <col min="12321" max="12321" width="15.85546875" style="2" customWidth="1"/>
    <col min="12322" max="12322" width="23.7109375" style="2" customWidth="1"/>
    <col min="12323" max="12323" width="12" style="2" customWidth="1"/>
    <col min="12324" max="12325" width="0.28515625" style="2" customWidth="1"/>
    <col min="12326" max="12326" width="1.42578125" style="2" customWidth="1"/>
    <col min="12327" max="12327" width="0" style="2" hidden="1" customWidth="1"/>
    <col min="12328" max="12544" width="11.42578125" style="2"/>
    <col min="12545" max="12545" width="10.28515625" style="2" customWidth="1"/>
    <col min="12546" max="12546" width="13.42578125" style="2" customWidth="1"/>
    <col min="12547" max="12547" width="4.28515625" style="2" customWidth="1"/>
    <col min="12548" max="12548" width="4" style="2" customWidth="1"/>
    <col min="12549" max="12549" width="15" style="2" customWidth="1"/>
    <col min="12550" max="12550" width="4.140625" style="2" customWidth="1"/>
    <col min="12551" max="12551" width="11.28515625" style="2" customWidth="1"/>
    <col min="12552" max="12552" width="16.140625" style="2" customWidth="1"/>
    <col min="12553" max="12553" width="11" style="2" customWidth="1"/>
    <col min="12554" max="12555" width="2.140625" style="2" customWidth="1"/>
    <col min="12556" max="12556" width="3.28515625" style="2" customWidth="1"/>
    <col min="12557" max="12558" width="0" style="2" hidden="1" customWidth="1"/>
    <col min="12559" max="12559" width="2.85546875" style="2" customWidth="1"/>
    <col min="12560" max="12560" width="3.28515625" style="2" customWidth="1"/>
    <col min="12561" max="12561" width="1.42578125" style="2" customWidth="1"/>
    <col min="12562" max="12562" width="0" style="2" hidden="1" customWidth="1"/>
    <col min="12563" max="12563" width="6.85546875" style="2" customWidth="1"/>
    <col min="12564" max="12564" width="0" style="2" hidden="1" customWidth="1"/>
    <col min="12565" max="12566" width="6.28515625" style="2" customWidth="1"/>
    <col min="12567" max="12568" width="13.85546875" style="2" customWidth="1"/>
    <col min="12569" max="12569" width="10.85546875" style="2" customWidth="1"/>
    <col min="12570" max="12570" width="14.140625" style="2" customWidth="1"/>
    <col min="12571" max="12571" width="0" style="2" hidden="1" customWidth="1"/>
    <col min="12572" max="12572" width="13" style="2" customWidth="1"/>
    <col min="12573" max="12573" width="13.140625" style="2" customWidth="1"/>
    <col min="12574" max="12575" width="14" style="2" customWidth="1"/>
    <col min="12576" max="12576" width="11.42578125" style="2" customWidth="1"/>
    <col min="12577" max="12577" width="15.85546875" style="2" customWidth="1"/>
    <col min="12578" max="12578" width="23.7109375" style="2" customWidth="1"/>
    <col min="12579" max="12579" width="12" style="2" customWidth="1"/>
    <col min="12580" max="12581" width="0.28515625" style="2" customWidth="1"/>
    <col min="12582" max="12582" width="1.42578125" style="2" customWidth="1"/>
    <col min="12583" max="12583" width="0" style="2" hidden="1" customWidth="1"/>
    <col min="12584" max="12800" width="11.42578125" style="2"/>
    <col min="12801" max="12801" width="10.28515625" style="2" customWidth="1"/>
    <col min="12802" max="12802" width="13.42578125" style="2" customWidth="1"/>
    <col min="12803" max="12803" width="4.28515625" style="2" customWidth="1"/>
    <col min="12804" max="12804" width="4" style="2" customWidth="1"/>
    <col min="12805" max="12805" width="15" style="2" customWidth="1"/>
    <col min="12806" max="12806" width="4.140625" style="2" customWidth="1"/>
    <col min="12807" max="12807" width="11.28515625" style="2" customWidth="1"/>
    <col min="12808" max="12808" width="16.140625" style="2" customWidth="1"/>
    <col min="12809" max="12809" width="11" style="2" customWidth="1"/>
    <col min="12810" max="12811" width="2.140625" style="2" customWidth="1"/>
    <col min="12812" max="12812" width="3.28515625" style="2" customWidth="1"/>
    <col min="12813" max="12814" width="0" style="2" hidden="1" customWidth="1"/>
    <col min="12815" max="12815" width="2.85546875" style="2" customWidth="1"/>
    <col min="12816" max="12816" width="3.28515625" style="2" customWidth="1"/>
    <col min="12817" max="12817" width="1.42578125" style="2" customWidth="1"/>
    <col min="12818" max="12818" width="0" style="2" hidden="1" customWidth="1"/>
    <col min="12819" max="12819" width="6.85546875" style="2" customWidth="1"/>
    <col min="12820" max="12820" width="0" style="2" hidden="1" customWidth="1"/>
    <col min="12821" max="12822" width="6.28515625" style="2" customWidth="1"/>
    <col min="12823" max="12824" width="13.85546875" style="2" customWidth="1"/>
    <col min="12825" max="12825" width="10.85546875" style="2" customWidth="1"/>
    <col min="12826" max="12826" width="14.140625" style="2" customWidth="1"/>
    <col min="12827" max="12827" width="0" style="2" hidden="1" customWidth="1"/>
    <col min="12828" max="12828" width="13" style="2" customWidth="1"/>
    <col min="12829" max="12829" width="13.140625" style="2" customWidth="1"/>
    <col min="12830" max="12831" width="14" style="2" customWidth="1"/>
    <col min="12832" max="12832" width="11.42578125" style="2" customWidth="1"/>
    <col min="12833" max="12833" width="15.85546875" style="2" customWidth="1"/>
    <col min="12834" max="12834" width="23.7109375" style="2" customWidth="1"/>
    <col min="12835" max="12835" width="12" style="2" customWidth="1"/>
    <col min="12836" max="12837" width="0.28515625" style="2" customWidth="1"/>
    <col min="12838" max="12838" width="1.42578125" style="2" customWidth="1"/>
    <col min="12839" max="12839" width="0" style="2" hidden="1" customWidth="1"/>
    <col min="12840" max="13056" width="11.42578125" style="2"/>
    <col min="13057" max="13057" width="10.28515625" style="2" customWidth="1"/>
    <col min="13058" max="13058" width="13.42578125" style="2" customWidth="1"/>
    <col min="13059" max="13059" width="4.28515625" style="2" customWidth="1"/>
    <col min="13060" max="13060" width="4" style="2" customWidth="1"/>
    <col min="13061" max="13061" width="15" style="2" customWidth="1"/>
    <col min="13062" max="13062" width="4.140625" style="2" customWidth="1"/>
    <col min="13063" max="13063" width="11.28515625" style="2" customWidth="1"/>
    <col min="13064" max="13064" width="16.140625" style="2" customWidth="1"/>
    <col min="13065" max="13065" width="11" style="2" customWidth="1"/>
    <col min="13066" max="13067" width="2.140625" style="2" customWidth="1"/>
    <col min="13068" max="13068" width="3.28515625" style="2" customWidth="1"/>
    <col min="13069" max="13070" width="0" style="2" hidden="1" customWidth="1"/>
    <col min="13071" max="13071" width="2.85546875" style="2" customWidth="1"/>
    <col min="13072" max="13072" width="3.28515625" style="2" customWidth="1"/>
    <col min="13073" max="13073" width="1.42578125" style="2" customWidth="1"/>
    <col min="13074" max="13074" width="0" style="2" hidden="1" customWidth="1"/>
    <col min="13075" max="13075" width="6.85546875" style="2" customWidth="1"/>
    <col min="13076" max="13076" width="0" style="2" hidden="1" customWidth="1"/>
    <col min="13077" max="13078" width="6.28515625" style="2" customWidth="1"/>
    <col min="13079" max="13080" width="13.85546875" style="2" customWidth="1"/>
    <col min="13081" max="13081" width="10.85546875" style="2" customWidth="1"/>
    <col min="13082" max="13082" width="14.140625" style="2" customWidth="1"/>
    <col min="13083" max="13083" width="0" style="2" hidden="1" customWidth="1"/>
    <col min="13084" max="13084" width="13" style="2" customWidth="1"/>
    <col min="13085" max="13085" width="13.140625" style="2" customWidth="1"/>
    <col min="13086" max="13087" width="14" style="2" customWidth="1"/>
    <col min="13088" max="13088" width="11.42578125" style="2" customWidth="1"/>
    <col min="13089" max="13089" width="15.85546875" style="2" customWidth="1"/>
    <col min="13090" max="13090" width="23.7109375" style="2" customWidth="1"/>
    <col min="13091" max="13091" width="12" style="2" customWidth="1"/>
    <col min="13092" max="13093" width="0.28515625" style="2" customWidth="1"/>
    <col min="13094" max="13094" width="1.42578125" style="2" customWidth="1"/>
    <col min="13095" max="13095" width="0" style="2" hidden="1" customWidth="1"/>
    <col min="13096" max="13312" width="11.42578125" style="2"/>
    <col min="13313" max="13313" width="10.28515625" style="2" customWidth="1"/>
    <col min="13314" max="13314" width="13.42578125" style="2" customWidth="1"/>
    <col min="13315" max="13315" width="4.28515625" style="2" customWidth="1"/>
    <col min="13316" max="13316" width="4" style="2" customWidth="1"/>
    <col min="13317" max="13317" width="15" style="2" customWidth="1"/>
    <col min="13318" max="13318" width="4.140625" style="2" customWidth="1"/>
    <col min="13319" max="13319" width="11.28515625" style="2" customWidth="1"/>
    <col min="13320" max="13320" width="16.140625" style="2" customWidth="1"/>
    <col min="13321" max="13321" width="11" style="2" customWidth="1"/>
    <col min="13322" max="13323" width="2.140625" style="2" customWidth="1"/>
    <col min="13324" max="13324" width="3.28515625" style="2" customWidth="1"/>
    <col min="13325" max="13326" width="0" style="2" hidden="1" customWidth="1"/>
    <col min="13327" max="13327" width="2.85546875" style="2" customWidth="1"/>
    <col min="13328" max="13328" width="3.28515625" style="2" customWidth="1"/>
    <col min="13329" max="13329" width="1.42578125" style="2" customWidth="1"/>
    <col min="13330" max="13330" width="0" style="2" hidden="1" customWidth="1"/>
    <col min="13331" max="13331" width="6.85546875" style="2" customWidth="1"/>
    <col min="13332" max="13332" width="0" style="2" hidden="1" customWidth="1"/>
    <col min="13333" max="13334" width="6.28515625" style="2" customWidth="1"/>
    <col min="13335" max="13336" width="13.85546875" style="2" customWidth="1"/>
    <col min="13337" max="13337" width="10.85546875" style="2" customWidth="1"/>
    <col min="13338" max="13338" width="14.140625" style="2" customWidth="1"/>
    <col min="13339" max="13339" width="0" style="2" hidden="1" customWidth="1"/>
    <col min="13340" max="13340" width="13" style="2" customWidth="1"/>
    <col min="13341" max="13341" width="13.140625" style="2" customWidth="1"/>
    <col min="13342" max="13343" width="14" style="2" customWidth="1"/>
    <col min="13344" max="13344" width="11.42578125" style="2" customWidth="1"/>
    <col min="13345" max="13345" width="15.85546875" style="2" customWidth="1"/>
    <col min="13346" max="13346" width="23.7109375" style="2" customWidth="1"/>
    <col min="13347" max="13347" width="12" style="2" customWidth="1"/>
    <col min="13348" max="13349" width="0.28515625" style="2" customWidth="1"/>
    <col min="13350" max="13350" width="1.42578125" style="2" customWidth="1"/>
    <col min="13351" max="13351" width="0" style="2" hidden="1" customWidth="1"/>
    <col min="13352" max="13568" width="11.42578125" style="2"/>
    <col min="13569" max="13569" width="10.28515625" style="2" customWidth="1"/>
    <col min="13570" max="13570" width="13.42578125" style="2" customWidth="1"/>
    <col min="13571" max="13571" width="4.28515625" style="2" customWidth="1"/>
    <col min="13572" max="13572" width="4" style="2" customWidth="1"/>
    <col min="13573" max="13573" width="15" style="2" customWidth="1"/>
    <col min="13574" max="13574" width="4.140625" style="2" customWidth="1"/>
    <col min="13575" max="13575" width="11.28515625" style="2" customWidth="1"/>
    <col min="13576" max="13576" width="16.140625" style="2" customWidth="1"/>
    <col min="13577" max="13577" width="11" style="2" customWidth="1"/>
    <col min="13578" max="13579" width="2.140625" style="2" customWidth="1"/>
    <col min="13580" max="13580" width="3.28515625" style="2" customWidth="1"/>
    <col min="13581" max="13582" width="0" style="2" hidden="1" customWidth="1"/>
    <col min="13583" max="13583" width="2.85546875" style="2" customWidth="1"/>
    <col min="13584" max="13584" width="3.28515625" style="2" customWidth="1"/>
    <col min="13585" max="13585" width="1.42578125" style="2" customWidth="1"/>
    <col min="13586" max="13586" width="0" style="2" hidden="1" customWidth="1"/>
    <col min="13587" max="13587" width="6.85546875" style="2" customWidth="1"/>
    <col min="13588" max="13588" width="0" style="2" hidden="1" customWidth="1"/>
    <col min="13589" max="13590" width="6.28515625" style="2" customWidth="1"/>
    <col min="13591" max="13592" width="13.85546875" style="2" customWidth="1"/>
    <col min="13593" max="13593" width="10.85546875" style="2" customWidth="1"/>
    <col min="13594" max="13594" width="14.140625" style="2" customWidth="1"/>
    <col min="13595" max="13595" width="0" style="2" hidden="1" customWidth="1"/>
    <col min="13596" max="13596" width="13" style="2" customWidth="1"/>
    <col min="13597" max="13597" width="13.140625" style="2" customWidth="1"/>
    <col min="13598" max="13599" width="14" style="2" customWidth="1"/>
    <col min="13600" max="13600" width="11.42578125" style="2" customWidth="1"/>
    <col min="13601" max="13601" width="15.85546875" style="2" customWidth="1"/>
    <col min="13602" max="13602" width="23.7109375" style="2" customWidth="1"/>
    <col min="13603" max="13603" width="12" style="2" customWidth="1"/>
    <col min="13604" max="13605" width="0.28515625" style="2" customWidth="1"/>
    <col min="13606" max="13606" width="1.42578125" style="2" customWidth="1"/>
    <col min="13607" max="13607" width="0" style="2" hidden="1" customWidth="1"/>
    <col min="13608" max="13824" width="11.42578125" style="2"/>
    <col min="13825" max="13825" width="10.28515625" style="2" customWidth="1"/>
    <col min="13826" max="13826" width="13.42578125" style="2" customWidth="1"/>
    <col min="13827" max="13827" width="4.28515625" style="2" customWidth="1"/>
    <col min="13828" max="13828" width="4" style="2" customWidth="1"/>
    <col min="13829" max="13829" width="15" style="2" customWidth="1"/>
    <col min="13830" max="13830" width="4.140625" style="2" customWidth="1"/>
    <col min="13831" max="13831" width="11.28515625" style="2" customWidth="1"/>
    <col min="13832" max="13832" width="16.140625" style="2" customWidth="1"/>
    <col min="13833" max="13833" width="11" style="2" customWidth="1"/>
    <col min="13834" max="13835" width="2.140625" style="2" customWidth="1"/>
    <col min="13836" max="13836" width="3.28515625" style="2" customWidth="1"/>
    <col min="13837" max="13838" width="0" style="2" hidden="1" customWidth="1"/>
    <col min="13839" max="13839" width="2.85546875" style="2" customWidth="1"/>
    <col min="13840" max="13840" width="3.28515625" style="2" customWidth="1"/>
    <col min="13841" max="13841" width="1.42578125" style="2" customWidth="1"/>
    <col min="13842" max="13842" width="0" style="2" hidden="1" customWidth="1"/>
    <col min="13843" max="13843" width="6.85546875" style="2" customWidth="1"/>
    <col min="13844" max="13844" width="0" style="2" hidden="1" customWidth="1"/>
    <col min="13845" max="13846" width="6.28515625" style="2" customWidth="1"/>
    <col min="13847" max="13848" width="13.85546875" style="2" customWidth="1"/>
    <col min="13849" max="13849" width="10.85546875" style="2" customWidth="1"/>
    <col min="13850" max="13850" width="14.140625" style="2" customWidth="1"/>
    <col min="13851" max="13851" width="0" style="2" hidden="1" customWidth="1"/>
    <col min="13852" max="13852" width="13" style="2" customWidth="1"/>
    <col min="13853" max="13853" width="13.140625" style="2" customWidth="1"/>
    <col min="13854" max="13855" width="14" style="2" customWidth="1"/>
    <col min="13856" max="13856" width="11.42578125" style="2" customWidth="1"/>
    <col min="13857" max="13857" width="15.85546875" style="2" customWidth="1"/>
    <col min="13858" max="13858" width="23.7109375" style="2" customWidth="1"/>
    <col min="13859" max="13859" width="12" style="2" customWidth="1"/>
    <col min="13860" max="13861" width="0.28515625" style="2" customWidth="1"/>
    <col min="13862" max="13862" width="1.42578125" style="2" customWidth="1"/>
    <col min="13863" max="13863" width="0" style="2" hidden="1" customWidth="1"/>
    <col min="13864" max="14080" width="11.42578125" style="2"/>
    <col min="14081" max="14081" width="10.28515625" style="2" customWidth="1"/>
    <col min="14082" max="14082" width="13.42578125" style="2" customWidth="1"/>
    <col min="14083" max="14083" width="4.28515625" style="2" customWidth="1"/>
    <col min="14084" max="14084" width="4" style="2" customWidth="1"/>
    <col min="14085" max="14085" width="15" style="2" customWidth="1"/>
    <col min="14086" max="14086" width="4.140625" style="2" customWidth="1"/>
    <col min="14087" max="14087" width="11.28515625" style="2" customWidth="1"/>
    <col min="14088" max="14088" width="16.140625" style="2" customWidth="1"/>
    <col min="14089" max="14089" width="11" style="2" customWidth="1"/>
    <col min="14090" max="14091" width="2.140625" style="2" customWidth="1"/>
    <col min="14092" max="14092" width="3.28515625" style="2" customWidth="1"/>
    <col min="14093" max="14094" width="0" style="2" hidden="1" customWidth="1"/>
    <col min="14095" max="14095" width="2.85546875" style="2" customWidth="1"/>
    <col min="14096" max="14096" width="3.28515625" style="2" customWidth="1"/>
    <col min="14097" max="14097" width="1.42578125" style="2" customWidth="1"/>
    <col min="14098" max="14098" width="0" style="2" hidden="1" customWidth="1"/>
    <col min="14099" max="14099" width="6.85546875" style="2" customWidth="1"/>
    <col min="14100" max="14100" width="0" style="2" hidden="1" customWidth="1"/>
    <col min="14101" max="14102" width="6.28515625" style="2" customWidth="1"/>
    <col min="14103" max="14104" width="13.85546875" style="2" customWidth="1"/>
    <col min="14105" max="14105" width="10.85546875" style="2" customWidth="1"/>
    <col min="14106" max="14106" width="14.140625" style="2" customWidth="1"/>
    <col min="14107" max="14107" width="0" style="2" hidden="1" customWidth="1"/>
    <col min="14108" max="14108" width="13" style="2" customWidth="1"/>
    <col min="14109" max="14109" width="13.140625" style="2" customWidth="1"/>
    <col min="14110" max="14111" width="14" style="2" customWidth="1"/>
    <col min="14112" max="14112" width="11.42578125" style="2" customWidth="1"/>
    <col min="14113" max="14113" width="15.85546875" style="2" customWidth="1"/>
    <col min="14114" max="14114" width="23.7109375" style="2" customWidth="1"/>
    <col min="14115" max="14115" width="12" style="2" customWidth="1"/>
    <col min="14116" max="14117" width="0.28515625" style="2" customWidth="1"/>
    <col min="14118" max="14118" width="1.42578125" style="2" customWidth="1"/>
    <col min="14119" max="14119" width="0" style="2" hidden="1" customWidth="1"/>
    <col min="14120" max="14336" width="11.42578125" style="2"/>
    <col min="14337" max="14337" width="10.28515625" style="2" customWidth="1"/>
    <col min="14338" max="14338" width="13.42578125" style="2" customWidth="1"/>
    <col min="14339" max="14339" width="4.28515625" style="2" customWidth="1"/>
    <col min="14340" max="14340" width="4" style="2" customWidth="1"/>
    <col min="14341" max="14341" width="15" style="2" customWidth="1"/>
    <col min="14342" max="14342" width="4.140625" style="2" customWidth="1"/>
    <col min="14343" max="14343" width="11.28515625" style="2" customWidth="1"/>
    <col min="14344" max="14344" width="16.140625" style="2" customWidth="1"/>
    <col min="14345" max="14345" width="11" style="2" customWidth="1"/>
    <col min="14346" max="14347" width="2.140625" style="2" customWidth="1"/>
    <col min="14348" max="14348" width="3.28515625" style="2" customWidth="1"/>
    <col min="14349" max="14350" width="0" style="2" hidden="1" customWidth="1"/>
    <col min="14351" max="14351" width="2.85546875" style="2" customWidth="1"/>
    <col min="14352" max="14352" width="3.28515625" style="2" customWidth="1"/>
    <col min="14353" max="14353" width="1.42578125" style="2" customWidth="1"/>
    <col min="14354" max="14354" width="0" style="2" hidden="1" customWidth="1"/>
    <col min="14355" max="14355" width="6.85546875" style="2" customWidth="1"/>
    <col min="14356" max="14356" width="0" style="2" hidden="1" customWidth="1"/>
    <col min="14357" max="14358" width="6.28515625" style="2" customWidth="1"/>
    <col min="14359" max="14360" width="13.85546875" style="2" customWidth="1"/>
    <col min="14361" max="14361" width="10.85546875" style="2" customWidth="1"/>
    <col min="14362" max="14362" width="14.140625" style="2" customWidth="1"/>
    <col min="14363" max="14363" width="0" style="2" hidden="1" customWidth="1"/>
    <col min="14364" max="14364" width="13" style="2" customWidth="1"/>
    <col min="14365" max="14365" width="13.140625" style="2" customWidth="1"/>
    <col min="14366" max="14367" width="14" style="2" customWidth="1"/>
    <col min="14368" max="14368" width="11.42578125" style="2" customWidth="1"/>
    <col min="14369" max="14369" width="15.85546875" style="2" customWidth="1"/>
    <col min="14370" max="14370" width="23.7109375" style="2" customWidth="1"/>
    <col min="14371" max="14371" width="12" style="2" customWidth="1"/>
    <col min="14372" max="14373" width="0.28515625" style="2" customWidth="1"/>
    <col min="14374" max="14374" width="1.42578125" style="2" customWidth="1"/>
    <col min="14375" max="14375" width="0" style="2" hidden="1" customWidth="1"/>
    <col min="14376" max="14592" width="11.42578125" style="2"/>
    <col min="14593" max="14593" width="10.28515625" style="2" customWidth="1"/>
    <col min="14594" max="14594" width="13.42578125" style="2" customWidth="1"/>
    <col min="14595" max="14595" width="4.28515625" style="2" customWidth="1"/>
    <col min="14596" max="14596" width="4" style="2" customWidth="1"/>
    <col min="14597" max="14597" width="15" style="2" customWidth="1"/>
    <col min="14598" max="14598" width="4.140625" style="2" customWidth="1"/>
    <col min="14599" max="14599" width="11.28515625" style="2" customWidth="1"/>
    <col min="14600" max="14600" width="16.140625" style="2" customWidth="1"/>
    <col min="14601" max="14601" width="11" style="2" customWidth="1"/>
    <col min="14602" max="14603" width="2.140625" style="2" customWidth="1"/>
    <col min="14604" max="14604" width="3.28515625" style="2" customWidth="1"/>
    <col min="14605" max="14606" width="0" style="2" hidden="1" customWidth="1"/>
    <col min="14607" max="14607" width="2.85546875" style="2" customWidth="1"/>
    <col min="14608" max="14608" width="3.28515625" style="2" customWidth="1"/>
    <col min="14609" max="14609" width="1.42578125" style="2" customWidth="1"/>
    <col min="14610" max="14610" width="0" style="2" hidden="1" customWidth="1"/>
    <col min="14611" max="14611" width="6.85546875" style="2" customWidth="1"/>
    <col min="14612" max="14612" width="0" style="2" hidden="1" customWidth="1"/>
    <col min="14613" max="14614" width="6.28515625" style="2" customWidth="1"/>
    <col min="14615" max="14616" width="13.85546875" style="2" customWidth="1"/>
    <col min="14617" max="14617" width="10.85546875" style="2" customWidth="1"/>
    <col min="14618" max="14618" width="14.140625" style="2" customWidth="1"/>
    <col min="14619" max="14619" width="0" style="2" hidden="1" customWidth="1"/>
    <col min="14620" max="14620" width="13" style="2" customWidth="1"/>
    <col min="14621" max="14621" width="13.140625" style="2" customWidth="1"/>
    <col min="14622" max="14623" width="14" style="2" customWidth="1"/>
    <col min="14624" max="14624" width="11.42578125" style="2" customWidth="1"/>
    <col min="14625" max="14625" width="15.85546875" style="2" customWidth="1"/>
    <col min="14626" max="14626" width="23.7109375" style="2" customWidth="1"/>
    <col min="14627" max="14627" width="12" style="2" customWidth="1"/>
    <col min="14628" max="14629" width="0.28515625" style="2" customWidth="1"/>
    <col min="14630" max="14630" width="1.42578125" style="2" customWidth="1"/>
    <col min="14631" max="14631" width="0" style="2" hidden="1" customWidth="1"/>
    <col min="14632" max="14848" width="11.42578125" style="2"/>
    <col min="14849" max="14849" width="10.28515625" style="2" customWidth="1"/>
    <col min="14850" max="14850" width="13.42578125" style="2" customWidth="1"/>
    <col min="14851" max="14851" width="4.28515625" style="2" customWidth="1"/>
    <col min="14852" max="14852" width="4" style="2" customWidth="1"/>
    <col min="14853" max="14853" width="15" style="2" customWidth="1"/>
    <col min="14854" max="14854" width="4.140625" style="2" customWidth="1"/>
    <col min="14855" max="14855" width="11.28515625" style="2" customWidth="1"/>
    <col min="14856" max="14856" width="16.140625" style="2" customWidth="1"/>
    <col min="14857" max="14857" width="11" style="2" customWidth="1"/>
    <col min="14858" max="14859" width="2.140625" style="2" customWidth="1"/>
    <col min="14860" max="14860" width="3.28515625" style="2" customWidth="1"/>
    <col min="14861" max="14862" width="0" style="2" hidden="1" customWidth="1"/>
    <col min="14863" max="14863" width="2.85546875" style="2" customWidth="1"/>
    <col min="14864" max="14864" width="3.28515625" style="2" customWidth="1"/>
    <col min="14865" max="14865" width="1.42578125" style="2" customWidth="1"/>
    <col min="14866" max="14866" width="0" style="2" hidden="1" customWidth="1"/>
    <col min="14867" max="14867" width="6.85546875" style="2" customWidth="1"/>
    <col min="14868" max="14868" width="0" style="2" hidden="1" customWidth="1"/>
    <col min="14869" max="14870" width="6.28515625" style="2" customWidth="1"/>
    <col min="14871" max="14872" width="13.85546875" style="2" customWidth="1"/>
    <col min="14873" max="14873" width="10.85546875" style="2" customWidth="1"/>
    <col min="14874" max="14874" width="14.140625" style="2" customWidth="1"/>
    <col min="14875" max="14875" width="0" style="2" hidden="1" customWidth="1"/>
    <col min="14876" max="14876" width="13" style="2" customWidth="1"/>
    <col min="14877" max="14877" width="13.140625" style="2" customWidth="1"/>
    <col min="14878" max="14879" width="14" style="2" customWidth="1"/>
    <col min="14880" max="14880" width="11.42578125" style="2" customWidth="1"/>
    <col min="14881" max="14881" width="15.85546875" style="2" customWidth="1"/>
    <col min="14882" max="14882" width="23.7109375" style="2" customWidth="1"/>
    <col min="14883" max="14883" width="12" style="2" customWidth="1"/>
    <col min="14884" max="14885" width="0.28515625" style="2" customWidth="1"/>
    <col min="14886" max="14886" width="1.42578125" style="2" customWidth="1"/>
    <col min="14887" max="14887" width="0" style="2" hidden="1" customWidth="1"/>
    <col min="14888" max="15104" width="11.42578125" style="2"/>
    <col min="15105" max="15105" width="10.28515625" style="2" customWidth="1"/>
    <col min="15106" max="15106" width="13.42578125" style="2" customWidth="1"/>
    <col min="15107" max="15107" width="4.28515625" style="2" customWidth="1"/>
    <col min="15108" max="15108" width="4" style="2" customWidth="1"/>
    <col min="15109" max="15109" width="15" style="2" customWidth="1"/>
    <col min="15110" max="15110" width="4.140625" style="2" customWidth="1"/>
    <col min="15111" max="15111" width="11.28515625" style="2" customWidth="1"/>
    <col min="15112" max="15112" width="16.140625" style="2" customWidth="1"/>
    <col min="15113" max="15113" width="11" style="2" customWidth="1"/>
    <col min="15114" max="15115" width="2.140625" style="2" customWidth="1"/>
    <col min="15116" max="15116" width="3.28515625" style="2" customWidth="1"/>
    <col min="15117" max="15118" width="0" style="2" hidden="1" customWidth="1"/>
    <col min="15119" max="15119" width="2.85546875" style="2" customWidth="1"/>
    <col min="15120" max="15120" width="3.28515625" style="2" customWidth="1"/>
    <col min="15121" max="15121" width="1.42578125" style="2" customWidth="1"/>
    <col min="15122" max="15122" width="0" style="2" hidden="1" customWidth="1"/>
    <col min="15123" max="15123" width="6.85546875" style="2" customWidth="1"/>
    <col min="15124" max="15124" width="0" style="2" hidden="1" customWidth="1"/>
    <col min="15125" max="15126" width="6.28515625" style="2" customWidth="1"/>
    <col min="15127" max="15128" width="13.85546875" style="2" customWidth="1"/>
    <col min="15129" max="15129" width="10.85546875" style="2" customWidth="1"/>
    <col min="15130" max="15130" width="14.140625" style="2" customWidth="1"/>
    <col min="15131" max="15131" width="0" style="2" hidden="1" customWidth="1"/>
    <col min="15132" max="15132" width="13" style="2" customWidth="1"/>
    <col min="15133" max="15133" width="13.140625" style="2" customWidth="1"/>
    <col min="15134" max="15135" width="14" style="2" customWidth="1"/>
    <col min="15136" max="15136" width="11.42578125" style="2" customWidth="1"/>
    <col min="15137" max="15137" width="15.85546875" style="2" customWidth="1"/>
    <col min="15138" max="15138" width="23.7109375" style="2" customWidth="1"/>
    <col min="15139" max="15139" width="12" style="2" customWidth="1"/>
    <col min="15140" max="15141" width="0.28515625" style="2" customWidth="1"/>
    <col min="15142" max="15142" width="1.42578125" style="2" customWidth="1"/>
    <col min="15143" max="15143" width="0" style="2" hidden="1" customWidth="1"/>
    <col min="15144" max="15360" width="11.42578125" style="2"/>
    <col min="15361" max="15361" width="10.28515625" style="2" customWidth="1"/>
    <col min="15362" max="15362" width="13.42578125" style="2" customWidth="1"/>
    <col min="15363" max="15363" width="4.28515625" style="2" customWidth="1"/>
    <col min="15364" max="15364" width="4" style="2" customWidth="1"/>
    <col min="15365" max="15365" width="15" style="2" customWidth="1"/>
    <col min="15366" max="15366" width="4.140625" style="2" customWidth="1"/>
    <col min="15367" max="15367" width="11.28515625" style="2" customWidth="1"/>
    <col min="15368" max="15368" width="16.140625" style="2" customWidth="1"/>
    <col min="15369" max="15369" width="11" style="2" customWidth="1"/>
    <col min="15370" max="15371" width="2.140625" style="2" customWidth="1"/>
    <col min="15372" max="15372" width="3.28515625" style="2" customWidth="1"/>
    <col min="15373" max="15374" width="0" style="2" hidden="1" customWidth="1"/>
    <col min="15375" max="15375" width="2.85546875" style="2" customWidth="1"/>
    <col min="15376" max="15376" width="3.28515625" style="2" customWidth="1"/>
    <col min="15377" max="15377" width="1.42578125" style="2" customWidth="1"/>
    <col min="15378" max="15378" width="0" style="2" hidden="1" customWidth="1"/>
    <col min="15379" max="15379" width="6.85546875" style="2" customWidth="1"/>
    <col min="15380" max="15380" width="0" style="2" hidden="1" customWidth="1"/>
    <col min="15381" max="15382" width="6.28515625" style="2" customWidth="1"/>
    <col min="15383" max="15384" width="13.85546875" style="2" customWidth="1"/>
    <col min="15385" max="15385" width="10.85546875" style="2" customWidth="1"/>
    <col min="15386" max="15386" width="14.140625" style="2" customWidth="1"/>
    <col min="15387" max="15387" width="0" style="2" hidden="1" customWidth="1"/>
    <col min="15388" max="15388" width="13" style="2" customWidth="1"/>
    <col min="15389" max="15389" width="13.140625" style="2" customWidth="1"/>
    <col min="15390" max="15391" width="14" style="2" customWidth="1"/>
    <col min="15392" max="15392" width="11.42578125" style="2" customWidth="1"/>
    <col min="15393" max="15393" width="15.85546875" style="2" customWidth="1"/>
    <col min="15394" max="15394" width="23.7109375" style="2" customWidth="1"/>
    <col min="15395" max="15395" width="12" style="2" customWidth="1"/>
    <col min="15396" max="15397" width="0.28515625" style="2" customWidth="1"/>
    <col min="15398" max="15398" width="1.42578125" style="2" customWidth="1"/>
    <col min="15399" max="15399" width="0" style="2" hidden="1" customWidth="1"/>
    <col min="15400" max="15616" width="11.42578125" style="2"/>
    <col min="15617" max="15617" width="10.28515625" style="2" customWidth="1"/>
    <col min="15618" max="15618" width="13.42578125" style="2" customWidth="1"/>
    <col min="15619" max="15619" width="4.28515625" style="2" customWidth="1"/>
    <col min="15620" max="15620" width="4" style="2" customWidth="1"/>
    <col min="15621" max="15621" width="15" style="2" customWidth="1"/>
    <col min="15622" max="15622" width="4.140625" style="2" customWidth="1"/>
    <col min="15623" max="15623" width="11.28515625" style="2" customWidth="1"/>
    <col min="15624" max="15624" width="16.140625" style="2" customWidth="1"/>
    <col min="15625" max="15625" width="11" style="2" customWidth="1"/>
    <col min="15626" max="15627" width="2.140625" style="2" customWidth="1"/>
    <col min="15628" max="15628" width="3.28515625" style="2" customWidth="1"/>
    <col min="15629" max="15630" width="0" style="2" hidden="1" customWidth="1"/>
    <col min="15631" max="15631" width="2.85546875" style="2" customWidth="1"/>
    <col min="15632" max="15632" width="3.28515625" style="2" customWidth="1"/>
    <col min="15633" max="15633" width="1.42578125" style="2" customWidth="1"/>
    <col min="15634" max="15634" width="0" style="2" hidden="1" customWidth="1"/>
    <col min="15635" max="15635" width="6.85546875" style="2" customWidth="1"/>
    <col min="15636" max="15636" width="0" style="2" hidden="1" customWidth="1"/>
    <col min="15637" max="15638" width="6.28515625" style="2" customWidth="1"/>
    <col min="15639" max="15640" width="13.85546875" style="2" customWidth="1"/>
    <col min="15641" max="15641" width="10.85546875" style="2" customWidth="1"/>
    <col min="15642" max="15642" width="14.140625" style="2" customWidth="1"/>
    <col min="15643" max="15643" width="0" style="2" hidden="1" customWidth="1"/>
    <col min="15644" max="15644" width="13" style="2" customWidth="1"/>
    <col min="15645" max="15645" width="13.140625" style="2" customWidth="1"/>
    <col min="15646" max="15647" width="14" style="2" customWidth="1"/>
    <col min="15648" max="15648" width="11.42578125" style="2" customWidth="1"/>
    <col min="15649" max="15649" width="15.85546875" style="2" customWidth="1"/>
    <col min="15650" max="15650" width="23.7109375" style="2" customWidth="1"/>
    <col min="15651" max="15651" width="12" style="2" customWidth="1"/>
    <col min="15652" max="15653" width="0.28515625" style="2" customWidth="1"/>
    <col min="15654" max="15654" width="1.42578125" style="2" customWidth="1"/>
    <col min="15655" max="15655" width="0" style="2" hidden="1" customWidth="1"/>
    <col min="15656" max="15872" width="11.42578125" style="2"/>
    <col min="15873" max="15873" width="10.28515625" style="2" customWidth="1"/>
    <col min="15874" max="15874" width="13.42578125" style="2" customWidth="1"/>
    <col min="15875" max="15875" width="4.28515625" style="2" customWidth="1"/>
    <col min="15876" max="15876" width="4" style="2" customWidth="1"/>
    <col min="15877" max="15877" width="15" style="2" customWidth="1"/>
    <col min="15878" max="15878" width="4.140625" style="2" customWidth="1"/>
    <col min="15879" max="15879" width="11.28515625" style="2" customWidth="1"/>
    <col min="15880" max="15880" width="16.140625" style="2" customWidth="1"/>
    <col min="15881" max="15881" width="11" style="2" customWidth="1"/>
    <col min="15882" max="15883" width="2.140625" style="2" customWidth="1"/>
    <col min="15884" max="15884" width="3.28515625" style="2" customWidth="1"/>
    <col min="15885" max="15886" width="0" style="2" hidden="1" customWidth="1"/>
    <col min="15887" max="15887" width="2.85546875" style="2" customWidth="1"/>
    <col min="15888" max="15888" width="3.28515625" style="2" customWidth="1"/>
    <col min="15889" max="15889" width="1.42578125" style="2" customWidth="1"/>
    <col min="15890" max="15890" width="0" style="2" hidden="1" customWidth="1"/>
    <col min="15891" max="15891" width="6.85546875" style="2" customWidth="1"/>
    <col min="15892" max="15892" width="0" style="2" hidden="1" customWidth="1"/>
    <col min="15893" max="15894" width="6.28515625" style="2" customWidth="1"/>
    <col min="15895" max="15896" width="13.85546875" style="2" customWidth="1"/>
    <col min="15897" max="15897" width="10.85546875" style="2" customWidth="1"/>
    <col min="15898" max="15898" width="14.140625" style="2" customWidth="1"/>
    <col min="15899" max="15899" width="0" style="2" hidden="1" customWidth="1"/>
    <col min="15900" max="15900" width="13" style="2" customWidth="1"/>
    <col min="15901" max="15901" width="13.140625" style="2" customWidth="1"/>
    <col min="15902" max="15903" width="14" style="2" customWidth="1"/>
    <col min="15904" max="15904" width="11.42578125" style="2" customWidth="1"/>
    <col min="15905" max="15905" width="15.85546875" style="2" customWidth="1"/>
    <col min="15906" max="15906" width="23.7109375" style="2" customWidth="1"/>
    <col min="15907" max="15907" width="12" style="2" customWidth="1"/>
    <col min="15908" max="15909" width="0.28515625" style="2" customWidth="1"/>
    <col min="15910" max="15910" width="1.42578125" style="2" customWidth="1"/>
    <col min="15911" max="15911" width="0" style="2" hidden="1" customWidth="1"/>
    <col min="15912" max="16128" width="11.42578125" style="2"/>
    <col min="16129" max="16129" width="10.28515625" style="2" customWidth="1"/>
    <col min="16130" max="16130" width="13.42578125" style="2" customWidth="1"/>
    <col min="16131" max="16131" width="4.28515625" style="2" customWidth="1"/>
    <col min="16132" max="16132" width="4" style="2" customWidth="1"/>
    <col min="16133" max="16133" width="15" style="2" customWidth="1"/>
    <col min="16134" max="16134" width="4.140625" style="2" customWidth="1"/>
    <col min="16135" max="16135" width="11.28515625" style="2" customWidth="1"/>
    <col min="16136" max="16136" width="16.140625" style="2" customWidth="1"/>
    <col min="16137" max="16137" width="11" style="2" customWidth="1"/>
    <col min="16138" max="16139" width="2.140625" style="2" customWidth="1"/>
    <col min="16140" max="16140" width="3.28515625" style="2" customWidth="1"/>
    <col min="16141" max="16142" width="0" style="2" hidden="1" customWidth="1"/>
    <col min="16143" max="16143" width="2.85546875" style="2" customWidth="1"/>
    <col min="16144" max="16144" width="3.28515625" style="2" customWidth="1"/>
    <col min="16145" max="16145" width="1.42578125" style="2" customWidth="1"/>
    <col min="16146" max="16146" width="0" style="2" hidden="1" customWidth="1"/>
    <col min="16147" max="16147" width="6.85546875" style="2" customWidth="1"/>
    <col min="16148" max="16148" width="0" style="2" hidden="1" customWidth="1"/>
    <col min="16149" max="16150" width="6.28515625" style="2" customWidth="1"/>
    <col min="16151" max="16152" width="13.85546875" style="2" customWidth="1"/>
    <col min="16153" max="16153" width="10.85546875" style="2" customWidth="1"/>
    <col min="16154" max="16154" width="14.140625" style="2" customWidth="1"/>
    <col min="16155" max="16155" width="0" style="2" hidden="1" customWidth="1"/>
    <col min="16156" max="16156" width="13" style="2" customWidth="1"/>
    <col min="16157" max="16157" width="13.140625" style="2" customWidth="1"/>
    <col min="16158" max="16159" width="14" style="2" customWidth="1"/>
    <col min="16160" max="16160" width="11.42578125" style="2" customWidth="1"/>
    <col min="16161" max="16161" width="15.85546875" style="2" customWidth="1"/>
    <col min="16162" max="16162" width="23.7109375" style="2" customWidth="1"/>
    <col min="16163" max="16163" width="12" style="2" customWidth="1"/>
    <col min="16164" max="16165" width="0.28515625" style="2" customWidth="1"/>
    <col min="16166" max="16166" width="1.42578125" style="2" customWidth="1"/>
    <col min="16167" max="16167" width="0" style="2" hidden="1" customWidth="1"/>
    <col min="16168" max="16384" width="11.42578125" style="2"/>
  </cols>
  <sheetData>
    <row r="1" spans="1:37" ht="45" customHeight="1">
      <c r="A1" s="600"/>
      <c r="B1" s="600"/>
      <c r="C1" s="684" t="s">
        <v>0</v>
      </c>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6"/>
      <c r="AH1" s="689" t="s">
        <v>45</v>
      </c>
      <c r="AJ1" s="3" t="s">
        <v>17</v>
      </c>
      <c r="AK1" s="6" t="s">
        <v>23</v>
      </c>
    </row>
    <row r="2" spans="1:37" ht="45" customHeight="1">
      <c r="A2" s="600"/>
      <c r="B2" s="600"/>
      <c r="C2" s="690" t="s">
        <v>37</v>
      </c>
      <c r="D2" s="691"/>
      <c r="E2" s="691"/>
      <c r="F2" s="691"/>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2"/>
      <c r="AH2" s="689"/>
      <c r="AJ2" s="2" t="s">
        <v>18</v>
      </c>
      <c r="AK2" s="7" t="s">
        <v>24</v>
      </c>
    </row>
    <row r="3" spans="1:37"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G3" s="604"/>
      <c r="AH3" s="604"/>
      <c r="AJ3" s="3" t="s">
        <v>16</v>
      </c>
      <c r="AK3" s="6" t="s">
        <v>25</v>
      </c>
    </row>
    <row r="4" spans="1:37" ht="30.75" customHeight="1">
      <c r="A4" s="597" t="s">
        <v>5</v>
      </c>
      <c r="B4" s="597"/>
      <c r="C4" s="597"/>
      <c r="D4" s="597"/>
      <c r="E4" s="598" t="s">
        <v>78</v>
      </c>
      <c r="F4" s="598"/>
      <c r="G4" s="598"/>
      <c r="H4" s="598"/>
      <c r="I4" s="598"/>
      <c r="J4" s="598"/>
      <c r="K4" s="598"/>
      <c r="L4" s="598"/>
      <c r="M4" s="598"/>
      <c r="N4" s="598"/>
      <c r="O4" s="598"/>
      <c r="P4" s="598"/>
      <c r="Q4" s="598"/>
      <c r="R4" s="598"/>
      <c r="S4" s="598"/>
      <c r="T4" s="598"/>
      <c r="U4" s="598"/>
      <c r="V4" s="598"/>
      <c r="W4" s="599" t="s">
        <v>20</v>
      </c>
      <c r="X4" s="599"/>
      <c r="Y4" s="599"/>
      <c r="Z4" s="679" t="s">
        <v>79</v>
      </c>
      <c r="AA4" s="680"/>
      <c r="AB4" s="680"/>
      <c r="AC4" s="680"/>
      <c r="AD4" s="680"/>
      <c r="AE4" s="681"/>
      <c r="AF4" s="682" t="s">
        <v>48</v>
      </c>
      <c r="AG4" s="683"/>
      <c r="AH4" s="45" t="s">
        <v>71</v>
      </c>
      <c r="AJ4" s="6" t="s">
        <v>19</v>
      </c>
    </row>
    <row r="5" spans="1:37" ht="4.5" customHeight="1" thickBo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row>
    <row r="6" spans="1:37" ht="57" customHeight="1">
      <c r="A6" s="605" t="s">
        <v>39</v>
      </c>
      <c r="B6" s="606"/>
      <c r="C6" s="599" t="s">
        <v>1</v>
      </c>
      <c r="D6" s="599" t="s">
        <v>49</v>
      </c>
      <c r="E6" s="599"/>
      <c r="F6" s="608" t="s">
        <v>6</v>
      </c>
      <c r="G6" s="599" t="s">
        <v>9</v>
      </c>
      <c r="H6" s="607" t="s">
        <v>50</v>
      </c>
      <c r="I6" s="599" t="s">
        <v>2</v>
      </c>
      <c r="J6" s="599" t="s">
        <v>21</v>
      </c>
      <c r="K6" s="599"/>
      <c r="L6" s="599"/>
      <c r="M6" s="599"/>
      <c r="N6" s="599"/>
      <c r="O6" s="599"/>
      <c r="P6" s="599"/>
      <c r="Q6" s="599"/>
      <c r="R6" s="599"/>
      <c r="S6" s="599"/>
      <c r="T6" s="599"/>
      <c r="U6" s="599"/>
      <c r="V6" s="599"/>
      <c r="W6" s="599" t="s">
        <v>51</v>
      </c>
      <c r="X6" s="607" t="s">
        <v>52</v>
      </c>
      <c r="Y6" s="599" t="s">
        <v>3</v>
      </c>
      <c r="Z6" s="599"/>
      <c r="AA6" s="599"/>
      <c r="AB6" s="610" t="s">
        <v>53</v>
      </c>
      <c r="AC6" s="610" t="s">
        <v>4</v>
      </c>
      <c r="AD6" s="610"/>
      <c r="AE6" s="611" t="s">
        <v>54</v>
      </c>
      <c r="AF6" s="599" t="s">
        <v>55</v>
      </c>
      <c r="AG6" s="599" t="s">
        <v>56</v>
      </c>
      <c r="AH6" s="599" t="s">
        <v>57</v>
      </c>
    </row>
    <row r="7" spans="1:37" ht="37.5" customHeight="1" thickBot="1">
      <c r="A7" s="58" t="s">
        <v>40</v>
      </c>
      <c r="B7" s="59" t="s">
        <v>41</v>
      </c>
      <c r="C7" s="599"/>
      <c r="D7" s="599"/>
      <c r="E7" s="599"/>
      <c r="F7" s="608"/>
      <c r="G7" s="599"/>
      <c r="H7" s="693"/>
      <c r="I7" s="599"/>
      <c r="J7" s="599" t="s">
        <v>11</v>
      </c>
      <c r="K7" s="599"/>
      <c r="L7" s="599"/>
      <c r="M7" s="599"/>
      <c r="N7" s="599"/>
      <c r="O7" s="599"/>
      <c r="P7" s="644" t="s">
        <v>12</v>
      </c>
      <c r="Q7" s="644"/>
      <c r="R7" s="644"/>
      <c r="S7" s="644"/>
      <c r="T7" s="644"/>
      <c r="U7" s="644" t="s">
        <v>13</v>
      </c>
      <c r="V7" s="644"/>
      <c r="W7" s="599"/>
      <c r="X7" s="693"/>
      <c r="Y7" s="599"/>
      <c r="Z7" s="599"/>
      <c r="AA7" s="599"/>
      <c r="AB7" s="610"/>
      <c r="AC7" s="46" t="s">
        <v>14</v>
      </c>
      <c r="AD7" s="48" t="s">
        <v>15</v>
      </c>
      <c r="AE7" s="687"/>
      <c r="AF7" s="599"/>
      <c r="AG7" s="599"/>
      <c r="AH7" s="599"/>
    </row>
    <row r="8" spans="1:37" ht="98.25" customHeight="1">
      <c r="A8" s="698"/>
      <c r="B8" s="632"/>
      <c r="C8" s="696">
        <v>1</v>
      </c>
      <c r="D8" s="655" t="s">
        <v>80</v>
      </c>
      <c r="E8" s="655"/>
      <c r="F8" s="677">
        <v>43864</v>
      </c>
      <c r="G8" s="665" t="s">
        <v>28</v>
      </c>
      <c r="H8" s="695" t="s">
        <v>59</v>
      </c>
      <c r="I8" s="671" t="s">
        <v>25</v>
      </c>
      <c r="J8" s="653"/>
      <c r="K8" s="653"/>
      <c r="L8" s="653"/>
      <c r="M8" s="653"/>
      <c r="N8" s="653"/>
      <c r="O8" s="653"/>
      <c r="P8" s="653"/>
      <c r="Q8" s="653"/>
      <c r="R8" s="653"/>
      <c r="S8" s="653"/>
      <c r="T8" s="63"/>
      <c r="U8" s="653"/>
      <c r="V8" s="653"/>
      <c r="W8" s="655" t="s">
        <v>81</v>
      </c>
      <c r="X8" s="700" t="s">
        <v>82</v>
      </c>
      <c r="Y8" s="702" t="s">
        <v>83</v>
      </c>
      <c r="Z8" s="702"/>
      <c r="AA8" s="702"/>
      <c r="AB8" s="64" t="s">
        <v>84</v>
      </c>
      <c r="AC8" s="65">
        <v>43922</v>
      </c>
      <c r="AD8" s="65">
        <v>43959</v>
      </c>
      <c r="AE8" s="66" t="s">
        <v>68</v>
      </c>
      <c r="AF8" s="47" t="s">
        <v>17</v>
      </c>
      <c r="AG8" s="5">
        <v>1</v>
      </c>
      <c r="AH8" s="67" t="s">
        <v>85</v>
      </c>
    </row>
    <row r="9" spans="1:37" ht="123" customHeight="1">
      <c r="A9" s="699"/>
      <c r="B9" s="633"/>
      <c r="C9" s="674"/>
      <c r="D9" s="655"/>
      <c r="E9" s="655"/>
      <c r="F9" s="677"/>
      <c r="G9" s="665"/>
      <c r="H9" s="668"/>
      <c r="I9" s="671"/>
      <c r="J9" s="653"/>
      <c r="K9" s="653"/>
      <c r="L9" s="653"/>
      <c r="M9" s="653"/>
      <c r="N9" s="653"/>
      <c r="O9" s="653"/>
      <c r="P9" s="653"/>
      <c r="Q9" s="653"/>
      <c r="R9" s="653"/>
      <c r="S9" s="653"/>
      <c r="T9" s="63"/>
      <c r="U9" s="653"/>
      <c r="V9" s="653"/>
      <c r="W9" s="655"/>
      <c r="X9" s="657"/>
      <c r="Y9" s="703" t="s">
        <v>86</v>
      </c>
      <c r="Z9" s="704"/>
      <c r="AA9" s="68"/>
      <c r="AB9" s="64" t="s">
        <v>87</v>
      </c>
      <c r="AC9" s="69">
        <v>43959</v>
      </c>
      <c r="AD9" s="65">
        <v>43981</v>
      </c>
      <c r="AE9" s="66" t="s">
        <v>70</v>
      </c>
      <c r="AF9" s="47" t="s">
        <v>17</v>
      </c>
      <c r="AG9" s="5">
        <v>1</v>
      </c>
      <c r="AH9" s="67" t="s">
        <v>88</v>
      </c>
    </row>
    <row r="10" spans="1:37" ht="81.75" customHeight="1" thickBot="1">
      <c r="A10" s="699"/>
      <c r="B10" s="633"/>
      <c r="C10" s="674"/>
      <c r="D10" s="700"/>
      <c r="E10" s="700"/>
      <c r="F10" s="701"/>
      <c r="G10" s="695"/>
      <c r="H10" s="668"/>
      <c r="I10" s="696"/>
      <c r="J10" s="697"/>
      <c r="K10" s="697"/>
      <c r="L10" s="697"/>
      <c r="M10" s="697"/>
      <c r="N10" s="697"/>
      <c r="O10" s="697"/>
      <c r="P10" s="697"/>
      <c r="Q10" s="697"/>
      <c r="R10" s="697"/>
      <c r="S10" s="697"/>
      <c r="T10" s="589"/>
      <c r="U10" s="697"/>
      <c r="V10" s="697"/>
      <c r="W10" s="700"/>
      <c r="X10" s="657"/>
      <c r="Y10" s="688" t="s">
        <v>89</v>
      </c>
      <c r="Z10" s="688"/>
      <c r="AA10" s="688"/>
      <c r="AB10" s="590" t="s">
        <v>90</v>
      </c>
      <c r="AC10" s="591">
        <v>44104</v>
      </c>
      <c r="AD10" s="591">
        <v>44106</v>
      </c>
      <c r="AE10" s="236"/>
      <c r="AF10" s="509"/>
      <c r="AG10" s="508"/>
      <c r="AH10" s="228" t="s">
        <v>91</v>
      </c>
    </row>
    <row r="11" spans="1:37" ht="119.25" customHeight="1">
      <c r="A11" s="629"/>
      <c r="B11" s="632"/>
      <c r="C11" s="673">
        <v>2</v>
      </c>
      <c r="D11" s="626" t="s">
        <v>991</v>
      </c>
      <c r="E11" s="626"/>
      <c r="F11" s="676"/>
      <c r="G11" s="664" t="s">
        <v>38</v>
      </c>
      <c r="H11" s="667" t="s">
        <v>59</v>
      </c>
      <c r="I11" s="670" t="s">
        <v>25</v>
      </c>
      <c r="J11" s="652" t="s">
        <v>162</v>
      </c>
      <c r="K11" s="652"/>
      <c r="L11" s="652"/>
      <c r="M11" s="652"/>
      <c r="N11" s="652"/>
      <c r="O11" s="652"/>
      <c r="P11" s="652" t="s">
        <v>162</v>
      </c>
      <c r="Q11" s="652"/>
      <c r="R11" s="652"/>
      <c r="S11" s="652"/>
      <c r="T11" s="510"/>
      <c r="U11" s="652" t="s">
        <v>162</v>
      </c>
      <c r="V11" s="652"/>
      <c r="W11" s="626" t="s">
        <v>992</v>
      </c>
      <c r="X11" s="656" t="s">
        <v>993</v>
      </c>
      <c r="Y11" s="659" t="s">
        <v>994</v>
      </c>
      <c r="Z11" s="659"/>
      <c r="AA11" s="660"/>
      <c r="AB11" s="582" t="s">
        <v>998</v>
      </c>
      <c r="AC11" s="588">
        <v>44067</v>
      </c>
      <c r="AD11" s="588">
        <v>44089</v>
      </c>
      <c r="AE11" s="593"/>
      <c r="AF11" s="504"/>
      <c r="AG11" s="102"/>
      <c r="AH11" s="594"/>
    </row>
    <row r="12" spans="1:37" ht="76.5" customHeight="1">
      <c r="A12" s="630"/>
      <c r="B12" s="633"/>
      <c r="C12" s="674"/>
      <c r="D12" s="655"/>
      <c r="E12" s="655"/>
      <c r="F12" s="677"/>
      <c r="G12" s="665"/>
      <c r="H12" s="668"/>
      <c r="I12" s="671"/>
      <c r="J12" s="653"/>
      <c r="K12" s="653"/>
      <c r="L12" s="653"/>
      <c r="M12" s="653"/>
      <c r="N12" s="653"/>
      <c r="O12" s="653"/>
      <c r="P12" s="653"/>
      <c r="Q12" s="653"/>
      <c r="R12" s="653"/>
      <c r="S12" s="653"/>
      <c r="T12" s="506"/>
      <c r="U12" s="653"/>
      <c r="V12" s="653"/>
      <c r="W12" s="655"/>
      <c r="X12" s="657"/>
      <c r="Y12" s="661" t="s">
        <v>995</v>
      </c>
      <c r="Z12" s="661"/>
      <c r="AA12" s="661"/>
      <c r="AB12" s="585" t="s">
        <v>999</v>
      </c>
      <c r="AC12" s="586">
        <v>44075</v>
      </c>
      <c r="AD12" s="586">
        <v>44104</v>
      </c>
      <c r="AE12" s="66"/>
      <c r="AF12" s="587"/>
      <c r="AG12" s="5"/>
      <c r="AH12" s="595"/>
    </row>
    <row r="13" spans="1:37" ht="115.5" customHeight="1">
      <c r="A13" s="630"/>
      <c r="B13" s="633"/>
      <c r="C13" s="674"/>
      <c r="D13" s="655"/>
      <c r="E13" s="655"/>
      <c r="F13" s="677"/>
      <c r="G13" s="665"/>
      <c r="H13" s="668"/>
      <c r="I13" s="671"/>
      <c r="J13" s="653"/>
      <c r="K13" s="653"/>
      <c r="L13" s="653"/>
      <c r="M13" s="653"/>
      <c r="N13" s="653"/>
      <c r="O13" s="653"/>
      <c r="P13" s="653"/>
      <c r="Q13" s="653"/>
      <c r="R13" s="653"/>
      <c r="S13" s="653"/>
      <c r="T13" s="506"/>
      <c r="U13" s="653"/>
      <c r="V13" s="653"/>
      <c r="W13" s="655"/>
      <c r="X13" s="657"/>
      <c r="Y13" s="661" t="s">
        <v>996</v>
      </c>
      <c r="Z13" s="661"/>
      <c r="AA13" s="661"/>
      <c r="AB13" s="585" t="s">
        <v>1000</v>
      </c>
      <c r="AC13" s="586">
        <v>44075</v>
      </c>
      <c r="AD13" s="586">
        <v>44165</v>
      </c>
      <c r="AE13" s="66"/>
      <c r="AF13" s="587"/>
      <c r="AG13" s="5"/>
      <c r="AH13" s="595"/>
    </row>
    <row r="14" spans="1:37" ht="81.75" customHeight="1" thickBot="1">
      <c r="A14" s="631"/>
      <c r="B14" s="634"/>
      <c r="C14" s="675"/>
      <c r="D14" s="628"/>
      <c r="E14" s="628"/>
      <c r="F14" s="678"/>
      <c r="G14" s="666"/>
      <c r="H14" s="669"/>
      <c r="I14" s="672"/>
      <c r="J14" s="654"/>
      <c r="K14" s="654"/>
      <c r="L14" s="654"/>
      <c r="M14" s="654"/>
      <c r="N14" s="654"/>
      <c r="O14" s="654"/>
      <c r="P14" s="654"/>
      <c r="Q14" s="654"/>
      <c r="R14" s="654"/>
      <c r="S14" s="654"/>
      <c r="T14" s="507"/>
      <c r="U14" s="654"/>
      <c r="V14" s="654"/>
      <c r="W14" s="628"/>
      <c r="X14" s="658"/>
      <c r="Y14" s="662" t="s">
        <v>997</v>
      </c>
      <c r="Z14" s="662"/>
      <c r="AA14" s="663"/>
      <c r="AB14" s="583" t="s">
        <v>1001</v>
      </c>
      <c r="AC14" s="584">
        <v>44075</v>
      </c>
      <c r="AD14" s="584">
        <v>44165</v>
      </c>
      <c r="AE14" s="390"/>
      <c r="AF14" s="505"/>
      <c r="AG14" s="114"/>
      <c r="AH14" s="596"/>
    </row>
    <row r="15" spans="1:37" ht="6" customHeight="1">
      <c r="A15" s="643"/>
      <c r="B15" s="643"/>
      <c r="C15" s="643"/>
      <c r="D15" s="643"/>
      <c r="E15" s="643"/>
      <c r="F15" s="643"/>
      <c r="G15" s="643"/>
      <c r="H15" s="643"/>
      <c r="I15" s="643"/>
      <c r="J15" s="643"/>
      <c r="K15" s="643"/>
      <c r="L15" s="643"/>
      <c r="M15" s="643"/>
      <c r="N15" s="643"/>
      <c r="O15" s="643"/>
      <c r="P15" s="643"/>
      <c r="Q15" s="643"/>
      <c r="R15" s="643"/>
      <c r="S15" s="643"/>
      <c r="T15" s="643"/>
      <c r="U15" s="643"/>
      <c r="V15" s="643"/>
      <c r="W15" s="643"/>
      <c r="X15" s="643"/>
      <c r="Y15" s="643"/>
      <c r="Z15" s="643"/>
      <c r="AA15" s="643"/>
      <c r="AB15" s="643"/>
      <c r="AC15" s="643"/>
      <c r="AD15" s="643"/>
      <c r="AE15" s="643"/>
      <c r="AF15" s="643"/>
      <c r="AG15" s="643"/>
      <c r="AH15" s="643"/>
    </row>
    <row r="16" spans="1:37" ht="12.75" customHeight="1">
      <c r="A16" s="644" t="s">
        <v>22</v>
      </c>
      <c r="B16" s="644"/>
      <c r="C16" s="644"/>
      <c r="D16" s="644"/>
      <c r="E16" s="644"/>
      <c r="F16" s="644"/>
      <c r="G16" s="644"/>
      <c r="H16" s="644"/>
      <c r="I16" s="644"/>
      <c r="J16" s="644"/>
      <c r="K16" s="644"/>
      <c r="L16" s="644"/>
      <c r="M16" s="4"/>
      <c r="N16" s="4"/>
      <c r="O16" s="645" t="s">
        <v>34</v>
      </c>
      <c r="P16" s="645"/>
      <c r="Q16" s="645"/>
      <c r="R16" s="645"/>
      <c r="S16" s="645"/>
      <c r="T16" s="645"/>
      <c r="U16" s="645"/>
      <c r="V16" s="645"/>
      <c r="W16" s="645"/>
      <c r="X16" s="645"/>
      <c r="Y16" s="645"/>
      <c r="Z16" s="645"/>
      <c r="AA16" s="645"/>
      <c r="AB16" s="645"/>
      <c r="AC16" s="645"/>
      <c r="AD16" s="646" t="s">
        <v>35</v>
      </c>
      <c r="AE16" s="646"/>
      <c r="AF16" s="646"/>
      <c r="AG16" s="646"/>
      <c r="AH16" s="646"/>
    </row>
    <row r="17" spans="1:37">
      <c r="A17" s="644"/>
      <c r="B17" s="644"/>
      <c r="C17" s="644"/>
      <c r="D17" s="644"/>
      <c r="E17" s="644"/>
      <c r="F17" s="644"/>
      <c r="G17" s="644"/>
      <c r="H17" s="644"/>
      <c r="I17" s="644"/>
      <c r="J17" s="644"/>
      <c r="K17" s="644"/>
      <c r="L17" s="644"/>
      <c r="M17" s="4"/>
      <c r="N17" s="4"/>
      <c r="O17" s="645"/>
      <c r="P17" s="645"/>
      <c r="Q17" s="645"/>
      <c r="R17" s="645"/>
      <c r="S17" s="645"/>
      <c r="T17" s="645"/>
      <c r="U17" s="645"/>
      <c r="V17" s="645"/>
      <c r="W17" s="645"/>
      <c r="X17" s="645"/>
      <c r="Y17" s="645"/>
      <c r="Z17" s="645"/>
      <c r="AA17" s="645"/>
      <c r="AB17" s="645"/>
      <c r="AC17" s="645"/>
      <c r="AD17" s="646"/>
      <c r="AE17" s="646"/>
      <c r="AF17" s="646"/>
      <c r="AG17" s="646"/>
      <c r="AH17" s="646"/>
    </row>
    <row r="18" spans="1:37" ht="38.25" customHeight="1">
      <c r="A18" s="694" t="s">
        <v>92</v>
      </c>
      <c r="B18" s="694"/>
      <c r="C18" s="694"/>
      <c r="D18" s="694"/>
      <c r="E18" s="694"/>
      <c r="F18" s="694"/>
      <c r="G18" s="694"/>
      <c r="H18" s="694"/>
      <c r="I18" s="694"/>
      <c r="J18" s="694"/>
      <c r="K18" s="694"/>
      <c r="L18" s="694"/>
      <c r="M18" s="4"/>
      <c r="N18" s="4"/>
      <c r="O18" s="650" t="s">
        <v>93</v>
      </c>
      <c r="P18" s="650"/>
      <c r="Q18" s="650"/>
      <c r="R18" s="650"/>
      <c r="S18" s="650"/>
      <c r="T18" s="650"/>
      <c r="U18" s="650"/>
      <c r="V18" s="650"/>
      <c r="W18" s="650"/>
      <c r="X18" s="650"/>
      <c r="Y18" s="650"/>
      <c r="Z18" s="650"/>
      <c r="AA18" s="650"/>
      <c r="AB18" s="650"/>
      <c r="AC18" s="650"/>
      <c r="AD18" s="651" t="s">
        <v>94</v>
      </c>
      <c r="AE18" s="651"/>
      <c r="AF18" s="651"/>
      <c r="AG18" s="651"/>
      <c r="AH18" s="651"/>
    </row>
    <row r="19" spans="1:37" ht="15" customHeight="1">
      <c r="A19" s="641" t="s">
        <v>36</v>
      </c>
      <c r="B19" s="641"/>
      <c r="C19" s="641"/>
      <c r="D19" s="641"/>
      <c r="E19" s="641"/>
      <c r="F19" s="641"/>
      <c r="G19" s="641"/>
      <c r="H19" s="641"/>
      <c r="I19" s="641"/>
      <c r="J19" s="641"/>
      <c r="K19" s="641"/>
      <c r="L19" s="641"/>
      <c r="M19" s="641"/>
      <c r="N19" s="641"/>
      <c r="O19" s="641"/>
      <c r="P19" s="641"/>
      <c r="Q19" s="641"/>
      <c r="R19" s="641"/>
      <c r="S19" s="641"/>
      <c r="T19" s="641"/>
      <c r="U19" s="641"/>
      <c r="V19" s="641"/>
      <c r="W19" s="641"/>
      <c r="X19" s="641"/>
      <c r="Y19" s="641"/>
      <c r="Z19" s="641"/>
      <c r="AA19" s="641"/>
      <c r="AB19" s="641"/>
      <c r="AC19" s="641"/>
      <c r="AD19" s="641"/>
      <c r="AE19" s="641"/>
      <c r="AF19" s="641"/>
      <c r="AG19" s="641"/>
      <c r="AH19" s="641"/>
    </row>
    <row r="20" spans="1:37" ht="0.95" customHeight="1">
      <c r="A20" s="642"/>
      <c r="B20" s="642"/>
      <c r="C20" s="642"/>
      <c r="D20" s="642"/>
      <c r="E20" s="642"/>
      <c r="F20" s="642"/>
      <c r="G20" s="642"/>
      <c r="H20" s="642"/>
      <c r="I20" s="642"/>
      <c r="J20" s="642"/>
      <c r="K20" s="642"/>
      <c r="L20" s="642"/>
      <c r="M20" s="642"/>
      <c r="N20" s="642"/>
      <c r="O20" s="642"/>
      <c r="P20" s="642"/>
      <c r="Q20" s="642"/>
      <c r="R20" s="642"/>
      <c r="S20" s="642"/>
      <c r="T20" s="642"/>
      <c r="U20" s="642"/>
      <c r="V20" s="642"/>
      <c r="W20" s="642"/>
      <c r="X20" s="642"/>
      <c r="Y20" s="642"/>
      <c r="Z20" s="642"/>
      <c r="AA20" s="642"/>
      <c r="AB20" s="642"/>
      <c r="AC20" s="642"/>
      <c r="AD20" s="642"/>
      <c r="AE20" s="642"/>
      <c r="AF20" s="642"/>
      <c r="AG20" s="642"/>
      <c r="AH20" s="642"/>
      <c r="AI20" s="642"/>
    </row>
    <row r="21" spans="1:37">
      <c r="A21" s="642"/>
      <c r="B21" s="642"/>
      <c r="C21" s="642"/>
      <c r="D21" s="642"/>
      <c r="E21" s="642"/>
      <c r="F21" s="642"/>
      <c r="G21" s="642"/>
      <c r="H21" s="642"/>
      <c r="I21" s="642"/>
      <c r="J21" s="642"/>
      <c r="K21" s="642"/>
      <c r="L21" s="642"/>
      <c r="M21" s="642"/>
      <c r="N21" s="642"/>
      <c r="O21" s="642"/>
      <c r="P21" s="642"/>
      <c r="Q21" s="642"/>
      <c r="R21" s="642"/>
      <c r="S21" s="642"/>
      <c r="T21" s="642"/>
      <c r="U21" s="642"/>
      <c r="V21" s="642"/>
      <c r="W21" s="642"/>
      <c r="X21" s="642"/>
      <c r="Y21" s="642"/>
      <c r="Z21" s="642"/>
      <c r="AA21" s="642"/>
      <c r="AB21" s="642"/>
      <c r="AC21" s="642"/>
      <c r="AD21" s="642"/>
      <c r="AE21" s="642"/>
      <c r="AF21" s="642"/>
      <c r="AG21" s="642"/>
      <c r="AH21" s="642"/>
      <c r="AI21" s="8"/>
      <c r="AJ21" s="8"/>
    </row>
    <row r="22" spans="1:37" ht="24" customHeight="1">
      <c r="A22" s="74"/>
      <c r="B22" s="75"/>
      <c r="C22" s="74"/>
      <c r="D22" s="74"/>
      <c r="E22" s="74"/>
      <c r="F22" s="74"/>
      <c r="G22" s="74"/>
      <c r="H22" s="76" t="s">
        <v>66</v>
      </c>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8"/>
      <c r="AJ22" s="8"/>
    </row>
    <row r="23" spans="1:37" ht="54.95" customHeight="1">
      <c r="A23" s="74"/>
      <c r="B23" s="75"/>
      <c r="C23" s="74"/>
      <c r="D23" s="74"/>
      <c r="E23" s="74"/>
      <c r="F23" s="74"/>
      <c r="G23" s="74"/>
      <c r="H23" s="76" t="s">
        <v>67</v>
      </c>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8"/>
      <c r="AJ23" s="8"/>
    </row>
    <row r="24" spans="1:37" ht="0.95" customHeight="1">
      <c r="A24" s="74"/>
      <c r="B24" s="75" t="s">
        <v>68</v>
      </c>
      <c r="C24" s="74"/>
      <c r="D24" s="74"/>
      <c r="E24" s="74"/>
      <c r="F24" s="74"/>
      <c r="G24" s="74"/>
      <c r="H24" s="76" t="s">
        <v>69</v>
      </c>
      <c r="I24" s="74"/>
      <c r="J24" s="74"/>
      <c r="K24" s="74"/>
      <c r="L24" s="74"/>
      <c r="M24" s="74"/>
      <c r="N24" s="74"/>
      <c r="O24" s="74"/>
      <c r="P24" s="74"/>
      <c r="Q24" s="74"/>
      <c r="R24" s="74"/>
      <c r="S24" s="74"/>
      <c r="T24" s="74"/>
      <c r="U24" s="74"/>
      <c r="V24" s="74"/>
      <c r="W24" s="74"/>
      <c r="X24" s="76" t="s">
        <v>23</v>
      </c>
      <c r="Y24" s="74"/>
      <c r="Z24" s="74"/>
      <c r="AA24" s="74"/>
      <c r="AB24" s="74"/>
      <c r="AC24" s="74"/>
      <c r="AD24" s="74"/>
      <c r="AE24" s="74"/>
      <c r="AF24" s="74"/>
      <c r="AG24" s="74"/>
      <c r="AH24" s="74"/>
      <c r="AI24" s="8"/>
      <c r="AJ24" s="8"/>
    </row>
    <row r="25" spans="1:37" ht="0.95" customHeight="1">
      <c r="A25" s="74"/>
      <c r="B25" s="75" t="s">
        <v>70</v>
      </c>
      <c r="C25" s="74"/>
      <c r="D25" s="74"/>
      <c r="E25" s="74"/>
      <c r="F25" s="74"/>
      <c r="G25" s="74"/>
      <c r="H25" s="77" t="s">
        <v>59</v>
      </c>
      <c r="I25" s="74"/>
      <c r="J25" s="74"/>
      <c r="K25" s="74"/>
      <c r="L25" s="74"/>
      <c r="M25" s="74"/>
      <c r="N25" s="74"/>
      <c r="O25" s="74"/>
      <c r="P25" s="74"/>
      <c r="Q25" s="74"/>
      <c r="R25" s="74"/>
      <c r="S25" s="74"/>
      <c r="T25" s="74"/>
      <c r="U25" s="74"/>
      <c r="V25" s="74"/>
      <c r="W25" s="74"/>
      <c r="X25" s="76" t="s">
        <v>25</v>
      </c>
      <c r="Y25" s="74"/>
      <c r="Z25" s="74"/>
      <c r="AA25" s="74"/>
      <c r="AB25" s="74"/>
      <c r="AC25" s="74"/>
      <c r="AD25" s="74"/>
      <c r="AE25" s="74"/>
      <c r="AF25" s="74"/>
      <c r="AG25" s="74"/>
      <c r="AH25" s="74"/>
      <c r="AI25" s="8"/>
      <c r="AJ25" s="8"/>
    </row>
    <row r="26" spans="1:37" ht="0.95" customHeight="1">
      <c r="A26" s="78"/>
      <c r="B26" s="79" t="s">
        <v>16</v>
      </c>
      <c r="C26" s="78"/>
      <c r="D26" s="78"/>
      <c r="E26" s="78"/>
      <c r="F26" s="78"/>
      <c r="G26" s="78"/>
      <c r="H26" s="80" t="s">
        <v>65</v>
      </c>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row>
    <row r="28" spans="1:37" ht="24.75" customHeight="1">
      <c r="AK28" s="6" t="s">
        <v>38</v>
      </c>
    </row>
    <row r="29" spans="1:37" ht="24.75" customHeight="1">
      <c r="AK29" s="6" t="s">
        <v>10</v>
      </c>
    </row>
    <row r="30" spans="1:37" ht="24.75" customHeight="1">
      <c r="AK30" s="6" t="s">
        <v>42</v>
      </c>
    </row>
    <row r="31" spans="1:37" ht="24.75" customHeight="1">
      <c r="AK31" s="6" t="s">
        <v>43</v>
      </c>
    </row>
    <row r="32" spans="1:37" ht="24.75" customHeight="1">
      <c r="AK32" s="6" t="s">
        <v>44</v>
      </c>
    </row>
    <row r="33" spans="37:37" ht="24.75" customHeight="1">
      <c r="AK33" s="6" t="s">
        <v>26</v>
      </c>
    </row>
    <row r="34" spans="37:37" ht="24.75" customHeight="1">
      <c r="AK34" s="6" t="s">
        <v>27</v>
      </c>
    </row>
    <row r="35" spans="37:37" ht="24.75" customHeight="1">
      <c r="AK35" s="6" t="s">
        <v>28</v>
      </c>
    </row>
    <row r="36" spans="37:37" ht="24.75" customHeight="1">
      <c r="AK36" s="6" t="s">
        <v>30</v>
      </c>
    </row>
    <row r="37" spans="37:37" ht="24.75" customHeight="1">
      <c r="AK37" s="6" t="s">
        <v>29</v>
      </c>
    </row>
    <row r="38" spans="37:37" ht="24.75" customHeight="1">
      <c r="AK38" s="6" t="s">
        <v>31</v>
      </c>
    </row>
    <row r="39" spans="37:37" ht="24.75" customHeight="1">
      <c r="AK39" s="6" t="s">
        <v>32</v>
      </c>
    </row>
    <row r="40" spans="37:37" ht="51">
      <c r="AK40" s="6" t="s">
        <v>33</v>
      </c>
    </row>
  </sheetData>
  <mergeCells count="74">
    <mergeCell ref="A15:AH15"/>
    <mergeCell ref="G8:G10"/>
    <mergeCell ref="H8:H10"/>
    <mergeCell ref="I8:I10"/>
    <mergeCell ref="J8:O10"/>
    <mergeCell ref="P8:S10"/>
    <mergeCell ref="U8:V10"/>
    <mergeCell ref="A8:A10"/>
    <mergeCell ref="B8:B10"/>
    <mergeCell ref="C8:C10"/>
    <mergeCell ref="D8:E10"/>
    <mergeCell ref="F8:F10"/>
    <mergeCell ref="W8:W10"/>
    <mergeCell ref="X8:X10"/>
    <mergeCell ref="Y8:AA8"/>
    <mergeCell ref="Y9:Z9"/>
    <mergeCell ref="A19:AH19"/>
    <mergeCell ref="A20:AI20"/>
    <mergeCell ref="A21:AH21"/>
    <mergeCell ref="A16:L17"/>
    <mergeCell ref="O16:AC17"/>
    <mergeCell ref="AD16:AH17"/>
    <mergeCell ref="A18:L18"/>
    <mergeCell ref="O18:AC18"/>
    <mergeCell ref="AD18:AH18"/>
    <mergeCell ref="Y10:AA10"/>
    <mergeCell ref="AH1:AH2"/>
    <mergeCell ref="C2:AG2"/>
    <mergeCell ref="A3:AH3"/>
    <mergeCell ref="A4:D4"/>
    <mergeCell ref="H6:H7"/>
    <mergeCell ref="I6:I7"/>
    <mergeCell ref="J6:V6"/>
    <mergeCell ref="W6:W7"/>
    <mergeCell ref="AG6:AG7"/>
    <mergeCell ref="J7:O7"/>
    <mergeCell ref="P7:T7"/>
    <mergeCell ref="U7:V7"/>
    <mergeCell ref="X6:X7"/>
    <mergeCell ref="AH6:AH7"/>
    <mergeCell ref="AB6:AB7"/>
    <mergeCell ref="AC6:AD6"/>
    <mergeCell ref="AE6:AE7"/>
    <mergeCell ref="AF6:AF7"/>
    <mergeCell ref="A5:AH5"/>
    <mergeCell ref="A6:B6"/>
    <mergeCell ref="C6:C7"/>
    <mergeCell ref="D6:E7"/>
    <mergeCell ref="F6:F7"/>
    <mergeCell ref="G6:G7"/>
    <mergeCell ref="Y6:AA7"/>
    <mergeCell ref="E4:V4"/>
    <mergeCell ref="W4:Y4"/>
    <mergeCell ref="Z4:AE4"/>
    <mergeCell ref="AF4:AG4"/>
    <mergeCell ref="A1:B2"/>
    <mergeCell ref="C1:AG1"/>
    <mergeCell ref="A11:A14"/>
    <mergeCell ref="B11:B14"/>
    <mergeCell ref="C11:C14"/>
    <mergeCell ref="D11:E14"/>
    <mergeCell ref="F11:F14"/>
    <mergeCell ref="G11:G14"/>
    <mergeCell ref="H11:H14"/>
    <mergeCell ref="I11:I14"/>
    <mergeCell ref="J11:O14"/>
    <mergeCell ref="P11:S14"/>
    <mergeCell ref="U11:V14"/>
    <mergeCell ref="W11:W14"/>
    <mergeCell ref="X11:X14"/>
    <mergeCell ref="Y11:AA11"/>
    <mergeCell ref="Y12:AA12"/>
    <mergeCell ref="Y13:AA13"/>
    <mergeCell ref="Y14:AA14"/>
  </mergeCells>
  <conditionalFormatting sqref="AG8:AG10">
    <cfRule type="cellIs" dxfId="485" priority="7" operator="between">
      <formula>0.001</formula>
      <formula>0.99</formula>
    </cfRule>
    <cfRule type="cellIs" dxfId="484" priority="8" operator="equal">
      <formula>1</formula>
    </cfRule>
    <cfRule type="cellIs" dxfId="483" priority="9" operator="equal">
      <formula>0</formula>
    </cfRule>
  </conditionalFormatting>
  <conditionalFormatting sqref="AG8:AG10">
    <cfRule type="cellIs" dxfId="482" priority="10" operator="between">
      <formula>0.01</formula>
      <formula>0.99</formula>
    </cfRule>
    <cfRule type="cellIs" dxfId="481" priority="11" operator="equal">
      <formula>1</formula>
    </cfRule>
    <cfRule type="cellIs" dxfId="480" priority="12" operator="equal">
      <formula>0</formula>
    </cfRule>
  </conditionalFormatting>
  <conditionalFormatting sqref="AG11:AG14">
    <cfRule type="cellIs" dxfId="479" priority="1" operator="between">
      <formula>0.001</formula>
      <formula>0.99</formula>
    </cfRule>
    <cfRule type="cellIs" dxfId="478" priority="2" operator="equal">
      <formula>1</formula>
    </cfRule>
    <cfRule type="cellIs" dxfId="477" priority="3" operator="equal">
      <formula>0</formula>
    </cfRule>
  </conditionalFormatting>
  <conditionalFormatting sqref="AG11:AG14">
    <cfRule type="cellIs" dxfId="476" priority="4" operator="between">
      <formula>0.01</formula>
      <formula>0.99</formula>
    </cfRule>
    <cfRule type="cellIs" dxfId="475" priority="5" operator="equal">
      <formula>1</formula>
    </cfRule>
    <cfRule type="cellIs" dxfId="474" priority="6" operator="equal">
      <formula>0</formula>
    </cfRule>
  </conditionalFormatting>
  <dataValidations count="5">
    <dataValidation type="list" allowBlank="1" showInputMessage="1" showErrorMessage="1" sqref="WVO8:WVO14 G8:G14 JC8:JC14 SY8:SY14 ACU8:ACU14 AMQ8:AMQ14 AWM8:AWM14 BGI8:BGI14 BQE8:BQE14 CAA8:CAA14 CJW8:CJW14 CTS8:CTS14 DDO8:DDO14 DNK8:DNK14 DXG8:DXG14 EHC8:EHC14 EQY8:EQY14 FAU8:FAU14 FKQ8:FKQ14 FUM8:FUM14 GEI8:GEI14 GOE8:GOE14 GYA8:GYA14 HHW8:HHW14 HRS8:HRS14 IBO8:IBO14 ILK8:ILK14 IVG8:IVG14 JFC8:JFC14 JOY8:JOY14 JYU8:JYU14 KIQ8:KIQ14 KSM8:KSM14 LCI8:LCI14 LME8:LME14 LWA8:LWA14 MFW8:MFW14 MPS8:MPS14 MZO8:MZO14 NJK8:NJK14 NTG8:NTG14 ODC8:ODC14 OMY8:OMY14 OWU8:OWU14 PGQ8:PGQ14 PQM8:PQM14 QAI8:QAI14 QKE8:QKE14 QUA8:QUA14 RDW8:RDW14 RNS8:RNS14 RXO8:RXO14 SHK8:SHK14 SRG8:SRG14 TBC8:TBC14 TKY8:TKY14 TUU8:TUU14 UEQ8:UEQ14 UOM8:UOM14 UYI8:UYI14 VIE8:VIE14 VSA8:VSA14 WBW8:WBW14 WLS8:WLS14 G65548:G65550 JC65548:JC65550 SY65548:SY65550 ACU65548:ACU65550 AMQ65548:AMQ65550 AWM65548:AWM65550 BGI65548:BGI65550 BQE65548:BQE65550 CAA65548:CAA65550 CJW65548:CJW65550 CTS65548:CTS65550 DDO65548:DDO65550 DNK65548:DNK65550 DXG65548:DXG65550 EHC65548:EHC65550 EQY65548:EQY65550 FAU65548:FAU65550 FKQ65548:FKQ65550 FUM65548:FUM65550 GEI65548:GEI65550 GOE65548:GOE65550 GYA65548:GYA65550 HHW65548:HHW65550 HRS65548:HRS65550 IBO65548:IBO65550 ILK65548:ILK65550 IVG65548:IVG65550 JFC65548:JFC65550 JOY65548:JOY65550 JYU65548:JYU65550 KIQ65548:KIQ65550 KSM65548:KSM65550 LCI65548:LCI65550 LME65548:LME65550 LWA65548:LWA65550 MFW65548:MFW65550 MPS65548:MPS65550 MZO65548:MZO65550 NJK65548:NJK65550 NTG65548:NTG65550 ODC65548:ODC65550 OMY65548:OMY65550 OWU65548:OWU65550 PGQ65548:PGQ65550 PQM65548:PQM65550 QAI65548:QAI65550 QKE65548:QKE65550 QUA65548:QUA65550 RDW65548:RDW65550 RNS65548:RNS65550 RXO65548:RXO65550 SHK65548:SHK65550 SRG65548:SRG65550 TBC65548:TBC65550 TKY65548:TKY65550 TUU65548:TUU65550 UEQ65548:UEQ65550 UOM65548:UOM65550 UYI65548:UYI65550 VIE65548:VIE65550 VSA65548:VSA65550 WBW65548:WBW65550 WLS65548:WLS65550 WVO65548:WVO65550 G131084:G131086 JC131084:JC131086 SY131084:SY131086 ACU131084:ACU131086 AMQ131084:AMQ131086 AWM131084:AWM131086 BGI131084:BGI131086 BQE131084:BQE131086 CAA131084:CAA131086 CJW131084:CJW131086 CTS131084:CTS131086 DDO131084:DDO131086 DNK131084:DNK131086 DXG131084:DXG131086 EHC131084:EHC131086 EQY131084:EQY131086 FAU131084:FAU131086 FKQ131084:FKQ131086 FUM131084:FUM131086 GEI131084:GEI131086 GOE131084:GOE131086 GYA131084:GYA131086 HHW131084:HHW131086 HRS131084:HRS131086 IBO131084:IBO131086 ILK131084:ILK131086 IVG131084:IVG131086 JFC131084:JFC131086 JOY131084:JOY131086 JYU131084:JYU131086 KIQ131084:KIQ131086 KSM131084:KSM131086 LCI131084:LCI131086 LME131084:LME131086 LWA131084:LWA131086 MFW131084:MFW131086 MPS131084:MPS131086 MZO131084:MZO131086 NJK131084:NJK131086 NTG131084:NTG131086 ODC131084:ODC131086 OMY131084:OMY131086 OWU131084:OWU131086 PGQ131084:PGQ131086 PQM131084:PQM131086 QAI131084:QAI131086 QKE131084:QKE131086 QUA131084:QUA131086 RDW131084:RDW131086 RNS131084:RNS131086 RXO131084:RXO131086 SHK131084:SHK131086 SRG131084:SRG131086 TBC131084:TBC131086 TKY131084:TKY131086 TUU131084:TUU131086 UEQ131084:UEQ131086 UOM131084:UOM131086 UYI131084:UYI131086 VIE131084:VIE131086 VSA131084:VSA131086 WBW131084:WBW131086 WLS131084:WLS131086 WVO131084:WVO131086 G196620:G196622 JC196620:JC196622 SY196620:SY196622 ACU196620:ACU196622 AMQ196620:AMQ196622 AWM196620:AWM196622 BGI196620:BGI196622 BQE196620:BQE196622 CAA196620:CAA196622 CJW196620:CJW196622 CTS196620:CTS196622 DDO196620:DDO196622 DNK196620:DNK196622 DXG196620:DXG196622 EHC196620:EHC196622 EQY196620:EQY196622 FAU196620:FAU196622 FKQ196620:FKQ196622 FUM196620:FUM196622 GEI196620:GEI196622 GOE196620:GOE196622 GYA196620:GYA196622 HHW196620:HHW196622 HRS196620:HRS196622 IBO196620:IBO196622 ILK196620:ILK196622 IVG196620:IVG196622 JFC196620:JFC196622 JOY196620:JOY196622 JYU196620:JYU196622 KIQ196620:KIQ196622 KSM196620:KSM196622 LCI196620:LCI196622 LME196620:LME196622 LWA196620:LWA196622 MFW196620:MFW196622 MPS196620:MPS196622 MZO196620:MZO196622 NJK196620:NJK196622 NTG196620:NTG196622 ODC196620:ODC196622 OMY196620:OMY196622 OWU196620:OWU196622 PGQ196620:PGQ196622 PQM196620:PQM196622 QAI196620:QAI196622 QKE196620:QKE196622 QUA196620:QUA196622 RDW196620:RDW196622 RNS196620:RNS196622 RXO196620:RXO196622 SHK196620:SHK196622 SRG196620:SRG196622 TBC196620:TBC196622 TKY196620:TKY196622 TUU196620:TUU196622 UEQ196620:UEQ196622 UOM196620:UOM196622 UYI196620:UYI196622 VIE196620:VIE196622 VSA196620:VSA196622 WBW196620:WBW196622 WLS196620:WLS196622 WVO196620:WVO196622 G262156:G262158 JC262156:JC262158 SY262156:SY262158 ACU262156:ACU262158 AMQ262156:AMQ262158 AWM262156:AWM262158 BGI262156:BGI262158 BQE262156:BQE262158 CAA262156:CAA262158 CJW262156:CJW262158 CTS262156:CTS262158 DDO262156:DDO262158 DNK262156:DNK262158 DXG262156:DXG262158 EHC262156:EHC262158 EQY262156:EQY262158 FAU262156:FAU262158 FKQ262156:FKQ262158 FUM262156:FUM262158 GEI262156:GEI262158 GOE262156:GOE262158 GYA262156:GYA262158 HHW262156:HHW262158 HRS262156:HRS262158 IBO262156:IBO262158 ILK262156:ILK262158 IVG262156:IVG262158 JFC262156:JFC262158 JOY262156:JOY262158 JYU262156:JYU262158 KIQ262156:KIQ262158 KSM262156:KSM262158 LCI262156:LCI262158 LME262156:LME262158 LWA262156:LWA262158 MFW262156:MFW262158 MPS262156:MPS262158 MZO262156:MZO262158 NJK262156:NJK262158 NTG262156:NTG262158 ODC262156:ODC262158 OMY262156:OMY262158 OWU262156:OWU262158 PGQ262156:PGQ262158 PQM262156:PQM262158 QAI262156:QAI262158 QKE262156:QKE262158 QUA262156:QUA262158 RDW262156:RDW262158 RNS262156:RNS262158 RXO262156:RXO262158 SHK262156:SHK262158 SRG262156:SRG262158 TBC262156:TBC262158 TKY262156:TKY262158 TUU262156:TUU262158 UEQ262156:UEQ262158 UOM262156:UOM262158 UYI262156:UYI262158 VIE262156:VIE262158 VSA262156:VSA262158 WBW262156:WBW262158 WLS262156:WLS262158 WVO262156:WVO262158 G327692:G327694 JC327692:JC327694 SY327692:SY327694 ACU327692:ACU327694 AMQ327692:AMQ327694 AWM327692:AWM327694 BGI327692:BGI327694 BQE327692:BQE327694 CAA327692:CAA327694 CJW327692:CJW327694 CTS327692:CTS327694 DDO327692:DDO327694 DNK327692:DNK327694 DXG327692:DXG327694 EHC327692:EHC327694 EQY327692:EQY327694 FAU327692:FAU327694 FKQ327692:FKQ327694 FUM327692:FUM327694 GEI327692:GEI327694 GOE327692:GOE327694 GYA327692:GYA327694 HHW327692:HHW327694 HRS327692:HRS327694 IBO327692:IBO327694 ILK327692:ILK327694 IVG327692:IVG327694 JFC327692:JFC327694 JOY327692:JOY327694 JYU327692:JYU327694 KIQ327692:KIQ327694 KSM327692:KSM327694 LCI327692:LCI327694 LME327692:LME327694 LWA327692:LWA327694 MFW327692:MFW327694 MPS327692:MPS327694 MZO327692:MZO327694 NJK327692:NJK327694 NTG327692:NTG327694 ODC327692:ODC327694 OMY327692:OMY327694 OWU327692:OWU327694 PGQ327692:PGQ327694 PQM327692:PQM327694 QAI327692:QAI327694 QKE327692:QKE327694 QUA327692:QUA327694 RDW327692:RDW327694 RNS327692:RNS327694 RXO327692:RXO327694 SHK327692:SHK327694 SRG327692:SRG327694 TBC327692:TBC327694 TKY327692:TKY327694 TUU327692:TUU327694 UEQ327692:UEQ327694 UOM327692:UOM327694 UYI327692:UYI327694 VIE327692:VIE327694 VSA327692:VSA327694 WBW327692:WBW327694 WLS327692:WLS327694 WVO327692:WVO327694 G393228:G393230 JC393228:JC393230 SY393228:SY393230 ACU393228:ACU393230 AMQ393228:AMQ393230 AWM393228:AWM393230 BGI393228:BGI393230 BQE393228:BQE393230 CAA393228:CAA393230 CJW393228:CJW393230 CTS393228:CTS393230 DDO393228:DDO393230 DNK393228:DNK393230 DXG393228:DXG393230 EHC393228:EHC393230 EQY393228:EQY393230 FAU393228:FAU393230 FKQ393228:FKQ393230 FUM393228:FUM393230 GEI393228:GEI393230 GOE393228:GOE393230 GYA393228:GYA393230 HHW393228:HHW393230 HRS393228:HRS393230 IBO393228:IBO393230 ILK393228:ILK393230 IVG393228:IVG393230 JFC393228:JFC393230 JOY393228:JOY393230 JYU393228:JYU393230 KIQ393228:KIQ393230 KSM393228:KSM393230 LCI393228:LCI393230 LME393228:LME393230 LWA393228:LWA393230 MFW393228:MFW393230 MPS393228:MPS393230 MZO393228:MZO393230 NJK393228:NJK393230 NTG393228:NTG393230 ODC393228:ODC393230 OMY393228:OMY393230 OWU393228:OWU393230 PGQ393228:PGQ393230 PQM393228:PQM393230 QAI393228:QAI393230 QKE393228:QKE393230 QUA393228:QUA393230 RDW393228:RDW393230 RNS393228:RNS393230 RXO393228:RXO393230 SHK393228:SHK393230 SRG393228:SRG393230 TBC393228:TBC393230 TKY393228:TKY393230 TUU393228:TUU393230 UEQ393228:UEQ393230 UOM393228:UOM393230 UYI393228:UYI393230 VIE393228:VIE393230 VSA393228:VSA393230 WBW393228:WBW393230 WLS393228:WLS393230 WVO393228:WVO393230 G458764:G458766 JC458764:JC458766 SY458764:SY458766 ACU458764:ACU458766 AMQ458764:AMQ458766 AWM458764:AWM458766 BGI458764:BGI458766 BQE458764:BQE458766 CAA458764:CAA458766 CJW458764:CJW458766 CTS458764:CTS458766 DDO458764:DDO458766 DNK458764:DNK458766 DXG458764:DXG458766 EHC458764:EHC458766 EQY458764:EQY458766 FAU458764:FAU458766 FKQ458764:FKQ458766 FUM458764:FUM458766 GEI458764:GEI458766 GOE458764:GOE458766 GYA458764:GYA458766 HHW458764:HHW458766 HRS458764:HRS458766 IBO458764:IBO458766 ILK458764:ILK458766 IVG458764:IVG458766 JFC458764:JFC458766 JOY458764:JOY458766 JYU458764:JYU458766 KIQ458764:KIQ458766 KSM458764:KSM458766 LCI458764:LCI458766 LME458764:LME458766 LWA458764:LWA458766 MFW458764:MFW458766 MPS458764:MPS458766 MZO458764:MZO458766 NJK458764:NJK458766 NTG458764:NTG458766 ODC458764:ODC458766 OMY458764:OMY458766 OWU458764:OWU458766 PGQ458764:PGQ458766 PQM458764:PQM458766 QAI458764:QAI458766 QKE458764:QKE458766 QUA458764:QUA458766 RDW458764:RDW458766 RNS458764:RNS458766 RXO458764:RXO458766 SHK458764:SHK458766 SRG458764:SRG458766 TBC458764:TBC458766 TKY458764:TKY458766 TUU458764:TUU458766 UEQ458764:UEQ458766 UOM458764:UOM458766 UYI458764:UYI458766 VIE458764:VIE458766 VSA458764:VSA458766 WBW458764:WBW458766 WLS458764:WLS458766 WVO458764:WVO458766 G524300:G524302 JC524300:JC524302 SY524300:SY524302 ACU524300:ACU524302 AMQ524300:AMQ524302 AWM524300:AWM524302 BGI524300:BGI524302 BQE524300:BQE524302 CAA524300:CAA524302 CJW524300:CJW524302 CTS524300:CTS524302 DDO524300:DDO524302 DNK524300:DNK524302 DXG524300:DXG524302 EHC524300:EHC524302 EQY524300:EQY524302 FAU524300:FAU524302 FKQ524300:FKQ524302 FUM524300:FUM524302 GEI524300:GEI524302 GOE524300:GOE524302 GYA524300:GYA524302 HHW524300:HHW524302 HRS524300:HRS524302 IBO524300:IBO524302 ILK524300:ILK524302 IVG524300:IVG524302 JFC524300:JFC524302 JOY524300:JOY524302 JYU524300:JYU524302 KIQ524300:KIQ524302 KSM524300:KSM524302 LCI524300:LCI524302 LME524300:LME524302 LWA524300:LWA524302 MFW524300:MFW524302 MPS524300:MPS524302 MZO524300:MZO524302 NJK524300:NJK524302 NTG524300:NTG524302 ODC524300:ODC524302 OMY524300:OMY524302 OWU524300:OWU524302 PGQ524300:PGQ524302 PQM524300:PQM524302 QAI524300:QAI524302 QKE524300:QKE524302 QUA524300:QUA524302 RDW524300:RDW524302 RNS524300:RNS524302 RXO524300:RXO524302 SHK524300:SHK524302 SRG524300:SRG524302 TBC524300:TBC524302 TKY524300:TKY524302 TUU524300:TUU524302 UEQ524300:UEQ524302 UOM524300:UOM524302 UYI524300:UYI524302 VIE524300:VIE524302 VSA524300:VSA524302 WBW524300:WBW524302 WLS524300:WLS524302 WVO524300:WVO524302 G589836:G589838 JC589836:JC589838 SY589836:SY589838 ACU589836:ACU589838 AMQ589836:AMQ589838 AWM589836:AWM589838 BGI589836:BGI589838 BQE589836:BQE589838 CAA589836:CAA589838 CJW589836:CJW589838 CTS589836:CTS589838 DDO589836:DDO589838 DNK589836:DNK589838 DXG589836:DXG589838 EHC589836:EHC589838 EQY589836:EQY589838 FAU589836:FAU589838 FKQ589836:FKQ589838 FUM589836:FUM589838 GEI589836:GEI589838 GOE589836:GOE589838 GYA589836:GYA589838 HHW589836:HHW589838 HRS589836:HRS589838 IBO589836:IBO589838 ILK589836:ILK589838 IVG589836:IVG589838 JFC589836:JFC589838 JOY589836:JOY589838 JYU589836:JYU589838 KIQ589836:KIQ589838 KSM589836:KSM589838 LCI589836:LCI589838 LME589836:LME589838 LWA589836:LWA589838 MFW589836:MFW589838 MPS589836:MPS589838 MZO589836:MZO589838 NJK589836:NJK589838 NTG589836:NTG589838 ODC589836:ODC589838 OMY589836:OMY589838 OWU589836:OWU589838 PGQ589836:PGQ589838 PQM589836:PQM589838 QAI589836:QAI589838 QKE589836:QKE589838 QUA589836:QUA589838 RDW589836:RDW589838 RNS589836:RNS589838 RXO589836:RXO589838 SHK589836:SHK589838 SRG589836:SRG589838 TBC589836:TBC589838 TKY589836:TKY589838 TUU589836:TUU589838 UEQ589836:UEQ589838 UOM589836:UOM589838 UYI589836:UYI589838 VIE589836:VIE589838 VSA589836:VSA589838 WBW589836:WBW589838 WLS589836:WLS589838 WVO589836:WVO589838 G655372:G655374 JC655372:JC655374 SY655372:SY655374 ACU655372:ACU655374 AMQ655372:AMQ655374 AWM655372:AWM655374 BGI655372:BGI655374 BQE655372:BQE655374 CAA655372:CAA655374 CJW655372:CJW655374 CTS655372:CTS655374 DDO655372:DDO655374 DNK655372:DNK655374 DXG655372:DXG655374 EHC655372:EHC655374 EQY655372:EQY655374 FAU655372:FAU655374 FKQ655372:FKQ655374 FUM655372:FUM655374 GEI655372:GEI655374 GOE655372:GOE655374 GYA655372:GYA655374 HHW655372:HHW655374 HRS655372:HRS655374 IBO655372:IBO655374 ILK655372:ILK655374 IVG655372:IVG655374 JFC655372:JFC655374 JOY655372:JOY655374 JYU655372:JYU655374 KIQ655372:KIQ655374 KSM655372:KSM655374 LCI655372:LCI655374 LME655372:LME655374 LWA655372:LWA655374 MFW655372:MFW655374 MPS655372:MPS655374 MZO655372:MZO655374 NJK655372:NJK655374 NTG655372:NTG655374 ODC655372:ODC655374 OMY655372:OMY655374 OWU655372:OWU655374 PGQ655372:PGQ655374 PQM655372:PQM655374 QAI655372:QAI655374 QKE655372:QKE655374 QUA655372:QUA655374 RDW655372:RDW655374 RNS655372:RNS655374 RXO655372:RXO655374 SHK655372:SHK655374 SRG655372:SRG655374 TBC655372:TBC655374 TKY655372:TKY655374 TUU655372:TUU655374 UEQ655372:UEQ655374 UOM655372:UOM655374 UYI655372:UYI655374 VIE655372:VIE655374 VSA655372:VSA655374 WBW655372:WBW655374 WLS655372:WLS655374 WVO655372:WVO655374 G720908:G720910 JC720908:JC720910 SY720908:SY720910 ACU720908:ACU720910 AMQ720908:AMQ720910 AWM720908:AWM720910 BGI720908:BGI720910 BQE720908:BQE720910 CAA720908:CAA720910 CJW720908:CJW720910 CTS720908:CTS720910 DDO720908:DDO720910 DNK720908:DNK720910 DXG720908:DXG720910 EHC720908:EHC720910 EQY720908:EQY720910 FAU720908:FAU720910 FKQ720908:FKQ720910 FUM720908:FUM720910 GEI720908:GEI720910 GOE720908:GOE720910 GYA720908:GYA720910 HHW720908:HHW720910 HRS720908:HRS720910 IBO720908:IBO720910 ILK720908:ILK720910 IVG720908:IVG720910 JFC720908:JFC720910 JOY720908:JOY720910 JYU720908:JYU720910 KIQ720908:KIQ720910 KSM720908:KSM720910 LCI720908:LCI720910 LME720908:LME720910 LWA720908:LWA720910 MFW720908:MFW720910 MPS720908:MPS720910 MZO720908:MZO720910 NJK720908:NJK720910 NTG720908:NTG720910 ODC720908:ODC720910 OMY720908:OMY720910 OWU720908:OWU720910 PGQ720908:PGQ720910 PQM720908:PQM720910 QAI720908:QAI720910 QKE720908:QKE720910 QUA720908:QUA720910 RDW720908:RDW720910 RNS720908:RNS720910 RXO720908:RXO720910 SHK720908:SHK720910 SRG720908:SRG720910 TBC720908:TBC720910 TKY720908:TKY720910 TUU720908:TUU720910 UEQ720908:UEQ720910 UOM720908:UOM720910 UYI720908:UYI720910 VIE720908:VIE720910 VSA720908:VSA720910 WBW720908:WBW720910 WLS720908:WLS720910 WVO720908:WVO720910 G786444:G786446 JC786444:JC786446 SY786444:SY786446 ACU786444:ACU786446 AMQ786444:AMQ786446 AWM786444:AWM786446 BGI786444:BGI786446 BQE786444:BQE786446 CAA786444:CAA786446 CJW786444:CJW786446 CTS786444:CTS786446 DDO786444:DDO786446 DNK786444:DNK786446 DXG786444:DXG786446 EHC786444:EHC786446 EQY786444:EQY786446 FAU786444:FAU786446 FKQ786444:FKQ786446 FUM786444:FUM786446 GEI786444:GEI786446 GOE786444:GOE786446 GYA786444:GYA786446 HHW786444:HHW786446 HRS786444:HRS786446 IBO786444:IBO786446 ILK786444:ILK786446 IVG786444:IVG786446 JFC786444:JFC786446 JOY786444:JOY786446 JYU786444:JYU786446 KIQ786444:KIQ786446 KSM786444:KSM786446 LCI786444:LCI786446 LME786444:LME786446 LWA786444:LWA786446 MFW786444:MFW786446 MPS786444:MPS786446 MZO786444:MZO786446 NJK786444:NJK786446 NTG786444:NTG786446 ODC786444:ODC786446 OMY786444:OMY786446 OWU786444:OWU786446 PGQ786444:PGQ786446 PQM786444:PQM786446 QAI786444:QAI786446 QKE786444:QKE786446 QUA786444:QUA786446 RDW786444:RDW786446 RNS786444:RNS786446 RXO786444:RXO786446 SHK786444:SHK786446 SRG786444:SRG786446 TBC786444:TBC786446 TKY786444:TKY786446 TUU786444:TUU786446 UEQ786444:UEQ786446 UOM786444:UOM786446 UYI786444:UYI786446 VIE786444:VIE786446 VSA786444:VSA786446 WBW786444:WBW786446 WLS786444:WLS786446 WVO786444:WVO786446 G851980:G851982 JC851980:JC851982 SY851980:SY851982 ACU851980:ACU851982 AMQ851980:AMQ851982 AWM851980:AWM851982 BGI851980:BGI851982 BQE851980:BQE851982 CAA851980:CAA851982 CJW851980:CJW851982 CTS851980:CTS851982 DDO851980:DDO851982 DNK851980:DNK851982 DXG851980:DXG851982 EHC851980:EHC851982 EQY851980:EQY851982 FAU851980:FAU851982 FKQ851980:FKQ851982 FUM851980:FUM851982 GEI851980:GEI851982 GOE851980:GOE851982 GYA851980:GYA851982 HHW851980:HHW851982 HRS851980:HRS851982 IBO851980:IBO851982 ILK851980:ILK851982 IVG851980:IVG851982 JFC851980:JFC851982 JOY851980:JOY851982 JYU851980:JYU851982 KIQ851980:KIQ851982 KSM851980:KSM851982 LCI851980:LCI851982 LME851980:LME851982 LWA851980:LWA851982 MFW851980:MFW851982 MPS851980:MPS851982 MZO851980:MZO851982 NJK851980:NJK851982 NTG851980:NTG851982 ODC851980:ODC851982 OMY851980:OMY851982 OWU851980:OWU851982 PGQ851980:PGQ851982 PQM851980:PQM851982 QAI851980:QAI851982 QKE851980:QKE851982 QUA851980:QUA851982 RDW851980:RDW851982 RNS851980:RNS851982 RXO851980:RXO851982 SHK851980:SHK851982 SRG851980:SRG851982 TBC851980:TBC851982 TKY851980:TKY851982 TUU851980:TUU851982 UEQ851980:UEQ851982 UOM851980:UOM851982 UYI851980:UYI851982 VIE851980:VIE851982 VSA851980:VSA851982 WBW851980:WBW851982 WLS851980:WLS851982 WVO851980:WVO851982 G917516:G917518 JC917516:JC917518 SY917516:SY917518 ACU917516:ACU917518 AMQ917516:AMQ917518 AWM917516:AWM917518 BGI917516:BGI917518 BQE917516:BQE917518 CAA917516:CAA917518 CJW917516:CJW917518 CTS917516:CTS917518 DDO917516:DDO917518 DNK917516:DNK917518 DXG917516:DXG917518 EHC917516:EHC917518 EQY917516:EQY917518 FAU917516:FAU917518 FKQ917516:FKQ917518 FUM917516:FUM917518 GEI917516:GEI917518 GOE917516:GOE917518 GYA917516:GYA917518 HHW917516:HHW917518 HRS917516:HRS917518 IBO917516:IBO917518 ILK917516:ILK917518 IVG917516:IVG917518 JFC917516:JFC917518 JOY917516:JOY917518 JYU917516:JYU917518 KIQ917516:KIQ917518 KSM917516:KSM917518 LCI917516:LCI917518 LME917516:LME917518 LWA917516:LWA917518 MFW917516:MFW917518 MPS917516:MPS917518 MZO917516:MZO917518 NJK917516:NJK917518 NTG917516:NTG917518 ODC917516:ODC917518 OMY917516:OMY917518 OWU917516:OWU917518 PGQ917516:PGQ917518 PQM917516:PQM917518 QAI917516:QAI917518 QKE917516:QKE917518 QUA917516:QUA917518 RDW917516:RDW917518 RNS917516:RNS917518 RXO917516:RXO917518 SHK917516:SHK917518 SRG917516:SRG917518 TBC917516:TBC917518 TKY917516:TKY917518 TUU917516:TUU917518 UEQ917516:UEQ917518 UOM917516:UOM917518 UYI917516:UYI917518 VIE917516:VIE917518 VSA917516:VSA917518 WBW917516:WBW917518 WLS917516:WLS917518 WVO917516:WVO917518 G983052:G983054 JC983052:JC983054 SY983052:SY983054 ACU983052:ACU983054 AMQ983052:AMQ983054 AWM983052:AWM983054 BGI983052:BGI983054 BQE983052:BQE983054 CAA983052:CAA983054 CJW983052:CJW983054 CTS983052:CTS983054 DDO983052:DDO983054 DNK983052:DNK983054 DXG983052:DXG983054 EHC983052:EHC983054 EQY983052:EQY983054 FAU983052:FAU983054 FKQ983052:FKQ983054 FUM983052:FUM983054 GEI983052:GEI983054 GOE983052:GOE983054 GYA983052:GYA983054 HHW983052:HHW983054 HRS983052:HRS983054 IBO983052:IBO983054 ILK983052:ILK983054 IVG983052:IVG983054 JFC983052:JFC983054 JOY983052:JOY983054 JYU983052:JYU983054 KIQ983052:KIQ983054 KSM983052:KSM983054 LCI983052:LCI983054 LME983052:LME983054 LWA983052:LWA983054 MFW983052:MFW983054 MPS983052:MPS983054 MZO983052:MZO983054 NJK983052:NJK983054 NTG983052:NTG983054 ODC983052:ODC983054 OMY983052:OMY983054 OWU983052:OWU983054 PGQ983052:PGQ983054 PQM983052:PQM983054 QAI983052:QAI983054 QKE983052:QKE983054 QUA983052:QUA983054 RDW983052:RDW983054 RNS983052:RNS983054 RXO983052:RXO983054 SHK983052:SHK983054 SRG983052:SRG983054 TBC983052:TBC983054 TKY983052:TKY983054 TUU983052:TUU983054 UEQ983052:UEQ983054 UOM983052:UOM983054 UYI983052:UYI983054 VIE983052:VIE983054 VSA983052:VSA983054 WBW983052:WBW983054 WLS983052:WLS983054 WVO983052:WVO983054">
      <formula1>$AK$28:$AK$40</formula1>
    </dataValidation>
    <dataValidation type="list" allowBlank="1" showInputMessage="1" showErrorMessage="1" sqref="WVQ8:WVQ14 I8:I14 JE8:JE14 TA8:TA14 ACW8:ACW14 AMS8:AMS14 AWO8:AWO14 BGK8:BGK14 BQG8:BQG14 CAC8:CAC14 CJY8:CJY14 CTU8:CTU14 DDQ8:DDQ14 DNM8:DNM14 DXI8:DXI14 EHE8:EHE14 ERA8:ERA14 FAW8:FAW14 FKS8:FKS14 FUO8:FUO14 GEK8:GEK14 GOG8:GOG14 GYC8:GYC14 HHY8:HHY14 HRU8:HRU14 IBQ8:IBQ14 ILM8:ILM14 IVI8:IVI14 JFE8:JFE14 JPA8:JPA14 JYW8:JYW14 KIS8:KIS14 KSO8:KSO14 LCK8:LCK14 LMG8:LMG14 LWC8:LWC14 MFY8:MFY14 MPU8:MPU14 MZQ8:MZQ14 NJM8:NJM14 NTI8:NTI14 ODE8:ODE14 ONA8:ONA14 OWW8:OWW14 PGS8:PGS14 PQO8:PQO14 QAK8:QAK14 QKG8:QKG14 QUC8:QUC14 RDY8:RDY14 RNU8:RNU14 RXQ8:RXQ14 SHM8:SHM14 SRI8:SRI14 TBE8:TBE14 TLA8:TLA14 TUW8:TUW14 UES8:UES14 UOO8:UOO14 UYK8:UYK14 VIG8:VIG14 VSC8:VSC14 WBY8:WBY14 WLU8:WLU14 I65548:I65550 JE65548:JE65550 TA65548:TA65550 ACW65548:ACW65550 AMS65548:AMS65550 AWO65548:AWO65550 BGK65548:BGK65550 BQG65548:BQG65550 CAC65548:CAC65550 CJY65548:CJY65550 CTU65548:CTU65550 DDQ65548:DDQ65550 DNM65548:DNM65550 DXI65548:DXI65550 EHE65548:EHE65550 ERA65548:ERA65550 FAW65548:FAW65550 FKS65548:FKS65550 FUO65548:FUO65550 GEK65548:GEK65550 GOG65548:GOG65550 GYC65548:GYC65550 HHY65548:HHY65550 HRU65548:HRU65550 IBQ65548:IBQ65550 ILM65548:ILM65550 IVI65548:IVI65550 JFE65548:JFE65550 JPA65548:JPA65550 JYW65548:JYW65550 KIS65548:KIS65550 KSO65548:KSO65550 LCK65548:LCK65550 LMG65548:LMG65550 LWC65548:LWC65550 MFY65548:MFY65550 MPU65548:MPU65550 MZQ65548:MZQ65550 NJM65548:NJM65550 NTI65548:NTI65550 ODE65548:ODE65550 ONA65548:ONA65550 OWW65548:OWW65550 PGS65548:PGS65550 PQO65548:PQO65550 QAK65548:QAK65550 QKG65548:QKG65550 QUC65548:QUC65550 RDY65548:RDY65550 RNU65548:RNU65550 RXQ65548:RXQ65550 SHM65548:SHM65550 SRI65548:SRI65550 TBE65548:TBE65550 TLA65548:TLA65550 TUW65548:TUW65550 UES65548:UES65550 UOO65548:UOO65550 UYK65548:UYK65550 VIG65548:VIG65550 VSC65548:VSC65550 WBY65548:WBY65550 WLU65548:WLU65550 WVQ65548:WVQ65550 I131084:I131086 JE131084:JE131086 TA131084:TA131086 ACW131084:ACW131086 AMS131084:AMS131086 AWO131084:AWO131086 BGK131084:BGK131086 BQG131084:BQG131086 CAC131084:CAC131086 CJY131084:CJY131086 CTU131084:CTU131086 DDQ131084:DDQ131086 DNM131084:DNM131086 DXI131084:DXI131086 EHE131084:EHE131086 ERA131084:ERA131086 FAW131084:FAW131086 FKS131084:FKS131086 FUO131084:FUO131086 GEK131084:GEK131086 GOG131084:GOG131086 GYC131084:GYC131086 HHY131084:HHY131086 HRU131084:HRU131086 IBQ131084:IBQ131086 ILM131084:ILM131086 IVI131084:IVI131086 JFE131084:JFE131086 JPA131084:JPA131086 JYW131084:JYW131086 KIS131084:KIS131086 KSO131084:KSO131086 LCK131084:LCK131086 LMG131084:LMG131086 LWC131084:LWC131086 MFY131084:MFY131086 MPU131084:MPU131086 MZQ131084:MZQ131086 NJM131084:NJM131086 NTI131084:NTI131086 ODE131084:ODE131086 ONA131084:ONA131086 OWW131084:OWW131086 PGS131084:PGS131086 PQO131084:PQO131086 QAK131084:QAK131086 QKG131084:QKG131086 QUC131084:QUC131086 RDY131084:RDY131086 RNU131084:RNU131086 RXQ131084:RXQ131086 SHM131084:SHM131086 SRI131084:SRI131086 TBE131084:TBE131086 TLA131084:TLA131086 TUW131084:TUW131086 UES131084:UES131086 UOO131084:UOO131086 UYK131084:UYK131086 VIG131084:VIG131086 VSC131084:VSC131086 WBY131084:WBY131086 WLU131084:WLU131086 WVQ131084:WVQ131086 I196620:I196622 JE196620:JE196622 TA196620:TA196622 ACW196620:ACW196622 AMS196620:AMS196622 AWO196620:AWO196622 BGK196620:BGK196622 BQG196620:BQG196622 CAC196620:CAC196622 CJY196620:CJY196622 CTU196620:CTU196622 DDQ196620:DDQ196622 DNM196620:DNM196622 DXI196620:DXI196622 EHE196620:EHE196622 ERA196620:ERA196622 FAW196620:FAW196622 FKS196620:FKS196622 FUO196620:FUO196622 GEK196620:GEK196622 GOG196620:GOG196622 GYC196620:GYC196622 HHY196620:HHY196622 HRU196620:HRU196622 IBQ196620:IBQ196622 ILM196620:ILM196622 IVI196620:IVI196622 JFE196620:JFE196622 JPA196620:JPA196622 JYW196620:JYW196622 KIS196620:KIS196622 KSO196620:KSO196622 LCK196620:LCK196622 LMG196620:LMG196622 LWC196620:LWC196622 MFY196620:MFY196622 MPU196620:MPU196622 MZQ196620:MZQ196622 NJM196620:NJM196622 NTI196620:NTI196622 ODE196620:ODE196622 ONA196620:ONA196622 OWW196620:OWW196622 PGS196620:PGS196622 PQO196620:PQO196622 QAK196620:QAK196622 QKG196620:QKG196622 QUC196620:QUC196622 RDY196620:RDY196622 RNU196620:RNU196622 RXQ196620:RXQ196622 SHM196620:SHM196622 SRI196620:SRI196622 TBE196620:TBE196622 TLA196620:TLA196622 TUW196620:TUW196622 UES196620:UES196622 UOO196620:UOO196622 UYK196620:UYK196622 VIG196620:VIG196622 VSC196620:VSC196622 WBY196620:WBY196622 WLU196620:WLU196622 WVQ196620:WVQ196622 I262156:I262158 JE262156:JE262158 TA262156:TA262158 ACW262156:ACW262158 AMS262156:AMS262158 AWO262156:AWO262158 BGK262156:BGK262158 BQG262156:BQG262158 CAC262156:CAC262158 CJY262156:CJY262158 CTU262156:CTU262158 DDQ262156:DDQ262158 DNM262156:DNM262158 DXI262156:DXI262158 EHE262156:EHE262158 ERA262156:ERA262158 FAW262156:FAW262158 FKS262156:FKS262158 FUO262156:FUO262158 GEK262156:GEK262158 GOG262156:GOG262158 GYC262156:GYC262158 HHY262156:HHY262158 HRU262156:HRU262158 IBQ262156:IBQ262158 ILM262156:ILM262158 IVI262156:IVI262158 JFE262156:JFE262158 JPA262156:JPA262158 JYW262156:JYW262158 KIS262156:KIS262158 KSO262156:KSO262158 LCK262156:LCK262158 LMG262156:LMG262158 LWC262156:LWC262158 MFY262156:MFY262158 MPU262156:MPU262158 MZQ262156:MZQ262158 NJM262156:NJM262158 NTI262156:NTI262158 ODE262156:ODE262158 ONA262156:ONA262158 OWW262156:OWW262158 PGS262156:PGS262158 PQO262156:PQO262158 QAK262156:QAK262158 QKG262156:QKG262158 QUC262156:QUC262158 RDY262156:RDY262158 RNU262156:RNU262158 RXQ262156:RXQ262158 SHM262156:SHM262158 SRI262156:SRI262158 TBE262156:TBE262158 TLA262156:TLA262158 TUW262156:TUW262158 UES262156:UES262158 UOO262156:UOO262158 UYK262156:UYK262158 VIG262156:VIG262158 VSC262156:VSC262158 WBY262156:WBY262158 WLU262156:WLU262158 WVQ262156:WVQ262158 I327692:I327694 JE327692:JE327694 TA327692:TA327694 ACW327692:ACW327694 AMS327692:AMS327694 AWO327692:AWO327694 BGK327692:BGK327694 BQG327692:BQG327694 CAC327692:CAC327694 CJY327692:CJY327694 CTU327692:CTU327694 DDQ327692:DDQ327694 DNM327692:DNM327694 DXI327692:DXI327694 EHE327692:EHE327694 ERA327692:ERA327694 FAW327692:FAW327694 FKS327692:FKS327694 FUO327692:FUO327694 GEK327692:GEK327694 GOG327692:GOG327694 GYC327692:GYC327694 HHY327692:HHY327694 HRU327692:HRU327694 IBQ327692:IBQ327694 ILM327692:ILM327694 IVI327692:IVI327694 JFE327692:JFE327694 JPA327692:JPA327694 JYW327692:JYW327694 KIS327692:KIS327694 KSO327692:KSO327694 LCK327692:LCK327694 LMG327692:LMG327694 LWC327692:LWC327694 MFY327692:MFY327694 MPU327692:MPU327694 MZQ327692:MZQ327694 NJM327692:NJM327694 NTI327692:NTI327694 ODE327692:ODE327694 ONA327692:ONA327694 OWW327692:OWW327694 PGS327692:PGS327694 PQO327692:PQO327694 QAK327692:QAK327694 QKG327692:QKG327694 QUC327692:QUC327694 RDY327692:RDY327694 RNU327692:RNU327694 RXQ327692:RXQ327694 SHM327692:SHM327694 SRI327692:SRI327694 TBE327692:TBE327694 TLA327692:TLA327694 TUW327692:TUW327694 UES327692:UES327694 UOO327692:UOO327694 UYK327692:UYK327694 VIG327692:VIG327694 VSC327692:VSC327694 WBY327692:WBY327694 WLU327692:WLU327694 WVQ327692:WVQ327694 I393228:I393230 JE393228:JE393230 TA393228:TA393230 ACW393228:ACW393230 AMS393228:AMS393230 AWO393228:AWO393230 BGK393228:BGK393230 BQG393228:BQG393230 CAC393228:CAC393230 CJY393228:CJY393230 CTU393228:CTU393230 DDQ393228:DDQ393230 DNM393228:DNM393230 DXI393228:DXI393230 EHE393228:EHE393230 ERA393228:ERA393230 FAW393228:FAW393230 FKS393228:FKS393230 FUO393228:FUO393230 GEK393228:GEK393230 GOG393228:GOG393230 GYC393228:GYC393230 HHY393228:HHY393230 HRU393228:HRU393230 IBQ393228:IBQ393230 ILM393228:ILM393230 IVI393228:IVI393230 JFE393228:JFE393230 JPA393228:JPA393230 JYW393228:JYW393230 KIS393228:KIS393230 KSO393228:KSO393230 LCK393228:LCK393230 LMG393228:LMG393230 LWC393228:LWC393230 MFY393228:MFY393230 MPU393228:MPU393230 MZQ393228:MZQ393230 NJM393228:NJM393230 NTI393228:NTI393230 ODE393228:ODE393230 ONA393228:ONA393230 OWW393228:OWW393230 PGS393228:PGS393230 PQO393228:PQO393230 QAK393228:QAK393230 QKG393228:QKG393230 QUC393228:QUC393230 RDY393228:RDY393230 RNU393228:RNU393230 RXQ393228:RXQ393230 SHM393228:SHM393230 SRI393228:SRI393230 TBE393228:TBE393230 TLA393228:TLA393230 TUW393228:TUW393230 UES393228:UES393230 UOO393228:UOO393230 UYK393228:UYK393230 VIG393228:VIG393230 VSC393228:VSC393230 WBY393228:WBY393230 WLU393228:WLU393230 WVQ393228:WVQ393230 I458764:I458766 JE458764:JE458766 TA458764:TA458766 ACW458764:ACW458766 AMS458764:AMS458766 AWO458764:AWO458766 BGK458764:BGK458766 BQG458764:BQG458766 CAC458764:CAC458766 CJY458764:CJY458766 CTU458764:CTU458766 DDQ458764:DDQ458766 DNM458764:DNM458766 DXI458764:DXI458766 EHE458764:EHE458766 ERA458764:ERA458766 FAW458764:FAW458766 FKS458764:FKS458766 FUO458764:FUO458766 GEK458764:GEK458766 GOG458764:GOG458766 GYC458764:GYC458766 HHY458764:HHY458766 HRU458764:HRU458766 IBQ458764:IBQ458766 ILM458764:ILM458766 IVI458764:IVI458766 JFE458764:JFE458766 JPA458764:JPA458766 JYW458764:JYW458766 KIS458764:KIS458766 KSO458764:KSO458766 LCK458764:LCK458766 LMG458764:LMG458766 LWC458764:LWC458766 MFY458764:MFY458766 MPU458764:MPU458766 MZQ458764:MZQ458766 NJM458764:NJM458766 NTI458764:NTI458766 ODE458764:ODE458766 ONA458764:ONA458766 OWW458764:OWW458766 PGS458764:PGS458766 PQO458764:PQO458766 QAK458764:QAK458766 QKG458764:QKG458766 QUC458764:QUC458766 RDY458764:RDY458766 RNU458764:RNU458766 RXQ458764:RXQ458766 SHM458764:SHM458766 SRI458764:SRI458766 TBE458764:TBE458766 TLA458764:TLA458766 TUW458764:TUW458766 UES458764:UES458766 UOO458764:UOO458766 UYK458764:UYK458766 VIG458764:VIG458766 VSC458764:VSC458766 WBY458764:WBY458766 WLU458764:WLU458766 WVQ458764:WVQ458766 I524300:I524302 JE524300:JE524302 TA524300:TA524302 ACW524300:ACW524302 AMS524300:AMS524302 AWO524300:AWO524302 BGK524300:BGK524302 BQG524300:BQG524302 CAC524300:CAC524302 CJY524300:CJY524302 CTU524300:CTU524302 DDQ524300:DDQ524302 DNM524300:DNM524302 DXI524300:DXI524302 EHE524300:EHE524302 ERA524300:ERA524302 FAW524300:FAW524302 FKS524300:FKS524302 FUO524300:FUO524302 GEK524300:GEK524302 GOG524300:GOG524302 GYC524300:GYC524302 HHY524300:HHY524302 HRU524300:HRU524302 IBQ524300:IBQ524302 ILM524300:ILM524302 IVI524300:IVI524302 JFE524300:JFE524302 JPA524300:JPA524302 JYW524300:JYW524302 KIS524300:KIS524302 KSO524300:KSO524302 LCK524300:LCK524302 LMG524300:LMG524302 LWC524300:LWC524302 MFY524300:MFY524302 MPU524300:MPU524302 MZQ524300:MZQ524302 NJM524300:NJM524302 NTI524300:NTI524302 ODE524300:ODE524302 ONA524300:ONA524302 OWW524300:OWW524302 PGS524300:PGS524302 PQO524300:PQO524302 QAK524300:QAK524302 QKG524300:QKG524302 QUC524300:QUC524302 RDY524300:RDY524302 RNU524300:RNU524302 RXQ524300:RXQ524302 SHM524300:SHM524302 SRI524300:SRI524302 TBE524300:TBE524302 TLA524300:TLA524302 TUW524300:TUW524302 UES524300:UES524302 UOO524300:UOO524302 UYK524300:UYK524302 VIG524300:VIG524302 VSC524300:VSC524302 WBY524300:WBY524302 WLU524300:WLU524302 WVQ524300:WVQ524302 I589836:I589838 JE589836:JE589838 TA589836:TA589838 ACW589836:ACW589838 AMS589836:AMS589838 AWO589836:AWO589838 BGK589836:BGK589838 BQG589836:BQG589838 CAC589836:CAC589838 CJY589836:CJY589838 CTU589836:CTU589838 DDQ589836:DDQ589838 DNM589836:DNM589838 DXI589836:DXI589838 EHE589836:EHE589838 ERA589836:ERA589838 FAW589836:FAW589838 FKS589836:FKS589838 FUO589836:FUO589838 GEK589836:GEK589838 GOG589836:GOG589838 GYC589836:GYC589838 HHY589836:HHY589838 HRU589836:HRU589838 IBQ589836:IBQ589838 ILM589836:ILM589838 IVI589836:IVI589838 JFE589836:JFE589838 JPA589836:JPA589838 JYW589836:JYW589838 KIS589836:KIS589838 KSO589836:KSO589838 LCK589836:LCK589838 LMG589836:LMG589838 LWC589836:LWC589838 MFY589836:MFY589838 MPU589836:MPU589838 MZQ589836:MZQ589838 NJM589836:NJM589838 NTI589836:NTI589838 ODE589836:ODE589838 ONA589836:ONA589838 OWW589836:OWW589838 PGS589836:PGS589838 PQO589836:PQO589838 QAK589836:QAK589838 QKG589836:QKG589838 QUC589836:QUC589838 RDY589836:RDY589838 RNU589836:RNU589838 RXQ589836:RXQ589838 SHM589836:SHM589838 SRI589836:SRI589838 TBE589836:TBE589838 TLA589836:TLA589838 TUW589836:TUW589838 UES589836:UES589838 UOO589836:UOO589838 UYK589836:UYK589838 VIG589836:VIG589838 VSC589836:VSC589838 WBY589836:WBY589838 WLU589836:WLU589838 WVQ589836:WVQ589838 I655372:I655374 JE655372:JE655374 TA655372:TA655374 ACW655372:ACW655374 AMS655372:AMS655374 AWO655372:AWO655374 BGK655372:BGK655374 BQG655372:BQG655374 CAC655372:CAC655374 CJY655372:CJY655374 CTU655372:CTU655374 DDQ655372:DDQ655374 DNM655372:DNM655374 DXI655372:DXI655374 EHE655372:EHE655374 ERA655372:ERA655374 FAW655372:FAW655374 FKS655372:FKS655374 FUO655372:FUO655374 GEK655372:GEK655374 GOG655372:GOG655374 GYC655372:GYC655374 HHY655372:HHY655374 HRU655372:HRU655374 IBQ655372:IBQ655374 ILM655372:ILM655374 IVI655372:IVI655374 JFE655372:JFE655374 JPA655372:JPA655374 JYW655372:JYW655374 KIS655372:KIS655374 KSO655372:KSO655374 LCK655372:LCK655374 LMG655372:LMG655374 LWC655372:LWC655374 MFY655372:MFY655374 MPU655372:MPU655374 MZQ655372:MZQ655374 NJM655372:NJM655374 NTI655372:NTI655374 ODE655372:ODE655374 ONA655372:ONA655374 OWW655372:OWW655374 PGS655372:PGS655374 PQO655372:PQO655374 QAK655372:QAK655374 QKG655372:QKG655374 QUC655372:QUC655374 RDY655372:RDY655374 RNU655372:RNU655374 RXQ655372:RXQ655374 SHM655372:SHM655374 SRI655372:SRI655374 TBE655372:TBE655374 TLA655372:TLA655374 TUW655372:TUW655374 UES655372:UES655374 UOO655372:UOO655374 UYK655372:UYK655374 VIG655372:VIG655374 VSC655372:VSC655374 WBY655372:WBY655374 WLU655372:WLU655374 WVQ655372:WVQ655374 I720908:I720910 JE720908:JE720910 TA720908:TA720910 ACW720908:ACW720910 AMS720908:AMS720910 AWO720908:AWO720910 BGK720908:BGK720910 BQG720908:BQG720910 CAC720908:CAC720910 CJY720908:CJY720910 CTU720908:CTU720910 DDQ720908:DDQ720910 DNM720908:DNM720910 DXI720908:DXI720910 EHE720908:EHE720910 ERA720908:ERA720910 FAW720908:FAW720910 FKS720908:FKS720910 FUO720908:FUO720910 GEK720908:GEK720910 GOG720908:GOG720910 GYC720908:GYC720910 HHY720908:HHY720910 HRU720908:HRU720910 IBQ720908:IBQ720910 ILM720908:ILM720910 IVI720908:IVI720910 JFE720908:JFE720910 JPA720908:JPA720910 JYW720908:JYW720910 KIS720908:KIS720910 KSO720908:KSO720910 LCK720908:LCK720910 LMG720908:LMG720910 LWC720908:LWC720910 MFY720908:MFY720910 MPU720908:MPU720910 MZQ720908:MZQ720910 NJM720908:NJM720910 NTI720908:NTI720910 ODE720908:ODE720910 ONA720908:ONA720910 OWW720908:OWW720910 PGS720908:PGS720910 PQO720908:PQO720910 QAK720908:QAK720910 QKG720908:QKG720910 QUC720908:QUC720910 RDY720908:RDY720910 RNU720908:RNU720910 RXQ720908:RXQ720910 SHM720908:SHM720910 SRI720908:SRI720910 TBE720908:TBE720910 TLA720908:TLA720910 TUW720908:TUW720910 UES720908:UES720910 UOO720908:UOO720910 UYK720908:UYK720910 VIG720908:VIG720910 VSC720908:VSC720910 WBY720908:WBY720910 WLU720908:WLU720910 WVQ720908:WVQ720910 I786444:I786446 JE786444:JE786446 TA786444:TA786446 ACW786444:ACW786446 AMS786444:AMS786446 AWO786444:AWO786446 BGK786444:BGK786446 BQG786444:BQG786446 CAC786444:CAC786446 CJY786444:CJY786446 CTU786444:CTU786446 DDQ786444:DDQ786446 DNM786444:DNM786446 DXI786444:DXI786446 EHE786444:EHE786446 ERA786444:ERA786446 FAW786444:FAW786446 FKS786444:FKS786446 FUO786444:FUO786446 GEK786444:GEK786446 GOG786444:GOG786446 GYC786444:GYC786446 HHY786444:HHY786446 HRU786444:HRU786446 IBQ786444:IBQ786446 ILM786444:ILM786446 IVI786444:IVI786446 JFE786444:JFE786446 JPA786444:JPA786446 JYW786444:JYW786446 KIS786444:KIS786446 KSO786444:KSO786446 LCK786444:LCK786446 LMG786444:LMG786446 LWC786444:LWC786446 MFY786444:MFY786446 MPU786444:MPU786446 MZQ786444:MZQ786446 NJM786444:NJM786446 NTI786444:NTI786446 ODE786444:ODE786446 ONA786444:ONA786446 OWW786444:OWW786446 PGS786444:PGS786446 PQO786444:PQO786446 QAK786444:QAK786446 QKG786444:QKG786446 QUC786444:QUC786446 RDY786444:RDY786446 RNU786444:RNU786446 RXQ786444:RXQ786446 SHM786444:SHM786446 SRI786444:SRI786446 TBE786444:TBE786446 TLA786444:TLA786446 TUW786444:TUW786446 UES786444:UES786446 UOO786444:UOO786446 UYK786444:UYK786446 VIG786444:VIG786446 VSC786444:VSC786446 WBY786444:WBY786446 WLU786444:WLU786446 WVQ786444:WVQ786446 I851980:I851982 JE851980:JE851982 TA851980:TA851982 ACW851980:ACW851982 AMS851980:AMS851982 AWO851980:AWO851982 BGK851980:BGK851982 BQG851980:BQG851982 CAC851980:CAC851982 CJY851980:CJY851982 CTU851980:CTU851982 DDQ851980:DDQ851982 DNM851980:DNM851982 DXI851980:DXI851982 EHE851980:EHE851982 ERA851980:ERA851982 FAW851980:FAW851982 FKS851980:FKS851982 FUO851980:FUO851982 GEK851980:GEK851982 GOG851980:GOG851982 GYC851980:GYC851982 HHY851980:HHY851982 HRU851980:HRU851982 IBQ851980:IBQ851982 ILM851980:ILM851982 IVI851980:IVI851982 JFE851980:JFE851982 JPA851980:JPA851982 JYW851980:JYW851982 KIS851980:KIS851982 KSO851980:KSO851982 LCK851980:LCK851982 LMG851980:LMG851982 LWC851980:LWC851982 MFY851980:MFY851982 MPU851980:MPU851982 MZQ851980:MZQ851982 NJM851980:NJM851982 NTI851980:NTI851982 ODE851980:ODE851982 ONA851980:ONA851982 OWW851980:OWW851982 PGS851980:PGS851982 PQO851980:PQO851982 QAK851980:QAK851982 QKG851980:QKG851982 QUC851980:QUC851982 RDY851980:RDY851982 RNU851980:RNU851982 RXQ851980:RXQ851982 SHM851980:SHM851982 SRI851980:SRI851982 TBE851980:TBE851982 TLA851980:TLA851982 TUW851980:TUW851982 UES851980:UES851982 UOO851980:UOO851982 UYK851980:UYK851982 VIG851980:VIG851982 VSC851980:VSC851982 WBY851980:WBY851982 WLU851980:WLU851982 WVQ851980:WVQ851982 I917516:I917518 JE917516:JE917518 TA917516:TA917518 ACW917516:ACW917518 AMS917516:AMS917518 AWO917516:AWO917518 BGK917516:BGK917518 BQG917516:BQG917518 CAC917516:CAC917518 CJY917516:CJY917518 CTU917516:CTU917518 DDQ917516:DDQ917518 DNM917516:DNM917518 DXI917516:DXI917518 EHE917516:EHE917518 ERA917516:ERA917518 FAW917516:FAW917518 FKS917516:FKS917518 FUO917516:FUO917518 GEK917516:GEK917518 GOG917516:GOG917518 GYC917516:GYC917518 HHY917516:HHY917518 HRU917516:HRU917518 IBQ917516:IBQ917518 ILM917516:ILM917518 IVI917516:IVI917518 JFE917516:JFE917518 JPA917516:JPA917518 JYW917516:JYW917518 KIS917516:KIS917518 KSO917516:KSO917518 LCK917516:LCK917518 LMG917516:LMG917518 LWC917516:LWC917518 MFY917516:MFY917518 MPU917516:MPU917518 MZQ917516:MZQ917518 NJM917516:NJM917518 NTI917516:NTI917518 ODE917516:ODE917518 ONA917516:ONA917518 OWW917516:OWW917518 PGS917516:PGS917518 PQO917516:PQO917518 QAK917516:QAK917518 QKG917516:QKG917518 QUC917516:QUC917518 RDY917516:RDY917518 RNU917516:RNU917518 RXQ917516:RXQ917518 SHM917516:SHM917518 SRI917516:SRI917518 TBE917516:TBE917518 TLA917516:TLA917518 TUW917516:TUW917518 UES917516:UES917518 UOO917516:UOO917518 UYK917516:UYK917518 VIG917516:VIG917518 VSC917516:VSC917518 WBY917516:WBY917518 WLU917516:WLU917518 WVQ917516:WVQ917518 I983052:I983054 JE983052:JE983054 TA983052:TA983054 ACW983052:ACW983054 AMS983052:AMS983054 AWO983052:AWO983054 BGK983052:BGK983054 BQG983052:BQG983054 CAC983052:CAC983054 CJY983052:CJY983054 CTU983052:CTU983054 DDQ983052:DDQ983054 DNM983052:DNM983054 DXI983052:DXI983054 EHE983052:EHE983054 ERA983052:ERA983054 FAW983052:FAW983054 FKS983052:FKS983054 FUO983052:FUO983054 GEK983052:GEK983054 GOG983052:GOG983054 GYC983052:GYC983054 HHY983052:HHY983054 HRU983052:HRU983054 IBQ983052:IBQ983054 ILM983052:ILM983054 IVI983052:IVI983054 JFE983052:JFE983054 JPA983052:JPA983054 JYW983052:JYW983054 KIS983052:KIS983054 KSO983052:KSO983054 LCK983052:LCK983054 LMG983052:LMG983054 LWC983052:LWC983054 MFY983052:MFY983054 MPU983052:MPU983054 MZQ983052:MZQ983054 NJM983052:NJM983054 NTI983052:NTI983054 ODE983052:ODE983054 ONA983052:ONA983054 OWW983052:OWW983054 PGS983052:PGS983054 PQO983052:PQO983054 QAK983052:QAK983054 QKG983052:QKG983054 QUC983052:QUC983054 RDY983052:RDY983054 RNU983052:RNU983054 RXQ983052:RXQ983054 SHM983052:SHM983054 SRI983052:SRI983054 TBE983052:TBE983054 TLA983052:TLA983054 TUW983052:TUW983054 UES983052:UES983054 UOO983052:UOO983054 UYK983052:UYK983054 VIG983052:VIG983054 VSC983052:VSC983054 WBY983052:WBY983054 WLU983052:WLU983054 WVQ983052:WVQ983054">
      <formula1>$X$24:$X$25</formula1>
    </dataValidation>
    <dataValidation type="list" allowBlank="1" showInputMessage="1" showErrorMessage="1" sqref="WWN983052:WWN983054 TX8:TX14 ADT8:ADT14 ANP8:ANP14 AXL8:AXL14 BHH8:BHH14 BRD8:BRD14 CAZ8:CAZ14 CKV8:CKV14 CUR8:CUR14 DEN8:DEN14 DOJ8:DOJ14 DYF8:DYF14 EIB8:EIB14 ERX8:ERX14 FBT8:FBT14 FLP8:FLP14 FVL8:FVL14 GFH8:GFH14 GPD8:GPD14 GYZ8:GYZ14 HIV8:HIV14 HSR8:HSR14 ICN8:ICN14 IMJ8:IMJ14 IWF8:IWF14 JGB8:JGB14 JPX8:JPX14 JZT8:JZT14 KJP8:KJP14 KTL8:KTL14 LDH8:LDH14 LND8:LND14 LWZ8:LWZ14 MGV8:MGV14 MQR8:MQR14 NAN8:NAN14 NKJ8:NKJ14 NUF8:NUF14 OEB8:OEB14 ONX8:ONX14 OXT8:OXT14 PHP8:PHP14 PRL8:PRL14 QBH8:QBH14 QLD8:QLD14 QUZ8:QUZ14 REV8:REV14 ROR8:ROR14 RYN8:RYN14 SIJ8:SIJ14 SSF8:SSF14 TCB8:TCB14 TLX8:TLX14 TVT8:TVT14 UFP8:UFP14 UPL8:UPL14 UZH8:UZH14 VJD8:VJD14 VSZ8:VSZ14 WCV8:WCV14 WMR8:WMR14 WWN8:WWN14 AF8:AF14 AF65548:AF65550 KB65548:KB65550 TX65548:TX65550 ADT65548:ADT65550 ANP65548:ANP65550 AXL65548:AXL65550 BHH65548:BHH65550 BRD65548:BRD65550 CAZ65548:CAZ65550 CKV65548:CKV65550 CUR65548:CUR65550 DEN65548:DEN65550 DOJ65548:DOJ65550 DYF65548:DYF65550 EIB65548:EIB65550 ERX65548:ERX65550 FBT65548:FBT65550 FLP65548:FLP65550 FVL65548:FVL65550 GFH65548:GFH65550 GPD65548:GPD65550 GYZ65548:GYZ65550 HIV65548:HIV65550 HSR65548:HSR65550 ICN65548:ICN65550 IMJ65548:IMJ65550 IWF65548:IWF65550 JGB65548:JGB65550 JPX65548:JPX65550 JZT65548:JZT65550 KJP65548:KJP65550 KTL65548:KTL65550 LDH65548:LDH65550 LND65548:LND65550 LWZ65548:LWZ65550 MGV65548:MGV65550 MQR65548:MQR65550 NAN65548:NAN65550 NKJ65548:NKJ65550 NUF65548:NUF65550 OEB65548:OEB65550 ONX65548:ONX65550 OXT65548:OXT65550 PHP65548:PHP65550 PRL65548:PRL65550 QBH65548:QBH65550 QLD65548:QLD65550 QUZ65548:QUZ65550 REV65548:REV65550 ROR65548:ROR65550 RYN65548:RYN65550 SIJ65548:SIJ65550 SSF65548:SSF65550 TCB65548:TCB65550 TLX65548:TLX65550 TVT65548:TVT65550 UFP65548:UFP65550 UPL65548:UPL65550 UZH65548:UZH65550 VJD65548:VJD65550 VSZ65548:VSZ65550 WCV65548:WCV65550 WMR65548:WMR65550 WWN65548:WWN65550 AF131084:AF131086 KB131084:KB131086 TX131084:TX131086 ADT131084:ADT131086 ANP131084:ANP131086 AXL131084:AXL131086 BHH131084:BHH131086 BRD131084:BRD131086 CAZ131084:CAZ131086 CKV131084:CKV131086 CUR131084:CUR131086 DEN131084:DEN131086 DOJ131084:DOJ131086 DYF131084:DYF131086 EIB131084:EIB131086 ERX131084:ERX131086 FBT131084:FBT131086 FLP131084:FLP131086 FVL131084:FVL131086 GFH131084:GFH131086 GPD131084:GPD131086 GYZ131084:GYZ131086 HIV131084:HIV131086 HSR131084:HSR131086 ICN131084:ICN131086 IMJ131084:IMJ131086 IWF131084:IWF131086 JGB131084:JGB131086 JPX131084:JPX131086 JZT131084:JZT131086 KJP131084:KJP131086 KTL131084:KTL131086 LDH131084:LDH131086 LND131084:LND131086 LWZ131084:LWZ131086 MGV131084:MGV131086 MQR131084:MQR131086 NAN131084:NAN131086 NKJ131084:NKJ131086 NUF131084:NUF131086 OEB131084:OEB131086 ONX131084:ONX131086 OXT131084:OXT131086 PHP131084:PHP131086 PRL131084:PRL131086 QBH131084:QBH131086 QLD131084:QLD131086 QUZ131084:QUZ131086 REV131084:REV131086 ROR131084:ROR131086 RYN131084:RYN131086 SIJ131084:SIJ131086 SSF131084:SSF131086 TCB131084:TCB131086 TLX131084:TLX131086 TVT131084:TVT131086 UFP131084:UFP131086 UPL131084:UPL131086 UZH131084:UZH131086 VJD131084:VJD131086 VSZ131084:VSZ131086 WCV131084:WCV131086 WMR131084:WMR131086 WWN131084:WWN131086 AF196620:AF196622 KB196620:KB196622 TX196620:TX196622 ADT196620:ADT196622 ANP196620:ANP196622 AXL196620:AXL196622 BHH196620:BHH196622 BRD196620:BRD196622 CAZ196620:CAZ196622 CKV196620:CKV196622 CUR196620:CUR196622 DEN196620:DEN196622 DOJ196620:DOJ196622 DYF196620:DYF196622 EIB196620:EIB196622 ERX196620:ERX196622 FBT196620:FBT196622 FLP196620:FLP196622 FVL196620:FVL196622 GFH196620:GFH196622 GPD196620:GPD196622 GYZ196620:GYZ196622 HIV196620:HIV196622 HSR196620:HSR196622 ICN196620:ICN196622 IMJ196620:IMJ196622 IWF196620:IWF196622 JGB196620:JGB196622 JPX196620:JPX196622 JZT196620:JZT196622 KJP196620:KJP196622 KTL196620:KTL196622 LDH196620:LDH196622 LND196620:LND196622 LWZ196620:LWZ196622 MGV196620:MGV196622 MQR196620:MQR196622 NAN196620:NAN196622 NKJ196620:NKJ196622 NUF196620:NUF196622 OEB196620:OEB196622 ONX196620:ONX196622 OXT196620:OXT196622 PHP196620:PHP196622 PRL196620:PRL196622 QBH196620:QBH196622 QLD196620:QLD196622 QUZ196620:QUZ196622 REV196620:REV196622 ROR196620:ROR196622 RYN196620:RYN196622 SIJ196620:SIJ196622 SSF196620:SSF196622 TCB196620:TCB196622 TLX196620:TLX196622 TVT196620:TVT196622 UFP196620:UFP196622 UPL196620:UPL196622 UZH196620:UZH196622 VJD196620:VJD196622 VSZ196620:VSZ196622 WCV196620:WCV196622 WMR196620:WMR196622 WWN196620:WWN196622 AF262156:AF262158 KB262156:KB262158 TX262156:TX262158 ADT262156:ADT262158 ANP262156:ANP262158 AXL262156:AXL262158 BHH262156:BHH262158 BRD262156:BRD262158 CAZ262156:CAZ262158 CKV262156:CKV262158 CUR262156:CUR262158 DEN262156:DEN262158 DOJ262156:DOJ262158 DYF262156:DYF262158 EIB262156:EIB262158 ERX262156:ERX262158 FBT262156:FBT262158 FLP262156:FLP262158 FVL262156:FVL262158 GFH262156:GFH262158 GPD262156:GPD262158 GYZ262156:GYZ262158 HIV262156:HIV262158 HSR262156:HSR262158 ICN262156:ICN262158 IMJ262156:IMJ262158 IWF262156:IWF262158 JGB262156:JGB262158 JPX262156:JPX262158 JZT262156:JZT262158 KJP262156:KJP262158 KTL262156:KTL262158 LDH262156:LDH262158 LND262156:LND262158 LWZ262156:LWZ262158 MGV262156:MGV262158 MQR262156:MQR262158 NAN262156:NAN262158 NKJ262156:NKJ262158 NUF262156:NUF262158 OEB262156:OEB262158 ONX262156:ONX262158 OXT262156:OXT262158 PHP262156:PHP262158 PRL262156:PRL262158 QBH262156:QBH262158 QLD262156:QLD262158 QUZ262156:QUZ262158 REV262156:REV262158 ROR262156:ROR262158 RYN262156:RYN262158 SIJ262156:SIJ262158 SSF262156:SSF262158 TCB262156:TCB262158 TLX262156:TLX262158 TVT262156:TVT262158 UFP262156:UFP262158 UPL262156:UPL262158 UZH262156:UZH262158 VJD262156:VJD262158 VSZ262156:VSZ262158 WCV262156:WCV262158 WMR262156:WMR262158 WWN262156:WWN262158 AF327692:AF327694 KB327692:KB327694 TX327692:TX327694 ADT327692:ADT327694 ANP327692:ANP327694 AXL327692:AXL327694 BHH327692:BHH327694 BRD327692:BRD327694 CAZ327692:CAZ327694 CKV327692:CKV327694 CUR327692:CUR327694 DEN327692:DEN327694 DOJ327692:DOJ327694 DYF327692:DYF327694 EIB327692:EIB327694 ERX327692:ERX327694 FBT327692:FBT327694 FLP327692:FLP327694 FVL327692:FVL327694 GFH327692:GFH327694 GPD327692:GPD327694 GYZ327692:GYZ327694 HIV327692:HIV327694 HSR327692:HSR327694 ICN327692:ICN327694 IMJ327692:IMJ327694 IWF327692:IWF327694 JGB327692:JGB327694 JPX327692:JPX327694 JZT327692:JZT327694 KJP327692:KJP327694 KTL327692:KTL327694 LDH327692:LDH327694 LND327692:LND327694 LWZ327692:LWZ327694 MGV327692:MGV327694 MQR327692:MQR327694 NAN327692:NAN327694 NKJ327692:NKJ327694 NUF327692:NUF327694 OEB327692:OEB327694 ONX327692:ONX327694 OXT327692:OXT327694 PHP327692:PHP327694 PRL327692:PRL327694 QBH327692:QBH327694 QLD327692:QLD327694 QUZ327692:QUZ327694 REV327692:REV327694 ROR327692:ROR327694 RYN327692:RYN327694 SIJ327692:SIJ327694 SSF327692:SSF327694 TCB327692:TCB327694 TLX327692:TLX327694 TVT327692:TVT327694 UFP327692:UFP327694 UPL327692:UPL327694 UZH327692:UZH327694 VJD327692:VJD327694 VSZ327692:VSZ327694 WCV327692:WCV327694 WMR327692:WMR327694 WWN327692:WWN327694 AF393228:AF393230 KB393228:KB393230 TX393228:TX393230 ADT393228:ADT393230 ANP393228:ANP393230 AXL393228:AXL393230 BHH393228:BHH393230 BRD393228:BRD393230 CAZ393228:CAZ393230 CKV393228:CKV393230 CUR393228:CUR393230 DEN393228:DEN393230 DOJ393228:DOJ393230 DYF393228:DYF393230 EIB393228:EIB393230 ERX393228:ERX393230 FBT393228:FBT393230 FLP393228:FLP393230 FVL393228:FVL393230 GFH393228:GFH393230 GPD393228:GPD393230 GYZ393228:GYZ393230 HIV393228:HIV393230 HSR393228:HSR393230 ICN393228:ICN393230 IMJ393228:IMJ393230 IWF393228:IWF393230 JGB393228:JGB393230 JPX393228:JPX393230 JZT393228:JZT393230 KJP393228:KJP393230 KTL393228:KTL393230 LDH393228:LDH393230 LND393228:LND393230 LWZ393228:LWZ393230 MGV393228:MGV393230 MQR393228:MQR393230 NAN393228:NAN393230 NKJ393228:NKJ393230 NUF393228:NUF393230 OEB393228:OEB393230 ONX393228:ONX393230 OXT393228:OXT393230 PHP393228:PHP393230 PRL393228:PRL393230 QBH393228:QBH393230 QLD393228:QLD393230 QUZ393228:QUZ393230 REV393228:REV393230 ROR393228:ROR393230 RYN393228:RYN393230 SIJ393228:SIJ393230 SSF393228:SSF393230 TCB393228:TCB393230 TLX393228:TLX393230 TVT393228:TVT393230 UFP393228:UFP393230 UPL393228:UPL393230 UZH393228:UZH393230 VJD393228:VJD393230 VSZ393228:VSZ393230 WCV393228:WCV393230 WMR393228:WMR393230 WWN393228:WWN393230 AF458764:AF458766 KB458764:KB458766 TX458764:TX458766 ADT458764:ADT458766 ANP458764:ANP458766 AXL458764:AXL458766 BHH458764:BHH458766 BRD458764:BRD458766 CAZ458764:CAZ458766 CKV458764:CKV458766 CUR458764:CUR458766 DEN458764:DEN458766 DOJ458764:DOJ458766 DYF458764:DYF458766 EIB458764:EIB458766 ERX458764:ERX458766 FBT458764:FBT458766 FLP458764:FLP458766 FVL458764:FVL458766 GFH458764:GFH458766 GPD458764:GPD458766 GYZ458764:GYZ458766 HIV458764:HIV458766 HSR458764:HSR458766 ICN458764:ICN458766 IMJ458764:IMJ458766 IWF458764:IWF458766 JGB458764:JGB458766 JPX458764:JPX458766 JZT458764:JZT458766 KJP458764:KJP458766 KTL458764:KTL458766 LDH458764:LDH458766 LND458764:LND458766 LWZ458764:LWZ458766 MGV458764:MGV458766 MQR458764:MQR458766 NAN458764:NAN458766 NKJ458764:NKJ458766 NUF458764:NUF458766 OEB458764:OEB458766 ONX458764:ONX458766 OXT458764:OXT458766 PHP458764:PHP458766 PRL458764:PRL458766 QBH458764:QBH458766 QLD458764:QLD458766 QUZ458764:QUZ458766 REV458764:REV458766 ROR458764:ROR458766 RYN458764:RYN458766 SIJ458764:SIJ458766 SSF458764:SSF458766 TCB458764:TCB458766 TLX458764:TLX458766 TVT458764:TVT458766 UFP458764:UFP458766 UPL458764:UPL458766 UZH458764:UZH458766 VJD458764:VJD458766 VSZ458764:VSZ458766 WCV458764:WCV458766 WMR458764:WMR458766 WWN458764:WWN458766 AF524300:AF524302 KB524300:KB524302 TX524300:TX524302 ADT524300:ADT524302 ANP524300:ANP524302 AXL524300:AXL524302 BHH524300:BHH524302 BRD524300:BRD524302 CAZ524300:CAZ524302 CKV524300:CKV524302 CUR524300:CUR524302 DEN524300:DEN524302 DOJ524300:DOJ524302 DYF524300:DYF524302 EIB524300:EIB524302 ERX524300:ERX524302 FBT524300:FBT524302 FLP524300:FLP524302 FVL524300:FVL524302 GFH524300:GFH524302 GPD524300:GPD524302 GYZ524300:GYZ524302 HIV524300:HIV524302 HSR524300:HSR524302 ICN524300:ICN524302 IMJ524300:IMJ524302 IWF524300:IWF524302 JGB524300:JGB524302 JPX524300:JPX524302 JZT524300:JZT524302 KJP524300:KJP524302 KTL524300:KTL524302 LDH524300:LDH524302 LND524300:LND524302 LWZ524300:LWZ524302 MGV524300:MGV524302 MQR524300:MQR524302 NAN524300:NAN524302 NKJ524300:NKJ524302 NUF524300:NUF524302 OEB524300:OEB524302 ONX524300:ONX524302 OXT524300:OXT524302 PHP524300:PHP524302 PRL524300:PRL524302 QBH524300:QBH524302 QLD524300:QLD524302 QUZ524300:QUZ524302 REV524300:REV524302 ROR524300:ROR524302 RYN524300:RYN524302 SIJ524300:SIJ524302 SSF524300:SSF524302 TCB524300:TCB524302 TLX524300:TLX524302 TVT524300:TVT524302 UFP524300:UFP524302 UPL524300:UPL524302 UZH524300:UZH524302 VJD524300:VJD524302 VSZ524300:VSZ524302 WCV524300:WCV524302 WMR524300:WMR524302 WWN524300:WWN524302 AF589836:AF589838 KB589836:KB589838 TX589836:TX589838 ADT589836:ADT589838 ANP589836:ANP589838 AXL589836:AXL589838 BHH589836:BHH589838 BRD589836:BRD589838 CAZ589836:CAZ589838 CKV589836:CKV589838 CUR589836:CUR589838 DEN589836:DEN589838 DOJ589836:DOJ589838 DYF589836:DYF589838 EIB589836:EIB589838 ERX589836:ERX589838 FBT589836:FBT589838 FLP589836:FLP589838 FVL589836:FVL589838 GFH589836:GFH589838 GPD589836:GPD589838 GYZ589836:GYZ589838 HIV589836:HIV589838 HSR589836:HSR589838 ICN589836:ICN589838 IMJ589836:IMJ589838 IWF589836:IWF589838 JGB589836:JGB589838 JPX589836:JPX589838 JZT589836:JZT589838 KJP589836:KJP589838 KTL589836:KTL589838 LDH589836:LDH589838 LND589836:LND589838 LWZ589836:LWZ589838 MGV589836:MGV589838 MQR589836:MQR589838 NAN589836:NAN589838 NKJ589836:NKJ589838 NUF589836:NUF589838 OEB589836:OEB589838 ONX589836:ONX589838 OXT589836:OXT589838 PHP589836:PHP589838 PRL589836:PRL589838 QBH589836:QBH589838 QLD589836:QLD589838 QUZ589836:QUZ589838 REV589836:REV589838 ROR589836:ROR589838 RYN589836:RYN589838 SIJ589836:SIJ589838 SSF589836:SSF589838 TCB589836:TCB589838 TLX589836:TLX589838 TVT589836:TVT589838 UFP589836:UFP589838 UPL589836:UPL589838 UZH589836:UZH589838 VJD589836:VJD589838 VSZ589836:VSZ589838 WCV589836:WCV589838 WMR589836:WMR589838 WWN589836:WWN589838 AF655372:AF655374 KB655372:KB655374 TX655372:TX655374 ADT655372:ADT655374 ANP655372:ANP655374 AXL655372:AXL655374 BHH655372:BHH655374 BRD655372:BRD655374 CAZ655372:CAZ655374 CKV655372:CKV655374 CUR655372:CUR655374 DEN655372:DEN655374 DOJ655372:DOJ655374 DYF655372:DYF655374 EIB655372:EIB655374 ERX655372:ERX655374 FBT655372:FBT655374 FLP655372:FLP655374 FVL655372:FVL655374 GFH655372:GFH655374 GPD655372:GPD655374 GYZ655372:GYZ655374 HIV655372:HIV655374 HSR655372:HSR655374 ICN655372:ICN655374 IMJ655372:IMJ655374 IWF655372:IWF655374 JGB655372:JGB655374 JPX655372:JPX655374 JZT655372:JZT655374 KJP655372:KJP655374 KTL655372:KTL655374 LDH655372:LDH655374 LND655372:LND655374 LWZ655372:LWZ655374 MGV655372:MGV655374 MQR655372:MQR655374 NAN655372:NAN655374 NKJ655372:NKJ655374 NUF655372:NUF655374 OEB655372:OEB655374 ONX655372:ONX655374 OXT655372:OXT655374 PHP655372:PHP655374 PRL655372:PRL655374 QBH655372:QBH655374 QLD655372:QLD655374 QUZ655372:QUZ655374 REV655372:REV655374 ROR655372:ROR655374 RYN655372:RYN655374 SIJ655372:SIJ655374 SSF655372:SSF655374 TCB655372:TCB655374 TLX655372:TLX655374 TVT655372:TVT655374 UFP655372:UFP655374 UPL655372:UPL655374 UZH655372:UZH655374 VJD655372:VJD655374 VSZ655372:VSZ655374 WCV655372:WCV655374 WMR655372:WMR655374 WWN655372:WWN655374 AF720908:AF720910 KB720908:KB720910 TX720908:TX720910 ADT720908:ADT720910 ANP720908:ANP720910 AXL720908:AXL720910 BHH720908:BHH720910 BRD720908:BRD720910 CAZ720908:CAZ720910 CKV720908:CKV720910 CUR720908:CUR720910 DEN720908:DEN720910 DOJ720908:DOJ720910 DYF720908:DYF720910 EIB720908:EIB720910 ERX720908:ERX720910 FBT720908:FBT720910 FLP720908:FLP720910 FVL720908:FVL720910 GFH720908:GFH720910 GPD720908:GPD720910 GYZ720908:GYZ720910 HIV720908:HIV720910 HSR720908:HSR720910 ICN720908:ICN720910 IMJ720908:IMJ720910 IWF720908:IWF720910 JGB720908:JGB720910 JPX720908:JPX720910 JZT720908:JZT720910 KJP720908:KJP720910 KTL720908:KTL720910 LDH720908:LDH720910 LND720908:LND720910 LWZ720908:LWZ720910 MGV720908:MGV720910 MQR720908:MQR720910 NAN720908:NAN720910 NKJ720908:NKJ720910 NUF720908:NUF720910 OEB720908:OEB720910 ONX720908:ONX720910 OXT720908:OXT720910 PHP720908:PHP720910 PRL720908:PRL720910 QBH720908:QBH720910 QLD720908:QLD720910 QUZ720908:QUZ720910 REV720908:REV720910 ROR720908:ROR720910 RYN720908:RYN720910 SIJ720908:SIJ720910 SSF720908:SSF720910 TCB720908:TCB720910 TLX720908:TLX720910 TVT720908:TVT720910 UFP720908:UFP720910 UPL720908:UPL720910 UZH720908:UZH720910 VJD720908:VJD720910 VSZ720908:VSZ720910 WCV720908:WCV720910 WMR720908:WMR720910 WWN720908:WWN720910 AF786444:AF786446 KB786444:KB786446 TX786444:TX786446 ADT786444:ADT786446 ANP786444:ANP786446 AXL786444:AXL786446 BHH786444:BHH786446 BRD786444:BRD786446 CAZ786444:CAZ786446 CKV786444:CKV786446 CUR786444:CUR786446 DEN786444:DEN786446 DOJ786444:DOJ786446 DYF786444:DYF786446 EIB786444:EIB786446 ERX786444:ERX786446 FBT786444:FBT786446 FLP786444:FLP786446 FVL786444:FVL786446 GFH786444:GFH786446 GPD786444:GPD786446 GYZ786444:GYZ786446 HIV786444:HIV786446 HSR786444:HSR786446 ICN786444:ICN786446 IMJ786444:IMJ786446 IWF786444:IWF786446 JGB786444:JGB786446 JPX786444:JPX786446 JZT786444:JZT786446 KJP786444:KJP786446 KTL786444:KTL786446 LDH786444:LDH786446 LND786444:LND786446 LWZ786444:LWZ786446 MGV786444:MGV786446 MQR786444:MQR786446 NAN786444:NAN786446 NKJ786444:NKJ786446 NUF786444:NUF786446 OEB786444:OEB786446 ONX786444:ONX786446 OXT786444:OXT786446 PHP786444:PHP786446 PRL786444:PRL786446 QBH786444:QBH786446 QLD786444:QLD786446 QUZ786444:QUZ786446 REV786444:REV786446 ROR786444:ROR786446 RYN786444:RYN786446 SIJ786444:SIJ786446 SSF786444:SSF786446 TCB786444:TCB786446 TLX786444:TLX786446 TVT786444:TVT786446 UFP786444:UFP786446 UPL786444:UPL786446 UZH786444:UZH786446 VJD786444:VJD786446 VSZ786444:VSZ786446 WCV786444:WCV786446 WMR786444:WMR786446 WWN786444:WWN786446 AF851980:AF851982 KB851980:KB851982 TX851980:TX851982 ADT851980:ADT851982 ANP851980:ANP851982 AXL851980:AXL851982 BHH851980:BHH851982 BRD851980:BRD851982 CAZ851980:CAZ851982 CKV851980:CKV851982 CUR851980:CUR851982 DEN851980:DEN851982 DOJ851980:DOJ851982 DYF851980:DYF851982 EIB851980:EIB851982 ERX851980:ERX851982 FBT851980:FBT851982 FLP851980:FLP851982 FVL851980:FVL851982 GFH851980:GFH851982 GPD851980:GPD851982 GYZ851980:GYZ851982 HIV851980:HIV851982 HSR851980:HSR851982 ICN851980:ICN851982 IMJ851980:IMJ851982 IWF851980:IWF851982 JGB851980:JGB851982 JPX851980:JPX851982 JZT851980:JZT851982 KJP851980:KJP851982 KTL851980:KTL851982 LDH851980:LDH851982 LND851980:LND851982 LWZ851980:LWZ851982 MGV851980:MGV851982 MQR851980:MQR851982 NAN851980:NAN851982 NKJ851980:NKJ851982 NUF851980:NUF851982 OEB851980:OEB851982 ONX851980:ONX851982 OXT851980:OXT851982 PHP851980:PHP851982 PRL851980:PRL851982 QBH851980:QBH851982 QLD851980:QLD851982 QUZ851980:QUZ851982 REV851980:REV851982 ROR851980:ROR851982 RYN851980:RYN851982 SIJ851980:SIJ851982 SSF851980:SSF851982 TCB851980:TCB851982 TLX851980:TLX851982 TVT851980:TVT851982 UFP851980:UFP851982 UPL851980:UPL851982 UZH851980:UZH851982 VJD851980:VJD851982 VSZ851980:VSZ851982 WCV851980:WCV851982 WMR851980:WMR851982 WWN851980:WWN851982 AF917516:AF917518 KB917516:KB917518 TX917516:TX917518 ADT917516:ADT917518 ANP917516:ANP917518 AXL917516:AXL917518 BHH917516:BHH917518 BRD917516:BRD917518 CAZ917516:CAZ917518 CKV917516:CKV917518 CUR917516:CUR917518 DEN917516:DEN917518 DOJ917516:DOJ917518 DYF917516:DYF917518 EIB917516:EIB917518 ERX917516:ERX917518 FBT917516:FBT917518 FLP917516:FLP917518 FVL917516:FVL917518 GFH917516:GFH917518 GPD917516:GPD917518 GYZ917516:GYZ917518 HIV917516:HIV917518 HSR917516:HSR917518 ICN917516:ICN917518 IMJ917516:IMJ917518 IWF917516:IWF917518 JGB917516:JGB917518 JPX917516:JPX917518 JZT917516:JZT917518 KJP917516:KJP917518 KTL917516:KTL917518 LDH917516:LDH917518 LND917516:LND917518 LWZ917516:LWZ917518 MGV917516:MGV917518 MQR917516:MQR917518 NAN917516:NAN917518 NKJ917516:NKJ917518 NUF917516:NUF917518 OEB917516:OEB917518 ONX917516:ONX917518 OXT917516:OXT917518 PHP917516:PHP917518 PRL917516:PRL917518 QBH917516:QBH917518 QLD917516:QLD917518 QUZ917516:QUZ917518 REV917516:REV917518 ROR917516:ROR917518 RYN917516:RYN917518 SIJ917516:SIJ917518 SSF917516:SSF917518 TCB917516:TCB917518 TLX917516:TLX917518 TVT917516:TVT917518 UFP917516:UFP917518 UPL917516:UPL917518 UZH917516:UZH917518 VJD917516:VJD917518 VSZ917516:VSZ917518 WCV917516:WCV917518 WMR917516:WMR917518 WWN917516:WWN917518 AF983052:AF983054 KB983052:KB983054 TX983052:TX983054 ADT983052:ADT983054 ANP983052:ANP983054 AXL983052:AXL983054 BHH983052:BHH983054 BRD983052:BRD983054 CAZ983052:CAZ983054 CKV983052:CKV983054 CUR983052:CUR983054 DEN983052:DEN983054 DOJ983052:DOJ983054 DYF983052:DYF983054 EIB983052:EIB983054 ERX983052:ERX983054 FBT983052:FBT983054 FLP983052:FLP983054 FVL983052:FVL983054 GFH983052:GFH983054 GPD983052:GPD983054 GYZ983052:GYZ983054 HIV983052:HIV983054 HSR983052:HSR983054 ICN983052:ICN983054 IMJ983052:IMJ983054 IWF983052:IWF983054 JGB983052:JGB983054 JPX983052:JPX983054 JZT983052:JZT983054 KJP983052:KJP983054 KTL983052:KTL983054 LDH983052:LDH983054 LND983052:LND983054 LWZ983052:LWZ983054 MGV983052:MGV983054 MQR983052:MQR983054 NAN983052:NAN983054 NKJ983052:NKJ983054 NUF983052:NUF983054 OEB983052:OEB983054 ONX983052:ONX983054 OXT983052:OXT983054 PHP983052:PHP983054 PRL983052:PRL983054 QBH983052:QBH983054 QLD983052:QLD983054 QUZ983052:QUZ983054 REV983052:REV983054 ROR983052:ROR983054 RYN983052:RYN983054 SIJ983052:SIJ983054 SSF983052:SSF983054 TCB983052:TCB983054 TLX983052:TLX983054 TVT983052:TVT983054 UFP983052:UFP983054 UPL983052:UPL983054 UZH983052:UZH983054 VJD983052:VJD983054 VSZ983052:VSZ983054 WCV983052:WCV983054 WMR983052:WMR983054 KB8:KB14">
      <formula1>$AJ$1:$AJ$4</formula1>
    </dataValidation>
    <dataValidation type="list" allowBlank="1" showInputMessage="1" showErrorMessage="1" sqref="KA8 TW11:TW12 ADS11:ADS12 ANO11:ANO12 AXK11:AXK12 BHG11:BHG12 BRC11:BRC12 CAY11:CAY12 CKU11:CKU12 CUQ11:CUQ12 DEM11:DEM12 DOI11:DOI12 DYE11:DYE12 EIA11:EIA12 ERW11:ERW12 FBS11:FBS12 FLO11:FLO12 FVK11:FVK12 GFG11:GFG12 GPC11:GPC12 GYY11:GYY12 HIU11:HIU12 HSQ11:HSQ12 ICM11:ICM12 IMI11:IMI12 IWE11:IWE12 JGA11:JGA12 JPW11:JPW12 JZS11:JZS12 KJO11:KJO12 KTK11:KTK12 LDG11:LDG12 LNC11:LNC12 LWY11:LWY12 MGU11:MGU12 MQQ11:MQQ12 NAM11:NAM12 NKI11:NKI12 NUE11:NUE12 OEA11:OEA12 ONW11:ONW12 OXS11:OXS12 PHO11:PHO12 PRK11:PRK12 QBG11:QBG12 QLC11:QLC12 QUY11:QUY12 REU11:REU12 ROQ11:ROQ12 RYM11:RYM12 SII11:SII12 SSE11:SSE12 TCA11:TCA12 TLW11:TLW12 TVS11:TVS12 UFO11:UFO12 UPK11:UPK12 UZG11:UZG12 VJC11:VJC12 VSY11:VSY12 WCU11:WCU12 WMQ11:WMQ12 WWM11:WWM12 KA11:KA12 AE8:AE14 TW8 ADS8 ANO8 AXK8 BHG8 BRC8 CAY8 CKU8 CUQ8 DEM8 DOI8 DYE8 EIA8 ERW8 FBS8 FLO8 FVK8 GFG8 GPC8 GYY8 HIU8 HSQ8 ICM8 IMI8 IWE8 JGA8 JPW8 JZS8 KJO8 KTK8 LDG8 LNC8 LWY8 MGU8 MQQ8 NAM8 NKI8 NUE8 OEA8 ONW8 OXS8 PHO8 PRK8 QBG8 QLC8 QUY8 REU8 ROQ8 RYM8 SII8 SSE8 TCA8 TLW8 TVS8 UFO8 UPK8 UZG8 VJC8 VSY8 WCU8 WMQ8 WWM8 AE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AE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AE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AE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AE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AE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AE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AE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AE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AE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AE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AE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AE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AE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AE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formula1>$B$24:$B$26</formula1>
    </dataValidation>
    <dataValidation type="list" allowBlank="1" showInputMessage="1" showErrorMessage="1" sqref="WVP8:WVP14 H8:H14 JD8:JD14 SZ8:SZ14 ACV8:ACV14 AMR8:AMR14 AWN8:AWN14 BGJ8:BGJ14 BQF8:BQF14 CAB8:CAB14 CJX8:CJX14 CTT8:CTT14 DDP8:DDP14 DNL8:DNL14 DXH8:DXH14 EHD8:EHD14 EQZ8:EQZ14 FAV8:FAV14 FKR8:FKR14 FUN8:FUN14 GEJ8:GEJ14 GOF8:GOF14 GYB8:GYB14 HHX8:HHX14 HRT8:HRT14 IBP8:IBP14 ILL8:ILL14 IVH8:IVH14 JFD8:JFD14 JOZ8:JOZ14 JYV8:JYV14 KIR8:KIR14 KSN8:KSN14 LCJ8:LCJ14 LMF8:LMF14 LWB8:LWB14 MFX8:MFX14 MPT8:MPT14 MZP8:MZP14 NJL8:NJL14 NTH8:NTH14 ODD8:ODD14 OMZ8:OMZ14 OWV8:OWV14 PGR8:PGR14 PQN8:PQN14 QAJ8:QAJ14 QKF8:QKF14 QUB8:QUB14 RDX8:RDX14 RNT8:RNT14 RXP8:RXP14 SHL8:SHL14 SRH8:SRH14 TBD8:TBD14 TKZ8:TKZ14 TUV8:TUV14 UER8:UER14 UON8:UON14 UYJ8:UYJ14 VIF8:VIF14 VSB8:VSB14 WBX8:WBX14 WLT8:WLT14 H65548:H65550 JD65548:JD65550 SZ65548:SZ65550 ACV65548:ACV65550 AMR65548:AMR65550 AWN65548:AWN65550 BGJ65548:BGJ65550 BQF65548:BQF65550 CAB65548:CAB65550 CJX65548:CJX65550 CTT65548:CTT65550 DDP65548:DDP65550 DNL65548:DNL65550 DXH65548:DXH65550 EHD65548:EHD65550 EQZ65548:EQZ65550 FAV65548:FAV65550 FKR65548:FKR65550 FUN65548:FUN65550 GEJ65548:GEJ65550 GOF65548:GOF65550 GYB65548:GYB65550 HHX65548:HHX65550 HRT65548:HRT65550 IBP65548:IBP65550 ILL65548:ILL65550 IVH65548:IVH65550 JFD65548:JFD65550 JOZ65548:JOZ65550 JYV65548:JYV65550 KIR65548:KIR65550 KSN65548:KSN65550 LCJ65548:LCJ65550 LMF65548:LMF65550 LWB65548:LWB65550 MFX65548:MFX65550 MPT65548:MPT65550 MZP65548:MZP65550 NJL65548:NJL65550 NTH65548:NTH65550 ODD65548:ODD65550 OMZ65548:OMZ65550 OWV65548:OWV65550 PGR65548:PGR65550 PQN65548:PQN65550 QAJ65548:QAJ65550 QKF65548:QKF65550 QUB65548:QUB65550 RDX65548:RDX65550 RNT65548:RNT65550 RXP65548:RXP65550 SHL65548:SHL65550 SRH65548:SRH65550 TBD65548:TBD65550 TKZ65548:TKZ65550 TUV65548:TUV65550 UER65548:UER65550 UON65548:UON65550 UYJ65548:UYJ65550 VIF65548:VIF65550 VSB65548:VSB65550 WBX65548:WBX65550 WLT65548:WLT65550 WVP65548:WVP65550 H131084:H131086 JD131084:JD131086 SZ131084:SZ131086 ACV131084:ACV131086 AMR131084:AMR131086 AWN131084:AWN131086 BGJ131084:BGJ131086 BQF131084:BQF131086 CAB131084:CAB131086 CJX131084:CJX131086 CTT131084:CTT131086 DDP131084:DDP131086 DNL131084:DNL131086 DXH131084:DXH131086 EHD131084:EHD131086 EQZ131084:EQZ131086 FAV131084:FAV131086 FKR131084:FKR131086 FUN131084:FUN131086 GEJ131084:GEJ131086 GOF131084:GOF131086 GYB131084:GYB131086 HHX131084:HHX131086 HRT131084:HRT131086 IBP131084:IBP131086 ILL131084:ILL131086 IVH131084:IVH131086 JFD131084:JFD131086 JOZ131084:JOZ131086 JYV131084:JYV131086 KIR131084:KIR131086 KSN131084:KSN131086 LCJ131084:LCJ131086 LMF131084:LMF131086 LWB131084:LWB131086 MFX131084:MFX131086 MPT131084:MPT131086 MZP131084:MZP131086 NJL131084:NJL131086 NTH131084:NTH131086 ODD131084:ODD131086 OMZ131084:OMZ131086 OWV131084:OWV131086 PGR131084:PGR131086 PQN131084:PQN131086 QAJ131084:QAJ131086 QKF131084:QKF131086 QUB131084:QUB131086 RDX131084:RDX131086 RNT131084:RNT131086 RXP131084:RXP131086 SHL131084:SHL131086 SRH131084:SRH131086 TBD131084:TBD131086 TKZ131084:TKZ131086 TUV131084:TUV131086 UER131084:UER131086 UON131084:UON131086 UYJ131084:UYJ131086 VIF131084:VIF131086 VSB131084:VSB131086 WBX131084:WBX131086 WLT131084:WLT131086 WVP131084:WVP131086 H196620:H196622 JD196620:JD196622 SZ196620:SZ196622 ACV196620:ACV196622 AMR196620:AMR196622 AWN196620:AWN196622 BGJ196620:BGJ196622 BQF196620:BQF196622 CAB196620:CAB196622 CJX196620:CJX196622 CTT196620:CTT196622 DDP196620:DDP196622 DNL196620:DNL196622 DXH196620:DXH196622 EHD196620:EHD196622 EQZ196620:EQZ196622 FAV196620:FAV196622 FKR196620:FKR196622 FUN196620:FUN196622 GEJ196620:GEJ196622 GOF196620:GOF196622 GYB196620:GYB196622 HHX196620:HHX196622 HRT196620:HRT196622 IBP196620:IBP196622 ILL196620:ILL196622 IVH196620:IVH196622 JFD196620:JFD196622 JOZ196620:JOZ196622 JYV196620:JYV196622 KIR196620:KIR196622 KSN196620:KSN196622 LCJ196620:LCJ196622 LMF196620:LMF196622 LWB196620:LWB196622 MFX196620:MFX196622 MPT196620:MPT196622 MZP196620:MZP196622 NJL196620:NJL196622 NTH196620:NTH196622 ODD196620:ODD196622 OMZ196620:OMZ196622 OWV196620:OWV196622 PGR196620:PGR196622 PQN196620:PQN196622 QAJ196620:QAJ196622 QKF196620:QKF196622 QUB196620:QUB196622 RDX196620:RDX196622 RNT196620:RNT196622 RXP196620:RXP196622 SHL196620:SHL196622 SRH196620:SRH196622 TBD196620:TBD196622 TKZ196620:TKZ196622 TUV196620:TUV196622 UER196620:UER196622 UON196620:UON196622 UYJ196620:UYJ196622 VIF196620:VIF196622 VSB196620:VSB196622 WBX196620:WBX196622 WLT196620:WLT196622 WVP196620:WVP196622 H262156:H262158 JD262156:JD262158 SZ262156:SZ262158 ACV262156:ACV262158 AMR262156:AMR262158 AWN262156:AWN262158 BGJ262156:BGJ262158 BQF262156:BQF262158 CAB262156:CAB262158 CJX262156:CJX262158 CTT262156:CTT262158 DDP262156:DDP262158 DNL262156:DNL262158 DXH262156:DXH262158 EHD262156:EHD262158 EQZ262156:EQZ262158 FAV262156:FAV262158 FKR262156:FKR262158 FUN262156:FUN262158 GEJ262156:GEJ262158 GOF262156:GOF262158 GYB262156:GYB262158 HHX262156:HHX262158 HRT262156:HRT262158 IBP262156:IBP262158 ILL262156:ILL262158 IVH262156:IVH262158 JFD262156:JFD262158 JOZ262156:JOZ262158 JYV262156:JYV262158 KIR262156:KIR262158 KSN262156:KSN262158 LCJ262156:LCJ262158 LMF262156:LMF262158 LWB262156:LWB262158 MFX262156:MFX262158 MPT262156:MPT262158 MZP262156:MZP262158 NJL262156:NJL262158 NTH262156:NTH262158 ODD262156:ODD262158 OMZ262156:OMZ262158 OWV262156:OWV262158 PGR262156:PGR262158 PQN262156:PQN262158 QAJ262156:QAJ262158 QKF262156:QKF262158 QUB262156:QUB262158 RDX262156:RDX262158 RNT262156:RNT262158 RXP262156:RXP262158 SHL262156:SHL262158 SRH262156:SRH262158 TBD262156:TBD262158 TKZ262156:TKZ262158 TUV262156:TUV262158 UER262156:UER262158 UON262156:UON262158 UYJ262156:UYJ262158 VIF262156:VIF262158 VSB262156:VSB262158 WBX262156:WBX262158 WLT262156:WLT262158 WVP262156:WVP262158 H327692:H327694 JD327692:JD327694 SZ327692:SZ327694 ACV327692:ACV327694 AMR327692:AMR327694 AWN327692:AWN327694 BGJ327692:BGJ327694 BQF327692:BQF327694 CAB327692:CAB327694 CJX327692:CJX327694 CTT327692:CTT327694 DDP327692:DDP327694 DNL327692:DNL327694 DXH327692:DXH327694 EHD327692:EHD327694 EQZ327692:EQZ327694 FAV327692:FAV327694 FKR327692:FKR327694 FUN327692:FUN327694 GEJ327692:GEJ327694 GOF327692:GOF327694 GYB327692:GYB327694 HHX327692:HHX327694 HRT327692:HRT327694 IBP327692:IBP327694 ILL327692:ILL327694 IVH327692:IVH327694 JFD327692:JFD327694 JOZ327692:JOZ327694 JYV327692:JYV327694 KIR327692:KIR327694 KSN327692:KSN327694 LCJ327692:LCJ327694 LMF327692:LMF327694 LWB327692:LWB327694 MFX327692:MFX327694 MPT327692:MPT327694 MZP327692:MZP327694 NJL327692:NJL327694 NTH327692:NTH327694 ODD327692:ODD327694 OMZ327692:OMZ327694 OWV327692:OWV327694 PGR327692:PGR327694 PQN327692:PQN327694 QAJ327692:QAJ327694 QKF327692:QKF327694 QUB327692:QUB327694 RDX327692:RDX327694 RNT327692:RNT327694 RXP327692:RXP327694 SHL327692:SHL327694 SRH327692:SRH327694 TBD327692:TBD327694 TKZ327692:TKZ327694 TUV327692:TUV327694 UER327692:UER327694 UON327692:UON327694 UYJ327692:UYJ327694 VIF327692:VIF327694 VSB327692:VSB327694 WBX327692:WBX327694 WLT327692:WLT327694 WVP327692:WVP327694 H393228:H393230 JD393228:JD393230 SZ393228:SZ393230 ACV393228:ACV393230 AMR393228:AMR393230 AWN393228:AWN393230 BGJ393228:BGJ393230 BQF393228:BQF393230 CAB393228:CAB393230 CJX393228:CJX393230 CTT393228:CTT393230 DDP393228:DDP393230 DNL393228:DNL393230 DXH393228:DXH393230 EHD393228:EHD393230 EQZ393228:EQZ393230 FAV393228:FAV393230 FKR393228:FKR393230 FUN393228:FUN393230 GEJ393228:GEJ393230 GOF393228:GOF393230 GYB393228:GYB393230 HHX393228:HHX393230 HRT393228:HRT393230 IBP393228:IBP393230 ILL393228:ILL393230 IVH393228:IVH393230 JFD393228:JFD393230 JOZ393228:JOZ393230 JYV393228:JYV393230 KIR393228:KIR393230 KSN393228:KSN393230 LCJ393228:LCJ393230 LMF393228:LMF393230 LWB393228:LWB393230 MFX393228:MFX393230 MPT393228:MPT393230 MZP393228:MZP393230 NJL393228:NJL393230 NTH393228:NTH393230 ODD393228:ODD393230 OMZ393228:OMZ393230 OWV393228:OWV393230 PGR393228:PGR393230 PQN393228:PQN393230 QAJ393228:QAJ393230 QKF393228:QKF393230 QUB393228:QUB393230 RDX393228:RDX393230 RNT393228:RNT393230 RXP393228:RXP393230 SHL393228:SHL393230 SRH393228:SRH393230 TBD393228:TBD393230 TKZ393228:TKZ393230 TUV393228:TUV393230 UER393228:UER393230 UON393228:UON393230 UYJ393228:UYJ393230 VIF393228:VIF393230 VSB393228:VSB393230 WBX393228:WBX393230 WLT393228:WLT393230 WVP393228:WVP393230 H458764:H458766 JD458764:JD458766 SZ458764:SZ458766 ACV458764:ACV458766 AMR458764:AMR458766 AWN458764:AWN458766 BGJ458764:BGJ458766 BQF458764:BQF458766 CAB458764:CAB458766 CJX458764:CJX458766 CTT458764:CTT458766 DDP458764:DDP458766 DNL458764:DNL458766 DXH458764:DXH458766 EHD458764:EHD458766 EQZ458764:EQZ458766 FAV458764:FAV458766 FKR458764:FKR458766 FUN458764:FUN458766 GEJ458764:GEJ458766 GOF458764:GOF458766 GYB458764:GYB458766 HHX458764:HHX458766 HRT458764:HRT458766 IBP458764:IBP458766 ILL458764:ILL458766 IVH458764:IVH458766 JFD458764:JFD458766 JOZ458764:JOZ458766 JYV458764:JYV458766 KIR458764:KIR458766 KSN458764:KSN458766 LCJ458764:LCJ458766 LMF458764:LMF458766 LWB458764:LWB458766 MFX458764:MFX458766 MPT458764:MPT458766 MZP458764:MZP458766 NJL458764:NJL458766 NTH458764:NTH458766 ODD458764:ODD458766 OMZ458764:OMZ458766 OWV458764:OWV458766 PGR458764:PGR458766 PQN458764:PQN458766 QAJ458764:QAJ458766 QKF458764:QKF458766 QUB458764:QUB458766 RDX458764:RDX458766 RNT458764:RNT458766 RXP458764:RXP458766 SHL458764:SHL458766 SRH458764:SRH458766 TBD458764:TBD458766 TKZ458764:TKZ458766 TUV458764:TUV458766 UER458764:UER458766 UON458764:UON458766 UYJ458764:UYJ458766 VIF458764:VIF458766 VSB458764:VSB458766 WBX458764:WBX458766 WLT458764:WLT458766 WVP458764:WVP458766 H524300:H524302 JD524300:JD524302 SZ524300:SZ524302 ACV524300:ACV524302 AMR524300:AMR524302 AWN524300:AWN524302 BGJ524300:BGJ524302 BQF524300:BQF524302 CAB524300:CAB524302 CJX524300:CJX524302 CTT524300:CTT524302 DDP524300:DDP524302 DNL524300:DNL524302 DXH524300:DXH524302 EHD524300:EHD524302 EQZ524300:EQZ524302 FAV524300:FAV524302 FKR524300:FKR524302 FUN524300:FUN524302 GEJ524300:GEJ524302 GOF524300:GOF524302 GYB524300:GYB524302 HHX524300:HHX524302 HRT524300:HRT524302 IBP524300:IBP524302 ILL524300:ILL524302 IVH524300:IVH524302 JFD524300:JFD524302 JOZ524300:JOZ524302 JYV524300:JYV524302 KIR524300:KIR524302 KSN524300:KSN524302 LCJ524300:LCJ524302 LMF524300:LMF524302 LWB524300:LWB524302 MFX524300:MFX524302 MPT524300:MPT524302 MZP524300:MZP524302 NJL524300:NJL524302 NTH524300:NTH524302 ODD524300:ODD524302 OMZ524300:OMZ524302 OWV524300:OWV524302 PGR524300:PGR524302 PQN524300:PQN524302 QAJ524300:QAJ524302 QKF524300:QKF524302 QUB524300:QUB524302 RDX524300:RDX524302 RNT524300:RNT524302 RXP524300:RXP524302 SHL524300:SHL524302 SRH524300:SRH524302 TBD524300:TBD524302 TKZ524300:TKZ524302 TUV524300:TUV524302 UER524300:UER524302 UON524300:UON524302 UYJ524300:UYJ524302 VIF524300:VIF524302 VSB524300:VSB524302 WBX524300:WBX524302 WLT524300:WLT524302 WVP524300:WVP524302 H589836:H589838 JD589836:JD589838 SZ589836:SZ589838 ACV589836:ACV589838 AMR589836:AMR589838 AWN589836:AWN589838 BGJ589836:BGJ589838 BQF589836:BQF589838 CAB589836:CAB589838 CJX589836:CJX589838 CTT589836:CTT589838 DDP589836:DDP589838 DNL589836:DNL589838 DXH589836:DXH589838 EHD589836:EHD589838 EQZ589836:EQZ589838 FAV589836:FAV589838 FKR589836:FKR589838 FUN589836:FUN589838 GEJ589836:GEJ589838 GOF589836:GOF589838 GYB589836:GYB589838 HHX589836:HHX589838 HRT589836:HRT589838 IBP589836:IBP589838 ILL589836:ILL589838 IVH589836:IVH589838 JFD589836:JFD589838 JOZ589836:JOZ589838 JYV589836:JYV589838 KIR589836:KIR589838 KSN589836:KSN589838 LCJ589836:LCJ589838 LMF589836:LMF589838 LWB589836:LWB589838 MFX589836:MFX589838 MPT589836:MPT589838 MZP589836:MZP589838 NJL589836:NJL589838 NTH589836:NTH589838 ODD589836:ODD589838 OMZ589836:OMZ589838 OWV589836:OWV589838 PGR589836:PGR589838 PQN589836:PQN589838 QAJ589836:QAJ589838 QKF589836:QKF589838 QUB589836:QUB589838 RDX589836:RDX589838 RNT589836:RNT589838 RXP589836:RXP589838 SHL589836:SHL589838 SRH589836:SRH589838 TBD589836:TBD589838 TKZ589836:TKZ589838 TUV589836:TUV589838 UER589836:UER589838 UON589836:UON589838 UYJ589836:UYJ589838 VIF589836:VIF589838 VSB589836:VSB589838 WBX589836:WBX589838 WLT589836:WLT589838 WVP589836:WVP589838 H655372:H655374 JD655372:JD655374 SZ655372:SZ655374 ACV655372:ACV655374 AMR655372:AMR655374 AWN655372:AWN655374 BGJ655372:BGJ655374 BQF655372:BQF655374 CAB655372:CAB655374 CJX655372:CJX655374 CTT655372:CTT655374 DDP655372:DDP655374 DNL655372:DNL655374 DXH655372:DXH655374 EHD655372:EHD655374 EQZ655372:EQZ655374 FAV655372:FAV655374 FKR655372:FKR655374 FUN655372:FUN655374 GEJ655372:GEJ655374 GOF655372:GOF655374 GYB655372:GYB655374 HHX655372:HHX655374 HRT655372:HRT655374 IBP655372:IBP655374 ILL655372:ILL655374 IVH655372:IVH655374 JFD655372:JFD655374 JOZ655372:JOZ655374 JYV655372:JYV655374 KIR655372:KIR655374 KSN655372:KSN655374 LCJ655372:LCJ655374 LMF655372:LMF655374 LWB655372:LWB655374 MFX655372:MFX655374 MPT655372:MPT655374 MZP655372:MZP655374 NJL655372:NJL655374 NTH655372:NTH655374 ODD655372:ODD655374 OMZ655372:OMZ655374 OWV655372:OWV655374 PGR655372:PGR655374 PQN655372:PQN655374 QAJ655372:QAJ655374 QKF655372:QKF655374 QUB655372:QUB655374 RDX655372:RDX655374 RNT655372:RNT655374 RXP655372:RXP655374 SHL655372:SHL655374 SRH655372:SRH655374 TBD655372:TBD655374 TKZ655372:TKZ655374 TUV655372:TUV655374 UER655372:UER655374 UON655372:UON655374 UYJ655372:UYJ655374 VIF655372:VIF655374 VSB655372:VSB655374 WBX655372:WBX655374 WLT655372:WLT655374 WVP655372:WVP655374 H720908:H720910 JD720908:JD720910 SZ720908:SZ720910 ACV720908:ACV720910 AMR720908:AMR720910 AWN720908:AWN720910 BGJ720908:BGJ720910 BQF720908:BQF720910 CAB720908:CAB720910 CJX720908:CJX720910 CTT720908:CTT720910 DDP720908:DDP720910 DNL720908:DNL720910 DXH720908:DXH720910 EHD720908:EHD720910 EQZ720908:EQZ720910 FAV720908:FAV720910 FKR720908:FKR720910 FUN720908:FUN720910 GEJ720908:GEJ720910 GOF720908:GOF720910 GYB720908:GYB720910 HHX720908:HHX720910 HRT720908:HRT720910 IBP720908:IBP720910 ILL720908:ILL720910 IVH720908:IVH720910 JFD720908:JFD720910 JOZ720908:JOZ720910 JYV720908:JYV720910 KIR720908:KIR720910 KSN720908:KSN720910 LCJ720908:LCJ720910 LMF720908:LMF720910 LWB720908:LWB720910 MFX720908:MFX720910 MPT720908:MPT720910 MZP720908:MZP720910 NJL720908:NJL720910 NTH720908:NTH720910 ODD720908:ODD720910 OMZ720908:OMZ720910 OWV720908:OWV720910 PGR720908:PGR720910 PQN720908:PQN720910 QAJ720908:QAJ720910 QKF720908:QKF720910 QUB720908:QUB720910 RDX720908:RDX720910 RNT720908:RNT720910 RXP720908:RXP720910 SHL720908:SHL720910 SRH720908:SRH720910 TBD720908:TBD720910 TKZ720908:TKZ720910 TUV720908:TUV720910 UER720908:UER720910 UON720908:UON720910 UYJ720908:UYJ720910 VIF720908:VIF720910 VSB720908:VSB720910 WBX720908:WBX720910 WLT720908:WLT720910 WVP720908:WVP720910 H786444:H786446 JD786444:JD786446 SZ786444:SZ786446 ACV786444:ACV786446 AMR786444:AMR786446 AWN786444:AWN786446 BGJ786444:BGJ786446 BQF786444:BQF786446 CAB786444:CAB786446 CJX786444:CJX786446 CTT786444:CTT786446 DDP786444:DDP786446 DNL786444:DNL786446 DXH786444:DXH786446 EHD786444:EHD786446 EQZ786444:EQZ786446 FAV786444:FAV786446 FKR786444:FKR786446 FUN786444:FUN786446 GEJ786444:GEJ786446 GOF786444:GOF786446 GYB786444:GYB786446 HHX786444:HHX786446 HRT786444:HRT786446 IBP786444:IBP786446 ILL786444:ILL786446 IVH786444:IVH786446 JFD786444:JFD786446 JOZ786444:JOZ786446 JYV786444:JYV786446 KIR786444:KIR786446 KSN786444:KSN786446 LCJ786444:LCJ786446 LMF786444:LMF786446 LWB786444:LWB786446 MFX786444:MFX786446 MPT786444:MPT786446 MZP786444:MZP786446 NJL786444:NJL786446 NTH786444:NTH786446 ODD786444:ODD786446 OMZ786444:OMZ786446 OWV786444:OWV786446 PGR786444:PGR786446 PQN786444:PQN786446 QAJ786444:QAJ786446 QKF786444:QKF786446 QUB786444:QUB786446 RDX786444:RDX786446 RNT786444:RNT786446 RXP786444:RXP786446 SHL786444:SHL786446 SRH786444:SRH786446 TBD786444:TBD786446 TKZ786444:TKZ786446 TUV786444:TUV786446 UER786444:UER786446 UON786444:UON786446 UYJ786444:UYJ786446 VIF786444:VIF786446 VSB786444:VSB786446 WBX786444:WBX786446 WLT786444:WLT786446 WVP786444:WVP786446 H851980:H851982 JD851980:JD851982 SZ851980:SZ851982 ACV851980:ACV851982 AMR851980:AMR851982 AWN851980:AWN851982 BGJ851980:BGJ851982 BQF851980:BQF851982 CAB851980:CAB851982 CJX851980:CJX851982 CTT851980:CTT851982 DDP851980:DDP851982 DNL851980:DNL851982 DXH851980:DXH851982 EHD851980:EHD851982 EQZ851980:EQZ851982 FAV851980:FAV851982 FKR851980:FKR851982 FUN851980:FUN851982 GEJ851980:GEJ851982 GOF851980:GOF851982 GYB851980:GYB851982 HHX851980:HHX851982 HRT851980:HRT851982 IBP851980:IBP851982 ILL851980:ILL851982 IVH851980:IVH851982 JFD851980:JFD851982 JOZ851980:JOZ851982 JYV851980:JYV851982 KIR851980:KIR851982 KSN851980:KSN851982 LCJ851980:LCJ851982 LMF851980:LMF851982 LWB851980:LWB851982 MFX851980:MFX851982 MPT851980:MPT851982 MZP851980:MZP851982 NJL851980:NJL851982 NTH851980:NTH851982 ODD851980:ODD851982 OMZ851980:OMZ851982 OWV851980:OWV851982 PGR851980:PGR851982 PQN851980:PQN851982 QAJ851980:QAJ851982 QKF851980:QKF851982 QUB851980:QUB851982 RDX851980:RDX851982 RNT851980:RNT851982 RXP851980:RXP851982 SHL851980:SHL851982 SRH851980:SRH851982 TBD851980:TBD851982 TKZ851980:TKZ851982 TUV851980:TUV851982 UER851980:UER851982 UON851980:UON851982 UYJ851980:UYJ851982 VIF851980:VIF851982 VSB851980:VSB851982 WBX851980:WBX851982 WLT851980:WLT851982 WVP851980:WVP851982 H917516:H917518 JD917516:JD917518 SZ917516:SZ917518 ACV917516:ACV917518 AMR917516:AMR917518 AWN917516:AWN917518 BGJ917516:BGJ917518 BQF917516:BQF917518 CAB917516:CAB917518 CJX917516:CJX917518 CTT917516:CTT917518 DDP917516:DDP917518 DNL917516:DNL917518 DXH917516:DXH917518 EHD917516:EHD917518 EQZ917516:EQZ917518 FAV917516:FAV917518 FKR917516:FKR917518 FUN917516:FUN917518 GEJ917516:GEJ917518 GOF917516:GOF917518 GYB917516:GYB917518 HHX917516:HHX917518 HRT917516:HRT917518 IBP917516:IBP917518 ILL917516:ILL917518 IVH917516:IVH917518 JFD917516:JFD917518 JOZ917516:JOZ917518 JYV917516:JYV917518 KIR917516:KIR917518 KSN917516:KSN917518 LCJ917516:LCJ917518 LMF917516:LMF917518 LWB917516:LWB917518 MFX917516:MFX917518 MPT917516:MPT917518 MZP917516:MZP917518 NJL917516:NJL917518 NTH917516:NTH917518 ODD917516:ODD917518 OMZ917516:OMZ917518 OWV917516:OWV917518 PGR917516:PGR917518 PQN917516:PQN917518 QAJ917516:QAJ917518 QKF917516:QKF917518 QUB917516:QUB917518 RDX917516:RDX917518 RNT917516:RNT917518 RXP917516:RXP917518 SHL917516:SHL917518 SRH917516:SRH917518 TBD917516:TBD917518 TKZ917516:TKZ917518 TUV917516:TUV917518 UER917516:UER917518 UON917516:UON917518 UYJ917516:UYJ917518 VIF917516:VIF917518 VSB917516:VSB917518 WBX917516:WBX917518 WLT917516:WLT917518 WVP917516:WVP917518 H983052:H983054 JD983052:JD983054 SZ983052:SZ983054 ACV983052:ACV983054 AMR983052:AMR983054 AWN983052:AWN983054 BGJ983052:BGJ983054 BQF983052:BQF983054 CAB983052:CAB983054 CJX983052:CJX983054 CTT983052:CTT983054 DDP983052:DDP983054 DNL983052:DNL983054 DXH983052:DXH983054 EHD983052:EHD983054 EQZ983052:EQZ983054 FAV983052:FAV983054 FKR983052:FKR983054 FUN983052:FUN983054 GEJ983052:GEJ983054 GOF983052:GOF983054 GYB983052:GYB983054 HHX983052:HHX983054 HRT983052:HRT983054 IBP983052:IBP983054 ILL983052:ILL983054 IVH983052:IVH983054 JFD983052:JFD983054 JOZ983052:JOZ983054 JYV983052:JYV983054 KIR983052:KIR983054 KSN983052:KSN983054 LCJ983052:LCJ983054 LMF983052:LMF983054 LWB983052:LWB983054 MFX983052:MFX983054 MPT983052:MPT983054 MZP983052:MZP983054 NJL983052:NJL983054 NTH983052:NTH983054 ODD983052:ODD983054 OMZ983052:OMZ983054 OWV983052:OWV983054 PGR983052:PGR983054 PQN983052:PQN983054 QAJ983052:QAJ983054 QKF983052:QKF983054 QUB983052:QUB983054 RDX983052:RDX983054 RNT983052:RNT983054 RXP983052:RXP983054 SHL983052:SHL983054 SRH983052:SRH983054 TBD983052:TBD983054 TKZ983052:TKZ983054 TUV983052:TUV983054 UER983052:UER983054 UON983052:UON983054 UYJ983052:UYJ983054 VIF983052:VIF983054 VSB983052:VSB983054 WBX983052:WBX983054 WLT983052:WLT983054 WVP983052:WVP983054">
      <formula1>$H$22:$H$26</formula1>
    </dataValidation>
  </dataValidations>
  <printOptions horizontalCentered="1"/>
  <pageMargins left="0.25" right="0.25" top="0.75" bottom="0.75" header="0.3" footer="0.3"/>
  <pageSetup scale="45" orientation="landscape" copies="2"/>
  <headerFooter>
    <oddFooter>&amp;C&amp;"Tahoma,Cursiva"&amp;9Si usted ha accedido a este formato a través de un medio diferente al sitio web del Sistema de Control Documental del SIGEC asegúrese que ésta es la versión vigente</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L33"/>
  <sheetViews>
    <sheetView view="pageBreakPreview" topLeftCell="D7" zoomScale="80" zoomScaleNormal="100" zoomScaleSheetLayoutView="80" workbookViewId="0">
      <selection activeCell="AF9" sqref="AF9"/>
    </sheetView>
  </sheetViews>
  <sheetFormatPr baseColWidth="10" defaultRowHeight="12.75"/>
  <cols>
    <col min="1" max="1" width="8" style="2" customWidth="1"/>
    <col min="2" max="2" width="13.42578125" style="2" customWidth="1"/>
    <col min="3" max="3" width="4.28515625" style="2" customWidth="1"/>
    <col min="4" max="4" width="11.5703125" style="2" customWidth="1"/>
    <col min="5" max="5" width="17" style="2" customWidth="1"/>
    <col min="6" max="6" width="4.140625" style="2" customWidth="1"/>
    <col min="7" max="7" width="11.28515625" style="2" customWidth="1"/>
    <col min="8" max="8" width="11" style="2" customWidth="1"/>
    <col min="9" max="10" width="2.140625" style="2" customWidth="1"/>
    <col min="11" max="11" width="3.28515625" style="2" customWidth="1"/>
    <col min="12" max="12" width="0.28515625" style="2" hidden="1" customWidth="1"/>
    <col min="13" max="13" width="0.42578125" style="2" hidden="1" customWidth="1"/>
    <col min="14" max="14" width="2.85546875" style="2" customWidth="1"/>
    <col min="15" max="15" width="3.28515625" style="2" customWidth="1"/>
    <col min="16" max="16" width="1.5703125" style="2" customWidth="1"/>
    <col min="17" max="17" width="1.85546875" style="2" hidden="1" customWidth="1"/>
    <col min="18" max="18" width="6.85546875" style="2" customWidth="1"/>
    <col min="19" max="19" width="3" style="2" hidden="1" customWidth="1"/>
    <col min="20" max="21" width="6.28515625" style="2" customWidth="1"/>
    <col min="22" max="22" width="13.85546875" style="2" customWidth="1"/>
    <col min="23" max="23" width="10.85546875" style="2" customWidth="1"/>
    <col min="24" max="24" width="14.7109375" style="2" customWidth="1"/>
    <col min="25" max="25" width="0.42578125" style="2" hidden="1" customWidth="1"/>
    <col min="26" max="26" width="13" style="2" customWidth="1"/>
    <col min="27" max="27" width="12.7109375" style="2" customWidth="1"/>
    <col min="28" max="28" width="13.140625" style="2" customWidth="1"/>
    <col min="29" max="29" width="14" style="2" customWidth="1"/>
    <col min="30" max="30" width="8.140625" style="2" customWidth="1"/>
    <col min="31" max="31" width="11.5703125" style="2" customWidth="1"/>
    <col min="32" max="32" width="32.85546875" style="2" customWidth="1"/>
    <col min="33" max="33" width="12" style="2" customWidth="1"/>
    <col min="34" max="35" width="0.28515625" style="2" customWidth="1"/>
    <col min="36" max="36" width="1.42578125" style="2" customWidth="1"/>
    <col min="37" max="37" width="1.28515625" style="2" hidden="1" customWidth="1"/>
    <col min="38" max="256" width="11.42578125" style="2"/>
    <col min="257" max="257" width="8" style="2" customWidth="1"/>
    <col min="258" max="258" width="13.42578125" style="2" customWidth="1"/>
    <col min="259" max="259" width="4.28515625" style="2" customWidth="1"/>
    <col min="260" max="260" width="4" style="2" customWidth="1"/>
    <col min="261" max="261" width="17" style="2" customWidth="1"/>
    <col min="262" max="262" width="4.140625" style="2" customWidth="1"/>
    <col min="263" max="263" width="11.28515625" style="2" customWidth="1"/>
    <col min="264" max="264" width="11" style="2" customWidth="1"/>
    <col min="265" max="266" width="2.140625" style="2" customWidth="1"/>
    <col min="267" max="267" width="3.28515625" style="2" customWidth="1"/>
    <col min="268" max="269" width="0" style="2" hidden="1" customWidth="1"/>
    <col min="270" max="270" width="2.85546875" style="2" customWidth="1"/>
    <col min="271" max="271" width="3.28515625" style="2" customWidth="1"/>
    <col min="272" max="272" width="1.5703125" style="2" customWidth="1"/>
    <col min="273" max="273" width="0" style="2" hidden="1" customWidth="1"/>
    <col min="274" max="274" width="6.85546875" style="2" customWidth="1"/>
    <col min="275" max="275" width="0" style="2" hidden="1" customWidth="1"/>
    <col min="276" max="277" width="6.28515625" style="2" customWidth="1"/>
    <col min="278" max="278" width="13.85546875" style="2" customWidth="1"/>
    <col min="279" max="279" width="10.85546875" style="2" customWidth="1"/>
    <col min="280" max="280" width="14.7109375" style="2" customWidth="1"/>
    <col min="281" max="281" width="0" style="2" hidden="1" customWidth="1"/>
    <col min="282" max="282" width="13" style="2" customWidth="1"/>
    <col min="283" max="283" width="12.7109375" style="2" customWidth="1"/>
    <col min="284" max="284" width="13.140625" style="2" customWidth="1"/>
    <col min="285" max="285" width="14" style="2" customWidth="1"/>
    <col min="286" max="286" width="8.140625" style="2" customWidth="1"/>
    <col min="287" max="287" width="11.5703125" style="2" customWidth="1"/>
    <col min="288" max="288" width="24.7109375" style="2" customWidth="1"/>
    <col min="289" max="289" width="12" style="2" customWidth="1"/>
    <col min="290" max="291" width="0.28515625" style="2" customWidth="1"/>
    <col min="292" max="292" width="1.42578125" style="2" customWidth="1"/>
    <col min="293" max="293" width="0" style="2" hidden="1" customWidth="1"/>
    <col min="294" max="512" width="11.42578125" style="2"/>
    <col min="513" max="513" width="8" style="2" customWidth="1"/>
    <col min="514" max="514" width="13.42578125" style="2" customWidth="1"/>
    <col min="515" max="515" width="4.28515625" style="2" customWidth="1"/>
    <col min="516" max="516" width="4" style="2" customWidth="1"/>
    <col min="517" max="517" width="17" style="2" customWidth="1"/>
    <col min="518" max="518" width="4.140625" style="2" customWidth="1"/>
    <col min="519" max="519" width="11.28515625" style="2" customWidth="1"/>
    <col min="520" max="520" width="11" style="2" customWidth="1"/>
    <col min="521" max="522" width="2.140625" style="2" customWidth="1"/>
    <col min="523" max="523" width="3.28515625" style="2" customWidth="1"/>
    <col min="524" max="525" width="0" style="2" hidden="1" customWidth="1"/>
    <col min="526" max="526" width="2.85546875" style="2" customWidth="1"/>
    <col min="527" max="527" width="3.28515625" style="2" customWidth="1"/>
    <col min="528" max="528" width="1.5703125" style="2" customWidth="1"/>
    <col min="529" max="529" width="0" style="2" hidden="1" customWidth="1"/>
    <col min="530" max="530" width="6.85546875" style="2" customWidth="1"/>
    <col min="531" max="531" width="0" style="2" hidden="1" customWidth="1"/>
    <col min="532" max="533" width="6.28515625" style="2" customWidth="1"/>
    <col min="534" max="534" width="13.85546875" style="2" customWidth="1"/>
    <col min="535" max="535" width="10.85546875" style="2" customWidth="1"/>
    <col min="536" max="536" width="14.7109375" style="2" customWidth="1"/>
    <col min="537" max="537" width="0" style="2" hidden="1" customWidth="1"/>
    <col min="538" max="538" width="13" style="2" customWidth="1"/>
    <col min="539" max="539" width="12.7109375" style="2" customWidth="1"/>
    <col min="540" max="540" width="13.140625" style="2" customWidth="1"/>
    <col min="541" max="541" width="14" style="2" customWidth="1"/>
    <col min="542" max="542" width="8.140625" style="2" customWidth="1"/>
    <col min="543" max="543" width="11.5703125" style="2" customWidth="1"/>
    <col min="544" max="544" width="24.7109375" style="2" customWidth="1"/>
    <col min="545" max="545" width="12" style="2" customWidth="1"/>
    <col min="546" max="547" width="0.28515625" style="2" customWidth="1"/>
    <col min="548" max="548" width="1.42578125" style="2" customWidth="1"/>
    <col min="549" max="549" width="0" style="2" hidden="1" customWidth="1"/>
    <col min="550" max="768" width="11.42578125" style="2"/>
    <col min="769" max="769" width="8" style="2" customWidth="1"/>
    <col min="770" max="770" width="13.42578125" style="2" customWidth="1"/>
    <col min="771" max="771" width="4.28515625" style="2" customWidth="1"/>
    <col min="772" max="772" width="4" style="2" customWidth="1"/>
    <col min="773" max="773" width="17" style="2" customWidth="1"/>
    <col min="774" max="774" width="4.140625" style="2" customWidth="1"/>
    <col min="775" max="775" width="11.28515625" style="2" customWidth="1"/>
    <col min="776" max="776" width="11" style="2" customWidth="1"/>
    <col min="777" max="778" width="2.140625" style="2" customWidth="1"/>
    <col min="779" max="779" width="3.28515625" style="2" customWidth="1"/>
    <col min="780" max="781" width="0" style="2" hidden="1" customWidth="1"/>
    <col min="782" max="782" width="2.85546875" style="2" customWidth="1"/>
    <col min="783" max="783" width="3.28515625" style="2" customWidth="1"/>
    <col min="784" max="784" width="1.5703125" style="2" customWidth="1"/>
    <col min="785" max="785" width="0" style="2" hidden="1" customWidth="1"/>
    <col min="786" max="786" width="6.85546875" style="2" customWidth="1"/>
    <col min="787" max="787" width="0" style="2" hidden="1" customWidth="1"/>
    <col min="788" max="789" width="6.28515625" style="2" customWidth="1"/>
    <col min="790" max="790" width="13.85546875" style="2" customWidth="1"/>
    <col min="791" max="791" width="10.85546875" style="2" customWidth="1"/>
    <col min="792" max="792" width="14.7109375" style="2" customWidth="1"/>
    <col min="793" max="793" width="0" style="2" hidden="1" customWidth="1"/>
    <col min="794" max="794" width="13" style="2" customWidth="1"/>
    <col min="795" max="795" width="12.7109375" style="2" customWidth="1"/>
    <col min="796" max="796" width="13.140625" style="2" customWidth="1"/>
    <col min="797" max="797" width="14" style="2" customWidth="1"/>
    <col min="798" max="798" width="8.140625" style="2" customWidth="1"/>
    <col min="799" max="799" width="11.5703125" style="2" customWidth="1"/>
    <col min="800" max="800" width="24.7109375" style="2" customWidth="1"/>
    <col min="801" max="801" width="12" style="2" customWidth="1"/>
    <col min="802" max="803" width="0.28515625" style="2" customWidth="1"/>
    <col min="804" max="804" width="1.42578125" style="2" customWidth="1"/>
    <col min="805" max="805" width="0" style="2" hidden="1" customWidth="1"/>
    <col min="806" max="1024" width="11.42578125" style="2"/>
    <col min="1025" max="1025" width="8" style="2" customWidth="1"/>
    <col min="1026" max="1026" width="13.42578125" style="2" customWidth="1"/>
    <col min="1027" max="1027" width="4.28515625" style="2" customWidth="1"/>
    <col min="1028" max="1028" width="4" style="2" customWidth="1"/>
    <col min="1029" max="1029" width="17" style="2" customWidth="1"/>
    <col min="1030" max="1030" width="4.140625" style="2" customWidth="1"/>
    <col min="1031" max="1031" width="11.28515625" style="2" customWidth="1"/>
    <col min="1032" max="1032" width="11" style="2" customWidth="1"/>
    <col min="1033" max="1034" width="2.140625" style="2" customWidth="1"/>
    <col min="1035" max="1035" width="3.28515625" style="2" customWidth="1"/>
    <col min="1036" max="1037" width="0" style="2" hidden="1" customWidth="1"/>
    <col min="1038" max="1038" width="2.85546875" style="2" customWidth="1"/>
    <col min="1039" max="1039" width="3.28515625" style="2" customWidth="1"/>
    <col min="1040" max="1040" width="1.5703125" style="2" customWidth="1"/>
    <col min="1041" max="1041" width="0" style="2" hidden="1" customWidth="1"/>
    <col min="1042" max="1042" width="6.85546875" style="2" customWidth="1"/>
    <col min="1043" max="1043" width="0" style="2" hidden="1" customWidth="1"/>
    <col min="1044" max="1045" width="6.28515625" style="2" customWidth="1"/>
    <col min="1046" max="1046" width="13.85546875" style="2" customWidth="1"/>
    <col min="1047" max="1047" width="10.85546875" style="2" customWidth="1"/>
    <col min="1048" max="1048" width="14.7109375" style="2" customWidth="1"/>
    <col min="1049" max="1049" width="0" style="2" hidden="1" customWidth="1"/>
    <col min="1050" max="1050" width="13" style="2" customWidth="1"/>
    <col min="1051" max="1051" width="12.7109375" style="2" customWidth="1"/>
    <col min="1052" max="1052" width="13.140625" style="2" customWidth="1"/>
    <col min="1053" max="1053" width="14" style="2" customWidth="1"/>
    <col min="1054" max="1054" width="8.140625" style="2" customWidth="1"/>
    <col min="1055" max="1055" width="11.5703125" style="2" customWidth="1"/>
    <col min="1056" max="1056" width="24.7109375" style="2" customWidth="1"/>
    <col min="1057" max="1057" width="12" style="2" customWidth="1"/>
    <col min="1058" max="1059" width="0.28515625" style="2" customWidth="1"/>
    <col min="1060" max="1060" width="1.42578125" style="2" customWidth="1"/>
    <col min="1061" max="1061" width="0" style="2" hidden="1" customWidth="1"/>
    <col min="1062" max="1280" width="11.42578125" style="2"/>
    <col min="1281" max="1281" width="8" style="2" customWidth="1"/>
    <col min="1282" max="1282" width="13.42578125" style="2" customWidth="1"/>
    <col min="1283" max="1283" width="4.28515625" style="2" customWidth="1"/>
    <col min="1284" max="1284" width="4" style="2" customWidth="1"/>
    <col min="1285" max="1285" width="17" style="2" customWidth="1"/>
    <col min="1286" max="1286" width="4.140625" style="2" customWidth="1"/>
    <col min="1287" max="1287" width="11.28515625" style="2" customWidth="1"/>
    <col min="1288" max="1288" width="11" style="2" customWidth="1"/>
    <col min="1289" max="1290" width="2.140625" style="2" customWidth="1"/>
    <col min="1291" max="1291" width="3.28515625" style="2" customWidth="1"/>
    <col min="1292" max="1293" width="0" style="2" hidden="1" customWidth="1"/>
    <col min="1294" max="1294" width="2.85546875" style="2" customWidth="1"/>
    <col min="1295" max="1295" width="3.28515625" style="2" customWidth="1"/>
    <col min="1296" max="1296" width="1.5703125" style="2" customWidth="1"/>
    <col min="1297" max="1297" width="0" style="2" hidden="1" customWidth="1"/>
    <col min="1298" max="1298" width="6.85546875" style="2" customWidth="1"/>
    <col min="1299" max="1299" width="0" style="2" hidden="1" customWidth="1"/>
    <col min="1300" max="1301" width="6.28515625" style="2" customWidth="1"/>
    <col min="1302" max="1302" width="13.85546875" style="2" customWidth="1"/>
    <col min="1303" max="1303" width="10.85546875" style="2" customWidth="1"/>
    <col min="1304" max="1304" width="14.7109375" style="2" customWidth="1"/>
    <col min="1305" max="1305" width="0" style="2" hidden="1" customWidth="1"/>
    <col min="1306" max="1306" width="13" style="2" customWidth="1"/>
    <col min="1307" max="1307" width="12.7109375" style="2" customWidth="1"/>
    <col min="1308" max="1308" width="13.140625" style="2" customWidth="1"/>
    <col min="1309" max="1309" width="14" style="2" customWidth="1"/>
    <col min="1310" max="1310" width="8.140625" style="2" customWidth="1"/>
    <col min="1311" max="1311" width="11.5703125" style="2" customWidth="1"/>
    <col min="1312" max="1312" width="24.7109375" style="2" customWidth="1"/>
    <col min="1313" max="1313" width="12" style="2" customWidth="1"/>
    <col min="1314" max="1315" width="0.28515625" style="2" customWidth="1"/>
    <col min="1316" max="1316" width="1.42578125" style="2" customWidth="1"/>
    <col min="1317" max="1317" width="0" style="2" hidden="1" customWidth="1"/>
    <col min="1318" max="1536" width="11.42578125" style="2"/>
    <col min="1537" max="1537" width="8" style="2" customWidth="1"/>
    <col min="1538" max="1538" width="13.42578125" style="2" customWidth="1"/>
    <col min="1539" max="1539" width="4.28515625" style="2" customWidth="1"/>
    <col min="1540" max="1540" width="4" style="2" customWidth="1"/>
    <col min="1541" max="1541" width="17" style="2" customWidth="1"/>
    <col min="1542" max="1542" width="4.140625" style="2" customWidth="1"/>
    <col min="1543" max="1543" width="11.28515625" style="2" customWidth="1"/>
    <col min="1544" max="1544" width="11" style="2" customWidth="1"/>
    <col min="1545" max="1546" width="2.140625" style="2" customWidth="1"/>
    <col min="1547" max="1547" width="3.28515625" style="2" customWidth="1"/>
    <col min="1548" max="1549" width="0" style="2" hidden="1" customWidth="1"/>
    <col min="1550" max="1550" width="2.85546875" style="2" customWidth="1"/>
    <col min="1551" max="1551" width="3.28515625" style="2" customWidth="1"/>
    <col min="1552" max="1552" width="1.5703125" style="2" customWidth="1"/>
    <col min="1553" max="1553" width="0" style="2" hidden="1" customWidth="1"/>
    <col min="1554" max="1554" width="6.85546875" style="2" customWidth="1"/>
    <col min="1555" max="1555" width="0" style="2" hidden="1" customWidth="1"/>
    <col min="1556" max="1557" width="6.28515625" style="2" customWidth="1"/>
    <col min="1558" max="1558" width="13.85546875" style="2" customWidth="1"/>
    <col min="1559" max="1559" width="10.85546875" style="2" customWidth="1"/>
    <col min="1560" max="1560" width="14.7109375" style="2" customWidth="1"/>
    <col min="1561" max="1561" width="0" style="2" hidden="1" customWidth="1"/>
    <col min="1562" max="1562" width="13" style="2" customWidth="1"/>
    <col min="1563" max="1563" width="12.7109375" style="2" customWidth="1"/>
    <col min="1564" max="1564" width="13.140625" style="2" customWidth="1"/>
    <col min="1565" max="1565" width="14" style="2" customWidth="1"/>
    <col min="1566" max="1566" width="8.140625" style="2" customWidth="1"/>
    <col min="1567" max="1567" width="11.5703125" style="2" customWidth="1"/>
    <col min="1568" max="1568" width="24.7109375" style="2" customWidth="1"/>
    <col min="1569" max="1569" width="12" style="2" customWidth="1"/>
    <col min="1570" max="1571" width="0.28515625" style="2" customWidth="1"/>
    <col min="1572" max="1572" width="1.42578125" style="2" customWidth="1"/>
    <col min="1573" max="1573" width="0" style="2" hidden="1" customWidth="1"/>
    <col min="1574" max="1792" width="11.42578125" style="2"/>
    <col min="1793" max="1793" width="8" style="2" customWidth="1"/>
    <col min="1794" max="1794" width="13.42578125" style="2" customWidth="1"/>
    <col min="1795" max="1795" width="4.28515625" style="2" customWidth="1"/>
    <col min="1796" max="1796" width="4" style="2" customWidth="1"/>
    <col min="1797" max="1797" width="17" style="2" customWidth="1"/>
    <col min="1798" max="1798" width="4.140625" style="2" customWidth="1"/>
    <col min="1799" max="1799" width="11.28515625" style="2" customWidth="1"/>
    <col min="1800" max="1800" width="11" style="2" customWidth="1"/>
    <col min="1801" max="1802" width="2.140625" style="2" customWidth="1"/>
    <col min="1803" max="1803" width="3.28515625" style="2" customWidth="1"/>
    <col min="1804" max="1805" width="0" style="2" hidden="1" customWidth="1"/>
    <col min="1806" max="1806" width="2.85546875" style="2" customWidth="1"/>
    <col min="1807" max="1807" width="3.28515625" style="2" customWidth="1"/>
    <col min="1808" max="1808" width="1.5703125" style="2" customWidth="1"/>
    <col min="1809" max="1809" width="0" style="2" hidden="1" customWidth="1"/>
    <col min="1810" max="1810" width="6.85546875" style="2" customWidth="1"/>
    <col min="1811" max="1811" width="0" style="2" hidden="1" customWidth="1"/>
    <col min="1812" max="1813" width="6.28515625" style="2" customWidth="1"/>
    <col min="1814" max="1814" width="13.85546875" style="2" customWidth="1"/>
    <col min="1815" max="1815" width="10.85546875" style="2" customWidth="1"/>
    <col min="1816" max="1816" width="14.7109375" style="2" customWidth="1"/>
    <col min="1817" max="1817" width="0" style="2" hidden="1" customWidth="1"/>
    <col min="1818" max="1818" width="13" style="2" customWidth="1"/>
    <col min="1819" max="1819" width="12.7109375" style="2" customWidth="1"/>
    <col min="1820" max="1820" width="13.140625" style="2" customWidth="1"/>
    <col min="1821" max="1821" width="14" style="2" customWidth="1"/>
    <col min="1822" max="1822" width="8.140625" style="2" customWidth="1"/>
    <col min="1823" max="1823" width="11.5703125" style="2" customWidth="1"/>
    <col min="1824" max="1824" width="24.7109375" style="2" customWidth="1"/>
    <col min="1825" max="1825" width="12" style="2" customWidth="1"/>
    <col min="1826" max="1827" width="0.28515625" style="2" customWidth="1"/>
    <col min="1828" max="1828" width="1.42578125" style="2" customWidth="1"/>
    <col min="1829" max="1829" width="0" style="2" hidden="1" customWidth="1"/>
    <col min="1830" max="2048" width="11.42578125" style="2"/>
    <col min="2049" max="2049" width="8" style="2" customWidth="1"/>
    <col min="2050" max="2050" width="13.42578125" style="2" customWidth="1"/>
    <col min="2051" max="2051" width="4.28515625" style="2" customWidth="1"/>
    <col min="2052" max="2052" width="4" style="2" customWidth="1"/>
    <col min="2053" max="2053" width="17" style="2" customWidth="1"/>
    <col min="2054" max="2054" width="4.140625" style="2" customWidth="1"/>
    <col min="2055" max="2055" width="11.28515625" style="2" customWidth="1"/>
    <col min="2056" max="2056" width="11" style="2" customWidth="1"/>
    <col min="2057" max="2058" width="2.140625" style="2" customWidth="1"/>
    <col min="2059" max="2059" width="3.28515625" style="2" customWidth="1"/>
    <col min="2060" max="2061" width="0" style="2" hidden="1" customWidth="1"/>
    <col min="2062" max="2062" width="2.85546875" style="2" customWidth="1"/>
    <col min="2063" max="2063" width="3.28515625" style="2" customWidth="1"/>
    <col min="2064" max="2064" width="1.5703125" style="2" customWidth="1"/>
    <col min="2065" max="2065" width="0" style="2" hidden="1" customWidth="1"/>
    <col min="2066" max="2066" width="6.85546875" style="2" customWidth="1"/>
    <col min="2067" max="2067" width="0" style="2" hidden="1" customWidth="1"/>
    <col min="2068" max="2069" width="6.28515625" style="2" customWidth="1"/>
    <col min="2070" max="2070" width="13.85546875" style="2" customWidth="1"/>
    <col min="2071" max="2071" width="10.85546875" style="2" customWidth="1"/>
    <col min="2072" max="2072" width="14.7109375" style="2" customWidth="1"/>
    <col min="2073" max="2073" width="0" style="2" hidden="1" customWidth="1"/>
    <col min="2074" max="2074" width="13" style="2" customWidth="1"/>
    <col min="2075" max="2075" width="12.7109375" style="2" customWidth="1"/>
    <col min="2076" max="2076" width="13.140625" style="2" customWidth="1"/>
    <col min="2077" max="2077" width="14" style="2" customWidth="1"/>
    <col min="2078" max="2078" width="8.140625" style="2" customWidth="1"/>
    <col min="2079" max="2079" width="11.5703125" style="2" customWidth="1"/>
    <col min="2080" max="2080" width="24.7109375" style="2" customWidth="1"/>
    <col min="2081" max="2081" width="12" style="2" customWidth="1"/>
    <col min="2082" max="2083" width="0.28515625" style="2" customWidth="1"/>
    <col min="2084" max="2084" width="1.42578125" style="2" customWidth="1"/>
    <col min="2085" max="2085" width="0" style="2" hidden="1" customWidth="1"/>
    <col min="2086" max="2304" width="11.42578125" style="2"/>
    <col min="2305" max="2305" width="8" style="2" customWidth="1"/>
    <col min="2306" max="2306" width="13.42578125" style="2" customWidth="1"/>
    <col min="2307" max="2307" width="4.28515625" style="2" customWidth="1"/>
    <col min="2308" max="2308" width="4" style="2" customWidth="1"/>
    <col min="2309" max="2309" width="17" style="2" customWidth="1"/>
    <col min="2310" max="2310" width="4.140625" style="2" customWidth="1"/>
    <col min="2311" max="2311" width="11.28515625" style="2" customWidth="1"/>
    <col min="2312" max="2312" width="11" style="2" customWidth="1"/>
    <col min="2313" max="2314" width="2.140625" style="2" customWidth="1"/>
    <col min="2315" max="2315" width="3.28515625" style="2" customWidth="1"/>
    <col min="2316" max="2317" width="0" style="2" hidden="1" customWidth="1"/>
    <col min="2318" max="2318" width="2.85546875" style="2" customWidth="1"/>
    <col min="2319" max="2319" width="3.28515625" style="2" customWidth="1"/>
    <col min="2320" max="2320" width="1.5703125" style="2" customWidth="1"/>
    <col min="2321" max="2321" width="0" style="2" hidden="1" customWidth="1"/>
    <col min="2322" max="2322" width="6.85546875" style="2" customWidth="1"/>
    <col min="2323" max="2323" width="0" style="2" hidden="1" customWidth="1"/>
    <col min="2324" max="2325" width="6.28515625" style="2" customWidth="1"/>
    <col min="2326" max="2326" width="13.85546875" style="2" customWidth="1"/>
    <col min="2327" max="2327" width="10.85546875" style="2" customWidth="1"/>
    <col min="2328" max="2328" width="14.7109375" style="2" customWidth="1"/>
    <col min="2329" max="2329" width="0" style="2" hidden="1" customWidth="1"/>
    <col min="2330" max="2330" width="13" style="2" customWidth="1"/>
    <col min="2331" max="2331" width="12.7109375" style="2" customWidth="1"/>
    <col min="2332" max="2332" width="13.140625" style="2" customWidth="1"/>
    <col min="2333" max="2333" width="14" style="2" customWidth="1"/>
    <col min="2334" max="2334" width="8.140625" style="2" customWidth="1"/>
    <col min="2335" max="2335" width="11.5703125" style="2" customWidth="1"/>
    <col min="2336" max="2336" width="24.7109375" style="2" customWidth="1"/>
    <col min="2337" max="2337" width="12" style="2" customWidth="1"/>
    <col min="2338" max="2339" width="0.28515625" style="2" customWidth="1"/>
    <col min="2340" max="2340" width="1.42578125" style="2" customWidth="1"/>
    <col min="2341" max="2341" width="0" style="2" hidden="1" customWidth="1"/>
    <col min="2342" max="2560" width="11.42578125" style="2"/>
    <col min="2561" max="2561" width="8" style="2" customWidth="1"/>
    <col min="2562" max="2562" width="13.42578125" style="2" customWidth="1"/>
    <col min="2563" max="2563" width="4.28515625" style="2" customWidth="1"/>
    <col min="2564" max="2564" width="4" style="2" customWidth="1"/>
    <col min="2565" max="2565" width="17" style="2" customWidth="1"/>
    <col min="2566" max="2566" width="4.140625" style="2" customWidth="1"/>
    <col min="2567" max="2567" width="11.28515625" style="2" customWidth="1"/>
    <col min="2568" max="2568" width="11" style="2" customWidth="1"/>
    <col min="2569" max="2570" width="2.140625" style="2" customWidth="1"/>
    <col min="2571" max="2571" width="3.28515625" style="2" customWidth="1"/>
    <col min="2572" max="2573" width="0" style="2" hidden="1" customWidth="1"/>
    <col min="2574" max="2574" width="2.85546875" style="2" customWidth="1"/>
    <col min="2575" max="2575" width="3.28515625" style="2" customWidth="1"/>
    <col min="2576" max="2576" width="1.5703125" style="2" customWidth="1"/>
    <col min="2577" max="2577" width="0" style="2" hidden="1" customWidth="1"/>
    <col min="2578" max="2578" width="6.85546875" style="2" customWidth="1"/>
    <col min="2579" max="2579" width="0" style="2" hidden="1" customWidth="1"/>
    <col min="2580" max="2581" width="6.28515625" style="2" customWidth="1"/>
    <col min="2582" max="2582" width="13.85546875" style="2" customWidth="1"/>
    <col min="2583" max="2583" width="10.85546875" style="2" customWidth="1"/>
    <col min="2584" max="2584" width="14.7109375" style="2" customWidth="1"/>
    <col min="2585" max="2585" width="0" style="2" hidden="1" customWidth="1"/>
    <col min="2586" max="2586" width="13" style="2" customWidth="1"/>
    <col min="2587" max="2587" width="12.7109375" style="2" customWidth="1"/>
    <col min="2588" max="2588" width="13.140625" style="2" customWidth="1"/>
    <col min="2589" max="2589" width="14" style="2" customWidth="1"/>
    <col min="2590" max="2590" width="8.140625" style="2" customWidth="1"/>
    <col min="2591" max="2591" width="11.5703125" style="2" customWidth="1"/>
    <col min="2592" max="2592" width="24.7109375" style="2" customWidth="1"/>
    <col min="2593" max="2593" width="12" style="2" customWidth="1"/>
    <col min="2594" max="2595" width="0.28515625" style="2" customWidth="1"/>
    <col min="2596" max="2596" width="1.42578125" style="2" customWidth="1"/>
    <col min="2597" max="2597" width="0" style="2" hidden="1" customWidth="1"/>
    <col min="2598" max="2816" width="11.42578125" style="2"/>
    <col min="2817" max="2817" width="8" style="2" customWidth="1"/>
    <col min="2818" max="2818" width="13.42578125" style="2" customWidth="1"/>
    <col min="2819" max="2819" width="4.28515625" style="2" customWidth="1"/>
    <col min="2820" max="2820" width="4" style="2" customWidth="1"/>
    <col min="2821" max="2821" width="17" style="2" customWidth="1"/>
    <col min="2822" max="2822" width="4.140625" style="2" customWidth="1"/>
    <col min="2823" max="2823" width="11.28515625" style="2" customWidth="1"/>
    <col min="2824" max="2824" width="11" style="2" customWidth="1"/>
    <col min="2825" max="2826" width="2.140625" style="2" customWidth="1"/>
    <col min="2827" max="2827" width="3.28515625" style="2" customWidth="1"/>
    <col min="2828" max="2829" width="0" style="2" hidden="1" customWidth="1"/>
    <col min="2830" max="2830" width="2.85546875" style="2" customWidth="1"/>
    <col min="2831" max="2831" width="3.28515625" style="2" customWidth="1"/>
    <col min="2832" max="2832" width="1.5703125" style="2" customWidth="1"/>
    <col min="2833" max="2833" width="0" style="2" hidden="1" customWidth="1"/>
    <col min="2834" max="2834" width="6.85546875" style="2" customWidth="1"/>
    <col min="2835" max="2835" width="0" style="2" hidden="1" customWidth="1"/>
    <col min="2836" max="2837" width="6.28515625" style="2" customWidth="1"/>
    <col min="2838" max="2838" width="13.85546875" style="2" customWidth="1"/>
    <col min="2839" max="2839" width="10.85546875" style="2" customWidth="1"/>
    <col min="2840" max="2840" width="14.7109375" style="2" customWidth="1"/>
    <col min="2841" max="2841" width="0" style="2" hidden="1" customWidth="1"/>
    <col min="2842" max="2842" width="13" style="2" customWidth="1"/>
    <col min="2843" max="2843" width="12.7109375" style="2" customWidth="1"/>
    <col min="2844" max="2844" width="13.140625" style="2" customWidth="1"/>
    <col min="2845" max="2845" width="14" style="2" customWidth="1"/>
    <col min="2846" max="2846" width="8.140625" style="2" customWidth="1"/>
    <col min="2847" max="2847" width="11.5703125" style="2" customWidth="1"/>
    <col min="2848" max="2848" width="24.7109375" style="2" customWidth="1"/>
    <col min="2849" max="2849" width="12" style="2" customWidth="1"/>
    <col min="2850" max="2851" width="0.28515625" style="2" customWidth="1"/>
    <col min="2852" max="2852" width="1.42578125" style="2" customWidth="1"/>
    <col min="2853" max="2853" width="0" style="2" hidden="1" customWidth="1"/>
    <col min="2854" max="3072" width="11.42578125" style="2"/>
    <col min="3073" max="3073" width="8" style="2" customWidth="1"/>
    <col min="3074" max="3074" width="13.42578125" style="2" customWidth="1"/>
    <col min="3075" max="3075" width="4.28515625" style="2" customWidth="1"/>
    <col min="3076" max="3076" width="4" style="2" customWidth="1"/>
    <col min="3077" max="3077" width="17" style="2" customWidth="1"/>
    <col min="3078" max="3078" width="4.140625" style="2" customWidth="1"/>
    <col min="3079" max="3079" width="11.28515625" style="2" customWidth="1"/>
    <col min="3080" max="3080" width="11" style="2" customWidth="1"/>
    <col min="3081" max="3082" width="2.140625" style="2" customWidth="1"/>
    <col min="3083" max="3083" width="3.28515625" style="2" customWidth="1"/>
    <col min="3084" max="3085" width="0" style="2" hidden="1" customWidth="1"/>
    <col min="3086" max="3086" width="2.85546875" style="2" customWidth="1"/>
    <col min="3087" max="3087" width="3.28515625" style="2" customWidth="1"/>
    <col min="3088" max="3088" width="1.5703125" style="2" customWidth="1"/>
    <col min="3089" max="3089" width="0" style="2" hidden="1" customWidth="1"/>
    <col min="3090" max="3090" width="6.85546875" style="2" customWidth="1"/>
    <col min="3091" max="3091" width="0" style="2" hidden="1" customWidth="1"/>
    <col min="3092" max="3093" width="6.28515625" style="2" customWidth="1"/>
    <col min="3094" max="3094" width="13.85546875" style="2" customWidth="1"/>
    <col min="3095" max="3095" width="10.85546875" style="2" customWidth="1"/>
    <col min="3096" max="3096" width="14.7109375" style="2" customWidth="1"/>
    <col min="3097" max="3097" width="0" style="2" hidden="1" customWidth="1"/>
    <col min="3098" max="3098" width="13" style="2" customWidth="1"/>
    <col min="3099" max="3099" width="12.7109375" style="2" customWidth="1"/>
    <col min="3100" max="3100" width="13.140625" style="2" customWidth="1"/>
    <col min="3101" max="3101" width="14" style="2" customWidth="1"/>
    <col min="3102" max="3102" width="8.140625" style="2" customWidth="1"/>
    <col min="3103" max="3103" width="11.5703125" style="2" customWidth="1"/>
    <col min="3104" max="3104" width="24.7109375" style="2" customWidth="1"/>
    <col min="3105" max="3105" width="12" style="2" customWidth="1"/>
    <col min="3106" max="3107" width="0.28515625" style="2" customWidth="1"/>
    <col min="3108" max="3108" width="1.42578125" style="2" customWidth="1"/>
    <col min="3109" max="3109" width="0" style="2" hidden="1" customWidth="1"/>
    <col min="3110" max="3328" width="11.42578125" style="2"/>
    <col min="3329" max="3329" width="8" style="2" customWidth="1"/>
    <col min="3330" max="3330" width="13.42578125" style="2" customWidth="1"/>
    <col min="3331" max="3331" width="4.28515625" style="2" customWidth="1"/>
    <col min="3332" max="3332" width="4" style="2" customWidth="1"/>
    <col min="3333" max="3333" width="17" style="2" customWidth="1"/>
    <col min="3334" max="3334" width="4.140625" style="2" customWidth="1"/>
    <col min="3335" max="3335" width="11.28515625" style="2" customWidth="1"/>
    <col min="3336" max="3336" width="11" style="2" customWidth="1"/>
    <col min="3337" max="3338" width="2.140625" style="2" customWidth="1"/>
    <col min="3339" max="3339" width="3.28515625" style="2" customWidth="1"/>
    <col min="3340" max="3341" width="0" style="2" hidden="1" customWidth="1"/>
    <col min="3342" max="3342" width="2.85546875" style="2" customWidth="1"/>
    <col min="3343" max="3343" width="3.28515625" style="2" customWidth="1"/>
    <col min="3344" max="3344" width="1.5703125" style="2" customWidth="1"/>
    <col min="3345" max="3345" width="0" style="2" hidden="1" customWidth="1"/>
    <col min="3346" max="3346" width="6.85546875" style="2" customWidth="1"/>
    <col min="3347" max="3347" width="0" style="2" hidden="1" customWidth="1"/>
    <col min="3348" max="3349" width="6.28515625" style="2" customWidth="1"/>
    <col min="3350" max="3350" width="13.85546875" style="2" customWidth="1"/>
    <col min="3351" max="3351" width="10.85546875" style="2" customWidth="1"/>
    <col min="3352" max="3352" width="14.7109375" style="2" customWidth="1"/>
    <col min="3353" max="3353" width="0" style="2" hidden="1" customWidth="1"/>
    <col min="3354" max="3354" width="13" style="2" customWidth="1"/>
    <col min="3355" max="3355" width="12.7109375" style="2" customWidth="1"/>
    <col min="3356" max="3356" width="13.140625" style="2" customWidth="1"/>
    <col min="3357" max="3357" width="14" style="2" customWidth="1"/>
    <col min="3358" max="3358" width="8.140625" style="2" customWidth="1"/>
    <col min="3359" max="3359" width="11.5703125" style="2" customWidth="1"/>
    <col min="3360" max="3360" width="24.7109375" style="2" customWidth="1"/>
    <col min="3361" max="3361" width="12" style="2" customWidth="1"/>
    <col min="3362" max="3363" width="0.28515625" style="2" customWidth="1"/>
    <col min="3364" max="3364" width="1.42578125" style="2" customWidth="1"/>
    <col min="3365" max="3365" width="0" style="2" hidden="1" customWidth="1"/>
    <col min="3366" max="3584" width="11.42578125" style="2"/>
    <col min="3585" max="3585" width="8" style="2" customWidth="1"/>
    <col min="3586" max="3586" width="13.42578125" style="2" customWidth="1"/>
    <col min="3587" max="3587" width="4.28515625" style="2" customWidth="1"/>
    <col min="3588" max="3588" width="4" style="2" customWidth="1"/>
    <col min="3589" max="3589" width="17" style="2" customWidth="1"/>
    <col min="3590" max="3590" width="4.140625" style="2" customWidth="1"/>
    <col min="3591" max="3591" width="11.28515625" style="2" customWidth="1"/>
    <col min="3592" max="3592" width="11" style="2" customWidth="1"/>
    <col min="3593" max="3594" width="2.140625" style="2" customWidth="1"/>
    <col min="3595" max="3595" width="3.28515625" style="2" customWidth="1"/>
    <col min="3596" max="3597" width="0" style="2" hidden="1" customWidth="1"/>
    <col min="3598" max="3598" width="2.85546875" style="2" customWidth="1"/>
    <col min="3599" max="3599" width="3.28515625" style="2" customWidth="1"/>
    <col min="3600" max="3600" width="1.5703125" style="2" customWidth="1"/>
    <col min="3601" max="3601" width="0" style="2" hidden="1" customWidth="1"/>
    <col min="3602" max="3602" width="6.85546875" style="2" customWidth="1"/>
    <col min="3603" max="3603" width="0" style="2" hidden="1" customWidth="1"/>
    <col min="3604" max="3605" width="6.28515625" style="2" customWidth="1"/>
    <col min="3606" max="3606" width="13.85546875" style="2" customWidth="1"/>
    <col min="3607" max="3607" width="10.85546875" style="2" customWidth="1"/>
    <col min="3608" max="3608" width="14.7109375" style="2" customWidth="1"/>
    <col min="3609" max="3609" width="0" style="2" hidden="1" customWidth="1"/>
    <col min="3610" max="3610" width="13" style="2" customWidth="1"/>
    <col min="3611" max="3611" width="12.7109375" style="2" customWidth="1"/>
    <col min="3612" max="3612" width="13.140625" style="2" customWidth="1"/>
    <col min="3613" max="3613" width="14" style="2" customWidth="1"/>
    <col min="3614" max="3614" width="8.140625" style="2" customWidth="1"/>
    <col min="3615" max="3615" width="11.5703125" style="2" customWidth="1"/>
    <col min="3616" max="3616" width="24.7109375" style="2" customWidth="1"/>
    <col min="3617" max="3617" width="12" style="2" customWidth="1"/>
    <col min="3618" max="3619" width="0.28515625" style="2" customWidth="1"/>
    <col min="3620" max="3620" width="1.42578125" style="2" customWidth="1"/>
    <col min="3621" max="3621" width="0" style="2" hidden="1" customWidth="1"/>
    <col min="3622" max="3840" width="11.42578125" style="2"/>
    <col min="3841" max="3841" width="8" style="2" customWidth="1"/>
    <col min="3842" max="3842" width="13.42578125" style="2" customWidth="1"/>
    <col min="3843" max="3843" width="4.28515625" style="2" customWidth="1"/>
    <col min="3844" max="3844" width="4" style="2" customWidth="1"/>
    <col min="3845" max="3845" width="17" style="2" customWidth="1"/>
    <col min="3846" max="3846" width="4.140625" style="2" customWidth="1"/>
    <col min="3847" max="3847" width="11.28515625" style="2" customWidth="1"/>
    <col min="3848" max="3848" width="11" style="2" customWidth="1"/>
    <col min="3849" max="3850" width="2.140625" style="2" customWidth="1"/>
    <col min="3851" max="3851" width="3.28515625" style="2" customWidth="1"/>
    <col min="3852" max="3853" width="0" style="2" hidden="1" customWidth="1"/>
    <col min="3854" max="3854" width="2.85546875" style="2" customWidth="1"/>
    <col min="3855" max="3855" width="3.28515625" style="2" customWidth="1"/>
    <col min="3856" max="3856" width="1.5703125" style="2" customWidth="1"/>
    <col min="3857" max="3857" width="0" style="2" hidden="1" customWidth="1"/>
    <col min="3858" max="3858" width="6.85546875" style="2" customWidth="1"/>
    <col min="3859" max="3859" width="0" style="2" hidden="1" customWidth="1"/>
    <col min="3860" max="3861" width="6.28515625" style="2" customWidth="1"/>
    <col min="3862" max="3862" width="13.85546875" style="2" customWidth="1"/>
    <col min="3863" max="3863" width="10.85546875" style="2" customWidth="1"/>
    <col min="3864" max="3864" width="14.7109375" style="2" customWidth="1"/>
    <col min="3865" max="3865" width="0" style="2" hidden="1" customWidth="1"/>
    <col min="3866" max="3866" width="13" style="2" customWidth="1"/>
    <col min="3867" max="3867" width="12.7109375" style="2" customWidth="1"/>
    <col min="3868" max="3868" width="13.140625" style="2" customWidth="1"/>
    <col min="3869" max="3869" width="14" style="2" customWidth="1"/>
    <col min="3870" max="3870" width="8.140625" style="2" customWidth="1"/>
    <col min="3871" max="3871" width="11.5703125" style="2" customWidth="1"/>
    <col min="3872" max="3872" width="24.7109375" style="2" customWidth="1"/>
    <col min="3873" max="3873" width="12" style="2" customWidth="1"/>
    <col min="3874" max="3875" width="0.28515625" style="2" customWidth="1"/>
    <col min="3876" max="3876" width="1.42578125" style="2" customWidth="1"/>
    <col min="3877" max="3877" width="0" style="2" hidden="1" customWidth="1"/>
    <col min="3878" max="4096" width="11.42578125" style="2"/>
    <col min="4097" max="4097" width="8" style="2" customWidth="1"/>
    <col min="4098" max="4098" width="13.42578125" style="2" customWidth="1"/>
    <col min="4099" max="4099" width="4.28515625" style="2" customWidth="1"/>
    <col min="4100" max="4100" width="4" style="2" customWidth="1"/>
    <col min="4101" max="4101" width="17" style="2" customWidth="1"/>
    <col min="4102" max="4102" width="4.140625" style="2" customWidth="1"/>
    <col min="4103" max="4103" width="11.28515625" style="2" customWidth="1"/>
    <col min="4104" max="4104" width="11" style="2" customWidth="1"/>
    <col min="4105" max="4106" width="2.140625" style="2" customWidth="1"/>
    <col min="4107" max="4107" width="3.28515625" style="2" customWidth="1"/>
    <col min="4108" max="4109" width="0" style="2" hidden="1" customWidth="1"/>
    <col min="4110" max="4110" width="2.85546875" style="2" customWidth="1"/>
    <col min="4111" max="4111" width="3.28515625" style="2" customWidth="1"/>
    <col min="4112" max="4112" width="1.5703125" style="2" customWidth="1"/>
    <col min="4113" max="4113" width="0" style="2" hidden="1" customWidth="1"/>
    <col min="4114" max="4114" width="6.85546875" style="2" customWidth="1"/>
    <col min="4115" max="4115" width="0" style="2" hidden="1" customWidth="1"/>
    <col min="4116" max="4117" width="6.28515625" style="2" customWidth="1"/>
    <col min="4118" max="4118" width="13.85546875" style="2" customWidth="1"/>
    <col min="4119" max="4119" width="10.85546875" style="2" customWidth="1"/>
    <col min="4120" max="4120" width="14.7109375" style="2" customWidth="1"/>
    <col min="4121" max="4121" width="0" style="2" hidden="1" customWidth="1"/>
    <col min="4122" max="4122" width="13" style="2" customWidth="1"/>
    <col min="4123" max="4123" width="12.7109375" style="2" customWidth="1"/>
    <col min="4124" max="4124" width="13.140625" style="2" customWidth="1"/>
    <col min="4125" max="4125" width="14" style="2" customWidth="1"/>
    <col min="4126" max="4126" width="8.140625" style="2" customWidth="1"/>
    <col min="4127" max="4127" width="11.5703125" style="2" customWidth="1"/>
    <col min="4128" max="4128" width="24.7109375" style="2" customWidth="1"/>
    <col min="4129" max="4129" width="12" style="2" customWidth="1"/>
    <col min="4130" max="4131" width="0.28515625" style="2" customWidth="1"/>
    <col min="4132" max="4132" width="1.42578125" style="2" customWidth="1"/>
    <col min="4133" max="4133" width="0" style="2" hidden="1" customWidth="1"/>
    <col min="4134" max="4352" width="11.42578125" style="2"/>
    <col min="4353" max="4353" width="8" style="2" customWidth="1"/>
    <col min="4354" max="4354" width="13.42578125" style="2" customWidth="1"/>
    <col min="4355" max="4355" width="4.28515625" style="2" customWidth="1"/>
    <col min="4356" max="4356" width="4" style="2" customWidth="1"/>
    <col min="4357" max="4357" width="17" style="2" customWidth="1"/>
    <col min="4358" max="4358" width="4.140625" style="2" customWidth="1"/>
    <col min="4359" max="4359" width="11.28515625" style="2" customWidth="1"/>
    <col min="4360" max="4360" width="11" style="2" customWidth="1"/>
    <col min="4361" max="4362" width="2.140625" style="2" customWidth="1"/>
    <col min="4363" max="4363" width="3.28515625" style="2" customWidth="1"/>
    <col min="4364" max="4365" width="0" style="2" hidden="1" customWidth="1"/>
    <col min="4366" max="4366" width="2.85546875" style="2" customWidth="1"/>
    <col min="4367" max="4367" width="3.28515625" style="2" customWidth="1"/>
    <col min="4368" max="4368" width="1.5703125" style="2" customWidth="1"/>
    <col min="4369" max="4369" width="0" style="2" hidden="1" customWidth="1"/>
    <col min="4370" max="4370" width="6.85546875" style="2" customWidth="1"/>
    <col min="4371" max="4371" width="0" style="2" hidden="1" customWidth="1"/>
    <col min="4372" max="4373" width="6.28515625" style="2" customWidth="1"/>
    <col min="4374" max="4374" width="13.85546875" style="2" customWidth="1"/>
    <col min="4375" max="4375" width="10.85546875" style="2" customWidth="1"/>
    <col min="4376" max="4376" width="14.7109375" style="2" customWidth="1"/>
    <col min="4377" max="4377" width="0" style="2" hidden="1" customWidth="1"/>
    <col min="4378" max="4378" width="13" style="2" customWidth="1"/>
    <col min="4379" max="4379" width="12.7109375" style="2" customWidth="1"/>
    <col min="4380" max="4380" width="13.140625" style="2" customWidth="1"/>
    <col min="4381" max="4381" width="14" style="2" customWidth="1"/>
    <col min="4382" max="4382" width="8.140625" style="2" customWidth="1"/>
    <col min="4383" max="4383" width="11.5703125" style="2" customWidth="1"/>
    <col min="4384" max="4384" width="24.7109375" style="2" customWidth="1"/>
    <col min="4385" max="4385" width="12" style="2" customWidth="1"/>
    <col min="4386" max="4387" width="0.28515625" style="2" customWidth="1"/>
    <col min="4388" max="4388" width="1.42578125" style="2" customWidth="1"/>
    <col min="4389" max="4389" width="0" style="2" hidden="1" customWidth="1"/>
    <col min="4390" max="4608" width="11.42578125" style="2"/>
    <col min="4609" max="4609" width="8" style="2" customWidth="1"/>
    <col min="4610" max="4610" width="13.42578125" style="2" customWidth="1"/>
    <col min="4611" max="4611" width="4.28515625" style="2" customWidth="1"/>
    <col min="4612" max="4612" width="4" style="2" customWidth="1"/>
    <col min="4613" max="4613" width="17" style="2" customWidth="1"/>
    <col min="4614" max="4614" width="4.140625" style="2" customWidth="1"/>
    <col min="4615" max="4615" width="11.28515625" style="2" customWidth="1"/>
    <col min="4616" max="4616" width="11" style="2" customWidth="1"/>
    <col min="4617" max="4618" width="2.140625" style="2" customWidth="1"/>
    <col min="4619" max="4619" width="3.28515625" style="2" customWidth="1"/>
    <col min="4620" max="4621" width="0" style="2" hidden="1" customWidth="1"/>
    <col min="4622" max="4622" width="2.85546875" style="2" customWidth="1"/>
    <col min="4623" max="4623" width="3.28515625" style="2" customWidth="1"/>
    <col min="4624" max="4624" width="1.5703125" style="2" customWidth="1"/>
    <col min="4625" max="4625" width="0" style="2" hidden="1" customWidth="1"/>
    <col min="4626" max="4626" width="6.85546875" style="2" customWidth="1"/>
    <col min="4627" max="4627" width="0" style="2" hidden="1" customWidth="1"/>
    <col min="4628" max="4629" width="6.28515625" style="2" customWidth="1"/>
    <col min="4630" max="4630" width="13.85546875" style="2" customWidth="1"/>
    <col min="4631" max="4631" width="10.85546875" style="2" customWidth="1"/>
    <col min="4632" max="4632" width="14.7109375" style="2" customWidth="1"/>
    <col min="4633" max="4633" width="0" style="2" hidden="1" customWidth="1"/>
    <col min="4634" max="4634" width="13" style="2" customWidth="1"/>
    <col min="4635" max="4635" width="12.7109375" style="2" customWidth="1"/>
    <col min="4636" max="4636" width="13.140625" style="2" customWidth="1"/>
    <col min="4637" max="4637" width="14" style="2" customWidth="1"/>
    <col min="4638" max="4638" width="8.140625" style="2" customWidth="1"/>
    <col min="4639" max="4639" width="11.5703125" style="2" customWidth="1"/>
    <col min="4640" max="4640" width="24.7109375" style="2" customWidth="1"/>
    <col min="4641" max="4641" width="12" style="2" customWidth="1"/>
    <col min="4642" max="4643" width="0.28515625" style="2" customWidth="1"/>
    <col min="4644" max="4644" width="1.42578125" style="2" customWidth="1"/>
    <col min="4645" max="4645" width="0" style="2" hidden="1" customWidth="1"/>
    <col min="4646" max="4864" width="11.42578125" style="2"/>
    <col min="4865" max="4865" width="8" style="2" customWidth="1"/>
    <col min="4866" max="4866" width="13.42578125" style="2" customWidth="1"/>
    <col min="4867" max="4867" width="4.28515625" style="2" customWidth="1"/>
    <col min="4868" max="4868" width="4" style="2" customWidth="1"/>
    <col min="4869" max="4869" width="17" style="2" customWidth="1"/>
    <col min="4870" max="4870" width="4.140625" style="2" customWidth="1"/>
    <col min="4871" max="4871" width="11.28515625" style="2" customWidth="1"/>
    <col min="4872" max="4872" width="11" style="2" customWidth="1"/>
    <col min="4873" max="4874" width="2.140625" style="2" customWidth="1"/>
    <col min="4875" max="4875" width="3.28515625" style="2" customWidth="1"/>
    <col min="4876" max="4877" width="0" style="2" hidden="1" customWidth="1"/>
    <col min="4878" max="4878" width="2.85546875" style="2" customWidth="1"/>
    <col min="4879" max="4879" width="3.28515625" style="2" customWidth="1"/>
    <col min="4880" max="4880" width="1.5703125" style="2" customWidth="1"/>
    <col min="4881" max="4881" width="0" style="2" hidden="1" customWidth="1"/>
    <col min="4882" max="4882" width="6.85546875" style="2" customWidth="1"/>
    <col min="4883" max="4883" width="0" style="2" hidden="1" customWidth="1"/>
    <col min="4884" max="4885" width="6.28515625" style="2" customWidth="1"/>
    <col min="4886" max="4886" width="13.85546875" style="2" customWidth="1"/>
    <col min="4887" max="4887" width="10.85546875" style="2" customWidth="1"/>
    <col min="4888" max="4888" width="14.7109375" style="2" customWidth="1"/>
    <col min="4889" max="4889" width="0" style="2" hidden="1" customWidth="1"/>
    <col min="4890" max="4890" width="13" style="2" customWidth="1"/>
    <col min="4891" max="4891" width="12.7109375" style="2" customWidth="1"/>
    <col min="4892" max="4892" width="13.140625" style="2" customWidth="1"/>
    <col min="4893" max="4893" width="14" style="2" customWidth="1"/>
    <col min="4894" max="4894" width="8.140625" style="2" customWidth="1"/>
    <col min="4895" max="4895" width="11.5703125" style="2" customWidth="1"/>
    <col min="4896" max="4896" width="24.7109375" style="2" customWidth="1"/>
    <col min="4897" max="4897" width="12" style="2" customWidth="1"/>
    <col min="4898" max="4899" width="0.28515625" style="2" customWidth="1"/>
    <col min="4900" max="4900" width="1.42578125" style="2" customWidth="1"/>
    <col min="4901" max="4901" width="0" style="2" hidden="1" customWidth="1"/>
    <col min="4902" max="5120" width="11.42578125" style="2"/>
    <col min="5121" max="5121" width="8" style="2" customWidth="1"/>
    <col min="5122" max="5122" width="13.42578125" style="2" customWidth="1"/>
    <col min="5123" max="5123" width="4.28515625" style="2" customWidth="1"/>
    <col min="5124" max="5124" width="4" style="2" customWidth="1"/>
    <col min="5125" max="5125" width="17" style="2" customWidth="1"/>
    <col min="5126" max="5126" width="4.140625" style="2" customWidth="1"/>
    <col min="5127" max="5127" width="11.28515625" style="2" customWidth="1"/>
    <col min="5128" max="5128" width="11" style="2" customWidth="1"/>
    <col min="5129" max="5130" width="2.140625" style="2" customWidth="1"/>
    <col min="5131" max="5131" width="3.28515625" style="2" customWidth="1"/>
    <col min="5132" max="5133" width="0" style="2" hidden="1" customWidth="1"/>
    <col min="5134" max="5134" width="2.85546875" style="2" customWidth="1"/>
    <col min="5135" max="5135" width="3.28515625" style="2" customWidth="1"/>
    <col min="5136" max="5136" width="1.5703125" style="2" customWidth="1"/>
    <col min="5137" max="5137" width="0" style="2" hidden="1" customWidth="1"/>
    <col min="5138" max="5138" width="6.85546875" style="2" customWidth="1"/>
    <col min="5139" max="5139" width="0" style="2" hidden="1" customWidth="1"/>
    <col min="5140" max="5141" width="6.28515625" style="2" customWidth="1"/>
    <col min="5142" max="5142" width="13.85546875" style="2" customWidth="1"/>
    <col min="5143" max="5143" width="10.85546875" style="2" customWidth="1"/>
    <col min="5144" max="5144" width="14.7109375" style="2" customWidth="1"/>
    <col min="5145" max="5145" width="0" style="2" hidden="1" customWidth="1"/>
    <col min="5146" max="5146" width="13" style="2" customWidth="1"/>
    <col min="5147" max="5147" width="12.7109375" style="2" customWidth="1"/>
    <col min="5148" max="5148" width="13.140625" style="2" customWidth="1"/>
    <col min="5149" max="5149" width="14" style="2" customWidth="1"/>
    <col min="5150" max="5150" width="8.140625" style="2" customWidth="1"/>
    <col min="5151" max="5151" width="11.5703125" style="2" customWidth="1"/>
    <col min="5152" max="5152" width="24.7109375" style="2" customWidth="1"/>
    <col min="5153" max="5153" width="12" style="2" customWidth="1"/>
    <col min="5154" max="5155" width="0.28515625" style="2" customWidth="1"/>
    <col min="5156" max="5156" width="1.42578125" style="2" customWidth="1"/>
    <col min="5157" max="5157" width="0" style="2" hidden="1" customWidth="1"/>
    <col min="5158" max="5376" width="11.42578125" style="2"/>
    <col min="5377" max="5377" width="8" style="2" customWidth="1"/>
    <col min="5378" max="5378" width="13.42578125" style="2" customWidth="1"/>
    <col min="5379" max="5379" width="4.28515625" style="2" customWidth="1"/>
    <col min="5380" max="5380" width="4" style="2" customWidth="1"/>
    <col min="5381" max="5381" width="17" style="2" customWidth="1"/>
    <col min="5382" max="5382" width="4.140625" style="2" customWidth="1"/>
    <col min="5383" max="5383" width="11.28515625" style="2" customWidth="1"/>
    <col min="5384" max="5384" width="11" style="2" customWidth="1"/>
    <col min="5385" max="5386" width="2.140625" style="2" customWidth="1"/>
    <col min="5387" max="5387" width="3.28515625" style="2" customWidth="1"/>
    <col min="5388" max="5389" width="0" style="2" hidden="1" customWidth="1"/>
    <col min="5390" max="5390" width="2.85546875" style="2" customWidth="1"/>
    <col min="5391" max="5391" width="3.28515625" style="2" customWidth="1"/>
    <col min="5392" max="5392" width="1.5703125" style="2" customWidth="1"/>
    <col min="5393" max="5393" width="0" style="2" hidden="1" customWidth="1"/>
    <col min="5394" max="5394" width="6.85546875" style="2" customWidth="1"/>
    <col min="5395" max="5395" width="0" style="2" hidden="1" customWidth="1"/>
    <col min="5396" max="5397" width="6.28515625" style="2" customWidth="1"/>
    <col min="5398" max="5398" width="13.85546875" style="2" customWidth="1"/>
    <col min="5399" max="5399" width="10.85546875" style="2" customWidth="1"/>
    <col min="5400" max="5400" width="14.7109375" style="2" customWidth="1"/>
    <col min="5401" max="5401" width="0" style="2" hidden="1" customWidth="1"/>
    <col min="5402" max="5402" width="13" style="2" customWidth="1"/>
    <col min="5403" max="5403" width="12.7109375" style="2" customWidth="1"/>
    <col min="5404" max="5404" width="13.140625" style="2" customWidth="1"/>
    <col min="5405" max="5405" width="14" style="2" customWidth="1"/>
    <col min="5406" max="5406" width="8.140625" style="2" customWidth="1"/>
    <col min="5407" max="5407" width="11.5703125" style="2" customWidth="1"/>
    <col min="5408" max="5408" width="24.7109375" style="2" customWidth="1"/>
    <col min="5409" max="5409" width="12" style="2" customWidth="1"/>
    <col min="5410" max="5411" width="0.28515625" style="2" customWidth="1"/>
    <col min="5412" max="5412" width="1.42578125" style="2" customWidth="1"/>
    <col min="5413" max="5413" width="0" style="2" hidden="1" customWidth="1"/>
    <col min="5414" max="5632" width="11.42578125" style="2"/>
    <col min="5633" max="5633" width="8" style="2" customWidth="1"/>
    <col min="5634" max="5634" width="13.42578125" style="2" customWidth="1"/>
    <col min="5635" max="5635" width="4.28515625" style="2" customWidth="1"/>
    <col min="5636" max="5636" width="4" style="2" customWidth="1"/>
    <col min="5637" max="5637" width="17" style="2" customWidth="1"/>
    <col min="5638" max="5638" width="4.140625" style="2" customWidth="1"/>
    <col min="5639" max="5639" width="11.28515625" style="2" customWidth="1"/>
    <col min="5640" max="5640" width="11" style="2" customWidth="1"/>
    <col min="5641" max="5642" width="2.140625" style="2" customWidth="1"/>
    <col min="5643" max="5643" width="3.28515625" style="2" customWidth="1"/>
    <col min="5644" max="5645" width="0" style="2" hidden="1" customWidth="1"/>
    <col min="5646" max="5646" width="2.85546875" style="2" customWidth="1"/>
    <col min="5647" max="5647" width="3.28515625" style="2" customWidth="1"/>
    <col min="5648" max="5648" width="1.5703125" style="2" customWidth="1"/>
    <col min="5649" max="5649" width="0" style="2" hidden="1" customWidth="1"/>
    <col min="5650" max="5650" width="6.85546875" style="2" customWidth="1"/>
    <col min="5651" max="5651" width="0" style="2" hidden="1" customWidth="1"/>
    <col min="5652" max="5653" width="6.28515625" style="2" customWidth="1"/>
    <col min="5654" max="5654" width="13.85546875" style="2" customWidth="1"/>
    <col min="5655" max="5655" width="10.85546875" style="2" customWidth="1"/>
    <col min="5656" max="5656" width="14.7109375" style="2" customWidth="1"/>
    <col min="5657" max="5657" width="0" style="2" hidden="1" customWidth="1"/>
    <col min="5658" max="5658" width="13" style="2" customWidth="1"/>
    <col min="5659" max="5659" width="12.7109375" style="2" customWidth="1"/>
    <col min="5660" max="5660" width="13.140625" style="2" customWidth="1"/>
    <col min="5661" max="5661" width="14" style="2" customWidth="1"/>
    <col min="5662" max="5662" width="8.140625" style="2" customWidth="1"/>
    <col min="5663" max="5663" width="11.5703125" style="2" customWidth="1"/>
    <col min="5664" max="5664" width="24.7109375" style="2" customWidth="1"/>
    <col min="5665" max="5665" width="12" style="2" customWidth="1"/>
    <col min="5666" max="5667" width="0.28515625" style="2" customWidth="1"/>
    <col min="5668" max="5668" width="1.42578125" style="2" customWidth="1"/>
    <col min="5669" max="5669" width="0" style="2" hidden="1" customWidth="1"/>
    <col min="5670" max="5888" width="11.42578125" style="2"/>
    <col min="5889" max="5889" width="8" style="2" customWidth="1"/>
    <col min="5890" max="5890" width="13.42578125" style="2" customWidth="1"/>
    <col min="5891" max="5891" width="4.28515625" style="2" customWidth="1"/>
    <col min="5892" max="5892" width="4" style="2" customWidth="1"/>
    <col min="5893" max="5893" width="17" style="2" customWidth="1"/>
    <col min="5894" max="5894" width="4.140625" style="2" customWidth="1"/>
    <col min="5895" max="5895" width="11.28515625" style="2" customWidth="1"/>
    <col min="5896" max="5896" width="11" style="2" customWidth="1"/>
    <col min="5897" max="5898" width="2.140625" style="2" customWidth="1"/>
    <col min="5899" max="5899" width="3.28515625" style="2" customWidth="1"/>
    <col min="5900" max="5901" width="0" style="2" hidden="1" customWidth="1"/>
    <col min="5902" max="5902" width="2.85546875" style="2" customWidth="1"/>
    <col min="5903" max="5903" width="3.28515625" style="2" customWidth="1"/>
    <col min="5904" max="5904" width="1.5703125" style="2" customWidth="1"/>
    <col min="5905" max="5905" width="0" style="2" hidden="1" customWidth="1"/>
    <col min="5906" max="5906" width="6.85546875" style="2" customWidth="1"/>
    <col min="5907" max="5907" width="0" style="2" hidden="1" customWidth="1"/>
    <col min="5908" max="5909" width="6.28515625" style="2" customWidth="1"/>
    <col min="5910" max="5910" width="13.85546875" style="2" customWidth="1"/>
    <col min="5911" max="5911" width="10.85546875" style="2" customWidth="1"/>
    <col min="5912" max="5912" width="14.7109375" style="2" customWidth="1"/>
    <col min="5913" max="5913" width="0" style="2" hidden="1" customWidth="1"/>
    <col min="5914" max="5914" width="13" style="2" customWidth="1"/>
    <col min="5915" max="5915" width="12.7109375" style="2" customWidth="1"/>
    <col min="5916" max="5916" width="13.140625" style="2" customWidth="1"/>
    <col min="5917" max="5917" width="14" style="2" customWidth="1"/>
    <col min="5918" max="5918" width="8.140625" style="2" customWidth="1"/>
    <col min="5919" max="5919" width="11.5703125" style="2" customWidth="1"/>
    <col min="5920" max="5920" width="24.7109375" style="2" customWidth="1"/>
    <col min="5921" max="5921" width="12" style="2" customWidth="1"/>
    <col min="5922" max="5923" width="0.28515625" style="2" customWidth="1"/>
    <col min="5924" max="5924" width="1.42578125" style="2" customWidth="1"/>
    <col min="5925" max="5925" width="0" style="2" hidden="1" customWidth="1"/>
    <col min="5926" max="6144" width="11.42578125" style="2"/>
    <col min="6145" max="6145" width="8" style="2" customWidth="1"/>
    <col min="6146" max="6146" width="13.42578125" style="2" customWidth="1"/>
    <col min="6147" max="6147" width="4.28515625" style="2" customWidth="1"/>
    <col min="6148" max="6148" width="4" style="2" customWidth="1"/>
    <col min="6149" max="6149" width="17" style="2" customWidth="1"/>
    <col min="6150" max="6150" width="4.140625" style="2" customWidth="1"/>
    <col min="6151" max="6151" width="11.28515625" style="2" customWidth="1"/>
    <col min="6152" max="6152" width="11" style="2" customWidth="1"/>
    <col min="6153" max="6154" width="2.140625" style="2" customWidth="1"/>
    <col min="6155" max="6155" width="3.28515625" style="2" customWidth="1"/>
    <col min="6156" max="6157" width="0" style="2" hidden="1" customWidth="1"/>
    <col min="6158" max="6158" width="2.85546875" style="2" customWidth="1"/>
    <col min="6159" max="6159" width="3.28515625" style="2" customWidth="1"/>
    <col min="6160" max="6160" width="1.5703125" style="2" customWidth="1"/>
    <col min="6161" max="6161" width="0" style="2" hidden="1" customWidth="1"/>
    <col min="6162" max="6162" width="6.85546875" style="2" customWidth="1"/>
    <col min="6163" max="6163" width="0" style="2" hidden="1" customWidth="1"/>
    <col min="6164" max="6165" width="6.28515625" style="2" customWidth="1"/>
    <col min="6166" max="6166" width="13.85546875" style="2" customWidth="1"/>
    <col min="6167" max="6167" width="10.85546875" style="2" customWidth="1"/>
    <col min="6168" max="6168" width="14.7109375" style="2" customWidth="1"/>
    <col min="6169" max="6169" width="0" style="2" hidden="1" customWidth="1"/>
    <col min="6170" max="6170" width="13" style="2" customWidth="1"/>
    <col min="6171" max="6171" width="12.7109375" style="2" customWidth="1"/>
    <col min="6172" max="6172" width="13.140625" style="2" customWidth="1"/>
    <col min="6173" max="6173" width="14" style="2" customWidth="1"/>
    <col min="6174" max="6174" width="8.140625" style="2" customWidth="1"/>
    <col min="6175" max="6175" width="11.5703125" style="2" customWidth="1"/>
    <col min="6176" max="6176" width="24.7109375" style="2" customWidth="1"/>
    <col min="6177" max="6177" width="12" style="2" customWidth="1"/>
    <col min="6178" max="6179" width="0.28515625" style="2" customWidth="1"/>
    <col min="6180" max="6180" width="1.42578125" style="2" customWidth="1"/>
    <col min="6181" max="6181" width="0" style="2" hidden="1" customWidth="1"/>
    <col min="6182" max="6400" width="11.42578125" style="2"/>
    <col min="6401" max="6401" width="8" style="2" customWidth="1"/>
    <col min="6402" max="6402" width="13.42578125" style="2" customWidth="1"/>
    <col min="6403" max="6403" width="4.28515625" style="2" customWidth="1"/>
    <col min="6404" max="6404" width="4" style="2" customWidth="1"/>
    <col min="6405" max="6405" width="17" style="2" customWidth="1"/>
    <col min="6406" max="6406" width="4.140625" style="2" customWidth="1"/>
    <col min="6407" max="6407" width="11.28515625" style="2" customWidth="1"/>
    <col min="6408" max="6408" width="11" style="2" customWidth="1"/>
    <col min="6409" max="6410" width="2.140625" style="2" customWidth="1"/>
    <col min="6411" max="6411" width="3.28515625" style="2" customWidth="1"/>
    <col min="6412" max="6413" width="0" style="2" hidden="1" customWidth="1"/>
    <col min="6414" max="6414" width="2.85546875" style="2" customWidth="1"/>
    <col min="6415" max="6415" width="3.28515625" style="2" customWidth="1"/>
    <col min="6416" max="6416" width="1.5703125" style="2" customWidth="1"/>
    <col min="6417" max="6417" width="0" style="2" hidden="1" customWidth="1"/>
    <col min="6418" max="6418" width="6.85546875" style="2" customWidth="1"/>
    <col min="6419" max="6419" width="0" style="2" hidden="1" customWidth="1"/>
    <col min="6420" max="6421" width="6.28515625" style="2" customWidth="1"/>
    <col min="6422" max="6422" width="13.85546875" style="2" customWidth="1"/>
    <col min="6423" max="6423" width="10.85546875" style="2" customWidth="1"/>
    <col min="6424" max="6424" width="14.7109375" style="2" customWidth="1"/>
    <col min="6425" max="6425" width="0" style="2" hidden="1" customWidth="1"/>
    <col min="6426" max="6426" width="13" style="2" customWidth="1"/>
    <col min="6427" max="6427" width="12.7109375" style="2" customWidth="1"/>
    <col min="6428" max="6428" width="13.140625" style="2" customWidth="1"/>
    <col min="6429" max="6429" width="14" style="2" customWidth="1"/>
    <col min="6430" max="6430" width="8.140625" style="2" customWidth="1"/>
    <col min="6431" max="6431" width="11.5703125" style="2" customWidth="1"/>
    <col min="6432" max="6432" width="24.7109375" style="2" customWidth="1"/>
    <col min="6433" max="6433" width="12" style="2" customWidth="1"/>
    <col min="6434" max="6435" width="0.28515625" style="2" customWidth="1"/>
    <col min="6436" max="6436" width="1.42578125" style="2" customWidth="1"/>
    <col min="6437" max="6437" width="0" style="2" hidden="1" customWidth="1"/>
    <col min="6438" max="6656" width="11.42578125" style="2"/>
    <col min="6657" max="6657" width="8" style="2" customWidth="1"/>
    <col min="6658" max="6658" width="13.42578125" style="2" customWidth="1"/>
    <col min="6659" max="6659" width="4.28515625" style="2" customWidth="1"/>
    <col min="6660" max="6660" width="4" style="2" customWidth="1"/>
    <col min="6661" max="6661" width="17" style="2" customWidth="1"/>
    <col min="6662" max="6662" width="4.140625" style="2" customWidth="1"/>
    <col min="6663" max="6663" width="11.28515625" style="2" customWidth="1"/>
    <col min="6664" max="6664" width="11" style="2" customWidth="1"/>
    <col min="6665" max="6666" width="2.140625" style="2" customWidth="1"/>
    <col min="6667" max="6667" width="3.28515625" style="2" customWidth="1"/>
    <col min="6668" max="6669" width="0" style="2" hidden="1" customWidth="1"/>
    <col min="6670" max="6670" width="2.85546875" style="2" customWidth="1"/>
    <col min="6671" max="6671" width="3.28515625" style="2" customWidth="1"/>
    <col min="6672" max="6672" width="1.5703125" style="2" customWidth="1"/>
    <col min="6673" max="6673" width="0" style="2" hidden="1" customWidth="1"/>
    <col min="6674" max="6674" width="6.85546875" style="2" customWidth="1"/>
    <col min="6675" max="6675" width="0" style="2" hidden="1" customWidth="1"/>
    <col min="6676" max="6677" width="6.28515625" style="2" customWidth="1"/>
    <col min="6678" max="6678" width="13.85546875" style="2" customWidth="1"/>
    <col min="6679" max="6679" width="10.85546875" style="2" customWidth="1"/>
    <col min="6680" max="6680" width="14.7109375" style="2" customWidth="1"/>
    <col min="6681" max="6681" width="0" style="2" hidden="1" customWidth="1"/>
    <col min="6682" max="6682" width="13" style="2" customWidth="1"/>
    <col min="6683" max="6683" width="12.7109375" style="2" customWidth="1"/>
    <col min="6684" max="6684" width="13.140625" style="2" customWidth="1"/>
    <col min="6685" max="6685" width="14" style="2" customWidth="1"/>
    <col min="6686" max="6686" width="8.140625" style="2" customWidth="1"/>
    <col min="6687" max="6687" width="11.5703125" style="2" customWidth="1"/>
    <col min="6688" max="6688" width="24.7109375" style="2" customWidth="1"/>
    <col min="6689" max="6689" width="12" style="2" customWidth="1"/>
    <col min="6690" max="6691" width="0.28515625" style="2" customWidth="1"/>
    <col min="6692" max="6692" width="1.42578125" style="2" customWidth="1"/>
    <col min="6693" max="6693" width="0" style="2" hidden="1" customWidth="1"/>
    <col min="6694" max="6912" width="11.42578125" style="2"/>
    <col min="6913" max="6913" width="8" style="2" customWidth="1"/>
    <col min="6914" max="6914" width="13.42578125" style="2" customWidth="1"/>
    <col min="6915" max="6915" width="4.28515625" style="2" customWidth="1"/>
    <col min="6916" max="6916" width="4" style="2" customWidth="1"/>
    <col min="6917" max="6917" width="17" style="2" customWidth="1"/>
    <col min="6918" max="6918" width="4.140625" style="2" customWidth="1"/>
    <col min="6919" max="6919" width="11.28515625" style="2" customWidth="1"/>
    <col min="6920" max="6920" width="11" style="2" customWidth="1"/>
    <col min="6921" max="6922" width="2.140625" style="2" customWidth="1"/>
    <col min="6923" max="6923" width="3.28515625" style="2" customWidth="1"/>
    <col min="6924" max="6925" width="0" style="2" hidden="1" customWidth="1"/>
    <col min="6926" max="6926" width="2.85546875" style="2" customWidth="1"/>
    <col min="6927" max="6927" width="3.28515625" style="2" customWidth="1"/>
    <col min="6928" max="6928" width="1.5703125" style="2" customWidth="1"/>
    <col min="6929" max="6929" width="0" style="2" hidden="1" customWidth="1"/>
    <col min="6930" max="6930" width="6.85546875" style="2" customWidth="1"/>
    <col min="6931" max="6931" width="0" style="2" hidden="1" customWidth="1"/>
    <col min="6932" max="6933" width="6.28515625" style="2" customWidth="1"/>
    <col min="6934" max="6934" width="13.85546875" style="2" customWidth="1"/>
    <col min="6935" max="6935" width="10.85546875" style="2" customWidth="1"/>
    <col min="6936" max="6936" width="14.7109375" style="2" customWidth="1"/>
    <col min="6937" max="6937" width="0" style="2" hidden="1" customWidth="1"/>
    <col min="6938" max="6938" width="13" style="2" customWidth="1"/>
    <col min="6939" max="6939" width="12.7109375" style="2" customWidth="1"/>
    <col min="6940" max="6940" width="13.140625" style="2" customWidth="1"/>
    <col min="6941" max="6941" width="14" style="2" customWidth="1"/>
    <col min="6942" max="6942" width="8.140625" style="2" customWidth="1"/>
    <col min="6943" max="6943" width="11.5703125" style="2" customWidth="1"/>
    <col min="6944" max="6944" width="24.7109375" style="2" customWidth="1"/>
    <col min="6945" max="6945" width="12" style="2" customWidth="1"/>
    <col min="6946" max="6947" width="0.28515625" style="2" customWidth="1"/>
    <col min="6948" max="6948" width="1.42578125" style="2" customWidth="1"/>
    <col min="6949" max="6949" width="0" style="2" hidden="1" customWidth="1"/>
    <col min="6950" max="7168" width="11.42578125" style="2"/>
    <col min="7169" max="7169" width="8" style="2" customWidth="1"/>
    <col min="7170" max="7170" width="13.42578125" style="2" customWidth="1"/>
    <col min="7171" max="7171" width="4.28515625" style="2" customWidth="1"/>
    <col min="7172" max="7172" width="4" style="2" customWidth="1"/>
    <col min="7173" max="7173" width="17" style="2" customWidth="1"/>
    <col min="7174" max="7174" width="4.140625" style="2" customWidth="1"/>
    <col min="7175" max="7175" width="11.28515625" style="2" customWidth="1"/>
    <col min="7176" max="7176" width="11" style="2" customWidth="1"/>
    <col min="7177" max="7178" width="2.140625" style="2" customWidth="1"/>
    <col min="7179" max="7179" width="3.28515625" style="2" customWidth="1"/>
    <col min="7180" max="7181" width="0" style="2" hidden="1" customWidth="1"/>
    <col min="7182" max="7182" width="2.85546875" style="2" customWidth="1"/>
    <col min="7183" max="7183" width="3.28515625" style="2" customWidth="1"/>
    <col min="7184" max="7184" width="1.5703125" style="2" customWidth="1"/>
    <col min="7185" max="7185" width="0" style="2" hidden="1" customWidth="1"/>
    <col min="7186" max="7186" width="6.85546875" style="2" customWidth="1"/>
    <col min="7187" max="7187" width="0" style="2" hidden="1" customWidth="1"/>
    <col min="7188" max="7189" width="6.28515625" style="2" customWidth="1"/>
    <col min="7190" max="7190" width="13.85546875" style="2" customWidth="1"/>
    <col min="7191" max="7191" width="10.85546875" style="2" customWidth="1"/>
    <col min="7192" max="7192" width="14.7109375" style="2" customWidth="1"/>
    <col min="7193" max="7193" width="0" style="2" hidden="1" customWidth="1"/>
    <col min="7194" max="7194" width="13" style="2" customWidth="1"/>
    <col min="7195" max="7195" width="12.7109375" style="2" customWidth="1"/>
    <col min="7196" max="7196" width="13.140625" style="2" customWidth="1"/>
    <col min="7197" max="7197" width="14" style="2" customWidth="1"/>
    <col min="7198" max="7198" width="8.140625" style="2" customWidth="1"/>
    <col min="7199" max="7199" width="11.5703125" style="2" customWidth="1"/>
    <col min="7200" max="7200" width="24.7109375" style="2" customWidth="1"/>
    <col min="7201" max="7201" width="12" style="2" customWidth="1"/>
    <col min="7202" max="7203" width="0.28515625" style="2" customWidth="1"/>
    <col min="7204" max="7204" width="1.42578125" style="2" customWidth="1"/>
    <col min="7205" max="7205" width="0" style="2" hidden="1" customWidth="1"/>
    <col min="7206" max="7424" width="11.42578125" style="2"/>
    <col min="7425" max="7425" width="8" style="2" customWidth="1"/>
    <col min="7426" max="7426" width="13.42578125" style="2" customWidth="1"/>
    <col min="7427" max="7427" width="4.28515625" style="2" customWidth="1"/>
    <col min="7428" max="7428" width="4" style="2" customWidth="1"/>
    <col min="7429" max="7429" width="17" style="2" customWidth="1"/>
    <col min="7430" max="7430" width="4.140625" style="2" customWidth="1"/>
    <col min="7431" max="7431" width="11.28515625" style="2" customWidth="1"/>
    <col min="7432" max="7432" width="11" style="2" customWidth="1"/>
    <col min="7433" max="7434" width="2.140625" style="2" customWidth="1"/>
    <col min="7435" max="7435" width="3.28515625" style="2" customWidth="1"/>
    <col min="7436" max="7437" width="0" style="2" hidden="1" customWidth="1"/>
    <col min="7438" max="7438" width="2.85546875" style="2" customWidth="1"/>
    <col min="7439" max="7439" width="3.28515625" style="2" customWidth="1"/>
    <col min="7440" max="7440" width="1.5703125" style="2" customWidth="1"/>
    <col min="7441" max="7441" width="0" style="2" hidden="1" customWidth="1"/>
    <col min="7442" max="7442" width="6.85546875" style="2" customWidth="1"/>
    <col min="7443" max="7443" width="0" style="2" hidden="1" customWidth="1"/>
    <col min="7444" max="7445" width="6.28515625" style="2" customWidth="1"/>
    <col min="7446" max="7446" width="13.85546875" style="2" customWidth="1"/>
    <col min="7447" max="7447" width="10.85546875" style="2" customWidth="1"/>
    <col min="7448" max="7448" width="14.7109375" style="2" customWidth="1"/>
    <col min="7449" max="7449" width="0" style="2" hidden="1" customWidth="1"/>
    <col min="7450" max="7450" width="13" style="2" customWidth="1"/>
    <col min="7451" max="7451" width="12.7109375" style="2" customWidth="1"/>
    <col min="7452" max="7452" width="13.140625" style="2" customWidth="1"/>
    <col min="7453" max="7453" width="14" style="2" customWidth="1"/>
    <col min="7454" max="7454" width="8.140625" style="2" customWidth="1"/>
    <col min="7455" max="7455" width="11.5703125" style="2" customWidth="1"/>
    <col min="7456" max="7456" width="24.7109375" style="2" customWidth="1"/>
    <col min="7457" max="7457" width="12" style="2" customWidth="1"/>
    <col min="7458" max="7459" width="0.28515625" style="2" customWidth="1"/>
    <col min="7460" max="7460" width="1.42578125" style="2" customWidth="1"/>
    <col min="7461" max="7461" width="0" style="2" hidden="1" customWidth="1"/>
    <col min="7462" max="7680" width="11.42578125" style="2"/>
    <col min="7681" max="7681" width="8" style="2" customWidth="1"/>
    <col min="7682" max="7682" width="13.42578125" style="2" customWidth="1"/>
    <col min="7683" max="7683" width="4.28515625" style="2" customWidth="1"/>
    <col min="7684" max="7684" width="4" style="2" customWidth="1"/>
    <col min="7685" max="7685" width="17" style="2" customWidth="1"/>
    <col min="7686" max="7686" width="4.140625" style="2" customWidth="1"/>
    <col min="7687" max="7687" width="11.28515625" style="2" customWidth="1"/>
    <col min="7688" max="7688" width="11" style="2" customWidth="1"/>
    <col min="7689" max="7690" width="2.140625" style="2" customWidth="1"/>
    <col min="7691" max="7691" width="3.28515625" style="2" customWidth="1"/>
    <col min="7692" max="7693" width="0" style="2" hidden="1" customWidth="1"/>
    <col min="7694" max="7694" width="2.85546875" style="2" customWidth="1"/>
    <col min="7695" max="7695" width="3.28515625" style="2" customWidth="1"/>
    <col min="7696" max="7696" width="1.5703125" style="2" customWidth="1"/>
    <col min="7697" max="7697" width="0" style="2" hidden="1" customWidth="1"/>
    <col min="7698" max="7698" width="6.85546875" style="2" customWidth="1"/>
    <col min="7699" max="7699" width="0" style="2" hidden="1" customWidth="1"/>
    <col min="7700" max="7701" width="6.28515625" style="2" customWidth="1"/>
    <col min="7702" max="7702" width="13.85546875" style="2" customWidth="1"/>
    <col min="7703" max="7703" width="10.85546875" style="2" customWidth="1"/>
    <col min="7704" max="7704" width="14.7109375" style="2" customWidth="1"/>
    <col min="7705" max="7705" width="0" style="2" hidden="1" customWidth="1"/>
    <col min="7706" max="7706" width="13" style="2" customWidth="1"/>
    <col min="7707" max="7707" width="12.7109375" style="2" customWidth="1"/>
    <col min="7708" max="7708" width="13.140625" style="2" customWidth="1"/>
    <col min="7709" max="7709" width="14" style="2" customWidth="1"/>
    <col min="7710" max="7710" width="8.140625" style="2" customWidth="1"/>
    <col min="7711" max="7711" width="11.5703125" style="2" customWidth="1"/>
    <col min="7712" max="7712" width="24.7109375" style="2" customWidth="1"/>
    <col min="7713" max="7713" width="12" style="2" customWidth="1"/>
    <col min="7714" max="7715" width="0.28515625" style="2" customWidth="1"/>
    <col min="7716" max="7716" width="1.42578125" style="2" customWidth="1"/>
    <col min="7717" max="7717" width="0" style="2" hidden="1" customWidth="1"/>
    <col min="7718" max="7936" width="11.42578125" style="2"/>
    <col min="7937" max="7937" width="8" style="2" customWidth="1"/>
    <col min="7938" max="7938" width="13.42578125" style="2" customWidth="1"/>
    <col min="7939" max="7939" width="4.28515625" style="2" customWidth="1"/>
    <col min="7940" max="7940" width="4" style="2" customWidth="1"/>
    <col min="7941" max="7941" width="17" style="2" customWidth="1"/>
    <col min="7942" max="7942" width="4.140625" style="2" customWidth="1"/>
    <col min="7943" max="7943" width="11.28515625" style="2" customWidth="1"/>
    <col min="7944" max="7944" width="11" style="2" customWidth="1"/>
    <col min="7945" max="7946" width="2.140625" style="2" customWidth="1"/>
    <col min="7947" max="7947" width="3.28515625" style="2" customWidth="1"/>
    <col min="7948" max="7949" width="0" style="2" hidden="1" customWidth="1"/>
    <col min="7950" max="7950" width="2.85546875" style="2" customWidth="1"/>
    <col min="7951" max="7951" width="3.28515625" style="2" customWidth="1"/>
    <col min="7952" max="7952" width="1.5703125" style="2" customWidth="1"/>
    <col min="7953" max="7953" width="0" style="2" hidden="1" customWidth="1"/>
    <col min="7954" max="7954" width="6.85546875" style="2" customWidth="1"/>
    <col min="7955" max="7955" width="0" style="2" hidden="1" customWidth="1"/>
    <col min="7956" max="7957" width="6.28515625" style="2" customWidth="1"/>
    <col min="7958" max="7958" width="13.85546875" style="2" customWidth="1"/>
    <col min="7959" max="7959" width="10.85546875" style="2" customWidth="1"/>
    <col min="7960" max="7960" width="14.7109375" style="2" customWidth="1"/>
    <col min="7961" max="7961" width="0" style="2" hidden="1" customWidth="1"/>
    <col min="7962" max="7962" width="13" style="2" customWidth="1"/>
    <col min="7963" max="7963" width="12.7109375" style="2" customWidth="1"/>
    <col min="7964" max="7964" width="13.140625" style="2" customWidth="1"/>
    <col min="7965" max="7965" width="14" style="2" customWidth="1"/>
    <col min="7966" max="7966" width="8.140625" style="2" customWidth="1"/>
    <col min="7967" max="7967" width="11.5703125" style="2" customWidth="1"/>
    <col min="7968" max="7968" width="24.7109375" style="2" customWidth="1"/>
    <col min="7969" max="7969" width="12" style="2" customWidth="1"/>
    <col min="7970" max="7971" width="0.28515625" style="2" customWidth="1"/>
    <col min="7972" max="7972" width="1.42578125" style="2" customWidth="1"/>
    <col min="7973" max="7973" width="0" style="2" hidden="1" customWidth="1"/>
    <col min="7974" max="8192" width="11.42578125" style="2"/>
    <col min="8193" max="8193" width="8" style="2" customWidth="1"/>
    <col min="8194" max="8194" width="13.42578125" style="2" customWidth="1"/>
    <col min="8195" max="8195" width="4.28515625" style="2" customWidth="1"/>
    <col min="8196" max="8196" width="4" style="2" customWidth="1"/>
    <col min="8197" max="8197" width="17" style="2" customWidth="1"/>
    <col min="8198" max="8198" width="4.140625" style="2" customWidth="1"/>
    <col min="8199" max="8199" width="11.28515625" style="2" customWidth="1"/>
    <col min="8200" max="8200" width="11" style="2" customWidth="1"/>
    <col min="8201" max="8202" width="2.140625" style="2" customWidth="1"/>
    <col min="8203" max="8203" width="3.28515625" style="2" customWidth="1"/>
    <col min="8204" max="8205" width="0" style="2" hidden="1" customWidth="1"/>
    <col min="8206" max="8206" width="2.85546875" style="2" customWidth="1"/>
    <col min="8207" max="8207" width="3.28515625" style="2" customWidth="1"/>
    <col min="8208" max="8208" width="1.5703125" style="2" customWidth="1"/>
    <col min="8209" max="8209" width="0" style="2" hidden="1" customWidth="1"/>
    <col min="8210" max="8210" width="6.85546875" style="2" customWidth="1"/>
    <col min="8211" max="8211" width="0" style="2" hidden="1" customWidth="1"/>
    <col min="8212" max="8213" width="6.28515625" style="2" customWidth="1"/>
    <col min="8214" max="8214" width="13.85546875" style="2" customWidth="1"/>
    <col min="8215" max="8215" width="10.85546875" style="2" customWidth="1"/>
    <col min="8216" max="8216" width="14.7109375" style="2" customWidth="1"/>
    <col min="8217" max="8217" width="0" style="2" hidden="1" customWidth="1"/>
    <col min="8218" max="8218" width="13" style="2" customWidth="1"/>
    <col min="8219" max="8219" width="12.7109375" style="2" customWidth="1"/>
    <col min="8220" max="8220" width="13.140625" style="2" customWidth="1"/>
    <col min="8221" max="8221" width="14" style="2" customWidth="1"/>
    <col min="8222" max="8222" width="8.140625" style="2" customWidth="1"/>
    <col min="8223" max="8223" width="11.5703125" style="2" customWidth="1"/>
    <col min="8224" max="8224" width="24.7109375" style="2" customWidth="1"/>
    <col min="8225" max="8225" width="12" style="2" customWidth="1"/>
    <col min="8226" max="8227" width="0.28515625" style="2" customWidth="1"/>
    <col min="8228" max="8228" width="1.42578125" style="2" customWidth="1"/>
    <col min="8229" max="8229" width="0" style="2" hidden="1" customWidth="1"/>
    <col min="8230" max="8448" width="11.42578125" style="2"/>
    <col min="8449" max="8449" width="8" style="2" customWidth="1"/>
    <col min="8450" max="8450" width="13.42578125" style="2" customWidth="1"/>
    <col min="8451" max="8451" width="4.28515625" style="2" customWidth="1"/>
    <col min="8452" max="8452" width="4" style="2" customWidth="1"/>
    <col min="8453" max="8453" width="17" style="2" customWidth="1"/>
    <col min="8454" max="8454" width="4.140625" style="2" customWidth="1"/>
    <col min="8455" max="8455" width="11.28515625" style="2" customWidth="1"/>
    <col min="8456" max="8456" width="11" style="2" customWidth="1"/>
    <col min="8457" max="8458" width="2.140625" style="2" customWidth="1"/>
    <col min="8459" max="8459" width="3.28515625" style="2" customWidth="1"/>
    <col min="8460" max="8461" width="0" style="2" hidden="1" customWidth="1"/>
    <col min="8462" max="8462" width="2.85546875" style="2" customWidth="1"/>
    <col min="8463" max="8463" width="3.28515625" style="2" customWidth="1"/>
    <col min="8464" max="8464" width="1.5703125" style="2" customWidth="1"/>
    <col min="8465" max="8465" width="0" style="2" hidden="1" customWidth="1"/>
    <col min="8466" max="8466" width="6.85546875" style="2" customWidth="1"/>
    <col min="8467" max="8467" width="0" style="2" hidden="1" customWidth="1"/>
    <col min="8468" max="8469" width="6.28515625" style="2" customWidth="1"/>
    <col min="8470" max="8470" width="13.85546875" style="2" customWidth="1"/>
    <col min="8471" max="8471" width="10.85546875" style="2" customWidth="1"/>
    <col min="8472" max="8472" width="14.7109375" style="2" customWidth="1"/>
    <col min="8473" max="8473" width="0" style="2" hidden="1" customWidth="1"/>
    <col min="8474" max="8474" width="13" style="2" customWidth="1"/>
    <col min="8475" max="8475" width="12.7109375" style="2" customWidth="1"/>
    <col min="8476" max="8476" width="13.140625" style="2" customWidth="1"/>
    <col min="8477" max="8477" width="14" style="2" customWidth="1"/>
    <col min="8478" max="8478" width="8.140625" style="2" customWidth="1"/>
    <col min="8479" max="8479" width="11.5703125" style="2" customWidth="1"/>
    <col min="8480" max="8480" width="24.7109375" style="2" customWidth="1"/>
    <col min="8481" max="8481" width="12" style="2" customWidth="1"/>
    <col min="8482" max="8483" width="0.28515625" style="2" customWidth="1"/>
    <col min="8484" max="8484" width="1.42578125" style="2" customWidth="1"/>
    <col min="8485" max="8485" width="0" style="2" hidden="1" customWidth="1"/>
    <col min="8486" max="8704" width="11.42578125" style="2"/>
    <col min="8705" max="8705" width="8" style="2" customWidth="1"/>
    <col min="8706" max="8706" width="13.42578125" style="2" customWidth="1"/>
    <col min="8707" max="8707" width="4.28515625" style="2" customWidth="1"/>
    <col min="8708" max="8708" width="4" style="2" customWidth="1"/>
    <col min="8709" max="8709" width="17" style="2" customWidth="1"/>
    <col min="8710" max="8710" width="4.140625" style="2" customWidth="1"/>
    <col min="8711" max="8711" width="11.28515625" style="2" customWidth="1"/>
    <col min="8712" max="8712" width="11" style="2" customWidth="1"/>
    <col min="8713" max="8714" width="2.140625" style="2" customWidth="1"/>
    <col min="8715" max="8715" width="3.28515625" style="2" customWidth="1"/>
    <col min="8716" max="8717" width="0" style="2" hidden="1" customWidth="1"/>
    <col min="8718" max="8718" width="2.85546875" style="2" customWidth="1"/>
    <col min="8719" max="8719" width="3.28515625" style="2" customWidth="1"/>
    <col min="8720" max="8720" width="1.5703125" style="2" customWidth="1"/>
    <col min="8721" max="8721" width="0" style="2" hidden="1" customWidth="1"/>
    <col min="8722" max="8722" width="6.85546875" style="2" customWidth="1"/>
    <col min="8723" max="8723" width="0" style="2" hidden="1" customWidth="1"/>
    <col min="8724" max="8725" width="6.28515625" style="2" customWidth="1"/>
    <col min="8726" max="8726" width="13.85546875" style="2" customWidth="1"/>
    <col min="8727" max="8727" width="10.85546875" style="2" customWidth="1"/>
    <col min="8728" max="8728" width="14.7109375" style="2" customWidth="1"/>
    <col min="8729" max="8729" width="0" style="2" hidden="1" customWidth="1"/>
    <col min="8730" max="8730" width="13" style="2" customWidth="1"/>
    <col min="8731" max="8731" width="12.7109375" style="2" customWidth="1"/>
    <col min="8732" max="8732" width="13.140625" style="2" customWidth="1"/>
    <col min="8733" max="8733" width="14" style="2" customWidth="1"/>
    <col min="8734" max="8734" width="8.140625" style="2" customWidth="1"/>
    <col min="8735" max="8735" width="11.5703125" style="2" customWidth="1"/>
    <col min="8736" max="8736" width="24.7109375" style="2" customWidth="1"/>
    <col min="8737" max="8737" width="12" style="2" customWidth="1"/>
    <col min="8738" max="8739" width="0.28515625" style="2" customWidth="1"/>
    <col min="8740" max="8740" width="1.42578125" style="2" customWidth="1"/>
    <col min="8741" max="8741" width="0" style="2" hidden="1" customWidth="1"/>
    <col min="8742" max="8960" width="11.42578125" style="2"/>
    <col min="8961" max="8961" width="8" style="2" customWidth="1"/>
    <col min="8962" max="8962" width="13.42578125" style="2" customWidth="1"/>
    <col min="8963" max="8963" width="4.28515625" style="2" customWidth="1"/>
    <col min="8964" max="8964" width="4" style="2" customWidth="1"/>
    <col min="8965" max="8965" width="17" style="2" customWidth="1"/>
    <col min="8966" max="8966" width="4.140625" style="2" customWidth="1"/>
    <col min="8967" max="8967" width="11.28515625" style="2" customWidth="1"/>
    <col min="8968" max="8968" width="11" style="2" customWidth="1"/>
    <col min="8969" max="8970" width="2.140625" style="2" customWidth="1"/>
    <col min="8971" max="8971" width="3.28515625" style="2" customWidth="1"/>
    <col min="8972" max="8973" width="0" style="2" hidden="1" customWidth="1"/>
    <col min="8974" max="8974" width="2.85546875" style="2" customWidth="1"/>
    <col min="8975" max="8975" width="3.28515625" style="2" customWidth="1"/>
    <col min="8976" max="8976" width="1.5703125" style="2" customWidth="1"/>
    <col min="8977" max="8977" width="0" style="2" hidden="1" customWidth="1"/>
    <col min="8978" max="8978" width="6.85546875" style="2" customWidth="1"/>
    <col min="8979" max="8979" width="0" style="2" hidden="1" customWidth="1"/>
    <col min="8980" max="8981" width="6.28515625" style="2" customWidth="1"/>
    <col min="8982" max="8982" width="13.85546875" style="2" customWidth="1"/>
    <col min="8983" max="8983" width="10.85546875" style="2" customWidth="1"/>
    <col min="8984" max="8984" width="14.7109375" style="2" customWidth="1"/>
    <col min="8985" max="8985" width="0" style="2" hidden="1" customWidth="1"/>
    <col min="8986" max="8986" width="13" style="2" customWidth="1"/>
    <col min="8987" max="8987" width="12.7109375" style="2" customWidth="1"/>
    <col min="8988" max="8988" width="13.140625" style="2" customWidth="1"/>
    <col min="8989" max="8989" width="14" style="2" customWidth="1"/>
    <col min="8990" max="8990" width="8.140625" style="2" customWidth="1"/>
    <col min="8991" max="8991" width="11.5703125" style="2" customWidth="1"/>
    <col min="8992" max="8992" width="24.7109375" style="2" customWidth="1"/>
    <col min="8993" max="8993" width="12" style="2" customWidth="1"/>
    <col min="8994" max="8995" width="0.28515625" style="2" customWidth="1"/>
    <col min="8996" max="8996" width="1.42578125" style="2" customWidth="1"/>
    <col min="8997" max="8997" width="0" style="2" hidden="1" customWidth="1"/>
    <col min="8998" max="9216" width="11.42578125" style="2"/>
    <col min="9217" max="9217" width="8" style="2" customWidth="1"/>
    <col min="9218" max="9218" width="13.42578125" style="2" customWidth="1"/>
    <col min="9219" max="9219" width="4.28515625" style="2" customWidth="1"/>
    <col min="9220" max="9220" width="4" style="2" customWidth="1"/>
    <col min="9221" max="9221" width="17" style="2" customWidth="1"/>
    <col min="9222" max="9222" width="4.140625" style="2" customWidth="1"/>
    <col min="9223" max="9223" width="11.28515625" style="2" customWidth="1"/>
    <col min="9224" max="9224" width="11" style="2" customWidth="1"/>
    <col min="9225" max="9226" width="2.140625" style="2" customWidth="1"/>
    <col min="9227" max="9227" width="3.28515625" style="2" customWidth="1"/>
    <col min="9228" max="9229" width="0" style="2" hidden="1" customWidth="1"/>
    <col min="9230" max="9230" width="2.85546875" style="2" customWidth="1"/>
    <col min="9231" max="9231" width="3.28515625" style="2" customWidth="1"/>
    <col min="9232" max="9232" width="1.5703125" style="2" customWidth="1"/>
    <col min="9233" max="9233" width="0" style="2" hidden="1" customWidth="1"/>
    <col min="9234" max="9234" width="6.85546875" style="2" customWidth="1"/>
    <col min="9235" max="9235" width="0" style="2" hidden="1" customWidth="1"/>
    <col min="9236" max="9237" width="6.28515625" style="2" customWidth="1"/>
    <col min="9238" max="9238" width="13.85546875" style="2" customWidth="1"/>
    <col min="9239" max="9239" width="10.85546875" style="2" customWidth="1"/>
    <col min="9240" max="9240" width="14.7109375" style="2" customWidth="1"/>
    <col min="9241" max="9241" width="0" style="2" hidden="1" customWidth="1"/>
    <col min="9242" max="9242" width="13" style="2" customWidth="1"/>
    <col min="9243" max="9243" width="12.7109375" style="2" customWidth="1"/>
    <col min="9244" max="9244" width="13.140625" style="2" customWidth="1"/>
    <col min="9245" max="9245" width="14" style="2" customWidth="1"/>
    <col min="9246" max="9246" width="8.140625" style="2" customWidth="1"/>
    <col min="9247" max="9247" width="11.5703125" style="2" customWidth="1"/>
    <col min="9248" max="9248" width="24.7109375" style="2" customWidth="1"/>
    <col min="9249" max="9249" width="12" style="2" customWidth="1"/>
    <col min="9250" max="9251" width="0.28515625" style="2" customWidth="1"/>
    <col min="9252" max="9252" width="1.42578125" style="2" customWidth="1"/>
    <col min="9253" max="9253" width="0" style="2" hidden="1" customWidth="1"/>
    <col min="9254" max="9472" width="11.42578125" style="2"/>
    <col min="9473" max="9473" width="8" style="2" customWidth="1"/>
    <col min="9474" max="9474" width="13.42578125" style="2" customWidth="1"/>
    <col min="9475" max="9475" width="4.28515625" style="2" customWidth="1"/>
    <col min="9476" max="9476" width="4" style="2" customWidth="1"/>
    <col min="9477" max="9477" width="17" style="2" customWidth="1"/>
    <col min="9478" max="9478" width="4.140625" style="2" customWidth="1"/>
    <col min="9479" max="9479" width="11.28515625" style="2" customWidth="1"/>
    <col min="9480" max="9480" width="11" style="2" customWidth="1"/>
    <col min="9481" max="9482" width="2.140625" style="2" customWidth="1"/>
    <col min="9483" max="9483" width="3.28515625" style="2" customWidth="1"/>
    <col min="9484" max="9485" width="0" style="2" hidden="1" customWidth="1"/>
    <col min="9486" max="9486" width="2.85546875" style="2" customWidth="1"/>
    <col min="9487" max="9487" width="3.28515625" style="2" customWidth="1"/>
    <col min="9488" max="9488" width="1.5703125" style="2" customWidth="1"/>
    <col min="9489" max="9489" width="0" style="2" hidden="1" customWidth="1"/>
    <col min="9490" max="9490" width="6.85546875" style="2" customWidth="1"/>
    <col min="9491" max="9491" width="0" style="2" hidden="1" customWidth="1"/>
    <col min="9492" max="9493" width="6.28515625" style="2" customWidth="1"/>
    <col min="9494" max="9494" width="13.85546875" style="2" customWidth="1"/>
    <col min="9495" max="9495" width="10.85546875" style="2" customWidth="1"/>
    <col min="9496" max="9496" width="14.7109375" style="2" customWidth="1"/>
    <col min="9497" max="9497" width="0" style="2" hidden="1" customWidth="1"/>
    <col min="9498" max="9498" width="13" style="2" customWidth="1"/>
    <col min="9499" max="9499" width="12.7109375" style="2" customWidth="1"/>
    <col min="9500" max="9500" width="13.140625" style="2" customWidth="1"/>
    <col min="9501" max="9501" width="14" style="2" customWidth="1"/>
    <col min="9502" max="9502" width="8.140625" style="2" customWidth="1"/>
    <col min="9503" max="9503" width="11.5703125" style="2" customWidth="1"/>
    <col min="9504" max="9504" width="24.7109375" style="2" customWidth="1"/>
    <col min="9505" max="9505" width="12" style="2" customWidth="1"/>
    <col min="9506" max="9507" width="0.28515625" style="2" customWidth="1"/>
    <col min="9508" max="9508" width="1.42578125" style="2" customWidth="1"/>
    <col min="9509" max="9509" width="0" style="2" hidden="1" customWidth="1"/>
    <col min="9510" max="9728" width="11.42578125" style="2"/>
    <col min="9729" max="9729" width="8" style="2" customWidth="1"/>
    <col min="9730" max="9730" width="13.42578125" style="2" customWidth="1"/>
    <col min="9731" max="9731" width="4.28515625" style="2" customWidth="1"/>
    <col min="9732" max="9732" width="4" style="2" customWidth="1"/>
    <col min="9733" max="9733" width="17" style="2" customWidth="1"/>
    <col min="9734" max="9734" width="4.140625" style="2" customWidth="1"/>
    <col min="9735" max="9735" width="11.28515625" style="2" customWidth="1"/>
    <col min="9736" max="9736" width="11" style="2" customWidth="1"/>
    <col min="9737" max="9738" width="2.140625" style="2" customWidth="1"/>
    <col min="9739" max="9739" width="3.28515625" style="2" customWidth="1"/>
    <col min="9740" max="9741" width="0" style="2" hidden="1" customWidth="1"/>
    <col min="9742" max="9742" width="2.85546875" style="2" customWidth="1"/>
    <col min="9743" max="9743" width="3.28515625" style="2" customWidth="1"/>
    <col min="9744" max="9744" width="1.5703125" style="2" customWidth="1"/>
    <col min="9745" max="9745" width="0" style="2" hidden="1" customWidth="1"/>
    <col min="9746" max="9746" width="6.85546875" style="2" customWidth="1"/>
    <col min="9747" max="9747" width="0" style="2" hidden="1" customWidth="1"/>
    <col min="9748" max="9749" width="6.28515625" style="2" customWidth="1"/>
    <col min="9750" max="9750" width="13.85546875" style="2" customWidth="1"/>
    <col min="9751" max="9751" width="10.85546875" style="2" customWidth="1"/>
    <col min="9752" max="9752" width="14.7109375" style="2" customWidth="1"/>
    <col min="9753" max="9753" width="0" style="2" hidden="1" customWidth="1"/>
    <col min="9754" max="9754" width="13" style="2" customWidth="1"/>
    <col min="9755" max="9755" width="12.7109375" style="2" customWidth="1"/>
    <col min="9756" max="9756" width="13.140625" style="2" customWidth="1"/>
    <col min="9757" max="9757" width="14" style="2" customWidth="1"/>
    <col min="9758" max="9758" width="8.140625" style="2" customWidth="1"/>
    <col min="9759" max="9759" width="11.5703125" style="2" customWidth="1"/>
    <col min="9760" max="9760" width="24.7109375" style="2" customWidth="1"/>
    <col min="9761" max="9761" width="12" style="2" customWidth="1"/>
    <col min="9762" max="9763" width="0.28515625" style="2" customWidth="1"/>
    <col min="9764" max="9764" width="1.42578125" style="2" customWidth="1"/>
    <col min="9765" max="9765" width="0" style="2" hidden="1" customWidth="1"/>
    <col min="9766" max="9984" width="11.42578125" style="2"/>
    <col min="9985" max="9985" width="8" style="2" customWidth="1"/>
    <col min="9986" max="9986" width="13.42578125" style="2" customWidth="1"/>
    <col min="9987" max="9987" width="4.28515625" style="2" customWidth="1"/>
    <col min="9988" max="9988" width="4" style="2" customWidth="1"/>
    <col min="9989" max="9989" width="17" style="2" customWidth="1"/>
    <col min="9990" max="9990" width="4.140625" style="2" customWidth="1"/>
    <col min="9991" max="9991" width="11.28515625" style="2" customWidth="1"/>
    <col min="9992" max="9992" width="11" style="2" customWidth="1"/>
    <col min="9993" max="9994" width="2.140625" style="2" customWidth="1"/>
    <col min="9995" max="9995" width="3.28515625" style="2" customWidth="1"/>
    <col min="9996" max="9997" width="0" style="2" hidden="1" customWidth="1"/>
    <col min="9998" max="9998" width="2.85546875" style="2" customWidth="1"/>
    <col min="9999" max="9999" width="3.28515625" style="2" customWidth="1"/>
    <col min="10000" max="10000" width="1.5703125" style="2" customWidth="1"/>
    <col min="10001" max="10001" width="0" style="2" hidden="1" customWidth="1"/>
    <col min="10002" max="10002" width="6.85546875" style="2" customWidth="1"/>
    <col min="10003" max="10003" width="0" style="2" hidden="1" customWidth="1"/>
    <col min="10004" max="10005" width="6.28515625" style="2" customWidth="1"/>
    <col min="10006" max="10006" width="13.85546875" style="2" customWidth="1"/>
    <col min="10007" max="10007" width="10.85546875" style="2" customWidth="1"/>
    <col min="10008" max="10008" width="14.7109375" style="2" customWidth="1"/>
    <col min="10009" max="10009" width="0" style="2" hidden="1" customWidth="1"/>
    <col min="10010" max="10010" width="13" style="2" customWidth="1"/>
    <col min="10011" max="10011" width="12.7109375" style="2" customWidth="1"/>
    <col min="10012" max="10012" width="13.140625" style="2" customWidth="1"/>
    <col min="10013" max="10013" width="14" style="2" customWidth="1"/>
    <col min="10014" max="10014" width="8.140625" style="2" customWidth="1"/>
    <col min="10015" max="10015" width="11.5703125" style="2" customWidth="1"/>
    <col min="10016" max="10016" width="24.7109375" style="2" customWidth="1"/>
    <col min="10017" max="10017" width="12" style="2" customWidth="1"/>
    <col min="10018" max="10019" width="0.28515625" style="2" customWidth="1"/>
    <col min="10020" max="10020" width="1.42578125" style="2" customWidth="1"/>
    <col min="10021" max="10021" width="0" style="2" hidden="1" customWidth="1"/>
    <col min="10022" max="10240" width="11.42578125" style="2"/>
    <col min="10241" max="10241" width="8" style="2" customWidth="1"/>
    <col min="10242" max="10242" width="13.42578125" style="2" customWidth="1"/>
    <col min="10243" max="10243" width="4.28515625" style="2" customWidth="1"/>
    <col min="10244" max="10244" width="4" style="2" customWidth="1"/>
    <col min="10245" max="10245" width="17" style="2" customWidth="1"/>
    <col min="10246" max="10246" width="4.140625" style="2" customWidth="1"/>
    <col min="10247" max="10247" width="11.28515625" style="2" customWidth="1"/>
    <col min="10248" max="10248" width="11" style="2" customWidth="1"/>
    <col min="10249" max="10250" width="2.140625" style="2" customWidth="1"/>
    <col min="10251" max="10251" width="3.28515625" style="2" customWidth="1"/>
    <col min="10252" max="10253" width="0" style="2" hidden="1" customWidth="1"/>
    <col min="10254" max="10254" width="2.85546875" style="2" customWidth="1"/>
    <col min="10255" max="10255" width="3.28515625" style="2" customWidth="1"/>
    <col min="10256" max="10256" width="1.5703125" style="2" customWidth="1"/>
    <col min="10257" max="10257" width="0" style="2" hidden="1" customWidth="1"/>
    <col min="10258" max="10258" width="6.85546875" style="2" customWidth="1"/>
    <col min="10259" max="10259" width="0" style="2" hidden="1" customWidth="1"/>
    <col min="10260" max="10261" width="6.28515625" style="2" customWidth="1"/>
    <col min="10262" max="10262" width="13.85546875" style="2" customWidth="1"/>
    <col min="10263" max="10263" width="10.85546875" style="2" customWidth="1"/>
    <col min="10264" max="10264" width="14.7109375" style="2" customWidth="1"/>
    <col min="10265" max="10265" width="0" style="2" hidden="1" customWidth="1"/>
    <col min="10266" max="10266" width="13" style="2" customWidth="1"/>
    <col min="10267" max="10267" width="12.7109375" style="2" customWidth="1"/>
    <col min="10268" max="10268" width="13.140625" style="2" customWidth="1"/>
    <col min="10269" max="10269" width="14" style="2" customWidth="1"/>
    <col min="10270" max="10270" width="8.140625" style="2" customWidth="1"/>
    <col min="10271" max="10271" width="11.5703125" style="2" customWidth="1"/>
    <col min="10272" max="10272" width="24.7109375" style="2" customWidth="1"/>
    <col min="10273" max="10273" width="12" style="2" customWidth="1"/>
    <col min="10274" max="10275" width="0.28515625" style="2" customWidth="1"/>
    <col min="10276" max="10276" width="1.42578125" style="2" customWidth="1"/>
    <col min="10277" max="10277" width="0" style="2" hidden="1" customWidth="1"/>
    <col min="10278" max="10496" width="11.42578125" style="2"/>
    <col min="10497" max="10497" width="8" style="2" customWidth="1"/>
    <col min="10498" max="10498" width="13.42578125" style="2" customWidth="1"/>
    <col min="10499" max="10499" width="4.28515625" style="2" customWidth="1"/>
    <col min="10500" max="10500" width="4" style="2" customWidth="1"/>
    <col min="10501" max="10501" width="17" style="2" customWidth="1"/>
    <col min="10502" max="10502" width="4.140625" style="2" customWidth="1"/>
    <col min="10503" max="10503" width="11.28515625" style="2" customWidth="1"/>
    <col min="10504" max="10504" width="11" style="2" customWidth="1"/>
    <col min="10505" max="10506" width="2.140625" style="2" customWidth="1"/>
    <col min="10507" max="10507" width="3.28515625" style="2" customWidth="1"/>
    <col min="10508" max="10509" width="0" style="2" hidden="1" customWidth="1"/>
    <col min="10510" max="10510" width="2.85546875" style="2" customWidth="1"/>
    <col min="10511" max="10511" width="3.28515625" style="2" customWidth="1"/>
    <col min="10512" max="10512" width="1.5703125" style="2" customWidth="1"/>
    <col min="10513" max="10513" width="0" style="2" hidden="1" customWidth="1"/>
    <col min="10514" max="10514" width="6.85546875" style="2" customWidth="1"/>
    <col min="10515" max="10515" width="0" style="2" hidden="1" customWidth="1"/>
    <col min="10516" max="10517" width="6.28515625" style="2" customWidth="1"/>
    <col min="10518" max="10518" width="13.85546875" style="2" customWidth="1"/>
    <col min="10519" max="10519" width="10.85546875" style="2" customWidth="1"/>
    <col min="10520" max="10520" width="14.7109375" style="2" customWidth="1"/>
    <col min="10521" max="10521" width="0" style="2" hidden="1" customWidth="1"/>
    <col min="10522" max="10522" width="13" style="2" customWidth="1"/>
    <col min="10523" max="10523" width="12.7109375" style="2" customWidth="1"/>
    <col min="10524" max="10524" width="13.140625" style="2" customWidth="1"/>
    <col min="10525" max="10525" width="14" style="2" customWidth="1"/>
    <col min="10526" max="10526" width="8.140625" style="2" customWidth="1"/>
    <col min="10527" max="10527" width="11.5703125" style="2" customWidth="1"/>
    <col min="10528" max="10528" width="24.7109375" style="2" customWidth="1"/>
    <col min="10529" max="10529" width="12" style="2" customWidth="1"/>
    <col min="10530" max="10531" width="0.28515625" style="2" customWidth="1"/>
    <col min="10532" max="10532" width="1.42578125" style="2" customWidth="1"/>
    <col min="10533" max="10533" width="0" style="2" hidden="1" customWidth="1"/>
    <col min="10534" max="10752" width="11.42578125" style="2"/>
    <col min="10753" max="10753" width="8" style="2" customWidth="1"/>
    <col min="10754" max="10754" width="13.42578125" style="2" customWidth="1"/>
    <col min="10755" max="10755" width="4.28515625" style="2" customWidth="1"/>
    <col min="10756" max="10756" width="4" style="2" customWidth="1"/>
    <col min="10757" max="10757" width="17" style="2" customWidth="1"/>
    <col min="10758" max="10758" width="4.140625" style="2" customWidth="1"/>
    <col min="10759" max="10759" width="11.28515625" style="2" customWidth="1"/>
    <col min="10760" max="10760" width="11" style="2" customWidth="1"/>
    <col min="10761" max="10762" width="2.140625" style="2" customWidth="1"/>
    <col min="10763" max="10763" width="3.28515625" style="2" customWidth="1"/>
    <col min="10764" max="10765" width="0" style="2" hidden="1" customWidth="1"/>
    <col min="10766" max="10766" width="2.85546875" style="2" customWidth="1"/>
    <col min="10767" max="10767" width="3.28515625" style="2" customWidth="1"/>
    <col min="10768" max="10768" width="1.5703125" style="2" customWidth="1"/>
    <col min="10769" max="10769" width="0" style="2" hidden="1" customWidth="1"/>
    <col min="10770" max="10770" width="6.85546875" style="2" customWidth="1"/>
    <col min="10771" max="10771" width="0" style="2" hidden="1" customWidth="1"/>
    <col min="10772" max="10773" width="6.28515625" style="2" customWidth="1"/>
    <col min="10774" max="10774" width="13.85546875" style="2" customWidth="1"/>
    <col min="10775" max="10775" width="10.85546875" style="2" customWidth="1"/>
    <col min="10776" max="10776" width="14.7109375" style="2" customWidth="1"/>
    <col min="10777" max="10777" width="0" style="2" hidden="1" customWidth="1"/>
    <col min="10778" max="10778" width="13" style="2" customWidth="1"/>
    <col min="10779" max="10779" width="12.7109375" style="2" customWidth="1"/>
    <col min="10780" max="10780" width="13.140625" style="2" customWidth="1"/>
    <col min="10781" max="10781" width="14" style="2" customWidth="1"/>
    <col min="10782" max="10782" width="8.140625" style="2" customWidth="1"/>
    <col min="10783" max="10783" width="11.5703125" style="2" customWidth="1"/>
    <col min="10784" max="10784" width="24.7109375" style="2" customWidth="1"/>
    <col min="10785" max="10785" width="12" style="2" customWidth="1"/>
    <col min="10786" max="10787" width="0.28515625" style="2" customWidth="1"/>
    <col min="10788" max="10788" width="1.42578125" style="2" customWidth="1"/>
    <col min="10789" max="10789" width="0" style="2" hidden="1" customWidth="1"/>
    <col min="10790" max="11008" width="11.42578125" style="2"/>
    <col min="11009" max="11009" width="8" style="2" customWidth="1"/>
    <col min="11010" max="11010" width="13.42578125" style="2" customWidth="1"/>
    <col min="11011" max="11011" width="4.28515625" style="2" customWidth="1"/>
    <col min="11012" max="11012" width="4" style="2" customWidth="1"/>
    <col min="11013" max="11013" width="17" style="2" customWidth="1"/>
    <col min="11014" max="11014" width="4.140625" style="2" customWidth="1"/>
    <col min="11015" max="11015" width="11.28515625" style="2" customWidth="1"/>
    <col min="11016" max="11016" width="11" style="2" customWidth="1"/>
    <col min="11017" max="11018" width="2.140625" style="2" customWidth="1"/>
    <col min="11019" max="11019" width="3.28515625" style="2" customWidth="1"/>
    <col min="11020" max="11021" width="0" style="2" hidden="1" customWidth="1"/>
    <col min="11022" max="11022" width="2.85546875" style="2" customWidth="1"/>
    <col min="11023" max="11023" width="3.28515625" style="2" customWidth="1"/>
    <col min="11024" max="11024" width="1.5703125" style="2" customWidth="1"/>
    <col min="11025" max="11025" width="0" style="2" hidden="1" customWidth="1"/>
    <col min="11026" max="11026" width="6.85546875" style="2" customWidth="1"/>
    <col min="11027" max="11027" width="0" style="2" hidden="1" customWidth="1"/>
    <col min="11028" max="11029" width="6.28515625" style="2" customWidth="1"/>
    <col min="11030" max="11030" width="13.85546875" style="2" customWidth="1"/>
    <col min="11031" max="11031" width="10.85546875" style="2" customWidth="1"/>
    <col min="11032" max="11032" width="14.7109375" style="2" customWidth="1"/>
    <col min="11033" max="11033" width="0" style="2" hidden="1" customWidth="1"/>
    <col min="11034" max="11034" width="13" style="2" customWidth="1"/>
    <col min="11035" max="11035" width="12.7109375" style="2" customWidth="1"/>
    <col min="11036" max="11036" width="13.140625" style="2" customWidth="1"/>
    <col min="11037" max="11037" width="14" style="2" customWidth="1"/>
    <col min="11038" max="11038" width="8.140625" style="2" customWidth="1"/>
    <col min="11039" max="11039" width="11.5703125" style="2" customWidth="1"/>
    <col min="11040" max="11040" width="24.7109375" style="2" customWidth="1"/>
    <col min="11041" max="11041" width="12" style="2" customWidth="1"/>
    <col min="11042" max="11043" width="0.28515625" style="2" customWidth="1"/>
    <col min="11044" max="11044" width="1.42578125" style="2" customWidth="1"/>
    <col min="11045" max="11045" width="0" style="2" hidden="1" customWidth="1"/>
    <col min="11046" max="11264" width="11.42578125" style="2"/>
    <col min="11265" max="11265" width="8" style="2" customWidth="1"/>
    <col min="11266" max="11266" width="13.42578125" style="2" customWidth="1"/>
    <col min="11267" max="11267" width="4.28515625" style="2" customWidth="1"/>
    <col min="11268" max="11268" width="4" style="2" customWidth="1"/>
    <col min="11269" max="11269" width="17" style="2" customWidth="1"/>
    <col min="11270" max="11270" width="4.140625" style="2" customWidth="1"/>
    <col min="11271" max="11271" width="11.28515625" style="2" customWidth="1"/>
    <col min="11272" max="11272" width="11" style="2" customWidth="1"/>
    <col min="11273" max="11274" width="2.140625" style="2" customWidth="1"/>
    <col min="11275" max="11275" width="3.28515625" style="2" customWidth="1"/>
    <col min="11276" max="11277" width="0" style="2" hidden="1" customWidth="1"/>
    <col min="11278" max="11278" width="2.85546875" style="2" customWidth="1"/>
    <col min="11279" max="11279" width="3.28515625" style="2" customWidth="1"/>
    <col min="11280" max="11280" width="1.5703125" style="2" customWidth="1"/>
    <col min="11281" max="11281" width="0" style="2" hidden="1" customWidth="1"/>
    <col min="11282" max="11282" width="6.85546875" style="2" customWidth="1"/>
    <col min="11283" max="11283" width="0" style="2" hidden="1" customWidth="1"/>
    <col min="11284" max="11285" width="6.28515625" style="2" customWidth="1"/>
    <col min="11286" max="11286" width="13.85546875" style="2" customWidth="1"/>
    <col min="11287" max="11287" width="10.85546875" style="2" customWidth="1"/>
    <col min="11288" max="11288" width="14.7109375" style="2" customWidth="1"/>
    <col min="11289" max="11289" width="0" style="2" hidden="1" customWidth="1"/>
    <col min="11290" max="11290" width="13" style="2" customWidth="1"/>
    <col min="11291" max="11291" width="12.7109375" style="2" customWidth="1"/>
    <col min="11292" max="11292" width="13.140625" style="2" customWidth="1"/>
    <col min="11293" max="11293" width="14" style="2" customWidth="1"/>
    <col min="11294" max="11294" width="8.140625" style="2" customWidth="1"/>
    <col min="11295" max="11295" width="11.5703125" style="2" customWidth="1"/>
    <col min="11296" max="11296" width="24.7109375" style="2" customWidth="1"/>
    <col min="11297" max="11297" width="12" style="2" customWidth="1"/>
    <col min="11298" max="11299" width="0.28515625" style="2" customWidth="1"/>
    <col min="11300" max="11300" width="1.42578125" style="2" customWidth="1"/>
    <col min="11301" max="11301" width="0" style="2" hidden="1" customWidth="1"/>
    <col min="11302" max="11520" width="11.42578125" style="2"/>
    <col min="11521" max="11521" width="8" style="2" customWidth="1"/>
    <col min="11522" max="11522" width="13.42578125" style="2" customWidth="1"/>
    <col min="11523" max="11523" width="4.28515625" style="2" customWidth="1"/>
    <col min="11524" max="11524" width="4" style="2" customWidth="1"/>
    <col min="11525" max="11525" width="17" style="2" customWidth="1"/>
    <col min="11526" max="11526" width="4.140625" style="2" customWidth="1"/>
    <col min="11527" max="11527" width="11.28515625" style="2" customWidth="1"/>
    <col min="11528" max="11528" width="11" style="2" customWidth="1"/>
    <col min="11529" max="11530" width="2.140625" style="2" customWidth="1"/>
    <col min="11531" max="11531" width="3.28515625" style="2" customWidth="1"/>
    <col min="11532" max="11533" width="0" style="2" hidden="1" customWidth="1"/>
    <col min="11534" max="11534" width="2.85546875" style="2" customWidth="1"/>
    <col min="11535" max="11535" width="3.28515625" style="2" customWidth="1"/>
    <col min="11536" max="11536" width="1.5703125" style="2" customWidth="1"/>
    <col min="11537" max="11537" width="0" style="2" hidden="1" customWidth="1"/>
    <col min="11538" max="11538" width="6.85546875" style="2" customWidth="1"/>
    <col min="11539" max="11539" width="0" style="2" hidden="1" customWidth="1"/>
    <col min="11540" max="11541" width="6.28515625" style="2" customWidth="1"/>
    <col min="11542" max="11542" width="13.85546875" style="2" customWidth="1"/>
    <col min="11543" max="11543" width="10.85546875" style="2" customWidth="1"/>
    <col min="11544" max="11544" width="14.7109375" style="2" customWidth="1"/>
    <col min="11545" max="11545" width="0" style="2" hidden="1" customWidth="1"/>
    <col min="11546" max="11546" width="13" style="2" customWidth="1"/>
    <col min="11547" max="11547" width="12.7109375" style="2" customWidth="1"/>
    <col min="11548" max="11548" width="13.140625" style="2" customWidth="1"/>
    <col min="11549" max="11549" width="14" style="2" customWidth="1"/>
    <col min="11550" max="11550" width="8.140625" style="2" customWidth="1"/>
    <col min="11551" max="11551" width="11.5703125" style="2" customWidth="1"/>
    <col min="11552" max="11552" width="24.7109375" style="2" customWidth="1"/>
    <col min="11553" max="11553" width="12" style="2" customWidth="1"/>
    <col min="11554" max="11555" width="0.28515625" style="2" customWidth="1"/>
    <col min="11556" max="11556" width="1.42578125" style="2" customWidth="1"/>
    <col min="11557" max="11557" width="0" style="2" hidden="1" customWidth="1"/>
    <col min="11558" max="11776" width="11.42578125" style="2"/>
    <col min="11777" max="11777" width="8" style="2" customWidth="1"/>
    <col min="11778" max="11778" width="13.42578125" style="2" customWidth="1"/>
    <col min="11779" max="11779" width="4.28515625" style="2" customWidth="1"/>
    <col min="11780" max="11780" width="4" style="2" customWidth="1"/>
    <col min="11781" max="11781" width="17" style="2" customWidth="1"/>
    <col min="11782" max="11782" width="4.140625" style="2" customWidth="1"/>
    <col min="11783" max="11783" width="11.28515625" style="2" customWidth="1"/>
    <col min="11784" max="11784" width="11" style="2" customWidth="1"/>
    <col min="11785" max="11786" width="2.140625" style="2" customWidth="1"/>
    <col min="11787" max="11787" width="3.28515625" style="2" customWidth="1"/>
    <col min="11788" max="11789" width="0" style="2" hidden="1" customWidth="1"/>
    <col min="11790" max="11790" width="2.85546875" style="2" customWidth="1"/>
    <col min="11791" max="11791" width="3.28515625" style="2" customWidth="1"/>
    <col min="11792" max="11792" width="1.5703125" style="2" customWidth="1"/>
    <col min="11793" max="11793" width="0" style="2" hidden="1" customWidth="1"/>
    <col min="11794" max="11794" width="6.85546875" style="2" customWidth="1"/>
    <col min="11795" max="11795" width="0" style="2" hidden="1" customWidth="1"/>
    <col min="11796" max="11797" width="6.28515625" style="2" customWidth="1"/>
    <col min="11798" max="11798" width="13.85546875" style="2" customWidth="1"/>
    <col min="11799" max="11799" width="10.85546875" style="2" customWidth="1"/>
    <col min="11800" max="11800" width="14.7109375" style="2" customWidth="1"/>
    <col min="11801" max="11801" width="0" style="2" hidden="1" customWidth="1"/>
    <col min="11802" max="11802" width="13" style="2" customWidth="1"/>
    <col min="11803" max="11803" width="12.7109375" style="2" customWidth="1"/>
    <col min="11804" max="11804" width="13.140625" style="2" customWidth="1"/>
    <col min="11805" max="11805" width="14" style="2" customWidth="1"/>
    <col min="11806" max="11806" width="8.140625" style="2" customWidth="1"/>
    <col min="11807" max="11807" width="11.5703125" style="2" customWidth="1"/>
    <col min="11808" max="11808" width="24.7109375" style="2" customWidth="1"/>
    <col min="11809" max="11809" width="12" style="2" customWidth="1"/>
    <col min="11810" max="11811" width="0.28515625" style="2" customWidth="1"/>
    <col min="11812" max="11812" width="1.42578125" style="2" customWidth="1"/>
    <col min="11813" max="11813" width="0" style="2" hidden="1" customWidth="1"/>
    <col min="11814" max="12032" width="11.42578125" style="2"/>
    <col min="12033" max="12033" width="8" style="2" customWidth="1"/>
    <col min="12034" max="12034" width="13.42578125" style="2" customWidth="1"/>
    <col min="12035" max="12035" width="4.28515625" style="2" customWidth="1"/>
    <col min="12036" max="12036" width="4" style="2" customWidth="1"/>
    <col min="12037" max="12037" width="17" style="2" customWidth="1"/>
    <col min="12038" max="12038" width="4.140625" style="2" customWidth="1"/>
    <col min="12039" max="12039" width="11.28515625" style="2" customWidth="1"/>
    <col min="12040" max="12040" width="11" style="2" customWidth="1"/>
    <col min="12041" max="12042" width="2.140625" style="2" customWidth="1"/>
    <col min="12043" max="12043" width="3.28515625" style="2" customWidth="1"/>
    <col min="12044" max="12045" width="0" style="2" hidden="1" customWidth="1"/>
    <col min="12046" max="12046" width="2.85546875" style="2" customWidth="1"/>
    <col min="12047" max="12047" width="3.28515625" style="2" customWidth="1"/>
    <col min="12048" max="12048" width="1.5703125" style="2" customWidth="1"/>
    <col min="12049" max="12049" width="0" style="2" hidden="1" customWidth="1"/>
    <col min="12050" max="12050" width="6.85546875" style="2" customWidth="1"/>
    <col min="12051" max="12051" width="0" style="2" hidden="1" customWidth="1"/>
    <col min="12052" max="12053" width="6.28515625" style="2" customWidth="1"/>
    <col min="12054" max="12054" width="13.85546875" style="2" customWidth="1"/>
    <col min="12055" max="12055" width="10.85546875" style="2" customWidth="1"/>
    <col min="12056" max="12056" width="14.7109375" style="2" customWidth="1"/>
    <col min="12057" max="12057" width="0" style="2" hidden="1" customWidth="1"/>
    <col min="12058" max="12058" width="13" style="2" customWidth="1"/>
    <col min="12059" max="12059" width="12.7109375" style="2" customWidth="1"/>
    <col min="12060" max="12060" width="13.140625" style="2" customWidth="1"/>
    <col min="12061" max="12061" width="14" style="2" customWidth="1"/>
    <col min="12062" max="12062" width="8.140625" style="2" customWidth="1"/>
    <col min="12063" max="12063" width="11.5703125" style="2" customWidth="1"/>
    <col min="12064" max="12064" width="24.7109375" style="2" customWidth="1"/>
    <col min="12065" max="12065" width="12" style="2" customWidth="1"/>
    <col min="12066" max="12067" width="0.28515625" style="2" customWidth="1"/>
    <col min="12068" max="12068" width="1.42578125" style="2" customWidth="1"/>
    <col min="12069" max="12069" width="0" style="2" hidden="1" customWidth="1"/>
    <col min="12070" max="12288" width="11.42578125" style="2"/>
    <col min="12289" max="12289" width="8" style="2" customWidth="1"/>
    <col min="12290" max="12290" width="13.42578125" style="2" customWidth="1"/>
    <col min="12291" max="12291" width="4.28515625" style="2" customWidth="1"/>
    <col min="12292" max="12292" width="4" style="2" customWidth="1"/>
    <col min="12293" max="12293" width="17" style="2" customWidth="1"/>
    <col min="12294" max="12294" width="4.140625" style="2" customWidth="1"/>
    <col min="12295" max="12295" width="11.28515625" style="2" customWidth="1"/>
    <col min="12296" max="12296" width="11" style="2" customWidth="1"/>
    <col min="12297" max="12298" width="2.140625" style="2" customWidth="1"/>
    <col min="12299" max="12299" width="3.28515625" style="2" customWidth="1"/>
    <col min="12300" max="12301" width="0" style="2" hidden="1" customWidth="1"/>
    <col min="12302" max="12302" width="2.85546875" style="2" customWidth="1"/>
    <col min="12303" max="12303" width="3.28515625" style="2" customWidth="1"/>
    <col min="12304" max="12304" width="1.5703125" style="2" customWidth="1"/>
    <col min="12305" max="12305" width="0" style="2" hidden="1" customWidth="1"/>
    <col min="12306" max="12306" width="6.85546875" style="2" customWidth="1"/>
    <col min="12307" max="12307" width="0" style="2" hidden="1" customWidth="1"/>
    <col min="12308" max="12309" width="6.28515625" style="2" customWidth="1"/>
    <col min="12310" max="12310" width="13.85546875" style="2" customWidth="1"/>
    <col min="12311" max="12311" width="10.85546875" style="2" customWidth="1"/>
    <col min="12312" max="12312" width="14.7109375" style="2" customWidth="1"/>
    <col min="12313" max="12313" width="0" style="2" hidden="1" customWidth="1"/>
    <col min="12314" max="12314" width="13" style="2" customWidth="1"/>
    <col min="12315" max="12315" width="12.7109375" style="2" customWidth="1"/>
    <col min="12316" max="12316" width="13.140625" style="2" customWidth="1"/>
    <col min="12317" max="12317" width="14" style="2" customWidth="1"/>
    <col min="12318" max="12318" width="8.140625" style="2" customWidth="1"/>
    <col min="12319" max="12319" width="11.5703125" style="2" customWidth="1"/>
    <col min="12320" max="12320" width="24.7109375" style="2" customWidth="1"/>
    <col min="12321" max="12321" width="12" style="2" customWidth="1"/>
    <col min="12322" max="12323" width="0.28515625" style="2" customWidth="1"/>
    <col min="12324" max="12324" width="1.42578125" style="2" customWidth="1"/>
    <col min="12325" max="12325" width="0" style="2" hidden="1" customWidth="1"/>
    <col min="12326" max="12544" width="11.42578125" style="2"/>
    <col min="12545" max="12545" width="8" style="2" customWidth="1"/>
    <col min="12546" max="12546" width="13.42578125" style="2" customWidth="1"/>
    <col min="12547" max="12547" width="4.28515625" style="2" customWidth="1"/>
    <col min="12548" max="12548" width="4" style="2" customWidth="1"/>
    <col min="12549" max="12549" width="17" style="2" customWidth="1"/>
    <col min="12550" max="12550" width="4.140625" style="2" customWidth="1"/>
    <col min="12551" max="12551" width="11.28515625" style="2" customWidth="1"/>
    <col min="12552" max="12552" width="11" style="2" customWidth="1"/>
    <col min="12553" max="12554" width="2.140625" style="2" customWidth="1"/>
    <col min="12555" max="12555" width="3.28515625" style="2" customWidth="1"/>
    <col min="12556" max="12557" width="0" style="2" hidden="1" customWidth="1"/>
    <col min="12558" max="12558" width="2.85546875" style="2" customWidth="1"/>
    <col min="12559" max="12559" width="3.28515625" style="2" customWidth="1"/>
    <col min="12560" max="12560" width="1.5703125" style="2" customWidth="1"/>
    <col min="12561" max="12561" width="0" style="2" hidden="1" customWidth="1"/>
    <col min="12562" max="12562" width="6.85546875" style="2" customWidth="1"/>
    <col min="12563" max="12563" width="0" style="2" hidden="1" customWidth="1"/>
    <col min="12564" max="12565" width="6.28515625" style="2" customWidth="1"/>
    <col min="12566" max="12566" width="13.85546875" style="2" customWidth="1"/>
    <col min="12567" max="12567" width="10.85546875" style="2" customWidth="1"/>
    <col min="12568" max="12568" width="14.7109375" style="2" customWidth="1"/>
    <col min="12569" max="12569" width="0" style="2" hidden="1" customWidth="1"/>
    <col min="12570" max="12570" width="13" style="2" customWidth="1"/>
    <col min="12571" max="12571" width="12.7109375" style="2" customWidth="1"/>
    <col min="12572" max="12572" width="13.140625" style="2" customWidth="1"/>
    <col min="12573" max="12573" width="14" style="2" customWidth="1"/>
    <col min="12574" max="12574" width="8.140625" style="2" customWidth="1"/>
    <col min="12575" max="12575" width="11.5703125" style="2" customWidth="1"/>
    <col min="12576" max="12576" width="24.7109375" style="2" customWidth="1"/>
    <col min="12577" max="12577" width="12" style="2" customWidth="1"/>
    <col min="12578" max="12579" width="0.28515625" style="2" customWidth="1"/>
    <col min="12580" max="12580" width="1.42578125" style="2" customWidth="1"/>
    <col min="12581" max="12581" width="0" style="2" hidden="1" customWidth="1"/>
    <col min="12582" max="12800" width="11.42578125" style="2"/>
    <col min="12801" max="12801" width="8" style="2" customWidth="1"/>
    <col min="12802" max="12802" width="13.42578125" style="2" customWidth="1"/>
    <col min="12803" max="12803" width="4.28515625" style="2" customWidth="1"/>
    <col min="12804" max="12804" width="4" style="2" customWidth="1"/>
    <col min="12805" max="12805" width="17" style="2" customWidth="1"/>
    <col min="12806" max="12806" width="4.140625" style="2" customWidth="1"/>
    <col min="12807" max="12807" width="11.28515625" style="2" customWidth="1"/>
    <col min="12808" max="12808" width="11" style="2" customWidth="1"/>
    <col min="12809" max="12810" width="2.140625" style="2" customWidth="1"/>
    <col min="12811" max="12811" width="3.28515625" style="2" customWidth="1"/>
    <col min="12812" max="12813" width="0" style="2" hidden="1" customWidth="1"/>
    <col min="12814" max="12814" width="2.85546875" style="2" customWidth="1"/>
    <col min="12815" max="12815" width="3.28515625" style="2" customWidth="1"/>
    <col min="12816" max="12816" width="1.5703125" style="2" customWidth="1"/>
    <col min="12817" max="12817" width="0" style="2" hidden="1" customWidth="1"/>
    <col min="12818" max="12818" width="6.85546875" style="2" customWidth="1"/>
    <col min="12819" max="12819" width="0" style="2" hidden="1" customWidth="1"/>
    <col min="12820" max="12821" width="6.28515625" style="2" customWidth="1"/>
    <col min="12822" max="12822" width="13.85546875" style="2" customWidth="1"/>
    <col min="12823" max="12823" width="10.85546875" style="2" customWidth="1"/>
    <col min="12824" max="12824" width="14.7109375" style="2" customWidth="1"/>
    <col min="12825" max="12825" width="0" style="2" hidden="1" customWidth="1"/>
    <col min="12826" max="12826" width="13" style="2" customWidth="1"/>
    <col min="12827" max="12827" width="12.7109375" style="2" customWidth="1"/>
    <col min="12828" max="12828" width="13.140625" style="2" customWidth="1"/>
    <col min="12829" max="12829" width="14" style="2" customWidth="1"/>
    <col min="12830" max="12830" width="8.140625" style="2" customWidth="1"/>
    <col min="12831" max="12831" width="11.5703125" style="2" customWidth="1"/>
    <col min="12832" max="12832" width="24.7109375" style="2" customWidth="1"/>
    <col min="12833" max="12833" width="12" style="2" customWidth="1"/>
    <col min="12834" max="12835" width="0.28515625" style="2" customWidth="1"/>
    <col min="12836" max="12836" width="1.42578125" style="2" customWidth="1"/>
    <col min="12837" max="12837" width="0" style="2" hidden="1" customWidth="1"/>
    <col min="12838" max="13056" width="11.42578125" style="2"/>
    <col min="13057" max="13057" width="8" style="2" customWidth="1"/>
    <col min="13058" max="13058" width="13.42578125" style="2" customWidth="1"/>
    <col min="13059" max="13059" width="4.28515625" style="2" customWidth="1"/>
    <col min="13060" max="13060" width="4" style="2" customWidth="1"/>
    <col min="13061" max="13061" width="17" style="2" customWidth="1"/>
    <col min="13062" max="13062" width="4.140625" style="2" customWidth="1"/>
    <col min="13063" max="13063" width="11.28515625" style="2" customWidth="1"/>
    <col min="13064" max="13064" width="11" style="2" customWidth="1"/>
    <col min="13065" max="13066" width="2.140625" style="2" customWidth="1"/>
    <col min="13067" max="13067" width="3.28515625" style="2" customWidth="1"/>
    <col min="13068" max="13069" width="0" style="2" hidden="1" customWidth="1"/>
    <col min="13070" max="13070" width="2.85546875" style="2" customWidth="1"/>
    <col min="13071" max="13071" width="3.28515625" style="2" customWidth="1"/>
    <col min="13072" max="13072" width="1.5703125" style="2" customWidth="1"/>
    <col min="13073" max="13073" width="0" style="2" hidden="1" customWidth="1"/>
    <col min="13074" max="13074" width="6.85546875" style="2" customWidth="1"/>
    <col min="13075" max="13075" width="0" style="2" hidden="1" customWidth="1"/>
    <col min="13076" max="13077" width="6.28515625" style="2" customWidth="1"/>
    <col min="13078" max="13078" width="13.85546875" style="2" customWidth="1"/>
    <col min="13079" max="13079" width="10.85546875" style="2" customWidth="1"/>
    <col min="13080" max="13080" width="14.7109375" style="2" customWidth="1"/>
    <col min="13081" max="13081" width="0" style="2" hidden="1" customWidth="1"/>
    <col min="13082" max="13082" width="13" style="2" customWidth="1"/>
    <col min="13083" max="13083" width="12.7109375" style="2" customWidth="1"/>
    <col min="13084" max="13084" width="13.140625" style="2" customWidth="1"/>
    <col min="13085" max="13085" width="14" style="2" customWidth="1"/>
    <col min="13086" max="13086" width="8.140625" style="2" customWidth="1"/>
    <col min="13087" max="13087" width="11.5703125" style="2" customWidth="1"/>
    <col min="13088" max="13088" width="24.7109375" style="2" customWidth="1"/>
    <col min="13089" max="13089" width="12" style="2" customWidth="1"/>
    <col min="13090" max="13091" width="0.28515625" style="2" customWidth="1"/>
    <col min="13092" max="13092" width="1.42578125" style="2" customWidth="1"/>
    <col min="13093" max="13093" width="0" style="2" hidden="1" customWidth="1"/>
    <col min="13094" max="13312" width="11.42578125" style="2"/>
    <col min="13313" max="13313" width="8" style="2" customWidth="1"/>
    <col min="13314" max="13314" width="13.42578125" style="2" customWidth="1"/>
    <col min="13315" max="13315" width="4.28515625" style="2" customWidth="1"/>
    <col min="13316" max="13316" width="4" style="2" customWidth="1"/>
    <col min="13317" max="13317" width="17" style="2" customWidth="1"/>
    <col min="13318" max="13318" width="4.140625" style="2" customWidth="1"/>
    <col min="13319" max="13319" width="11.28515625" style="2" customWidth="1"/>
    <col min="13320" max="13320" width="11" style="2" customWidth="1"/>
    <col min="13321" max="13322" width="2.140625" style="2" customWidth="1"/>
    <col min="13323" max="13323" width="3.28515625" style="2" customWidth="1"/>
    <col min="13324" max="13325" width="0" style="2" hidden="1" customWidth="1"/>
    <col min="13326" max="13326" width="2.85546875" style="2" customWidth="1"/>
    <col min="13327" max="13327" width="3.28515625" style="2" customWidth="1"/>
    <col min="13328" max="13328" width="1.5703125" style="2" customWidth="1"/>
    <col min="13329" max="13329" width="0" style="2" hidden="1" customWidth="1"/>
    <col min="13330" max="13330" width="6.85546875" style="2" customWidth="1"/>
    <col min="13331" max="13331" width="0" style="2" hidden="1" customWidth="1"/>
    <col min="13332" max="13333" width="6.28515625" style="2" customWidth="1"/>
    <col min="13334" max="13334" width="13.85546875" style="2" customWidth="1"/>
    <col min="13335" max="13335" width="10.85546875" style="2" customWidth="1"/>
    <col min="13336" max="13336" width="14.7109375" style="2" customWidth="1"/>
    <col min="13337" max="13337" width="0" style="2" hidden="1" customWidth="1"/>
    <col min="13338" max="13338" width="13" style="2" customWidth="1"/>
    <col min="13339" max="13339" width="12.7109375" style="2" customWidth="1"/>
    <col min="13340" max="13340" width="13.140625" style="2" customWidth="1"/>
    <col min="13341" max="13341" width="14" style="2" customWidth="1"/>
    <col min="13342" max="13342" width="8.140625" style="2" customWidth="1"/>
    <col min="13343" max="13343" width="11.5703125" style="2" customWidth="1"/>
    <col min="13344" max="13344" width="24.7109375" style="2" customWidth="1"/>
    <col min="13345" max="13345" width="12" style="2" customWidth="1"/>
    <col min="13346" max="13347" width="0.28515625" style="2" customWidth="1"/>
    <col min="13348" max="13348" width="1.42578125" style="2" customWidth="1"/>
    <col min="13349" max="13349" width="0" style="2" hidden="1" customWidth="1"/>
    <col min="13350" max="13568" width="11.42578125" style="2"/>
    <col min="13569" max="13569" width="8" style="2" customWidth="1"/>
    <col min="13570" max="13570" width="13.42578125" style="2" customWidth="1"/>
    <col min="13571" max="13571" width="4.28515625" style="2" customWidth="1"/>
    <col min="13572" max="13572" width="4" style="2" customWidth="1"/>
    <col min="13573" max="13573" width="17" style="2" customWidth="1"/>
    <col min="13574" max="13574" width="4.140625" style="2" customWidth="1"/>
    <col min="13575" max="13575" width="11.28515625" style="2" customWidth="1"/>
    <col min="13576" max="13576" width="11" style="2" customWidth="1"/>
    <col min="13577" max="13578" width="2.140625" style="2" customWidth="1"/>
    <col min="13579" max="13579" width="3.28515625" style="2" customWidth="1"/>
    <col min="13580" max="13581" width="0" style="2" hidden="1" customWidth="1"/>
    <col min="13582" max="13582" width="2.85546875" style="2" customWidth="1"/>
    <col min="13583" max="13583" width="3.28515625" style="2" customWidth="1"/>
    <col min="13584" max="13584" width="1.5703125" style="2" customWidth="1"/>
    <col min="13585" max="13585" width="0" style="2" hidden="1" customWidth="1"/>
    <col min="13586" max="13586" width="6.85546875" style="2" customWidth="1"/>
    <col min="13587" max="13587" width="0" style="2" hidden="1" customWidth="1"/>
    <col min="13588" max="13589" width="6.28515625" style="2" customWidth="1"/>
    <col min="13590" max="13590" width="13.85546875" style="2" customWidth="1"/>
    <col min="13591" max="13591" width="10.85546875" style="2" customWidth="1"/>
    <col min="13592" max="13592" width="14.7109375" style="2" customWidth="1"/>
    <col min="13593" max="13593" width="0" style="2" hidden="1" customWidth="1"/>
    <col min="13594" max="13594" width="13" style="2" customWidth="1"/>
    <col min="13595" max="13595" width="12.7109375" style="2" customWidth="1"/>
    <col min="13596" max="13596" width="13.140625" style="2" customWidth="1"/>
    <col min="13597" max="13597" width="14" style="2" customWidth="1"/>
    <col min="13598" max="13598" width="8.140625" style="2" customWidth="1"/>
    <col min="13599" max="13599" width="11.5703125" style="2" customWidth="1"/>
    <col min="13600" max="13600" width="24.7109375" style="2" customWidth="1"/>
    <col min="13601" max="13601" width="12" style="2" customWidth="1"/>
    <col min="13602" max="13603" width="0.28515625" style="2" customWidth="1"/>
    <col min="13604" max="13604" width="1.42578125" style="2" customWidth="1"/>
    <col min="13605" max="13605" width="0" style="2" hidden="1" customWidth="1"/>
    <col min="13606" max="13824" width="11.42578125" style="2"/>
    <col min="13825" max="13825" width="8" style="2" customWidth="1"/>
    <col min="13826" max="13826" width="13.42578125" style="2" customWidth="1"/>
    <col min="13827" max="13827" width="4.28515625" style="2" customWidth="1"/>
    <col min="13828" max="13828" width="4" style="2" customWidth="1"/>
    <col min="13829" max="13829" width="17" style="2" customWidth="1"/>
    <col min="13830" max="13830" width="4.140625" style="2" customWidth="1"/>
    <col min="13831" max="13831" width="11.28515625" style="2" customWidth="1"/>
    <col min="13832" max="13832" width="11" style="2" customWidth="1"/>
    <col min="13833" max="13834" width="2.140625" style="2" customWidth="1"/>
    <col min="13835" max="13835" width="3.28515625" style="2" customWidth="1"/>
    <col min="13836" max="13837" width="0" style="2" hidden="1" customWidth="1"/>
    <col min="13838" max="13838" width="2.85546875" style="2" customWidth="1"/>
    <col min="13839" max="13839" width="3.28515625" style="2" customWidth="1"/>
    <col min="13840" max="13840" width="1.5703125" style="2" customWidth="1"/>
    <col min="13841" max="13841" width="0" style="2" hidden="1" customWidth="1"/>
    <col min="13842" max="13842" width="6.85546875" style="2" customWidth="1"/>
    <col min="13843" max="13843" width="0" style="2" hidden="1" customWidth="1"/>
    <col min="13844" max="13845" width="6.28515625" style="2" customWidth="1"/>
    <col min="13846" max="13846" width="13.85546875" style="2" customWidth="1"/>
    <col min="13847" max="13847" width="10.85546875" style="2" customWidth="1"/>
    <col min="13848" max="13848" width="14.7109375" style="2" customWidth="1"/>
    <col min="13849" max="13849" width="0" style="2" hidden="1" customWidth="1"/>
    <col min="13850" max="13850" width="13" style="2" customWidth="1"/>
    <col min="13851" max="13851" width="12.7109375" style="2" customWidth="1"/>
    <col min="13852" max="13852" width="13.140625" style="2" customWidth="1"/>
    <col min="13853" max="13853" width="14" style="2" customWidth="1"/>
    <col min="13854" max="13854" width="8.140625" style="2" customWidth="1"/>
    <col min="13855" max="13855" width="11.5703125" style="2" customWidth="1"/>
    <col min="13856" max="13856" width="24.7109375" style="2" customWidth="1"/>
    <col min="13857" max="13857" width="12" style="2" customWidth="1"/>
    <col min="13858" max="13859" width="0.28515625" style="2" customWidth="1"/>
    <col min="13860" max="13860" width="1.42578125" style="2" customWidth="1"/>
    <col min="13861" max="13861" width="0" style="2" hidden="1" customWidth="1"/>
    <col min="13862" max="14080" width="11.42578125" style="2"/>
    <col min="14081" max="14081" width="8" style="2" customWidth="1"/>
    <col min="14082" max="14082" width="13.42578125" style="2" customWidth="1"/>
    <col min="14083" max="14083" width="4.28515625" style="2" customWidth="1"/>
    <col min="14084" max="14084" width="4" style="2" customWidth="1"/>
    <col min="14085" max="14085" width="17" style="2" customWidth="1"/>
    <col min="14086" max="14086" width="4.140625" style="2" customWidth="1"/>
    <col min="14087" max="14087" width="11.28515625" style="2" customWidth="1"/>
    <col min="14088" max="14088" width="11" style="2" customWidth="1"/>
    <col min="14089" max="14090" width="2.140625" style="2" customWidth="1"/>
    <col min="14091" max="14091" width="3.28515625" style="2" customWidth="1"/>
    <col min="14092" max="14093" width="0" style="2" hidden="1" customWidth="1"/>
    <col min="14094" max="14094" width="2.85546875" style="2" customWidth="1"/>
    <col min="14095" max="14095" width="3.28515625" style="2" customWidth="1"/>
    <col min="14096" max="14096" width="1.5703125" style="2" customWidth="1"/>
    <col min="14097" max="14097" width="0" style="2" hidden="1" customWidth="1"/>
    <col min="14098" max="14098" width="6.85546875" style="2" customWidth="1"/>
    <col min="14099" max="14099" width="0" style="2" hidden="1" customWidth="1"/>
    <col min="14100" max="14101" width="6.28515625" style="2" customWidth="1"/>
    <col min="14102" max="14102" width="13.85546875" style="2" customWidth="1"/>
    <col min="14103" max="14103" width="10.85546875" style="2" customWidth="1"/>
    <col min="14104" max="14104" width="14.7109375" style="2" customWidth="1"/>
    <col min="14105" max="14105" width="0" style="2" hidden="1" customWidth="1"/>
    <col min="14106" max="14106" width="13" style="2" customWidth="1"/>
    <col min="14107" max="14107" width="12.7109375" style="2" customWidth="1"/>
    <col min="14108" max="14108" width="13.140625" style="2" customWidth="1"/>
    <col min="14109" max="14109" width="14" style="2" customWidth="1"/>
    <col min="14110" max="14110" width="8.140625" style="2" customWidth="1"/>
    <col min="14111" max="14111" width="11.5703125" style="2" customWidth="1"/>
    <col min="14112" max="14112" width="24.7109375" style="2" customWidth="1"/>
    <col min="14113" max="14113" width="12" style="2" customWidth="1"/>
    <col min="14114" max="14115" width="0.28515625" style="2" customWidth="1"/>
    <col min="14116" max="14116" width="1.42578125" style="2" customWidth="1"/>
    <col min="14117" max="14117" width="0" style="2" hidden="1" customWidth="1"/>
    <col min="14118" max="14336" width="11.42578125" style="2"/>
    <col min="14337" max="14337" width="8" style="2" customWidth="1"/>
    <col min="14338" max="14338" width="13.42578125" style="2" customWidth="1"/>
    <col min="14339" max="14339" width="4.28515625" style="2" customWidth="1"/>
    <col min="14340" max="14340" width="4" style="2" customWidth="1"/>
    <col min="14341" max="14341" width="17" style="2" customWidth="1"/>
    <col min="14342" max="14342" width="4.140625" style="2" customWidth="1"/>
    <col min="14343" max="14343" width="11.28515625" style="2" customWidth="1"/>
    <col min="14344" max="14344" width="11" style="2" customWidth="1"/>
    <col min="14345" max="14346" width="2.140625" style="2" customWidth="1"/>
    <col min="14347" max="14347" width="3.28515625" style="2" customWidth="1"/>
    <col min="14348" max="14349" width="0" style="2" hidden="1" customWidth="1"/>
    <col min="14350" max="14350" width="2.85546875" style="2" customWidth="1"/>
    <col min="14351" max="14351" width="3.28515625" style="2" customWidth="1"/>
    <col min="14352" max="14352" width="1.5703125" style="2" customWidth="1"/>
    <col min="14353" max="14353" width="0" style="2" hidden="1" customWidth="1"/>
    <col min="14354" max="14354" width="6.85546875" style="2" customWidth="1"/>
    <col min="14355" max="14355" width="0" style="2" hidden="1" customWidth="1"/>
    <col min="14356" max="14357" width="6.28515625" style="2" customWidth="1"/>
    <col min="14358" max="14358" width="13.85546875" style="2" customWidth="1"/>
    <col min="14359" max="14359" width="10.85546875" style="2" customWidth="1"/>
    <col min="14360" max="14360" width="14.7109375" style="2" customWidth="1"/>
    <col min="14361" max="14361" width="0" style="2" hidden="1" customWidth="1"/>
    <col min="14362" max="14362" width="13" style="2" customWidth="1"/>
    <col min="14363" max="14363" width="12.7109375" style="2" customWidth="1"/>
    <col min="14364" max="14364" width="13.140625" style="2" customWidth="1"/>
    <col min="14365" max="14365" width="14" style="2" customWidth="1"/>
    <col min="14366" max="14366" width="8.140625" style="2" customWidth="1"/>
    <col min="14367" max="14367" width="11.5703125" style="2" customWidth="1"/>
    <col min="14368" max="14368" width="24.7109375" style="2" customWidth="1"/>
    <col min="14369" max="14369" width="12" style="2" customWidth="1"/>
    <col min="14370" max="14371" width="0.28515625" style="2" customWidth="1"/>
    <col min="14372" max="14372" width="1.42578125" style="2" customWidth="1"/>
    <col min="14373" max="14373" width="0" style="2" hidden="1" customWidth="1"/>
    <col min="14374" max="14592" width="11.42578125" style="2"/>
    <col min="14593" max="14593" width="8" style="2" customWidth="1"/>
    <col min="14594" max="14594" width="13.42578125" style="2" customWidth="1"/>
    <col min="14595" max="14595" width="4.28515625" style="2" customWidth="1"/>
    <col min="14596" max="14596" width="4" style="2" customWidth="1"/>
    <col min="14597" max="14597" width="17" style="2" customWidth="1"/>
    <col min="14598" max="14598" width="4.140625" style="2" customWidth="1"/>
    <col min="14599" max="14599" width="11.28515625" style="2" customWidth="1"/>
    <col min="14600" max="14600" width="11" style="2" customWidth="1"/>
    <col min="14601" max="14602" width="2.140625" style="2" customWidth="1"/>
    <col min="14603" max="14603" width="3.28515625" style="2" customWidth="1"/>
    <col min="14604" max="14605" width="0" style="2" hidden="1" customWidth="1"/>
    <col min="14606" max="14606" width="2.85546875" style="2" customWidth="1"/>
    <col min="14607" max="14607" width="3.28515625" style="2" customWidth="1"/>
    <col min="14608" max="14608" width="1.5703125" style="2" customWidth="1"/>
    <col min="14609" max="14609" width="0" style="2" hidden="1" customWidth="1"/>
    <col min="14610" max="14610" width="6.85546875" style="2" customWidth="1"/>
    <col min="14611" max="14611" width="0" style="2" hidden="1" customWidth="1"/>
    <col min="14612" max="14613" width="6.28515625" style="2" customWidth="1"/>
    <col min="14614" max="14614" width="13.85546875" style="2" customWidth="1"/>
    <col min="14615" max="14615" width="10.85546875" style="2" customWidth="1"/>
    <col min="14616" max="14616" width="14.7109375" style="2" customWidth="1"/>
    <col min="14617" max="14617" width="0" style="2" hidden="1" customWidth="1"/>
    <col min="14618" max="14618" width="13" style="2" customWidth="1"/>
    <col min="14619" max="14619" width="12.7109375" style="2" customWidth="1"/>
    <col min="14620" max="14620" width="13.140625" style="2" customWidth="1"/>
    <col min="14621" max="14621" width="14" style="2" customWidth="1"/>
    <col min="14622" max="14622" width="8.140625" style="2" customWidth="1"/>
    <col min="14623" max="14623" width="11.5703125" style="2" customWidth="1"/>
    <col min="14624" max="14624" width="24.7109375" style="2" customWidth="1"/>
    <col min="14625" max="14625" width="12" style="2" customWidth="1"/>
    <col min="14626" max="14627" width="0.28515625" style="2" customWidth="1"/>
    <col min="14628" max="14628" width="1.42578125" style="2" customWidth="1"/>
    <col min="14629" max="14629" width="0" style="2" hidden="1" customWidth="1"/>
    <col min="14630" max="14848" width="11.42578125" style="2"/>
    <col min="14849" max="14849" width="8" style="2" customWidth="1"/>
    <col min="14850" max="14850" width="13.42578125" style="2" customWidth="1"/>
    <col min="14851" max="14851" width="4.28515625" style="2" customWidth="1"/>
    <col min="14852" max="14852" width="4" style="2" customWidth="1"/>
    <col min="14853" max="14853" width="17" style="2" customWidth="1"/>
    <col min="14854" max="14854" width="4.140625" style="2" customWidth="1"/>
    <col min="14855" max="14855" width="11.28515625" style="2" customWidth="1"/>
    <col min="14856" max="14856" width="11" style="2" customWidth="1"/>
    <col min="14857" max="14858" width="2.140625" style="2" customWidth="1"/>
    <col min="14859" max="14859" width="3.28515625" style="2" customWidth="1"/>
    <col min="14860" max="14861" width="0" style="2" hidden="1" customWidth="1"/>
    <col min="14862" max="14862" width="2.85546875" style="2" customWidth="1"/>
    <col min="14863" max="14863" width="3.28515625" style="2" customWidth="1"/>
    <col min="14864" max="14864" width="1.5703125" style="2" customWidth="1"/>
    <col min="14865" max="14865" width="0" style="2" hidden="1" customWidth="1"/>
    <col min="14866" max="14866" width="6.85546875" style="2" customWidth="1"/>
    <col min="14867" max="14867" width="0" style="2" hidden="1" customWidth="1"/>
    <col min="14868" max="14869" width="6.28515625" style="2" customWidth="1"/>
    <col min="14870" max="14870" width="13.85546875" style="2" customWidth="1"/>
    <col min="14871" max="14871" width="10.85546875" style="2" customWidth="1"/>
    <col min="14872" max="14872" width="14.7109375" style="2" customWidth="1"/>
    <col min="14873" max="14873" width="0" style="2" hidden="1" customWidth="1"/>
    <col min="14874" max="14874" width="13" style="2" customWidth="1"/>
    <col min="14875" max="14875" width="12.7109375" style="2" customWidth="1"/>
    <col min="14876" max="14876" width="13.140625" style="2" customWidth="1"/>
    <col min="14877" max="14877" width="14" style="2" customWidth="1"/>
    <col min="14878" max="14878" width="8.140625" style="2" customWidth="1"/>
    <col min="14879" max="14879" width="11.5703125" style="2" customWidth="1"/>
    <col min="14880" max="14880" width="24.7109375" style="2" customWidth="1"/>
    <col min="14881" max="14881" width="12" style="2" customWidth="1"/>
    <col min="14882" max="14883" width="0.28515625" style="2" customWidth="1"/>
    <col min="14884" max="14884" width="1.42578125" style="2" customWidth="1"/>
    <col min="14885" max="14885" width="0" style="2" hidden="1" customWidth="1"/>
    <col min="14886" max="15104" width="11.42578125" style="2"/>
    <col min="15105" max="15105" width="8" style="2" customWidth="1"/>
    <col min="15106" max="15106" width="13.42578125" style="2" customWidth="1"/>
    <col min="15107" max="15107" width="4.28515625" style="2" customWidth="1"/>
    <col min="15108" max="15108" width="4" style="2" customWidth="1"/>
    <col min="15109" max="15109" width="17" style="2" customWidth="1"/>
    <col min="15110" max="15110" width="4.140625" style="2" customWidth="1"/>
    <col min="15111" max="15111" width="11.28515625" style="2" customWidth="1"/>
    <col min="15112" max="15112" width="11" style="2" customWidth="1"/>
    <col min="15113" max="15114" width="2.140625" style="2" customWidth="1"/>
    <col min="15115" max="15115" width="3.28515625" style="2" customWidth="1"/>
    <col min="15116" max="15117" width="0" style="2" hidden="1" customWidth="1"/>
    <col min="15118" max="15118" width="2.85546875" style="2" customWidth="1"/>
    <col min="15119" max="15119" width="3.28515625" style="2" customWidth="1"/>
    <col min="15120" max="15120" width="1.5703125" style="2" customWidth="1"/>
    <col min="15121" max="15121" width="0" style="2" hidden="1" customWidth="1"/>
    <col min="15122" max="15122" width="6.85546875" style="2" customWidth="1"/>
    <col min="15123" max="15123" width="0" style="2" hidden="1" customWidth="1"/>
    <col min="15124" max="15125" width="6.28515625" style="2" customWidth="1"/>
    <col min="15126" max="15126" width="13.85546875" style="2" customWidth="1"/>
    <col min="15127" max="15127" width="10.85546875" style="2" customWidth="1"/>
    <col min="15128" max="15128" width="14.7109375" style="2" customWidth="1"/>
    <col min="15129" max="15129" width="0" style="2" hidden="1" customWidth="1"/>
    <col min="15130" max="15130" width="13" style="2" customWidth="1"/>
    <col min="15131" max="15131" width="12.7109375" style="2" customWidth="1"/>
    <col min="15132" max="15132" width="13.140625" style="2" customWidth="1"/>
    <col min="15133" max="15133" width="14" style="2" customWidth="1"/>
    <col min="15134" max="15134" width="8.140625" style="2" customWidth="1"/>
    <col min="15135" max="15135" width="11.5703125" style="2" customWidth="1"/>
    <col min="15136" max="15136" width="24.7109375" style="2" customWidth="1"/>
    <col min="15137" max="15137" width="12" style="2" customWidth="1"/>
    <col min="15138" max="15139" width="0.28515625" style="2" customWidth="1"/>
    <col min="15140" max="15140" width="1.42578125" style="2" customWidth="1"/>
    <col min="15141" max="15141" width="0" style="2" hidden="1" customWidth="1"/>
    <col min="15142" max="15360" width="11.42578125" style="2"/>
    <col min="15361" max="15361" width="8" style="2" customWidth="1"/>
    <col min="15362" max="15362" width="13.42578125" style="2" customWidth="1"/>
    <col min="15363" max="15363" width="4.28515625" style="2" customWidth="1"/>
    <col min="15364" max="15364" width="4" style="2" customWidth="1"/>
    <col min="15365" max="15365" width="17" style="2" customWidth="1"/>
    <col min="15366" max="15366" width="4.140625" style="2" customWidth="1"/>
    <col min="15367" max="15367" width="11.28515625" style="2" customWidth="1"/>
    <col min="15368" max="15368" width="11" style="2" customWidth="1"/>
    <col min="15369" max="15370" width="2.140625" style="2" customWidth="1"/>
    <col min="15371" max="15371" width="3.28515625" style="2" customWidth="1"/>
    <col min="15372" max="15373" width="0" style="2" hidden="1" customWidth="1"/>
    <col min="15374" max="15374" width="2.85546875" style="2" customWidth="1"/>
    <col min="15375" max="15375" width="3.28515625" style="2" customWidth="1"/>
    <col min="15376" max="15376" width="1.5703125" style="2" customWidth="1"/>
    <col min="15377" max="15377" width="0" style="2" hidden="1" customWidth="1"/>
    <col min="15378" max="15378" width="6.85546875" style="2" customWidth="1"/>
    <col min="15379" max="15379" width="0" style="2" hidden="1" customWidth="1"/>
    <col min="15380" max="15381" width="6.28515625" style="2" customWidth="1"/>
    <col min="15382" max="15382" width="13.85546875" style="2" customWidth="1"/>
    <col min="15383" max="15383" width="10.85546875" style="2" customWidth="1"/>
    <col min="15384" max="15384" width="14.7109375" style="2" customWidth="1"/>
    <col min="15385" max="15385" width="0" style="2" hidden="1" customWidth="1"/>
    <col min="15386" max="15386" width="13" style="2" customWidth="1"/>
    <col min="15387" max="15387" width="12.7109375" style="2" customWidth="1"/>
    <col min="15388" max="15388" width="13.140625" style="2" customWidth="1"/>
    <col min="15389" max="15389" width="14" style="2" customWidth="1"/>
    <col min="15390" max="15390" width="8.140625" style="2" customWidth="1"/>
    <col min="15391" max="15391" width="11.5703125" style="2" customWidth="1"/>
    <col min="15392" max="15392" width="24.7109375" style="2" customWidth="1"/>
    <col min="15393" max="15393" width="12" style="2" customWidth="1"/>
    <col min="15394" max="15395" width="0.28515625" style="2" customWidth="1"/>
    <col min="15396" max="15396" width="1.42578125" style="2" customWidth="1"/>
    <col min="15397" max="15397" width="0" style="2" hidden="1" customWidth="1"/>
    <col min="15398" max="15616" width="11.42578125" style="2"/>
    <col min="15617" max="15617" width="8" style="2" customWidth="1"/>
    <col min="15618" max="15618" width="13.42578125" style="2" customWidth="1"/>
    <col min="15619" max="15619" width="4.28515625" style="2" customWidth="1"/>
    <col min="15620" max="15620" width="4" style="2" customWidth="1"/>
    <col min="15621" max="15621" width="17" style="2" customWidth="1"/>
    <col min="15622" max="15622" width="4.140625" style="2" customWidth="1"/>
    <col min="15623" max="15623" width="11.28515625" style="2" customWidth="1"/>
    <col min="15624" max="15624" width="11" style="2" customWidth="1"/>
    <col min="15625" max="15626" width="2.140625" style="2" customWidth="1"/>
    <col min="15627" max="15627" width="3.28515625" style="2" customWidth="1"/>
    <col min="15628" max="15629" width="0" style="2" hidden="1" customWidth="1"/>
    <col min="15630" max="15630" width="2.85546875" style="2" customWidth="1"/>
    <col min="15631" max="15631" width="3.28515625" style="2" customWidth="1"/>
    <col min="15632" max="15632" width="1.5703125" style="2" customWidth="1"/>
    <col min="15633" max="15633" width="0" style="2" hidden="1" customWidth="1"/>
    <col min="15634" max="15634" width="6.85546875" style="2" customWidth="1"/>
    <col min="15635" max="15635" width="0" style="2" hidden="1" customWidth="1"/>
    <col min="15636" max="15637" width="6.28515625" style="2" customWidth="1"/>
    <col min="15638" max="15638" width="13.85546875" style="2" customWidth="1"/>
    <col min="15639" max="15639" width="10.85546875" style="2" customWidth="1"/>
    <col min="15640" max="15640" width="14.7109375" style="2" customWidth="1"/>
    <col min="15641" max="15641" width="0" style="2" hidden="1" customWidth="1"/>
    <col min="15642" max="15642" width="13" style="2" customWidth="1"/>
    <col min="15643" max="15643" width="12.7109375" style="2" customWidth="1"/>
    <col min="15644" max="15644" width="13.140625" style="2" customWidth="1"/>
    <col min="15645" max="15645" width="14" style="2" customWidth="1"/>
    <col min="15646" max="15646" width="8.140625" style="2" customWidth="1"/>
    <col min="15647" max="15647" width="11.5703125" style="2" customWidth="1"/>
    <col min="15648" max="15648" width="24.7109375" style="2" customWidth="1"/>
    <col min="15649" max="15649" width="12" style="2" customWidth="1"/>
    <col min="15650" max="15651" width="0.28515625" style="2" customWidth="1"/>
    <col min="15652" max="15652" width="1.42578125" style="2" customWidth="1"/>
    <col min="15653" max="15653" width="0" style="2" hidden="1" customWidth="1"/>
    <col min="15654" max="15872" width="11.42578125" style="2"/>
    <col min="15873" max="15873" width="8" style="2" customWidth="1"/>
    <col min="15874" max="15874" width="13.42578125" style="2" customWidth="1"/>
    <col min="15875" max="15875" width="4.28515625" style="2" customWidth="1"/>
    <col min="15876" max="15876" width="4" style="2" customWidth="1"/>
    <col min="15877" max="15877" width="17" style="2" customWidth="1"/>
    <col min="15878" max="15878" width="4.140625" style="2" customWidth="1"/>
    <col min="15879" max="15879" width="11.28515625" style="2" customWidth="1"/>
    <col min="15880" max="15880" width="11" style="2" customWidth="1"/>
    <col min="15881" max="15882" width="2.140625" style="2" customWidth="1"/>
    <col min="15883" max="15883" width="3.28515625" style="2" customWidth="1"/>
    <col min="15884" max="15885" width="0" style="2" hidden="1" customWidth="1"/>
    <col min="15886" max="15886" width="2.85546875" style="2" customWidth="1"/>
    <col min="15887" max="15887" width="3.28515625" style="2" customWidth="1"/>
    <col min="15888" max="15888" width="1.5703125" style="2" customWidth="1"/>
    <col min="15889" max="15889" width="0" style="2" hidden="1" customWidth="1"/>
    <col min="15890" max="15890" width="6.85546875" style="2" customWidth="1"/>
    <col min="15891" max="15891" width="0" style="2" hidden="1" customWidth="1"/>
    <col min="15892" max="15893" width="6.28515625" style="2" customWidth="1"/>
    <col min="15894" max="15894" width="13.85546875" style="2" customWidth="1"/>
    <col min="15895" max="15895" width="10.85546875" style="2" customWidth="1"/>
    <col min="15896" max="15896" width="14.7109375" style="2" customWidth="1"/>
    <col min="15897" max="15897" width="0" style="2" hidden="1" customWidth="1"/>
    <col min="15898" max="15898" width="13" style="2" customWidth="1"/>
    <col min="15899" max="15899" width="12.7109375" style="2" customWidth="1"/>
    <col min="15900" max="15900" width="13.140625" style="2" customWidth="1"/>
    <col min="15901" max="15901" width="14" style="2" customWidth="1"/>
    <col min="15902" max="15902" width="8.140625" style="2" customWidth="1"/>
    <col min="15903" max="15903" width="11.5703125" style="2" customWidth="1"/>
    <col min="15904" max="15904" width="24.7109375" style="2" customWidth="1"/>
    <col min="15905" max="15905" width="12" style="2" customWidth="1"/>
    <col min="15906" max="15907" width="0.28515625" style="2" customWidth="1"/>
    <col min="15908" max="15908" width="1.42578125" style="2" customWidth="1"/>
    <col min="15909" max="15909" width="0" style="2" hidden="1" customWidth="1"/>
    <col min="15910" max="16128" width="11.42578125" style="2"/>
    <col min="16129" max="16129" width="8" style="2" customWidth="1"/>
    <col min="16130" max="16130" width="13.42578125" style="2" customWidth="1"/>
    <col min="16131" max="16131" width="4.28515625" style="2" customWidth="1"/>
    <col min="16132" max="16132" width="4" style="2" customWidth="1"/>
    <col min="16133" max="16133" width="17" style="2" customWidth="1"/>
    <col min="16134" max="16134" width="4.140625" style="2" customWidth="1"/>
    <col min="16135" max="16135" width="11.28515625" style="2" customWidth="1"/>
    <col min="16136" max="16136" width="11" style="2" customWidth="1"/>
    <col min="16137" max="16138" width="2.140625" style="2" customWidth="1"/>
    <col min="16139" max="16139" width="3.28515625" style="2" customWidth="1"/>
    <col min="16140" max="16141" width="0" style="2" hidden="1" customWidth="1"/>
    <col min="16142" max="16142" width="2.85546875" style="2" customWidth="1"/>
    <col min="16143" max="16143" width="3.28515625" style="2" customWidth="1"/>
    <col min="16144" max="16144" width="1.5703125" style="2" customWidth="1"/>
    <col min="16145" max="16145" width="0" style="2" hidden="1" customWidth="1"/>
    <col min="16146" max="16146" width="6.85546875" style="2" customWidth="1"/>
    <col min="16147" max="16147" width="0" style="2" hidden="1" customWidth="1"/>
    <col min="16148" max="16149" width="6.28515625" style="2" customWidth="1"/>
    <col min="16150" max="16150" width="13.85546875" style="2" customWidth="1"/>
    <col min="16151" max="16151" width="10.85546875" style="2" customWidth="1"/>
    <col min="16152" max="16152" width="14.7109375" style="2" customWidth="1"/>
    <col min="16153" max="16153" width="0" style="2" hidden="1" customWidth="1"/>
    <col min="16154" max="16154" width="13" style="2" customWidth="1"/>
    <col min="16155" max="16155" width="12.7109375" style="2" customWidth="1"/>
    <col min="16156" max="16156" width="13.140625" style="2" customWidth="1"/>
    <col min="16157" max="16157" width="14" style="2" customWidth="1"/>
    <col min="16158" max="16158" width="8.140625" style="2" customWidth="1"/>
    <col min="16159" max="16159" width="11.5703125" style="2" customWidth="1"/>
    <col min="16160" max="16160" width="24.7109375" style="2" customWidth="1"/>
    <col min="16161" max="16161" width="12" style="2" customWidth="1"/>
    <col min="16162" max="16163" width="0.28515625" style="2" customWidth="1"/>
    <col min="16164" max="16164" width="1.42578125" style="2" customWidth="1"/>
    <col min="16165" max="16165" width="0" style="2" hidden="1" customWidth="1"/>
    <col min="16166" max="16384" width="11.42578125" style="2"/>
  </cols>
  <sheetData>
    <row r="1" spans="1:38" ht="45" customHeight="1">
      <c r="A1" s="600"/>
      <c r="B1" s="600"/>
      <c r="C1" s="601" t="s">
        <v>0</v>
      </c>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2" t="s">
        <v>95</v>
      </c>
      <c r="AH1" s="3" t="s">
        <v>17</v>
      </c>
      <c r="AI1" s="6" t="s">
        <v>23</v>
      </c>
    </row>
    <row r="2" spans="1:38" ht="45" customHeight="1">
      <c r="A2" s="600"/>
      <c r="B2" s="600"/>
      <c r="C2" s="603" t="s">
        <v>37</v>
      </c>
      <c r="D2" s="603"/>
      <c r="E2" s="603"/>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2"/>
      <c r="AH2" s="2" t="s">
        <v>18</v>
      </c>
      <c r="AI2" s="7" t="s">
        <v>24</v>
      </c>
    </row>
    <row r="3" spans="1:38"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H3" s="3" t="s">
        <v>16</v>
      </c>
      <c r="AI3" s="6" t="s">
        <v>25</v>
      </c>
    </row>
    <row r="4" spans="1:38" ht="30.75" customHeight="1">
      <c r="A4" s="597" t="s">
        <v>5</v>
      </c>
      <c r="B4" s="597"/>
      <c r="C4" s="597"/>
      <c r="D4" s="597"/>
      <c r="E4" s="598" t="s">
        <v>524</v>
      </c>
      <c r="F4" s="598"/>
      <c r="G4" s="598"/>
      <c r="H4" s="598"/>
      <c r="I4" s="598"/>
      <c r="J4" s="598"/>
      <c r="K4" s="598"/>
      <c r="L4" s="598"/>
      <c r="M4" s="598"/>
      <c r="N4" s="598"/>
      <c r="O4" s="598"/>
      <c r="P4" s="598"/>
      <c r="Q4" s="598"/>
      <c r="R4" s="598"/>
      <c r="S4" s="598"/>
      <c r="T4" s="598"/>
      <c r="U4" s="598"/>
      <c r="V4" s="599" t="s">
        <v>20</v>
      </c>
      <c r="W4" s="599"/>
      <c r="X4" s="598" t="s">
        <v>525</v>
      </c>
      <c r="Y4" s="598"/>
      <c r="Z4" s="598"/>
      <c r="AA4" s="598"/>
      <c r="AB4" s="598"/>
      <c r="AC4" s="598"/>
      <c r="AD4" s="599" t="s">
        <v>98</v>
      </c>
      <c r="AE4" s="599"/>
      <c r="AF4" s="45" t="s">
        <v>99</v>
      </c>
      <c r="AH4" s="6" t="s">
        <v>19</v>
      </c>
    </row>
    <row r="5" spans="1:38" ht="4.5" customHeigh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row>
    <row r="6" spans="1:38" ht="57" customHeight="1">
      <c r="A6" s="705" t="s">
        <v>39</v>
      </c>
      <c r="B6" s="705"/>
      <c r="C6" s="599" t="s">
        <v>1</v>
      </c>
      <c r="D6" s="599" t="s">
        <v>100</v>
      </c>
      <c r="E6" s="599"/>
      <c r="F6" s="608" t="s">
        <v>6</v>
      </c>
      <c r="G6" s="599" t="s">
        <v>9</v>
      </c>
      <c r="H6" s="599" t="s">
        <v>2</v>
      </c>
      <c r="I6" s="599" t="s">
        <v>21</v>
      </c>
      <c r="J6" s="599"/>
      <c r="K6" s="599"/>
      <c r="L6" s="599"/>
      <c r="M6" s="599"/>
      <c r="N6" s="599"/>
      <c r="O6" s="599"/>
      <c r="P6" s="599"/>
      <c r="Q6" s="599"/>
      <c r="R6" s="599"/>
      <c r="S6" s="599"/>
      <c r="T6" s="599"/>
      <c r="U6" s="599"/>
      <c r="V6" s="599" t="s">
        <v>101</v>
      </c>
      <c r="W6" s="599" t="s">
        <v>3</v>
      </c>
      <c r="X6" s="599"/>
      <c r="Y6" s="599"/>
      <c r="Z6" s="610" t="s">
        <v>102</v>
      </c>
      <c r="AA6" s="610" t="s">
        <v>103</v>
      </c>
      <c r="AB6" s="610" t="s">
        <v>4</v>
      </c>
      <c r="AC6" s="610"/>
      <c r="AD6" s="599" t="s">
        <v>104</v>
      </c>
      <c r="AE6" s="599" t="s">
        <v>105</v>
      </c>
      <c r="AF6" s="599" t="s">
        <v>106</v>
      </c>
    </row>
    <row r="7" spans="1:38" ht="37.5" customHeight="1">
      <c r="A7" s="283" t="s">
        <v>40</v>
      </c>
      <c r="B7" s="284" t="s">
        <v>41</v>
      </c>
      <c r="C7" s="599"/>
      <c r="D7" s="599"/>
      <c r="E7" s="599"/>
      <c r="F7" s="608"/>
      <c r="G7" s="599"/>
      <c r="H7" s="599"/>
      <c r="I7" s="599" t="s">
        <v>11</v>
      </c>
      <c r="J7" s="599"/>
      <c r="K7" s="599"/>
      <c r="L7" s="599"/>
      <c r="M7" s="599"/>
      <c r="N7" s="599"/>
      <c r="O7" s="644" t="s">
        <v>12</v>
      </c>
      <c r="P7" s="644"/>
      <c r="Q7" s="644"/>
      <c r="R7" s="644"/>
      <c r="S7" s="644"/>
      <c r="T7" s="644" t="s">
        <v>13</v>
      </c>
      <c r="U7" s="644"/>
      <c r="V7" s="599"/>
      <c r="W7" s="599"/>
      <c r="X7" s="599"/>
      <c r="Y7" s="599"/>
      <c r="Z7" s="610"/>
      <c r="AA7" s="610"/>
      <c r="AB7" s="86" t="s">
        <v>14</v>
      </c>
      <c r="AC7" s="89" t="s">
        <v>15</v>
      </c>
      <c r="AD7" s="599"/>
      <c r="AE7" s="599"/>
      <c r="AF7" s="599"/>
    </row>
    <row r="8" spans="1:38" ht="109.5" customHeight="1">
      <c r="A8" s="706"/>
      <c r="B8" s="598"/>
      <c r="C8" s="598">
        <v>1</v>
      </c>
      <c r="D8" s="655" t="s">
        <v>526</v>
      </c>
      <c r="E8" s="655"/>
      <c r="F8" s="677" t="s">
        <v>527</v>
      </c>
      <c r="G8" s="665" t="s">
        <v>38</v>
      </c>
      <c r="H8" s="671" t="s">
        <v>25</v>
      </c>
      <c r="I8" s="653" t="s">
        <v>162</v>
      </c>
      <c r="J8" s="653"/>
      <c r="K8" s="653"/>
      <c r="L8" s="653"/>
      <c r="M8" s="653"/>
      <c r="N8" s="653"/>
      <c r="O8" s="653" t="s">
        <v>162</v>
      </c>
      <c r="P8" s="653"/>
      <c r="Q8" s="653"/>
      <c r="R8" s="653"/>
      <c r="S8" s="85"/>
      <c r="T8" s="653" t="s">
        <v>162</v>
      </c>
      <c r="U8" s="653"/>
      <c r="V8" s="655" t="s">
        <v>162</v>
      </c>
      <c r="W8" s="702" t="s">
        <v>528</v>
      </c>
      <c r="X8" s="702"/>
      <c r="Y8" s="702"/>
      <c r="Z8" s="81">
        <v>2</v>
      </c>
      <c r="AA8" s="81" t="s">
        <v>529</v>
      </c>
      <c r="AB8" s="285">
        <v>43305</v>
      </c>
      <c r="AC8" s="286">
        <v>43464</v>
      </c>
      <c r="AD8" s="287">
        <v>1</v>
      </c>
      <c r="AE8" s="84" t="s">
        <v>17</v>
      </c>
      <c r="AF8" s="288" t="s">
        <v>530</v>
      </c>
      <c r="AG8" s="105"/>
      <c r="AH8" s="105"/>
      <c r="AI8" s="92"/>
      <c r="AJ8" s="92"/>
      <c r="AK8" s="92"/>
      <c r="AL8" s="92"/>
    </row>
    <row r="9" spans="1:38" ht="79.5" customHeight="1">
      <c r="A9" s="706"/>
      <c r="B9" s="598"/>
      <c r="C9" s="598"/>
      <c r="D9" s="655"/>
      <c r="E9" s="655"/>
      <c r="F9" s="677"/>
      <c r="G9" s="665"/>
      <c r="H9" s="671"/>
      <c r="I9" s="653"/>
      <c r="J9" s="653"/>
      <c r="K9" s="653"/>
      <c r="L9" s="653"/>
      <c r="M9" s="653"/>
      <c r="N9" s="653"/>
      <c r="O9" s="653"/>
      <c r="P9" s="653"/>
      <c r="Q9" s="653"/>
      <c r="R9" s="653"/>
      <c r="S9" s="85"/>
      <c r="T9" s="653"/>
      <c r="U9" s="653"/>
      <c r="V9" s="655"/>
      <c r="W9" s="702" t="s">
        <v>531</v>
      </c>
      <c r="X9" s="702"/>
      <c r="Y9" s="702"/>
      <c r="Z9" s="81">
        <v>1</v>
      </c>
      <c r="AA9" s="81" t="s">
        <v>212</v>
      </c>
      <c r="AB9" s="285">
        <v>43305</v>
      </c>
      <c r="AC9" s="286">
        <v>43464</v>
      </c>
      <c r="AD9" s="287">
        <v>1</v>
      </c>
      <c r="AE9" s="84" t="s">
        <v>17</v>
      </c>
      <c r="AF9" s="288" t="s">
        <v>532</v>
      </c>
      <c r="AG9" s="105"/>
      <c r="AH9" s="105"/>
      <c r="AI9" s="92"/>
      <c r="AJ9" s="92"/>
      <c r="AK9" s="92"/>
      <c r="AL9" s="92"/>
    </row>
    <row r="10" spans="1:38" ht="144" customHeight="1">
      <c r="A10" s="706"/>
      <c r="B10" s="598"/>
      <c r="C10" s="598"/>
      <c r="D10" s="655"/>
      <c r="E10" s="655"/>
      <c r="F10" s="677"/>
      <c r="G10" s="665"/>
      <c r="H10" s="671"/>
      <c r="I10" s="653"/>
      <c r="J10" s="653"/>
      <c r="K10" s="653"/>
      <c r="L10" s="653"/>
      <c r="M10" s="653"/>
      <c r="N10" s="653"/>
      <c r="O10" s="653"/>
      <c r="P10" s="653"/>
      <c r="Q10" s="653"/>
      <c r="R10" s="653"/>
      <c r="S10" s="85"/>
      <c r="T10" s="653"/>
      <c r="U10" s="653"/>
      <c r="V10" s="655"/>
      <c r="W10" s="702" t="s">
        <v>533</v>
      </c>
      <c r="X10" s="702"/>
      <c r="Y10" s="702"/>
      <c r="Z10" s="289">
        <v>1</v>
      </c>
      <c r="AA10" s="290" t="s">
        <v>534</v>
      </c>
      <c r="AB10" s="285">
        <v>43305</v>
      </c>
      <c r="AC10" s="286">
        <v>43670</v>
      </c>
      <c r="AD10" s="287">
        <v>1</v>
      </c>
      <c r="AE10" s="84" t="s">
        <v>17</v>
      </c>
      <c r="AF10" s="291" t="s">
        <v>535</v>
      </c>
      <c r="AG10" s="105"/>
      <c r="AH10" s="105"/>
      <c r="AI10" s="92"/>
      <c r="AJ10" s="92"/>
      <c r="AK10" s="92"/>
      <c r="AL10" s="92"/>
    </row>
    <row r="11" spans="1:38" ht="80.25" customHeight="1" thickBot="1">
      <c r="A11" s="707"/>
      <c r="B11" s="622"/>
      <c r="C11" s="622"/>
      <c r="D11" s="628"/>
      <c r="E11" s="628"/>
      <c r="F11" s="678"/>
      <c r="G11" s="666"/>
      <c r="H11" s="672"/>
      <c r="I11" s="654"/>
      <c r="J11" s="654"/>
      <c r="K11" s="654"/>
      <c r="L11" s="654"/>
      <c r="M11" s="654"/>
      <c r="N11" s="654"/>
      <c r="O11" s="654"/>
      <c r="P11" s="654"/>
      <c r="Q11" s="654"/>
      <c r="R11" s="654"/>
      <c r="S11" s="292"/>
      <c r="T11" s="654"/>
      <c r="U11" s="654"/>
      <c r="V11" s="628"/>
      <c r="W11" s="708" t="s">
        <v>536</v>
      </c>
      <c r="X11" s="708"/>
      <c r="Y11" s="708"/>
      <c r="Z11" s="293">
        <v>1</v>
      </c>
      <c r="AA11" s="294" t="s">
        <v>537</v>
      </c>
      <c r="AB11" s="295">
        <v>43305</v>
      </c>
      <c r="AC11" s="296">
        <v>43823</v>
      </c>
      <c r="AD11" s="297">
        <v>0</v>
      </c>
      <c r="AE11" s="298" t="s">
        <v>18</v>
      </c>
      <c r="AF11" s="299" t="s">
        <v>538</v>
      </c>
      <c r="AG11" s="105"/>
      <c r="AH11" s="105"/>
      <c r="AI11" s="92"/>
      <c r="AJ11" s="92"/>
      <c r="AK11" s="92"/>
      <c r="AL11" s="92"/>
    </row>
    <row r="12" spans="1:38" ht="12" customHeight="1">
      <c r="A12" s="643"/>
      <c r="B12" s="643"/>
      <c r="C12" s="643"/>
      <c r="D12" s="643"/>
      <c r="E12" s="643"/>
      <c r="F12" s="643"/>
      <c r="G12" s="643"/>
      <c r="H12" s="643"/>
      <c r="I12" s="643"/>
      <c r="J12" s="643"/>
      <c r="K12" s="643"/>
      <c r="L12" s="643"/>
      <c r="M12" s="643"/>
      <c r="N12" s="643"/>
      <c r="O12" s="643"/>
      <c r="P12" s="643"/>
      <c r="Q12" s="643"/>
      <c r="R12" s="643"/>
      <c r="S12" s="643"/>
      <c r="T12" s="643"/>
      <c r="U12" s="643"/>
      <c r="V12" s="643"/>
      <c r="W12" s="643"/>
      <c r="X12" s="643"/>
      <c r="Y12" s="643"/>
      <c r="Z12" s="643"/>
      <c r="AA12" s="643"/>
      <c r="AB12" s="643"/>
      <c r="AC12" s="643"/>
      <c r="AD12" s="643"/>
      <c r="AE12" s="643"/>
      <c r="AF12" s="643"/>
    </row>
    <row r="13" spans="1:38" ht="12.75" customHeight="1">
      <c r="A13" s="644" t="s">
        <v>539</v>
      </c>
      <c r="B13" s="644"/>
      <c r="C13" s="644"/>
      <c r="D13" s="644"/>
      <c r="E13" s="644"/>
      <c r="F13" s="644"/>
      <c r="G13" s="644"/>
      <c r="H13" s="644"/>
      <c r="I13" s="644"/>
      <c r="J13" s="644"/>
      <c r="K13" s="644"/>
      <c r="L13" s="4"/>
      <c r="M13" s="4"/>
      <c r="N13" s="645" t="s">
        <v>34</v>
      </c>
      <c r="O13" s="645"/>
      <c r="P13" s="645"/>
      <c r="Q13" s="645"/>
      <c r="R13" s="645"/>
      <c r="S13" s="645"/>
      <c r="T13" s="645"/>
      <c r="U13" s="645"/>
      <c r="V13" s="645"/>
      <c r="W13" s="645"/>
      <c r="X13" s="645"/>
      <c r="Y13" s="645"/>
      <c r="Z13" s="645"/>
      <c r="AA13" s="645"/>
      <c r="AB13" s="645"/>
      <c r="AC13" s="646" t="s">
        <v>35</v>
      </c>
      <c r="AD13" s="646"/>
      <c r="AE13" s="646"/>
      <c r="AF13" s="646"/>
    </row>
    <row r="14" spans="1:38">
      <c r="A14" s="644"/>
      <c r="B14" s="644"/>
      <c r="C14" s="644"/>
      <c r="D14" s="644"/>
      <c r="E14" s="644"/>
      <c r="F14" s="644"/>
      <c r="G14" s="644"/>
      <c r="H14" s="644"/>
      <c r="I14" s="644"/>
      <c r="J14" s="644"/>
      <c r="K14" s="644"/>
      <c r="L14" s="4"/>
      <c r="M14" s="4"/>
      <c r="N14" s="645"/>
      <c r="O14" s="645"/>
      <c r="P14" s="645"/>
      <c r="Q14" s="645"/>
      <c r="R14" s="645"/>
      <c r="S14" s="645"/>
      <c r="T14" s="645"/>
      <c r="U14" s="645"/>
      <c r="V14" s="645"/>
      <c r="W14" s="645"/>
      <c r="X14" s="645"/>
      <c r="Y14" s="645"/>
      <c r="Z14" s="645"/>
      <c r="AA14" s="645"/>
      <c r="AB14" s="645"/>
      <c r="AC14" s="646"/>
      <c r="AD14" s="646"/>
      <c r="AE14" s="646"/>
      <c r="AF14" s="646"/>
    </row>
    <row r="15" spans="1:38" ht="38.25" customHeight="1">
      <c r="A15" s="709" t="s">
        <v>157</v>
      </c>
      <c r="B15" s="710"/>
      <c r="C15" s="710"/>
      <c r="D15" s="710"/>
      <c r="E15" s="710"/>
      <c r="F15" s="710"/>
      <c r="G15" s="710"/>
      <c r="H15" s="710"/>
      <c r="I15" s="710"/>
      <c r="J15" s="710"/>
      <c r="K15" s="711"/>
      <c r="L15" s="4"/>
      <c r="M15" s="4"/>
      <c r="N15" s="650" t="s">
        <v>540</v>
      </c>
      <c r="O15" s="650"/>
      <c r="P15" s="650"/>
      <c r="Q15" s="650"/>
      <c r="R15" s="650"/>
      <c r="S15" s="650"/>
      <c r="T15" s="650"/>
      <c r="U15" s="650"/>
      <c r="V15" s="650"/>
      <c r="W15" s="650"/>
      <c r="X15" s="650"/>
      <c r="Y15" s="650"/>
      <c r="Z15" s="650"/>
      <c r="AA15" s="650"/>
      <c r="AB15" s="650"/>
      <c r="AC15" s="651" t="s">
        <v>541</v>
      </c>
      <c r="AD15" s="651"/>
      <c r="AE15" s="651"/>
      <c r="AF15" s="651"/>
    </row>
    <row r="16" spans="1:38" ht="15" customHeight="1">
      <c r="A16" s="641" t="s">
        <v>36</v>
      </c>
      <c r="B16" s="641"/>
      <c r="C16" s="641"/>
      <c r="D16" s="641"/>
      <c r="E16" s="641"/>
      <c r="F16" s="641"/>
      <c r="G16" s="641"/>
      <c r="H16" s="641"/>
      <c r="I16" s="641"/>
      <c r="J16" s="641"/>
      <c r="K16" s="641"/>
      <c r="L16" s="641"/>
      <c r="M16" s="641"/>
      <c r="N16" s="641"/>
      <c r="O16" s="641"/>
      <c r="P16" s="641"/>
      <c r="Q16" s="641"/>
      <c r="R16" s="641"/>
      <c r="S16" s="641"/>
      <c r="T16" s="641"/>
      <c r="U16" s="641"/>
      <c r="V16" s="641"/>
      <c r="W16" s="641"/>
      <c r="X16" s="641"/>
      <c r="Y16" s="641"/>
      <c r="Z16" s="641"/>
      <c r="AA16" s="641"/>
      <c r="AB16" s="641"/>
      <c r="AC16" s="641"/>
      <c r="AD16" s="641"/>
      <c r="AE16" s="641"/>
      <c r="AF16" s="641"/>
    </row>
    <row r="17" spans="1:35" ht="15.75" customHeight="1">
      <c r="A17" s="642"/>
      <c r="B17" s="642"/>
      <c r="C17" s="642"/>
      <c r="D17" s="642"/>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42"/>
      <c r="AD17" s="642"/>
      <c r="AE17" s="642"/>
      <c r="AF17" s="642"/>
      <c r="AG17" s="642"/>
    </row>
    <row r="18" spans="1:35" ht="22.5" customHeight="1">
      <c r="A18" s="642"/>
      <c r="B18" s="642"/>
      <c r="C18" s="642"/>
      <c r="D18" s="642"/>
      <c r="E18" s="642"/>
      <c r="F18" s="642"/>
      <c r="G18" s="642"/>
      <c r="H18" s="642"/>
      <c r="I18" s="642"/>
      <c r="J18" s="642"/>
      <c r="K18" s="642"/>
      <c r="L18" s="642"/>
      <c r="M18" s="642"/>
      <c r="N18" s="642"/>
      <c r="O18" s="642"/>
      <c r="P18" s="642"/>
      <c r="Q18" s="642"/>
      <c r="R18" s="642"/>
      <c r="S18" s="642"/>
      <c r="T18" s="642"/>
      <c r="U18" s="642"/>
      <c r="V18" s="642"/>
      <c r="W18" s="642"/>
      <c r="X18" s="642"/>
      <c r="Y18" s="642"/>
      <c r="Z18" s="642"/>
      <c r="AA18" s="642"/>
      <c r="AB18" s="642"/>
      <c r="AC18" s="642"/>
      <c r="AD18" s="642"/>
      <c r="AE18" s="642"/>
      <c r="AF18" s="642"/>
      <c r="AG18" s="8"/>
      <c r="AH18" s="8"/>
    </row>
    <row r="21" spans="1:35" ht="24.75" customHeight="1">
      <c r="AI21" s="6" t="s">
        <v>38</v>
      </c>
    </row>
    <row r="22" spans="1:35" ht="24.75" customHeight="1">
      <c r="AI22" s="6" t="s">
        <v>10</v>
      </c>
    </row>
    <row r="23" spans="1:35" ht="24.75" customHeight="1">
      <c r="AI23" s="6" t="s">
        <v>42</v>
      </c>
    </row>
    <row r="24" spans="1:35" ht="24.75" customHeight="1">
      <c r="AI24" s="6" t="s">
        <v>43</v>
      </c>
    </row>
    <row r="25" spans="1:35" ht="24.75" customHeight="1">
      <c r="AI25" s="6" t="s">
        <v>44</v>
      </c>
    </row>
    <row r="26" spans="1:35" ht="24.75" customHeight="1">
      <c r="AI26" s="6" t="s">
        <v>26</v>
      </c>
    </row>
    <row r="27" spans="1:35" ht="24.75" customHeight="1">
      <c r="AI27" s="6" t="s">
        <v>27</v>
      </c>
    </row>
    <row r="28" spans="1:35" ht="24.75" customHeight="1">
      <c r="AI28" s="6" t="s">
        <v>28</v>
      </c>
    </row>
    <row r="29" spans="1:35" ht="24.75" customHeight="1">
      <c r="AI29" s="6" t="s">
        <v>30</v>
      </c>
    </row>
    <row r="30" spans="1:35" ht="24.75" customHeight="1">
      <c r="AI30" s="6" t="s">
        <v>29</v>
      </c>
    </row>
    <row r="31" spans="1:35" ht="24.75" customHeight="1">
      <c r="AI31" s="6" t="s">
        <v>31</v>
      </c>
    </row>
    <row r="32" spans="1:35" ht="24.75" customHeight="1">
      <c r="AI32" s="6" t="s">
        <v>32</v>
      </c>
    </row>
    <row r="33" spans="35:35" ht="51">
      <c r="AI33" s="6" t="s">
        <v>33</v>
      </c>
    </row>
  </sheetData>
  <mergeCells count="54">
    <mergeCell ref="A16:AF16"/>
    <mergeCell ref="A17:AG17"/>
    <mergeCell ref="A18:AF18"/>
    <mergeCell ref="A12:AF12"/>
    <mergeCell ref="A13:K14"/>
    <mergeCell ref="N13:AB14"/>
    <mergeCell ref="AC13:AF14"/>
    <mergeCell ref="A15:K15"/>
    <mergeCell ref="N15:AB15"/>
    <mergeCell ref="AC15:AF15"/>
    <mergeCell ref="V8:V11"/>
    <mergeCell ref="W8:Y8"/>
    <mergeCell ref="W9:Y9"/>
    <mergeCell ref="W10:Y10"/>
    <mergeCell ref="W11:Y11"/>
    <mergeCell ref="I7:N7"/>
    <mergeCell ref="O7:S7"/>
    <mergeCell ref="T7:U7"/>
    <mergeCell ref="A8:A11"/>
    <mergeCell ref="B8:B11"/>
    <mergeCell ref="C8:C11"/>
    <mergeCell ref="D8:E11"/>
    <mergeCell ref="F8:F11"/>
    <mergeCell ref="G8:G11"/>
    <mergeCell ref="H8:H11"/>
    <mergeCell ref="I8:N11"/>
    <mergeCell ref="O8:R11"/>
    <mergeCell ref="T8:U11"/>
    <mergeCell ref="AF6:AF7"/>
    <mergeCell ref="A5:AF5"/>
    <mergeCell ref="A6:B6"/>
    <mergeCell ref="C6:C7"/>
    <mergeCell ref="D6:E7"/>
    <mergeCell ref="F6:F7"/>
    <mergeCell ref="G6:G7"/>
    <mergeCell ref="H6:H7"/>
    <mergeCell ref="I6:U6"/>
    <mergeCell ref="V6:V7"/>
    <mergeCell ref="W6:Y7"/>
    <mergeCell ref="Z6:Z7"/>
    <mergeCell ref="AA6:AA7"/>
    <mergeCell ref="AB6:AC6"/>
    <mergeCell ref="AD6:AD7"/>
    <mergeCell ref="AE6:AE7"/>
    <mergeCell ref="A1:B2"/>
    <mergeCell ref="C1:AE1"/>
    <mergeCell ref="AF1:AF2"/>
    <mergeCell ref="C2:AE2"/>
    <mergeCell ref="A3:AF3"/>
    <mergeCell ref="A4:D4"/>
    <mergeCell ref="E4:U4"/>
    <mergeCell ref="V4:W4"/>
    <mergeCell ref="X4:AC4"/>
    <mergeCell ref="AD4:AE4"/>
  </mergeCells>
  <conditionalFormatting sqref="AD8:AD11">
    <cfRule type="cellIs" dxfId="473" priority="5" operator="between">
      <formula>0.001</formula>
      <formula>0.99</formula>
    </cfRule>
    <cfRule type="cellIs" dxfId="472" priority="6" operator="equal">
      <formula>1</formula>
    </cfRule>
    <cfRule type="cellIs" dxfId="471" priority="7" operator="equal">
      <formula>0</formula>
    </cfRule>
  </conditionalFormatting>
  <conditionalFormatting sqref="AD8:AD11">
    <cfRule type="cellIs" dxfId="470" priority="8" operator="between">
      <formula>0.01</formula>
      <formula>0.99</formula>
    </cfRule>
    <cfRule type="cellIs" dxfId="469" priority="9" operator="equal">
      <formula>1</formula>
    </cfRule>
    <cfRule type="cellIs" dxfId="468" priority="10" operator="equal">
      <formula>0</formula>
    </cfRule>
  </conditionalFormatting>
  <conditionalFormatting sqref="AA8">
    <cfRule type="cellIs" dxfId="467" priority="3" stopIfTrue="1" operator="greaterThan">
      <formula>#REF!</formula>
    </cfRule>
    <cfRule type="cellIs" dxfId="466" priority="4" stopIfTrue="1" operator="lessThan">
      <formula>#REF!</formula>
    </cfRule>
  </conditionalFormatting>
  <conditionalFormatting sqref="AA9">
    <cfRule type="cellIs" dxfId="465" priority="1" stopIfTrue="1" operator="greaterThan">
      <formula>#REF!</formula>
    </cfRule>
    <cfRule type="cellIs" dxfId="464" priority="2" stopIfTrue="1" operator="lessThan">
      <formula>#REF!</formula>
    </cfRule>
  </conditionalFormatting>
  <dataValidations count="4">
    <dataValidation type="date" showInputMessage="1" showErrorMessage="1" error="Debe Digitar una Fecha Valida o Verificar la Fecha Inicial" sqref="AC65541 JY65541 TU65541 ADQ65541 ANM65541 AXI65541 BHE65541 BRA65541 CAW65541 CKS65541 CUO65541 DEK65541 DOG65541 DYC65541 EHY65541 ERU65541 FBQ65541 FLM65541 FVI65541 GFE65541 GPA65541 GYW65541 HIS65541 HSO65541 ICK65541 IMG65541 IWC65541 JFY65541 JPU65541 JZQ65541 KJM65541 KTI65541 LDE65541 LNA65541 LWW65541 MGS65541 MQO65541 NAK65541 NKG65541 NUC65541 ODY65541 ONU65541 OXQ65541 PHM65541 PRI65541 QBE65541 QLA65541 QUW65541 RES65541 ROO65541 RYK65541 SIG65541 SSC65541 TBY65541 TLU65541 TVQ65541 UFM65541 UPI65541 UZE65541 VJA65541 VSW65541 WCS65541 WMO65541 WWK65541 AC131077 JY131077 TU131077 ADQ131077 ANM131077 AXI131077 BHE131077 BRA131077 CAW131077 CKS131077 CUO131077 DEK131077 DOG131077 DYC131077 EHY131077 ERU131077 FBQ131077 FLM131077 FVI131077 GFE131077 GPA131077 GYW131077 HIS131077 HSO131077 ICK131077 IMG131077 IWC131077 JFY131077 JPU131077 JZQ131077 KJM131077 KTI131077 LDE131077 LNA131077 LWW131077 MGS131077 MQO131077 NAK131077 NKG131077 NUC131077 ODY131077 ONU131077 OXQ131077 PHM131077 PRI131077 QBE131077 QLA131077 QUW131077 RES131077 ROO131077 RYK131077 SIG131077 SSC131077 TBY131077 TLU131077 TVQ131077 UFM131077 UPI131077 UZE131077 VJA131077 VSW131077 WCS131077 WMO131077 WWK131077 AC196613 JY196613 TU196613 ADQ196613 ANM196613 AXI196613 BHE196613 BRA196613 CAW196613 CKS196613 CUO196613 DEK196613 DOG196613 DYC196613 EHY196613 ERU196613 FBQ196613 FLM196613 FVI196613 GFE196613 GPA196613 GYW196613 HIS196613 HSO196613 ICK196613 IMG196613 IWC196613 JFY196613 JPU196613 JZQ196613 KJM196613 KTI196613 LDE196613 LNA196613 LWW196613 MGS196613 MQO196613 NAK196613 NKG196613 NUC196613 ODY196613 ONU196613 OXQ196613 PHM196613 PRI196613 QBE196613 QLA196613 QUW196613 RES196613 ROO196613 RYK196613 SIG196613 SSC196613 TBY196613 TLU196613 TVQ196613 UFM196613 UPI196613 UZE196613 VJA196613 VSW196613 WCS196613 WMO196613 WWK196613 AC262149 JY262149 TU262149 ADQ262149 ANM262149 AXI262149 BHE262149 BRA262149 CAW262149 CKS262149 CUO262149 DEK262149 DOG262149 DYC262149 EHY262149 ERU262149 FBQ262149 FLM262149 FVI262149 GFE262149 GPA262149 GYW262149 HIS262149 HSO262149 ICK262149 IMG262149 IWC262149 JFY262149 JPU262149 JZQ262149 KJM262149 KTI262149 LDE262149 LNA262149 LWW262149 MGS262149 MQO262149 NAK262149 NKG262149 NUC262149 ODY262149 ONU262149 OXQ262149 PHM262149 PRI262149 QBE262149 QLA262149 QUW262149 RES262149 ROO262149 RYK262149 SIG262149 SSC262149 TBY262149 TLU262149 TVQ262149 UFM262149 UPI262149 UZE262149 VJA262149 VSW262149 WCS262149 WMO262149 WWK262149 AC327685 JY327685 TU327685 ADQ327685 ANM327685 AXI327685 BHE327685 BRA327685 CAW327685 CKS327685 CUO327685 DEK327685 DOG327685 DYC327685 EHY327685 ERU327685 FBQ327685 FLM327685 FVI327685 GFE327685 GPA327685 GYW327685 HIS327685 HSO327685 ICK327685 IMG327685 IWC327685 JFY327685 JPU327685 JZQ327685 KJM327685 KTI327685 LDE327685 LNA327685 LWW327685 MGS327685 MQO327685 NAK327685 NKG327685 NUC327685 ODY327685 ONU327685 OXQ327685 PHM327685 PRI327685 QBE327685 QLA327685 QUW327685 RES327685 ROO327685 RYK327685 SIG327685 SSC327685 TBY327685 TLU327685 TVQ327685 UFM327685 UPI327685 UZE327685 VJA327685 VSW327685 WCS327685 WMO327685 WWK327685 AC393221 JY393221 TU393221 ADQ393221 ANM393221 AXI393221 BHE393221 BRA393221 CAW393221 CKS393221 CUO393221 DEK393221 DOG393221 DYC393221 EHY393221 ERU393221 FBQ393221 FLM393221 FVI393221 GFE393221 GPA393221 GYW393221 HIS393221 HSO393221 ICK393221 IMG393221 IWC393221 JFY393221 JPU393221 JZQ393221 KJM393221 KTI393221 LDE393221 LNA393221 LWW393221 MGS393221 MQO393221 NAK393221 NKG393221 NUC393221 ODY393221 ONU393221 OXQ393221 PHM393221 PRI393221 QBE393221 QLA393221 QUW393221 RES393221 ROO393221 RYK393221 SIG393221 SSC393221 TBY393221 TLU393221 TVQ393221 UFM393221 UPI393221 UZE393221 VJA393221 VSW393221 WCS393221 WMO393221 WWK393221 AC458757 JY458757 TU458757 ADQ458757 ANM458757 AXI458757 BHE458757 BRA458757 CAW458757 CKS458757 CUO458757 DEK458757 DOG458757 DYC458757 EHY458757 ERU458757 FBQ458757 FLM458757 FVI458757 GFE458757 GPA458757 GYW458757 HIS458757 HSO458757 ICK458757 IMG458757 IWC458757 JFY458757 JPU458757 JZQ458757 KJM458757 KTI458757 LDE458757 LNA458757 LWW458757 MGS458757 MQO458757 NAK458757 NKG458757 NUC458757 ODY458757 ONU458757 OXQ458757 PHM458757 PRI458757 QBE458757 QLA458757 QUW458757 RES458757 ROO458757 RYK458757 SIG458757 SSC458757 TBY458757 TLU458757 TVQ458757 UFM458757 UPI458757 UZE458757 VJA458757 VSW458757 WCS458757 WMO458757 WWK458757 AC524293 JY524293 TU524293 ADQ524293 ANM524293 AXI524293 BHE524293 BRA524293 CAW524293 CKS524293 CUO524293 DEK524293 DOG524293 DYC524293 EHY524293 ERU524293 FBQ524293 FLM524293 FVI524293 GFE524293 GPA524293 GYW524293 HIS524293 HSO524293 ICK524293 IMG524293 IWC524293 JFY524293 JPU524293 JZQ524293 KJM524293 KTI524293 LDE524293 LNA524293 LWW524293 MGS524293 MQO524293 NAK524293 NKG524293 NUC524293 ODY524293 ONU524293 OXQ524293 PHM524293 PRI524293 QBE524293 QLA524293 QUW524293 RES524293 ROO524293 RYK524293 SIG524293 SSC524293 TBY524293 TLU524293 TVQ524293 UFM524293 UPI524293 UZE524293 VJA524293 VSW524293 WCS524293 WMO524293 WWK524293 AC589829 JY589829 TU589829 ADQ589829 ANM589829 AXI589829 BHE589829 BRA589829 CAW589829 CKS589829 CUO589829 DEK589829 DOG589829 DYC589829 EHY589829 ERU589829 FBQ589829 FLM589829 FVI589829 GFE589829 GPA589829 GYW589829 HIS589829 HSO589829 ICK589829 IMG589829 IWC589829 JFY589829 JPU589829 JZQ589829 KJM589829 KTI589829 LDE589829 LNA589829 LWW589829 MGS589829 MQO589829 NAK589829 NKG589829 NUC589829 ODY589829 ONU589829 OXQ589829 PHM589829 PRI589829 QBE589829 QLA589829 QUW589829 RES589829 ROO589829 RYK589829 SIG589829 SSC589829 TBY589829 TLU589829 TVQ589829 UFM589829 UPI589829 UZE589829 VJA589829 VSW589829 WCS589829 WMO589829 WWK589829 AC655365 JY655365 TU655365 ADQ655365 ANM655365 AXI655365 BHE655365 BRA655365 CAW655365 CKS655365 CUO655365 DEK655365 DOG655365 DYC655365 EHY655365 ERU655365 FBQ655365 FLM655365 FVI655365 GFE655365 GPA655365 GYW655365 HIS655365 HSO655365 ICK655365 IMG655365 IWC655365 JFY655365 JPU655365 JZQ655365 KJM655365 KTI655365 LDE655365 LNA655365 LWW655365 MGS655365 MQO655365 NAK655365 NKG655365 NUC655365 ODY655365 ONU655365 OXQ655365 PHM655365 PRI655365 QBE655365 QLA655365 QUW655365 RES655365 ROO655365 RYK655365 SIG655365 SSC655365 TBY655365 TLU655365 TVQ655365 UFM655365 UPI655365 UZE655365 VJA655365 VSW655365 WCS655365 WMO655365 WWK655365 AC720901 JY720901 TU720901 ADQ720901 ANM720901 AXI720901 BHE720901 BRA720901 CAW720901 CKS720901 CUO720901 DEK720901 DOG720901 DYC720901 EHY720901 ERU720901 FBQ720901 FLM720901 FVI720901 GFE720901 GPA720901 GYW720901 HIS720901 HSO720901 ICK720901 IMG720901 IWC720901 JFY720901 JPU720901 JZQ720901 KJM720901 KTI720901 LDE720901 LNA720901 LWW720901 MGS720901 MQO720901 NAK720901 NKG720901 NUC720901 ODY720901 ONU720901 OXQ720901 PHM720901 PRI720901 QBE720901 QLA720901 QUW720901 RES720901 ROO720901 RYK720901 SIG720901 SSC720901 TBY720901 TLU720901 TVQ720901 UFM720901 UPI720901 UZE720901 VJA720901 VSW720901 WCS720901 WMO720901 WWK720901 AC786437 JY786437 TU786437 ADQ786437 ANM786437 AXI786437 BHE786437 BRA786437 CAW786437 CKS786437 CUO786437 DEK786437 DOG786437 DYC786437 EHY786437 ERU786437 FBQ786437 FLM786437 FVI786437 GFE786437 GPA786437 GYW786437 HIS786437 HSO786437 ICK786437 IMG786437 IWC786437 JFY786437 JPU786437 JZQ786437 KJM786437 KTI786437 LDE786437 LNA786437 LWW786437 MGS786437 MQO786437 NAK786437 NKG786437 NUC786437 ODY786437 ONU786437 OXQ786437 PHM786437 PRI786437 QBE786437 QLA786437 QUW786437 RES786437 ROO786437 RYK786437 SIG786437 SSC786437 TBY786437 TLU786437 TVQ786437 UFM786437 UPI786437 UZE786437 VJA786437 VSW786437 WCS786437 WMO786437 WWK786437 AC851973 JY851973 TU851973 ADQ851973 ANM851973 AXI851973 BHE851973 BRA851973 CAW851973 CKS851973 CUO851973 DEK851973 DOG851973 DYC851973 EHY851973 ERU851973 FBQ851973 FLM851973 FVI851973 GFE851973 GPA851973 GYW851973 HIS851973 HSO851973 ICK851973 IMG851973 IWC851973 JFY851973 JPU851973 JZQ851973 KJM851973 KTI851973 LDE851973 LNA851973 LWW851973 MGS851973 MQO851973 NAK851973 NKG851973 NUC851973 ODY851973 ONU851973 OXQ851973 PHM851973 PRI851973 QBE851973 QLA851973 QUW851973 RES851973 ROO851973 RYK851973 SIG851973 SSC851973 TBY851973 TLU851973 TVQ851973 UFM851973 UPI851973 UZE851973 VJA851973 VSW851973 WCS851973 WMO851973 WWK851973 AC917509 JY917509 TU917509 ADQ917509 ANM917509 AXI917509 BHE917509 BRA917509 CAW917509 CKS917509 CUO917509 DEK917509 DOG917509 DYC917509 EHY917509 ERU917509 FBQ917509 FLM917509 FVI917509 GFE917509 GPA917509 GYW917509 HIS917509 HSO917509 ICK917509 IMG917509 IWC917509 JFY917509 JPU917509 JZQ917509 KJM917509 KTI917509 LDE917509 LNA917509 LWW917509 MGS917509 MQO917509 NAK917509 NKG917509 NUC917509 ODY917509 ONU917509 OXQ917509 PHM917509 PRI917509 QBE917509 QLA917509 QUW917509 RES917509 ROO917509 RYK917509 SIG917509 SSC917509 TBY917509 TLU917509 TVQ917509 UFM917509 UPI917509 UZE917509 VJA917509 VSW917509 WCS917509 WMO917509 WWK917509 AC983045 JY983045 TU983045 ADQ983045 ANM983045 AXI983045 BHE983045 BRA983045 CAW983045 CKS983045 CUO983045 DEK983045 DOG983045 DYC983045 EHY983045 ERU983045 FBQ983045 FLM983045 FVI983045 GFE983045 GPA983045 GYW983045 HIS983045 HSO983045 ICK983045 IMG983045 IWC983045 JFY983045 JPU983045 JZQ983045 KJM983045 KTI983045 LDE983045 LNA983045 LWW983045 MGS983045 MQO983045 NAK983045 NKG983045 NUC983045 ODY983045 ONU983045 OXQ983045 PHM983045 PRI983045 QBE983045 QLA983045 QUW983045 RES983045 ROO983045 RYK983045 SIG983045 SSC983045 TBY983045 TLU983045 TVQ983045 UFM983045 UPI983045 UZE983045 VJA983045 VSW983045 WCS983045 WMO983045 WWK983045 AC65543:AC65547 JY65543:JY65547 TU65543:TU65547 ADQ65543:ADQ65547 ANM65543:ANM65547 AXI65543:AXI65547 BHE65543:BHE65547 BRA65543:BRA65547 CAW65543:CAW65547 CKS65543:CKS65547 CUO65543:CUO65547 DEK65543:DEK65547 DOG65543:DOG65547 DYC65543:DYC65547 EHY65543:EHY65547 ERU65543:ERU65547 FBQ65543:FBQ65547 FLM65543:FLM65547 FVI65543:FVI65547 GFE65543:GFE65547 GPA65543:GPA65547 GYW65543:GYW65547 HIS65543:HIS65547 HSO65543:HSO65547 ICK65543:ICK65547 IMG65543:IMG65547 IWC65543:IWC65547 JFY65543:JFY65547 JPU65543:JPU65547 JZQ65543:JZQ65547 KJM65543:KJM65547 KTI65543:KTI65547 LDE65543:LDE65547 LNA65543:LNA65547 LWW65543:LWW65547 MGS65543:MGS65547 MQO65543:MQO65547 NAK65543:NAK65547 NKG65543:NKG65547 NUC65543:NUC65547 ODY65543:ODY65547 ONU65543:ONU65547 OXQ65543:OXQ65547 PHM65543:PHM65547 PRI65543:PRI65547 QBE65543:QBE65547 QLA65543:QLA65547 QUW65543:QUW65547 RES65543:RES65547 ROO65543:ROO65547 RYK65543:RYK65547 SIG65543:SIG65547 SSC65543:SSC65547 TBY65543:TBY65547 TLU65543:TLU65547 TVQ65543:TVQ65547 UFM65543:UFM65547 UPI65543:UPI65547 UZE65543:UZE65547 VJA65543:VJA65547 VSW65543:VSW65547 WCS65543:WCS65547 WMO65543:WMO65547 WWK65543:WWK65547 AC131079:AC131083 JY131079:JY131083 TU131079:TU131083 ADQ131079:ADQ131083 ANM131079:ANM131083 AXI131079:AXI131083 BHE131079:BHE131083 BRA131079:BRA131083 CAW131079:CAW131083 CKS131079:CKS131083 CUO131079:CUO131083 DEK131079:DEK131083 DOG131079:DOG131083 DYC131079:DYC131083 EHY131079:EHY131083 ERU131079:ERU131083 FBQ131079:FBQ131083 FLM131079:FLM131083 FVI131079:FVI131083 GFE131079:GFE131083 GPA131079:GPA131083 GYW131079:GYW131083 HIS131079:HIS131083 HSO131079:HSO131083 ICK131079:ICK131083 IMG131079:IMG131083 IWC131079:IWC131083 JFY131079:JFY131083 JPU131079:JPU131083 JZQ131079:JZQ131083 KJM131079:KJM131083 KTI131079:KTI131083 LDE131079:LDE131083 LNA131079:LNA131083 LWW131079:LWW131083 MGS131079:MGS131083 MQO131079:MQO131083 NAK131079:NAK131083 NKG131079:NKG131083 NUC131079:NUC131083 ODY131079:ODY131083 ONU131079:ONU131083 OXQ131079:OXQ131083 PHM131079:PHM131083 PRI131079:PRI131083 QBE131079:QBE131083 QLA131079:QLA131083 QUW131079:QUW131083 RES131079:RES131083 ROO131079:ROO131083 RYK131079:RYK131083 SIG131079:SIG131083 SSC131079:SSC131083 TBY131079:TBY131083 TLU131079:TLU131083 TVQ131079:TVQ131083 UFM131079:UFM131083 UPI131079:UPI131083 UZE131079:UZE131083 VJA131079:VJA131083 VSW131079:VSW131083 WCS131079:WCS131083 WMO131079:WMO131083 WWK131079:WWK131083 AC196615:AC196619 JY196615:JY196619 TU196615:TU196619 ADQ196615:ADQ196619 ANM196615:ANM196619 AXI196615:AXI196619 BHE196615:BHE196619 BRA196615:BRA196619 CAW196615:CAW196619 CKS196615:CKS196619 CUO196615:CUO196619 DEK196615:DEK196619 DOG196615:DOG196619 DYC196615:DYC196619 EHY196615:EHY196619 ERU196615:ERU196619 FBQ196615:FBQ196619 FLM196615:FLM196619 FVI196615:FVI196619 GFE196615:GFE196619 GPA196615:GPA196619 GYW196615:GYW196619 HIS196615:HIS196619 HSO196615:HSO196619 ICK196615:ICK196619 IMG196615:IMG196619 IWC196615:IWC196619 JFY196615:JFY196619 JPU196615:JPU196619 JZQ196615:JZQ196619 KJM196615:KJM196619 KTI196615:KTI196619 LDE196615:LDE196619 LNA196615:LNA196619 LWW196615:LWW196619 MGS196615:MGS196619 MQO196615:MQO196619 NAK196615:NAK196619 NKG196615:NKG196619 NUC196615:NUC196619 ODY196615:ODY196619 ONU196615:ONU196619 OXQ196615:OXQ196619 PHM196615:PHM196619 PRI196615:PRI196619 QBE196615:QBE196619 QLA196615:QLA196619 QUW196615:QUW196619 RES196615:RES196619 ROO196615:ROO196619 RYK196615:RYK196619 SIG196615:SIG196619 SSC196615:SSC196619 TBY196615:TBY196619 TLU196615:TLU196619 TVQ196615:TVQ196619 UFM196615:UFM196619 UPI196615:UPI196619 UZE196615:UZE196619 VJA196615:VJA196619 VSW196615:VSW196619 WCS196615:WCS196619 WMO196615:WMO196619 WWK196615:WWK196619 AC262151:AC262155 JY262151:JY262155 TU262151:TU262155 ADQ262151:ADQ262155 ANM262151:ANM262155 AXI262151:AXI262155 BHE262151:BHE262155 BRA262151:BRA262155 CAW262151:CAW262155 CKS262151:CKS262155 CUO262151:CUO262155 DEK262151:DEK262155 DOG262151:DOG262155 DYC262151:DYC262155 EHY262151:EHY262155 ERU262151:ERU262155 FBQ262151:FBQ262155 FLM262151:FLM262155 FVI262151:FVI262155 GFE262151:GFE262155 GPA262151:GPA262155 GYW262151:GYW262155 HIS262151:HIS262155 HSO262151:HSO262155 ICK262151:ICK262155 IMG262151:IMG262155 IWC262151:IWC262155 JFY262151:JFY262155 JPU262151:JPU262155 JZQ262151:JZQ262155 KJM262151:KJM262155 KTI262151:KTI262155 LDE262151:LDE262155 LNA262151:LNA262155 LWW262151:LWW262155 MGS262151:MGS262155 MQO262151:MQO262155 NAK262151:NAK262155 NKG262151:NKG262155 NUC262151:NUC262155 ODY262151:ODY262155 ONU262151:ONU262155 OXQ262151:OXQ262155 PHM262151:PHM262155 PRI262151:PRI262155 QBE262151:QBE262155 QLA262151:QLA262155 QUW262151:QUW262155 RES262151:RES262155 ROO262151:ROO262155 RYK262151:RYK262155 SIG262151:SIG262155 SSC262151:SSC262155 TBY262151:TBY262155 TLU262151:TLU262155 TVQ262151:TVQ262155 UFM262151:UFM262155 UPI262151:UPI262155 UZE262151:UZE262155 VJA262151:VJA262155 VSW262151:VSW262155 WCS262151:WCS262155 WMO262151:WMO262155 WWK262151:WWK262155 AC327687:AC327691 JY327687:JY327691 TU327687:TU327691 ADQ327687:ADQ327691 ANM327687:ANM327691 AXI327687:AXI327691 BHE327687:BHE327691 BRA327687:BRA327691 CAW327687:CAW327691 CKS327687:CKS327691 CUO327687:CUO327691 DEK327687:DEK327691 DOG327687:DOG327691 DYC327687:DYC327691 EHY327687:EHY327691 ERU327687:ERU327691 FBQ327687:FBQ327691 FLM327687:FLM327691 FVI327687:FVI327691 GFE327687:GFE327691 GPA327687:GPA327691 GYW327687:GYW327691 HIS327687:HIS327691 HSO327687:HSO327691 ICK327687:ICK327691 IMG327687:IMG327691 IWC327687:IWC327691 JFY327687:JFY327691 JPU327687:JPU327691 JZQ327687:JZQ327691 KJM327687:KJM327691 KTI327687:KTI327691 LDE327687:LDE327691 LNA327687:LNA327691 LWW327687:LWW327691 MGS327687:MGS327691 MQO327687:MQO327691 NAK327687:NAK327691 NKG327687:NKG327691 NUC327687:NUC327691 ODY327687:ODY327691 ONU327687:ONU327691 OXQ327687:OXQ327691 PHM327687:PHM327691 PRI327687:PRI327691 QBE327687:QBE327691 QLA327687:QLA327691 QUW327687:QUW327691 RES327687:RES327691 ROO327687:ROO327691 RYK327687:RYK327691 SIG327687:SIG327691 SSC327687:SSC327691 TBY327687:TBY327691 TLU327687:TLU327691 TVQ327687:TVQ327691 UFM327687:UFM327691 UPI327687:UPI327691 UZE327687:UZE327691 VJA327687:VJA327691 VSW327687:VSW327691 WCS327687:WCS327691 WMO327687:WMO327691 WWK327687:WWK327691 AC393223:AC393227 JY393223:JY393227 TU393223:TU393227 ADQ393223:ADQ393227 ANM393223:ANM393227 AXI393223:AXI393227 BHE393223:BHE393227 BRA393223:BRA393227 CAW393223:CAW393227 CKS393223:CKS393227 CUO393223:CUO393227 DEK393223:DEK393227 DOG393223:DOG393227 DYC393223:DYC393227 EHY393223:EHY393227 ERU393223:ERU393227 FBQ393223:FBQ393227 FLM393223:FLM393227 FVI393223:FVI393227 GFE393223:GFE393227 GPA393223:GPA393227 GYW393223:GYW393227 HIS393223:HIS393227 HSO393223:HSO393227 ICK393223:ICK393227 IMG393223:IMG393227 IWC393223:IWC393227 JFY393223:JFY393227 JPU393223:JPU393227 JZQ393223:JZQ393227 KJM393223:KJM393227 KTI393223:KTI393227 LDE393223:LDE393227 LNA393223:LNA393227 LWW393223:LWW393227 MGS393223:MGS393227 MQO393223:MQO393227 NAK393223:NAK393227 NKG393223:NKG393227 NUC393223:NUC393227 ODY393223:ODY393227 ONU393223:ONU393227 OXQ393223:OXQ393227 PHM393223:PHM393227 PRI393223:PRI393227 QBE393223:QBE393227 QLA393223:QLA393227 QUW393223:QUW393227 RES393223:RES393227 ROO393223:ROO393227 RYK393223:RYK393227 SIG393223:SIG393227 SSC393223:SSC393227 TBY393223:TBY393227 TLU393223:TLU393227 TVQ393223:TVQ393227 UFM393223:UFM393227 UPI393223:UPI393227 UZE393223:UZE393227 VJA393223:VJA393227 VSW393223:VSW393227 WCS393223:WCS393227 WMO393223:WMO393227 WWK393223:WWK393227 AC458759:AC458763 JY458759:JY458763 TU458759:TU458763 ADQ458759:ADQ458763 ANM458759:ANM458763 AXI458759:AXI458763 BHE458759:BHE458763 BRA458759:BRA458763 CAW458759:CAW458763 CKS458759:CKS458763 CUO458759:CUO458763 DEK458759:DEK458763 DOG458759:DOG458763 DYC458759:DYC458763 EHY458759:EHY458763 ERU458759:ERU458763 FBQ458759:FBQ458763 FLM458759:FLM458763 FVI458759:FVI458763 GFE458759:GFE458763 GPA458759:GPA458763 GYW458759:GYW458763 HIS458759:HIS458763 HSO458759:HSO458763 ICK458759:ICK458763 IMG458759:IMG458763 IWC458759:IWC458763 JFY458759:JFY458763 JPU458759:JPU458763 JZQ458759:JZQ458763 KJM458759:KJM458763 KTI458759:KTI458763 LDE458759:LDE458763 LNA458759:LNA458763 LWW458759:LWW458763 MGS458759:MGS458763 MQO458759:MQO458763 NAK458759:NAK458763 NKG458759:NKG458763 NUC458759:NUC458763 ODY458759:ODY458763 ONU458759:ONU458763 OXQ458759:OXQ458763 PHM458759:PHM458763 PRI458759:PRI458763 QBE458759:QBE458763 QLA458759:QLA458763 QUW458759:QUW458763 RES458759:RES458763 ROO458759:ROO458763 RYK458759:RYK458763 SIG458759:SIG458763 SSC458759:SSC458763 TBY458759:TBY458763 TLU458759:TLU458763 TVQ458759:TVQ458763 UFM458759:UFM458763 UPI458759:UPI458763 UZE458759:UZE458763 VJA458759:VJA458763 VSW458759:VSW458763 WCS458759:WCS458763 WMO458759:WMO458763 WWK458759:WWK458763 AC524295:AC524299 JY524295:JY524299 TU524295:TU524299 ADQ524295:ADQ524299 ANM524295:ANM524299 AXI524295:AXI524299 BHE524295:BHE524299 BRA524295:BRA524299 CAW524295:CAW524299 CKS524295:CKS524299 CUO524295:CUO524299 DEK524295:DEK524299 DOG524295:DOG524299 DYC524295:DYC524299 EHY524295:EHY524299 ERU524295:ERU524299 FBQ524295:FBQ524299 FLM524295:FLM524299 FVI524295:FVI524299 GFE524295:GFE524299 GPA524295:GPA524299 GYW524295:GYW524299 HIS524295:HIS524299 HSO524295:HSO524299 ICK524295:ICK524299 IMG524295:IMG524299 IWC524295:IWC524299 JFY524295:JFY524299 JPU524295:JPU524299 JZQ524295:JZQ524299 KJM524295:KJM524299 KTI524295:KTI524299 LDE524295:LDE524299 LNA524295:LNA524299 LWW524295:LWW524299 MGS524295:MGS524299 MQO524295:MQO524299 NAK524295:NAK524299 NKG524295:NKG524299 NUC524295:NUC524299 ODY524295:ODY524299 ONU524295:ONU524299 OXQ524295:OXQ524299 PHM524295:PHM524299 PRI524295:PRI524299 QBE524295:QBE524299 QLA524295:QLA524299 QUW524295:QUW524299 RES524295:RES524299 ROO524295:ROO524299 RYK524295:RYK524299 SIG524295:SIG524299 SSC524295:SSC524299 TBY524295:TBY524299 TLU524295:TLU524299 TVQ524295:TVQ524299 UFM524295:UFM524299 UPI524295:UPI524299 UZE524295:UZE524299 VJA524295:VJA524299 VSW524295:VSW524299 WCS524295:WCS524299 WMO524295:WMO524299 WWK524295:WWK524299 AC589831:AC589835 JY589831:JY589835 TU589831:TU589835 ADQ589831:ADQ589835 ANM589831:ANM589835 AXI589831:AXI589835 BHE589831:BHE589835 BRA589831:BRA589835 CAW589831:CAW589835 CKS589831:CKS589835 CUO589831:CUO589835 DEK589831:DEK589835 DOG589831:DOG589835 DYC589831:DYC589835 EHY589831:EHY589835 ERU589831:ERU589835 FBQ589831:FBQ589835 FLM589831:FLM589835 FVI589831:FVI589835 GFE589831:GFE589835 GPA589831:GPA589835 GYW589831:GYW589835 HIS589831:HIS589835 HSO589831:HSO589835 ICK589831:ICK589835 IMG589831:IMG589835 IWC589831:IWC589835 JFY589831:JFY589835 JPU589831:JPU589835 JZQ589831:JZQ589835 KJM589831:KJM589835 KTI589831:KTI589835 LDE589831:LDE589835 LNA589831:LNA589835 LWW589831:LWW589835 MGS589831:MGS589835 MQO589831:MQO589835 NAK589831:NAK589835 NKG589831:NKG589835 NUC589831:NUC589835 ODY589831:ODY589835 ONU589831:ONU589835 OXQ589831:OXQ589835 PHM589831:PHM589835 PRI589831:PRI589835 QBE589831:QBE589835 QLA589831:QLA589835 QUW589831:QUW589835 RES589831:RES589835 ROO589831:ROO589835 RYK589831:RYK589835 SIG589831:SIG589835 SSC589831:SSC589835 TBY589831:TBY589835 TLU589831:TLU589835 TVQ589831:TVQ589835 UFM589831:UFM589835 UPI589831:UPI589835 UZE589831:UZE589835 VJA589831:VJA589835 VSW589831:VSW589835 WCS589831:WCS589835 WMO589831:WMO589835 WWK589831:WWK589835 AC655367:AC655371 JY655367:JY655371 TU655367:TU655371 ADQ655367:ADQ655371 ANM655367:ANM655371 AXI655367:AXI655371 BHE655367:BHE655371 BRA655367:BRA655371 CAW655367:CAW655371 CKS655367:CKS655371 CUO655367:CUO655371 DEK655367:DEK655371 DOG655367:DOG655371 DYC655367:DYC655371 EHY655367:EHY655371 ERU655367:ERU655371 FBQ655367:FBQ655371 FLM655367:FLM655371 FVI655367:FVI655371 GFE655367:GFE655371 GPA655367:GPA655371 GYW655367:GYW655371 HIS655367:HIS655371 HSO655367:HSO655371 ICK655367:ICK655371 IMG655367:IMG655371 IWC655367:IWC655371 JFY655367:JFY655371 JPU655367:JPU655371 JZQ655367:JZQ655371 KJM655367:KJM655371 KTI655367:KTI655371 LDE655367:LDE655371 LNA655367:LNA655371 LWW655367:LWW655371 MGS655367:MGS655371 MQO655367:MQO655371 NAK655367:NAK655371 NKG655367:NKG655371 NUC655367:NUC655371 ODY655367:ODY655371 ONU655367:ONU655371 OXQ655367:OXQ655371 PHM655367:PHM655371 PRI655367:PRI655371 QBE655367:QBE655371 QLA655367:QLA655371 QUW655367:QUW655371 RES655367:RES655371 ROO655367:ROO655371 RYK655367:RYK655371 SIG655367:SIG655371 SSC655367:SSC655371 TBY655367:TBY655371 TLU655367:TLU655371 TVQ655367:TVQ655371 UFM655367:UFM655371 UPI655367:UPI655371 UZE655367:UZE655371 VJA655367:VJA655371 VSW655367:VSW655371 WCS655367:WCS655371 WMO655367:WMO655371 WWK655367:WWK655371 AC720903:AC720907 JY720903:JY720907 TU720903:TU720907 ADQ720903:ADQ720907 ANM720903:ANM720907 AXI720903:AXI720907 BHE720903:BHE720907 BRA720903:BRA720907 CAW720903:CAW720907 CKS720903:CKS720907 CUO720903:CUO720907 DEK720903:DEK720907 DOG720903:DOG720907 DYC720903:DYC720907 EHY720903:EHY720907 ERU720903:ERU720907 FBQ720903:FBQ720907 FLM720903:FLM720907 FVI720903:FVI720907 GFE720903:GFE720907 GPA720903:GPA720907 GYW720903:GYW720907 HIS720903:HIS720907 HSO720903:HSO720907 ICK720903:ICK720907 IMG720903:IMG720907 IWC720903:IWC720907 JFY720903:JFY720907 JPU720903:JPU720907 JZQ720903:JZQ720907 KJM720903:KJM720907 KTI720903:KTI720907 LDE720903:LDE720907 LNA720903:LNA720907 LWW720903:LWW720907 MGS720903:MGS720907 MQO720903:MQO720907 NAK720903:NAK720907 NKG720903:NKG720907 NUC720903:NUC720907 ODY720903:ODY720907 ONU720903:ONU720907 OXQ720903:OXQ720907 PHM720903:PHM720907 PRI720903:PRI720907 QBE720903:QBE720907 QLA720903:QLA720907 QUW720903:QUW720907 RES720903:RES720907 ROO720903:ROO720907 RYK720903:RYK720907 SIG720903:SIG720907 SSC720903:SSC720907 TBY720903:TBY720907 TLU720903:TLU720907 TVQ720903:TVQ720907 UFM720903:UFM720907 UPI720903:UPI720907 UZE720903:UZE720907 VJA720903:VJA720907 VSW720903:VSW720907 WCS720903:WCS720907 WMO720903:WMO720907 WWK720903:WWK720907 AC786439:AC786443 JY786439:JY786443 TU786439:TU786443 ADQ786439:ADQ786443 ANM786439:ANM786443 AXI786439:AXI786443 BHE786439:BHE786443 BRA786439:BRA786443 CAW786439:CAW786443 CKS786439:CKS786443 CUO786439:CUO786443 DEK786439:DEK786443 DOG786439:DOG786443 DYC786439:DYC786443 EHY786439:EHY786443 ERU786439:ERU786443 FBQ786439:FBQ786443 FLM786439:FLM786443 FVI786439:FVI786443 GFE786439:GFE786443 GPA786439:GPA786443 GYW786439:GYW786443 HIS786439:HIS786443 HSO786439:HSO786443 ICK786439:ICK786443 IMG786439:IMG786443 IWC786439:IWC786443 JFY786439:JFY786443 JPU786439:JPU786443 JZQ786439:JZQ786443 KJM786439:KJM786443 KTI786439:KTI786443 LDE786439:LDE786443 LNA786439:LNA786443 LWW786439:LWW786443 MGS786439:MGS786443 MQO786439:MQO786443 NAK786439:NAK786443 NKG786439:NKG786443 NUC786439:NUC786443 ODY786439:ODY786443 ONU786439:ONU786443 OXQ786439:OXQ786443 PHM786439:PHM786443 PRI786439:PRI786443 QBE786439:QBE786443 QLA786439:QLA786443 QUW786439:QUW786443 RES786439:RES786443 ROO786439:ROO786443 RYK786439:RYK786443 SIG786439:SIG786443 SSC786439:SSC786443 TBY786439:TBY786443 TLU786439:TLU786443 TVQ786439:TVQ786443 UFM786439:UFM786443 UPI786439:UPI786443 UZE786439:UZE786443 VJA786439:VJA786443 VSW786439:VSW786443 WCS786439:WCS786443 WMO786439:WMO786443 WWK786439:WWK786443 AC851975:AC851979 JY851975:JY851979 TU851975:TU851979 ADQ851975:ADQ851979 ANM851975:ANM851979 AXI851975:AXI851979 BHE851975:BHE851979 BRA851975:BRA851979 CAW851975:CAW851979 CKS851975:CKS851979 CUO851975:CUO851979 DEK851975:DEK851979 DOG851975:DOG851979 DYC851975:DYC851979 EHY851975:EHY851979 ERU851975:ERU851979 FBQ851975:FBQ851979 FLM851975:FLM851979 FVI851975:FVI851979 GFE851975:GFE851979 GPA851975:GPA851979 GYW851975:GYW851979 HIS851975:HIS851979 HSO851975:HSO851979 ICK851975:ICK851979 IMG851975:IMG851979 IWC851975:IWC851979 JFY851975:JFY851979 JPU851975:JPU851979 JZQ851975:JZQ851979 KJM851975:KJM851979 KTI851975:KTI851979 LDE851975:LDE851979 LNA851975:LNA851979 LWW851975:LWW851979 MGS851975:MGS851979 MQO851975:MQO851979 NAK851975:NAK851979 NKG851975:NKG851979 NUC851975:NUC851979 ODY851975:ODY851979 ONU851975:ONU851979 OXQ851975:OXQ851979 PHM851975:PHM851979 PRI851975:PRI851979 QBE851975:QBE851979 QLA851975:QLA851979 QUW851975:QUW851979 RES851975:RES851979 ROO851975:ROO851979 RYK851975:RYK851979 SIG851975:SIG851979 SSC851975:SSC851979 TBY851975:TBY851979 TLU851975:TLU851979 TVQ851975:TVQ851979 UFM851975:UFM851979 UPI851975:UPI851979 UZE851975:UZE851979 VJA851975:VJA851979 VSW851975:VSW851979 WCS851975:WCS851979 WMO851975:WMO851979 WWK851975:WWK851979 AC917511:AC917515 JY917511:JY917515 TU917511:TU917515 ADQ917511:ADQ917515 ANM917511:ANM917515 AXI917511:AXI917515 BHE917511:BHE917515 BRA917511:BRA917515 CAW917511:CAW917515 CKS917511:CKS917515 CUO917511:CUO917515 DEK917511:DEK917515 DOG917511:DOG917515 DYC917511:DYC917515 EHY917511:EHY917515 ERU917511:ERU917515 FBQ917511:FBQ917515 FLM917511:FLM917515 FVI917511:FVI917515 GFE917511:GFE917515 GPA917511:GPA917515 GYW917511:GYW917515 HIS917511:HIS917515 HSO917511:HSO917515 ICK917511:ICK917515 IMG917511:IMG917515 IWC917511:IWC917515 JFY917511:JFY917515 JPU917511:JPU917515 JZQ917511:JZQ917515 KJM917511:KJM917515 KTI917511:KTI917515 LDE917511:LDE917515 LNA917511:LNA917515 LWW917511:LWW917515 MGS917511:MGS917515 MQO917511:MQO917515 NAK917511:NAK917515 NKG917511:NKG917515 NUC917511:NUC917515 ODY917511:ODY917515 ONU917511:ONU917515 OXQ917511:OXQ917515 PHM917511:PHM917515 PRI917511:PRI917515 QBE917511:QBE917515 QLA917511:QLA917515 QUW917511:QUW917515 RES917511:RES917515 ROO917511:ROO917515 RYK917511:RYK917515 SIG917511:SIG917515 SSC917511:SSC917515 TBY917511:TBY917515 TLU917511:TLU917515 TVQ917511:TVQ917515 UFM917511:UFM917515 UPI917511:UPI917515 UZE917511:UZE917515 VJA917511:VJA917515 VSW917511:VSW917515 WCS917511:WCS917515 WMO917511:WMO917515 WWK917511:WWK917515 AC983047:AC983051 JY983047:JY983051 TU983047:TU983051 ADQ983047:ADQ983051 ANM983047:ANM983051 AXI983047:AXI983051 BHE983047:BHE983051 BRA983047:BRA983051 CAW983047:CAW983051 CKS983047:CKS983051 CUO983047:CUO983051 DEK983047:DEK983051 DOG983047:DOG983051 DYC983047:DYC983051 EHY983047:EHY983051 ERU983047:ERU983051 FBQ983047:FBQ983051 FLM983047:FLM983051 FVI983047:FVI983051 GFE983047:GFE983051 GPA983047:GPA983051 GYW983047:GYW983051 HIS983047:HIS983051 HSO983047:HSO983051 ICK983047:ICK983051 IMG983047:IMG983051 IWC983047:IWC983051 JFY983047:JFY983051 JPU983047:JPU983051 JZQ983047:JZQ983051 KJM983047:KJM983051 KTI983047:KTI983051 LDE983047:LDE983051 LNA983047:LNA983051 LWW983047:LWW983051 MGS983047:MGS983051 MQO983047:MQO983051 NAK983047:NAK983051 NKG983047:NKG983051 NUC983047:NUC983051 ODY983047:ODY983051 ONU983047:ONU983051 OXQ983047:OXQ983051 PHM983047:PHM983051 PRI983047:PRI983051 QBE983047:QBE983051 QLA983047:QLA983051 QUW983047:QUW983051 RES983047:RES983051 ROO983047:ROO983051 RYK983047:RYK983051 SIG983047:SIG983051 SSC983047:SSC983051 TBY983047:TBY983051 TLU983047:TLU983051 TVQ983047:TVQ983051 UFM983047:UFM983051 UPI983047:UPI983051 UZE983047:UZE983051 VJA983047:VJA983051 VSW983047:VSW983051 WCS983047:WCS983051 WMO983047:WMO983051 WWK983047:WWK983051 UZE8:UZE11 UPI8:UPI11 UFM8:UFM11 TVQ8:TVQ11 TLU8:TLU11 TBY8:TBY11 SSC8:SSC11 SIG8:SIG11 RYK8:RYK11 ROO8:ROO11 RES8:RES11 QUW8:QUW11 QLA8:QLA11 QBE8:QBE11 PRI8:PRI11 PHM8:PHM11 OXQ8:OXQ11 ONU8:ONU11 ODY8:ODY11 NUC8:NUC11 NKG8:NKG11 NAK8:NAK11 MQO8:MQO11 MGS8:MGS11 LWW8:LWW11 LNA8:LNA11 LDE8:LDE11 KTI8:KTI11 KJM8:KJM11 JZQ8:JZQ11 JPU8:JPU11 JFY8:JFY11 IWC8:IWC11 IMG8:IMG11 ICK8:ICK11 HSO8:HSO11 HIS8:HIS11 GYW8:GYW11 GPA8:GPA11 GFE8:GFE11 FVI8:FVI11 FLM8:FLM11 FBQ8:FBQ11 ERU8:ERU11 EHY8:EHY11 DYC8:DYC11 DOG8:DOG11 DEK8:DEK11 CUO8:CUO11 CKS8:CKS11 CAW8:CAW11 BRA8:BRA11 BHE8:BHE11 AXI8:AXI11 ANM8:ANM11 ADQ8:ADQ11 TU8:TU11 JY8:JY11 WWK8:WWK11 WCS8:WCS11 WMO8:WMO11 VSW8:VSW11 VJA8:VJA11">
      <formula1>AB8</formula1>
      <formula2>IF(AB8&lt;&gt;0,IF(AC8-AB8&gt;=0,AC8,),)</formula2>
    </dataValidation>
    <dataValidation type="list" allowBlank="1" showInputMessage="1" showErrorMessage="1" sqref="AE65541:AE65547 KA65541:KA65547 TW65541:TW65547 ADS65541:ADS65547 ANO65541:ANO65547 AXK65541:AXK65547 BHG65541:BHG65547 BRC65541:BRC65547 CAY65541:CAY65547 CKU65541:CKU65547 CUQ65541:CUQ65547 DEM65541:DEM65547 DOI65541:DOI65547 DYE65541:DYE65547 EIA65541:EIA65547 ERW65541:ERW65547 FBS65541:FBS65547 FLO65541:FLO65547 FVK65541:FVK65547 GFG65541:GFG65547 GPC65541:GPC65547 GYY65541:GYY65547 HIU65541:HIU65547 HSQ65541:HSQ65547 ICM65541:ICM65547 IMI65541:IMI65547 IWE65541:IWE65547 JGA65541:JGA65547 JPW65541:JPW65547 JZS65541:JZS65547 KJO65541:KJO65547 KTK65541:KTK65547 LDG65541:LDG65547 LNC65541:LNC65547 LWY65541:LWY65547 MGU65541:MGU65547 MQQ65541:MQQ65547 NAM65541:NAM65547 NKI65541:NKI65547 NUE65541:NUE65547 OEA65541:OEA65547 ONW65541:ONW65547 OXS65541:OXS65547 PHO65541:PHO65547 PRK65541:PRK65547 QBG65541:QBG65547 QLC65541:QLC65547 QUY65541:QUY65547 REU65541:REU65547 ROQ65541:ROQ65547 RYM65541:RYM65547 SII65541:SII65547 SSE65541:SSE65547 TCA65541:TCA65547 TLW65541:TLW65547 TVS65541:TVS65547 UFO65541:UFO65547 UPK65541:UPK65547 UZG65541:UZG65547 VJC65541:VJC65547 VSY65541:VSY65547 WCU65541:WCU65547 WMQ65541:WMQ65547 WWM65541:WWM65547 AE131077:AE131083 KA131077:KA131083 TW131077:TW131083 ADS131077:ADS131083 ANO131077:ANO131083 AXK131077:AXK131083 BHG131077:BHG131083 BRC131077:BRC131083 CAY131077:CAY131083 CKU131077:CKU131083 CUQ131077:CUQ131083 DEM131077:DEM131083 DOI131077:DOI131083 DYE131077:DYE131083 EIA131077:EIA131083 ERW131077:ERW131083 FBS131077:FBS131083 FLO131077:FLO131083 FVK131077:FVK131083 GFG131077:GFG131083 GPC131077:GPC131083 GYY131077:GYY131083 HIU131077:HIU131083 HSQ131077:HSQ131083 ICM131077:ICM131083 IMI131077:IMI131083 IWE131077:IWE131083 JGA131077:JGA131083 JPW131077:JPW131083 JZS131077:JZS131083 KJO131077:KJO131083 KTK131077:KTK131083 LDG131077:LDG131083 LNC131077:LNC131083 LWY131077:LWY131083 MGU131077:MGU131083 MQQ131077:MQQ131083 NAM131077:NAM131083 NKI131077:NKI131083 NUE131077:NUE131083 OEA131077:OEA131083 ONW131077:ONW131083 OXS131077:OXS131083 PHO131077:PHO131083 PRK131077:PRK131083 QBG131077:QBG131083 QLC131077:QLC131083 QUY131077:QUY131083 REU131077:REU131083 ROQ131077:ROQ131083 RYM131077:RYM131083 SII131077:SII131083 SSE131077:SSE131083 TCA131077:TCA131083 TLW131077:TLW131083 TVS131077:TVS131083 UFO131077:UFO131083 UPK131077:UPK131083 UZG131077:UZG131083 VJC131077:VJC131083 VSY131077:VSY131083 WCU131077:WCU131083 WMQ131077:WMQ131083 WWM131077:WWM131083 AE196613:AE196619 KA196613:KA196619 TW196613:TW196619 ADS196613:ADS196619 ANO196613:ANO196619 AXK196613:AXK196619 BHG196613:BHG196619 BRC196613:BRC196619 CAY196613:CAY196619 CKU196613:CKU196619 CUQ196613:CUQ196619 DEM196613:DEM196619 DOI196613:DOI196619 DYE196613:DYE196619 EIA196613:EIA196619 ERW196613:ERW196619 FBS196613:FBS196619 FLO196613:FLO196619 FVK196613:FVK196619 GFG196613:GFG196619 GPC196613:GPC196619 GYY196613:GYY196619 HIU196613:HIU196619 HSQ196613:HSQ196619 ICM196613:ICM196619 IMI196613:IMI196619 IWE196613:IWE196619 JGA196613:JGA196619 JPW196613:JPW196619 JZS196613:JZS196619 KJO196613:KJO196619 KTK196613:KTK196619 LDG196613:LDG196619 LNC196613:LNC196619 LWY196613:LWY196619 MGU196613:MGU196619 MQQ196613:MQQ196619 NAM196613:NAM196619 NKI196613:NKI196619 NUE196613:NUE196619 OEA196613:OEA196619 ONW196613:ONW196619 OXS196613:OXS196619 PHO196613:PHO196619 PRK196613:PRK196619 QBG196613:QBG196619 QLC196613:QLC196619 QUY196613:QUY196619 REU196613:REU196619 ROQ196613:ROQ196619 RYM196613:RYM196619 SII196613:SII196619 SSE196613:SSE196619 TCA196613:TCA196619 TLW196613:TLW196619 TVS196613:TVS196619 UFO196613:UFO196619 UPK196613:UPK196619 UZG196613:UZG196619 VJC196613:VJC196619 VSY196613:VSY196619 WCU196613:WCU196619 WMQ196613:WMQ196619 WWM196613:WWM196619 AE262149:AE262155 KA262149:KA262155 TW262149:TW262155 ADS262149:ADS262155 ANO262149:ANO262155 AXK262149:AXK262155 BHG262149:BHG262155 BRC262149:BRC262155 CAY262149:CAY262155 CKU262149:CKU262155 CUQ262149:CUQ262155 DEM262149:DEM262155 DOI262149:DOI262155 DYE262149:DYE262155 EIA262149:EIA262155 ERW262149:ERW262155 FBS262149:FBS262155 FLO262149:FLO262155 FVK262149:FVK262155 GFG262149:GFG262155 GPC262149:GPC262155 GYY262149:GYY262155 HIU262149:HIU262155 HSQ262149:HSQ262155 ICM262149:ICM262155 IMI262149:IMI262155 IWE262149:IWE262155 JGA262149:JGA262155 JPW262149:JPW262155 JZS262149:JZS262155 KJO262149:KJO262155 KTK262149:KTK262155 LDG262149:LDG262155 LNC262149:LNC262155 LWY262149:LWY262155 MGU262149:MGU262155 MQQ262149:MQQ262155 NAM262149:NAM262155 NKI262149:NKI262155 NUE262149:NUE262155 OEA262149:OEA262155 ONW262149:ONW262155 OXS262149:OXS262155 PHO262149:PHO262155 PRK262149:PRK262155 QBG262149:QBG262155 QLC262149:QLC262155 QUY262149:QUY262155 REU262149:REU262155 ROQ262149:ROQ262155 RYM262149:RYM262155 SII262149:SII262155 SSE262149:SSE262155 TCA262149:TCA262155 TLW262149:TLW262155 TVS262149:TVS262155 UFO262149:UFO262155 UPK262149:UPK262155 UZG262149:UZG262155 VJC262149:VJC262155 VSY262149:VSY262155 WCU262149:WCU262155 WMQ262149:WMQ262155 WWM262149:WWM262155 AE327685:AE327691 KA327685:KA327691 TW327685:TW327691 ADS327685:ADS327691 ANO327685:ANO327691 AXK327685:AXK327691 BHG327685:BHG327691 BRC327685:BRC327691 CAY327685:CAY327691 CKU327685:CKU327691 CUQ327685:CUQ327691 DEM327685:DEM327691 DOI327685:DOI327691 DYE327685:DYE327691 EIA327685:EIA327691 ERW327685:ERW327691 FBS327685:FBS327691 FLO327685:FLO327691 FVK327685:FVK327691 GFG327685:GFG327691 GPC327685:GPC327691 GYY327685:GYY327691 HIU327685:HIU327691 HSQ327685:HSQ327691 ICM327685:ICM327691 IMI327685:IMI327691 IWE327685:IWE327691 JGA327685:JGA327691 JPW327685:JPW327691 JZS327685:JZS327691 KJO327685:KJO327691 KTK327685:KTK327691 LDG327685:LDG327691 LNC327685:LNC327691 LWY327685:LWY327691 MGU327685:MGU327691 MQQ327685:MQQ327691 NAM327685:NAM327691 NKI327685:NKI327691 NUE327685:NUE327691 OEA327685:OEA327691 ONW327685:ONW327691 OXS327685:OXS327691 PHO327685:PHO327691 PRK327685:PRK327691 QBG327685:QBG327691 QLC327685:QLC327691 QUY327685:QUY327691 REU327685:REU327691 ROQ327685:ROQ327691 RYM327685:RYM327691 SII327685:SII327691 SSE327685:SSE327691 TCA327685:TCA327691 TLW327685:TLW327691 TVS327685:TVS327691 UFO327685:UFO327691 UPK327685:UPK327691 UZG327685:UZG327691 VJC327685:VJC327691 VSY327685:VSY327691 WCU327685:WCU327691 WMQ327685:WMQ327691 WWM327685:WWM327691 AE393221:AE393227 KA393221:KA393227 TW393221:TW393227 ADS393221:ADS393227 ANO393221:ANO393227 AXK393221:AXK393227 BHG393221:BHG393227 BRC393221:BRC393227 CAY393221:CAY393227 CKU393221:CKU393227 CUQ393221:CUQ393227 DEM393221:DEM393227 DOI393221:DOI393227 DYE393221:DYE393227 EIA393221:EIA393227 ERW393221:ERW393227 FBS393221:FBS393227 FLO393221:FLO393227 FVK393221:FVK393227 GFG393221:GFG393227 GPC393221:GPC393227 GYY393221:GYY393227 HIU393221:HIU393227 HSQ393221:HSQ393227 ICM393221:ICM393227 IMI393221:IMI393227 IWE393221:IWE393227 JGA393221:JGA393227 JPW393221:JPW393227 JZS393221:JZS393227 KJO393221:KJO393227 KTK393221:KTK393227 LDG393221:LDG393227 LNC393221:LNC393227 LWY393221:LWY393227 MGU393221:MGU393227 MQQ393221:MQQ393227 NAM393221:NAM393227 NKI393221:NKI393227 NUE393221:NUE393227 OEA393221:OEA393227 ONW393221:ONW393227 OXS393221:OXS393227 PHO393221:PHO393227 PRK393221:PRK393227 QBG393221:QBG393227 QLC393221:QLC393227 QUY393221:QUY393227 REU393221:REU393227 ROQ393221:ROQ393227 RYM393221:RYM393227 SII393221:SII393227 SSE393221:SSE393227 TCA393221:TCA393227 TLW393221:TLW393227 TVS393221:TVS393227 UFO393221:UFO393227 UPK393221:UPK393227 UZG393221:UZG393227 VJC393221:VJC393227 VSY393221:VSY393227 WCU393221:WCU393227 WMQ393221:WMQ393227 WWM393221:WWM393227 AE458757:AE458763 KA458757:KA458763 TW458757:TW458763 ADS458757:ADS458763 ANO458757:ANO458763 AXK458757:AXK458763 BHG458757:BHG458763 BRC458757:BRC458763 CAY458757:CAY458763 CKU458757:CKU458763 CUQ458757:CUQ458763 DEM458757:DEM458763 DOI458757:DOI458763 DYE458757:DYE458763 EIA458757:EIA458763 ERW458757:ERW458763 FBS458757:FBS458763 FLO458757:FLO458763 FVK458757:FVK458763 GFG458757:GFG458763 GPC458757:GPC458763 GYY458757:GYY458763 HIU458757:HIU458763 HSQ458757:HSQ458763 ICM458757:ICM458763 IMI458757:IMI458763 IWE458757:IWE458763 JGA458757:JGA458763 JPW458757:JPW458763 JZS458757:JZS458763 KJO458757:KJO458763 KTK458757:KTK458763 LDG458757:LDG458763 LNC458757:LNC458763 LWY458757:LWY458763 MGU458757:MGU458763 MQQ458757:MQQ458763 NAM458757:NAM458763 NKI458757:NKI458763 NUE458757:NUE458763 OEA458757:OEA458763 ONW458757:ONW458763 OXS458757:OXS458763 PHO458757:PHO458763 PRK458757:PRK458763 QBG458757:QBG458763 QLC458757:QLC458763 QUY458757:QUY458763 REU458757:REU458763 ROQ458757:ROQ458763 RYM458757:RYM458763 SII458757:SII458763 SSE458757:SSE458763 TCA458757:TCA458763 TLW458757:TLW458763 TVS458757:TVS458763 UFO458757:UFO458763 UPK458757:UPK458763 UZG458757:UZG458763 VJC458757:VJC458763 VSY458757:VSY458763 WCU458757:WCU458763 WMQ458757:WMQ458763 WWM458757:WWM458763 AE524293:AE524299 KA524293:KA524299 TW524293:TW524299 ADS524293:ADS524299 ANO524293:ANO524299 AXK524293:AXK524299 BHG524293:BHG524299 BRC524293:BRC524299 CAY524293:CAY524299 CKU524293:CKU524299 CUQ524293:CUQ524299 DEM524293:DEM524299 DOI524293:DOI524299 DYE524293:DYE524299 EIA524293:EIA524299 ERW524293:ERW524299 FBS524293:FBS524299 FLO524293:FLO524299 FVK524293:FVK524299 GFG524293:GFG524299 GPC524293:GPC524299 GYY524293:GYY524299 HIU524293:HIU524299 HSQ524293:HSQ524299 ICM524293:ICM524299 IMI524293:IMI524299 IWE524293:IWE524299 JGA524293:JGA524299 JPW524293:JPW524299 JZS524293:JZS524299 KJO524293:KJO524299 KTK524293:KTK524299 LDG524293:LDG524299 LNC524293:LNC524299 LWY524293:LWY524299 MGU524293:MGU524299 MQQ524293:MQQ524299 NAM524293:NAM524299 NKI524293:NKI524299 NUE524293:NUE524299 OEA524293:OEA524299 ONW524293:ONW524299 OXS524293:OXS524299 PHO524293:PHO524299 PRK524293:PRK524299 QBG524293:QBG524299 QLC524293:QLC524299 QUY524293:QUY524299 REU524293:REU524299 ROQ524293:ROQ524299 RYM524293:RYM524299 SII524293:SII524299 SSE524293:SSE524299 TCA524293:TCA524299 TLW524293:TLW524299 TVS524293:TVS524299 UFO524293:UFO524299 UPK524293:UPK524299 UZG524293:UZG524299 VJC524293:VJC524299 VSY524293:VSY524299 WCU524293:WCU524299 WMQ524293:WMQ524299 WWM524293:WWM524299 AE589829:AE589835 KA589829:KA589835 TW589829:TW589835 ADS589829:ADS589835 ANO589829:ANO589835 AXK589829:AXK589835 BHG589829:BHG589835 BRC589829:BRC589835 CAY589829:CAY589835 CKU589829:CKU589835 CUQ589829:CUQ589835 DEM589829:DEM589835 DOI589829:DOI589835 DYE589829:DYE589835 EIA589829:EIA589835 ERW589829:ERW589835 FBS589829:FBS589835 FLO589829:FLO589835 FVK589829:FVK589835 GFG589829:GFG589835 GPC589829:GPC589835 GYY589829:GYY589835 HIU589829:HIU589835 HSQ589829:HSQ589835 ICM589829:ICM589835 IMI589829:IMI589835 IWE589829:IWE589835 JGA589829:JGA589835 JPW589829:JPW589835 JZS589829:JZS589835 KJO589829:KJO589835 KTK589829:KTK589835 LDG589829:LDG589835 LNC589829:LNC589835 LWY589829:LWY589835 MGU589829:MGU589835 MQQ589829:MQQ589835 NAM589829:NAM589835 NKI589829:NKI589835 NUE589829:NUE589835 OEA589829:OEA589835 ONW589829:ONW589835 OXS589829:OXS589835 PHO589829:PHO589835 PRK589829:PRK589835 QBG589829:QBG589835 QLC589829:QLC589835 QUY589829:QUY589835 REU589829:REU589835 ROQ589829:ROQ589835 RYM589829:RYM589835 SII589829:SII589835 SSE589829:SSE589835 TCA589829:TCA589835 TLW589829:TLW589835 TVS589829:TVS589835 UFO589829:UFO589835 UPK589829:UPK589835 UZG589829:UZG589835 VJC589829:VJC589835 VSY589829:VSY589835 WCU589829:WCU589835 WMQ589829:WMQ589835 WWM589829:WWM589835 AE655365:AE655371 KA655365:KA655371 TW655365:TW655371 ADS655365:ADS655371 ANO655365:ANO655371 AXK655365:AXK655371 BHG655365:BHG655371 BRC655365:BRC655371 CAY655365:CAY655371 CKU655365:CKU655371 CUQ655365:CUQ655371 DEM655365:DEM655371 DOI655365:DOI655371 DYE655365:DYE655371 EIA655365:EIA655371 ERW655365:ERW655371 FBS655365:FBS655371 FLO655365:FLO655371 FVK655365:FVK655371 GFG655365:GFG655371 GPC655365:GPC655371 GYY655365:GYY655371 HIU655365:HIU655371 HSQ655365:HSQ655371 ICM655365:ICM655371 IMI655365:IMI655371 IWE655365:IWE655371 JGA655365:JGA655371 JPW655365:JPW655371 JZS655365:JZS655371 KJO655365:KJO655371 KTK655365:KTK655371 LDG655365:LDG655371 LNC655365:LNC655371 LWY655365:LWY655371 MGU655365:MGU655371 MQQ655365:MQQ655371 NAM655365:NAM655371 NKI655365:NKI655371 NUE655365:NUE655371 OEA655365:OEA655371 ONW655365:ONW655371 OXS655365:OXS655371 PHO655365:PHO655371 PRK655365:PRK655371 QBG655365:QBG655371 QLC655365:QLC655371 QUY655365:QUY655371 REU655365:REU655371 ROQ655365:ROQ655371 RYM655365:RYM655371 SII655365:SII655371 SSE655365:SSE655371 TCA655365:TCA655371 TLW655365:TLW655371 TVS655365:TVS655371 UFO655365:UFO655371 UPK655365:UPK655371 UZG655365:UZG655371 VJC655365:VJC655371 VSY655365:VSY655371 WCU655365:WCU655371 WMQ655365:WMQ655371 WWM655365:WWM655371 AE720901:AE720907 KA720901:KA720907 TW720901:TW720907 ADS720901:ADS720907 ANO720901:ANO720907 AXK720901:AXK720907 BHG720901:BHG720907 BRC720901:BRC720907 CAY720901:CAY720907 CKU720901:CKU720907 CUQ720901:CUQ720907 DEM720901:DEM720907 DOI720901:DOI720907 DYE720901:DYE720907 EIA720901:EIA720907 ERW720901:ERW720907 FBS720901:FBS720907 FLO720901:FLO720907 FVK720901:FVK720907 GFG720901:GFG720907 GPC720901:GPC720907 GYY720901:GYY720907 HIU720901:HIU720907 HSQ720901:HSQ720907 ICM720901:ICM720907 IMI720901:IMI720907 IWE720901:IWE720907 JGA720901:JGA720907 JPW720901:JPW720907 JZS720901:JZS720907 KJO720901:KJO720907 KTK720901:KTK720907 LDG720901:LDG720907 LNC720901:LNC720907 LWY720901:LWY720907 MGU720901:MGU720907 MQQ720901:MQQ720907 NAM720901:NAM720907 NKI720901:NKI720907 NUE720901:NUE720907 OEA720901:OEA720907 ONW720901:ONW720907 OXS720901:OXS720907 PHO720901:PHO720907 PRK720901:PRK720907 QBG720901:QBG720907 QLC720901:QLC720907 QUY720901:QUY720907 REU720901:REU720907 ROQ720901:ROQ720907 RYM720901:RYM720907 SII720901:SII720907 SSE720901:SSE720907 TCA720901:TCA720907 TLW720901:TLW720907 TVS720901:TVS720907 UFO720901:UFO720907 UPK720901:UPK720907 UZG720901:UZG720907 VJC720901:VJC720907 VSY720901:VSY720907 WCU720901:WCU720907 WMQ720901:WMQ720907 WWM720901:WWM720907 AE786437:AE786443 KA786437:KA786443 TW786437:TW786443 ADS786437:ADS786443 ANO786437:ANO786443 AXK786437:AXK786443 BHG786437:BHG786443 BRC786437:BRC786443 CAY786437:CAY786443 CKU786437:CKU786443 CUQ786437:CUQ786443 DEM786437:DEM786443 DOI786437:DOI786443 DYE786437:DYE786443 EIA786437:EIA786443 ERW786437:ERW786443 FBS786437:FBS786443 FLO786437:FLO786443 FVK786437:FVK786443 GFG786437:GFG786443 GPC786437:GPC786443 GYY786437:GYY786443 HIU786437:HIU786443 HSQ786437:HSQ786443 ICM786437:ICM786443 IMI786437:IMI786443 IWE786437:IWE786443 JGA786437:JGA786443 JPW786437:JPW786443 JZS786437:JZS786443 KJO786437:KJO786443 KTK786437:KTK786443 LDG786437:LDG786443 LNC786437:LNC786443 LWY786437:LWY786443 MGU786437:MGU786443 MQQ786437:MQQ786443 NAM786437:NAM786443 NKI786437:NKI786443 NUE786437:NUE786443 OEA786437:OEA786443 ONW786437:ONW786443 OXS786437:OXS786443 PHO786437:PHO786443 PRK786437:PRK786443 QBG786437:QBG786443 QLC786437:QLC786443 QUY786437:QUY786443 REU786437:REU786443 ROQ786437:ROQ786443 RYM786437:RYM786443 SII786437:SII786443 SSE786437:SSE786443 TCA786437:TCA786443 TLW786437:TLW786443 TVS786437:TVS786443 UFO786437:UFO786443 UPK786437:UPK786443 UZG786437:UZG786443 VJC786437:VJC786443 VSY786437:VSY786443 WCU786437:WCU786443 WMQ786437:WMQ786443 WWM786437:WWM786443 AE851973:AE851979 KA851973:KA851979 TW851973:TW851979 ADS851973:ADS851979 ANO851973:ANO851979 AXK851973:AXK851979 BHG851973:BHG851979 BRC851973:BRC851979 CAY851973:CAY851979 CKU851973:CKU851979 CUQ851973:CUQ851979 DEM851973:DEM851979 DOI851973:DOI851979 DYE851973:DYE851979 EIA851973:EIA851979 ERW851973:ERW851979 FBS851973:FBS851979 FLO851973:FLO851979 FVK851973:FVK851979 GFG851973:GFG851979 GPC851973:GPC851979 GYY851973:GYY851979 HIU851973:HIU851979 HSQ851973:HSQ851979 ICM851973:ICM851979 IMI851973:IMI851979 IWE851973:IWE851979 JGA851973:JGA851979 JPW851973:JPW851979 JZS851973:JZS851979 KJO851973:KJO851979 KTK851973:KTK851979 LDG851973:LDG851979 LNC851973:LNC851979 LWY851973:LWY851979 MGU851973:MGU851979 MQQ851973:MQQ851979 NAM851973:NAM851979 NKI851973:NKI851979 NUE851973:NUE851979 OEA851973:OEA851979 ONW851973:ONW851979 OXS851973:OXS851979 PHO851973:PHO851979 PRK851973:PRK851979 QBG851973:QBG851979 QLC851973:QLC851979 QUY851973:QUY851979 REU851973:REU851979 ROQ851973:ROQ851979 RYM851973:RYM851979 SII851973:SII851979 SSE851973:SSE851979 TCA851973:TCA851979 TLW851973:TLW851979 TVS851973:TVS851979 UFO851973:UFO851979 UPK851973:UPK851979 UZG851973:UZG851979 VJC851973:VJC851979 VSY851973:VSY851979 WCU851973:WCU851979 WMQ851973:WMQ851979 WWM851973:WWM851979 AE917509:AE917515 KA917509:KA917515 TW917509:TW917515 ADS917509:ADS917515 ANO917509:ANO917515 AXK917509:AXK917515 BHG917509:BHG917515 BRC917509:BRC917515 CAY917509:CAY917515 CKU917509:CKU917515 CUQ917509:CUQ917515 DEM917509:DEM917515 DOI917509:DOI917515 DYE917509:DYE917515 EIA917509:EIA917515 ERW917509:ERW917515 FBS917509:FBS917515 FLO917509:FLO917515 FVK917509:FVK917515 GFG917509:GFG917515 GPC917509:GPC917515 GYY917509:GYY917515 HIU917509:HIU917515 HSQ917509:HSQ917515 ICM917509:ICM917515 IMI917509:IMI917515 IWE917509:IWE917515 JGA917509:JGA917515 JPW917509:JPW917515 JZS917509:JZS917515 KJO917509:KJO917515 KTK917509:KTK917515 LDG917509:LDG917515 LNC917509:LNC917515 LWY917509:LWY917515 MGU917509:MGU917515 MQQ917509:MQQ917515 NAM917509:NAM917515 NKI917509:NKI917515 NUE917509:NUE917515 OEA917509:OEA917515 ONW917509:ONW917515 OXS917509:OXS917515 PHO917509:PHO917515 PRK917509:PRK917515 QBG917509:QBG917515 QLC917509:QLC917515 QUY917509:QUY917515 REU917509:REU917515 ROQ917509:ROQ917515 RYM917509:RYM917515 SII917509:SII917515 SSE917509:SSE917515 TCA917509:TCA917515 TLW917509:TLW917515 TVS917509:TVS917515 UFO917509:UFO917515 UPK917509:UPK917515 UZG917509:UZG917515 VJC917509:VJC917515 VSY917509:VSY917515 WCU917509:WCU917515 WMQ917509:WMQ917515 WWM917509:WWM917515 AE983045:AE983051 KA983045:KA983051 TW983045:TW983051 ADS983045:ADS983051 ANO983045:ANO983051 AXK983045:AXK983051 BHG983045:BHG983051 BRC983045:BRC983051 CAY983045:CAY983051 CKU983045:CKU983051 CUQ983045:CUQ983051 DEM983045:DEM983051 DOI983045:DOI983051 DYE983045:DYE983051 EIA983045:EIA983051 ERW983045:ERW983051 FBS983045:FBS983051 FLO983045:FLO983051 FVK983045:FVK983051 GFG983045:GFG983051 GPC983045:GPC983051 GYY983045:GYY983051 HIU983045:HIU983051 HSQ983045:HSQ983051 ICM983045:ICM983051 IMI983045:IMI983051 IWE983045:IWE983051 JGA983045:JGA983051 JPW983045:JPW983051 JZS983045:JZS983051 KJO983045:KJO983051 KTK983045:KTK983051 LDG983045:LDG983051 LNC983045:LNC983051 LWY983045:LWY983051 MGU983045:MGU983051 MQQ983045:MQQ983051 NAM983045:NAM983051 NKI983045:NKI983051 NUE983045:NUE983051 OEA983045:OEA983051 ONW983045:ONW983051 OXS983045:OXS983051 PHO983045:PHO983051 PRK983045:PRK983051 QBG983045:QBG983051 QLC983045:QLC983051 QUY983045:QUY983051 REU983045:REU983051 ROQ983045:ROQ983051 RYM983045:RYM983051 SII983045:SII983051 SSE983045:SSE983051 TCA983045:TCA983051 TLW983045:TLW983051 TVS983045:TVS983051 UFO983045:UFO983051 UPK983045:UPK983051 UZG983045:UZG983051 VJC983045:VJC983051 VSY983045:VSY983051 WCU983045:WCU983051 WMQ983045:WMQ983051 WWM983045:WWM983051 WMQ8:WMQ11 WWM8:WWM11 AE8:AE11 KA8:KA11 TW8:TW11 ADS8:ADS11 ANO8:ANO11 AXK8:AXK11 BHG8:BHG11 BRC8:BRC11 CAY8:CAY11 CKU8:CKU11 CUQ8:CUQ11 DEM8:DEM11 DOI8:DOI11 DYE8:DYE11 EIA8:EIA11 ERW8:ERW11 FBS8:FBS11 FLO8:FLO11 FVK8:FVK11 GFG8:GFG11 GPC8:GPC11 GYY8:GYY11 HIU8:HIU11 HSQ8:HSQ11 ICM8:ICM11 IMI8:IMI11 IWE8:IWE11 JGA8:JGA11 JPW8:JPW11 JZS8:JZS11 KJO8:KJO11 KTK8:KTK11 LDG8:LDG11 LNC8:LNC11 LWY8:LWY11 MGU8:MGU11 MQQ8:MQQ11 NAM8:NAM11 NKI8:NKI11 NUE8:NUE11 OEA8:OEA11 ONW8:ONW11 OXS8:OXS11 PHO8:PHO11 PRK8:PRK11 QBG8:QBG11 QLC8:QLC11 QUY8:QUY11 REU8:REU11 ROQ8:ROQ11 RYM8:RYM11 SII8:SII11 SSE8:SSE11 TCA8:TCA11 TLW8:TLW11 TVS8:TVS11 UFO8:UFO11 UPK8:UPK11 UZG8:UZG11 VJC8:VJC11 VSY8:VSY11 WCU8:WCU11">
      <formula1>$AH$1:$AH$4</formula1>
    </dataValidation>
    <dataValidation type="list" allowBlank="1" showInputMessage="1" showErrorMessage="1" sqref="H65541:H65547 JD65541:JD65547 SZ65541:SZ65547 ACV65541:ACV65547 AMR65541:AMR65547 AWN65541:AWN65547 BGJ65541:BGJ65547 BQF65541:BQF65547 CAB65541:CAB65547 CJX65541:CJX65547 CTT65541:CTT65547 DDP65541:DDP65547 DNL65541:DNL65547 DXH65541:DXH65547 EHD65541:EHD65547 EQZ65541:EQZ65547 FAV65541:FAV65547 FKR65541:FKR65547 FUN65541:FUN65547 GEJ65541:GEJ65547 GOF65541:GOF65547 GYB65541:GYB65547 HHX65541:HHX65547 HRT65541:HRT65547 IBP65541:IBP65547 ILL65541:ILL65547 IVH65541:IVH65547 JFD65541:JFD65547 JOZ65541:JOZ65547 JYV65541:JYV65547 KIR65541:KIR65547 KSN65541:KSN65547 LCJ65541:LCJ65547 LMF65541:LMF65547 LWB65541:LWB65547 MFX65541:MFX65547 MPT65541:MPT65547 MZP65541:MZP65547 NJL65541:NJL65547 NTH65541:NTH65547 ODD65541:ODD65547 OMZ65541:OMZ65547 OWV65541:OWV65547 PGR65541:PGR65547 PQN65541:PQN65547 QAJ65541:QAJ65547 QKF65541:QKF65547 QUB65541:QUB65547 RDX65541:RDX65547 RNT65541:RNT65547 RXP65541:RXP65547 SHL65541:SHL65547 SRH65541:SRH65547 TBD65541:TBD65547 TKZ65541:TKZ65547 TUV65541:TUV65547 UER65541:UER65547 UON65541:UON65547 UYJ65541:UYJ65547 VIF65541:VIF65547 VSB65541:VSB65547 WBX65541:WBX65547 WLT65541:WLT65547 WVP65541:WVP65547 H131077:H131083 JD131077:JD131083 SZ131077:SZ131083 ACV131077:ACV131083 AMR131077:AMR131083 AWN131077:AWN131083 BGJ131077:BGJ131083 BQF131077:BQF131083 CAB131077:CAB131083 CJX131077:CJX131083 CTT131077:CTT131083 DDP131077:DDP131083 DNL131077:DNL131083 DXH131077:DXH131083 EHD131077:EHD131083 EQZ131077:EQZ131083 FAV131077:FAV131083 FKR131077:FKR131083 FUN131077:FUN131083 GEJ131077:GEJ131083 GOF131077:GOF131083 GYB131077:GYB131083 HHX131077:HHX131083 HRT131077:HRT131083 IBP131077:IBP131083 ILL131077:ILL131083 IVH131077:IVH131083 JFD131077:JFD131083 JOZ131077:JOZ131083 JYV131077:JYV131083 KIR131077:KIR131083 KSN131077:KSN131083 LCJ131077:LCJ131083 LMF131077:LMF131083 LWB131077:LWB131083 MFX131077:MFX131083 MPT131077:MPT131083 MZP131077:MZP131083 NJL131077:NJL131083 NTH131077:NTH131083 ODD131077:ODD131083 OMZ131077:OMZ131083 OWV131077:OWV131083 PGR131077:PGR131083 PQN131077:PQN131083 QAJ131077:QAJ131083 QKF131077:QKF131083 QUB131077:QUB131083 RDX131077:RDX131083 RNT131077:RNT131083 RXP131077:RXP131083 SHL131077:SHL131083 SRH131077:SRH131083 TBD131077:TBD131083 TKZ131077:TKZ131083 TUV131077:TUV131083 UER131077:UER131083 UON131077:UON131083 UYJ131077:UYJ131083 VIF131077:VIF131083 VSB131077:VSB131083 WBX131077:WBX131083 WLT131077:WLT131083 WVP131077:WVP131083 H196613:H196619 JD196613:JD196619 SZ196613:SZ196619 ACV196613:ACV196619 AMR196613:AMR196619 AWN196613:AWN196619 BGJ196613:BGJ196619 BQF196613:BQF196619 CAB196613:CAB196619 CJX196613:CJX196619 CTT196613:CTT196619 DDP196613:DDP196619 DNL196613:DNL196619 DXH196613:DXH196619 EHD196613:EHD196619 EQZ196613:EQZ196619 FAV196613:FAV196619 FKR196613:FKR196619 FUN196613:FUN196619 GEJ196613:GEJ196619 GOF196613:GOF196619 GYB196613:GYB196619 HHX196613:HHX196619 HRT196613:HRT196619 IBP196613:IBP196619 ILL196613:ILL196619 IVH196613:IVH196619 JFD196613:JFD196619 JOZ196613:JOZ196619 JYV196613:JYV196619 KIR196613:KIR196619 KSN196613:KSN196619 LCJ196613:LCJ196619 LMF196613:LMF196619 LWB196613:LWB196619 MFX196613:MFX196619 MPT196613:MPT196619 MZP196613:MZP196619 NJL196613:NJL196619 NTH196613:NTH196619 ODD196613:ODD196619 OMZ196613:OMZ196619 OWV196613:OWV196619 PGR196613:PGR196619 PQN196613:PQN196619 QAJ196613:QAJ196619 QKF196613:QKF196619 QUB196613:QUB196619 RDX196613:RDX196619 RNT196613:RNT196619 RXP196613:RXP196619 SHL196613:SHL196619 SRH196613:SRH196619 TBD196613:TBD196619 TKZ196613:TKZ196619 TUV196613:TUV196619 UER196613:UER196619 UON196613:UON196619 UYJ196613:UYJ196619 VIF196613:VIF196619 VSB196613:VSB196619 WBX196613:WBX196619 WLT196613:WLT196619 WVP196613:WVP196619 H262149:H262155 JD262149:JD262155 SZ262149:SZ262155 ACV262149:ACV262155 AMR262149:AMR262155 AWN262149:AWN262155 BGJ262149:BGJ262155 BQF262149:BQF262155 CAB262149:CAB262155 CJX262149:CJX262155 CTT262149:CTT262155 DDP262149:DDP262155 DNL262149:DNL262155 DXH262149:DXH262155 EHD262149:EHD262155 EQZ262149:EQZ262155 FAV262149:FAV262155 FKR262149:FKR262155 FUN262149:FUN262155 GEJ262149:GEJ262155 GOF262149:GOF262155 GYB262149:GYB262155 HHX262149:HHX262155 HRT262149:HRT262155 IBP262149:IBP262155 ILL262149:ILL262155 IVH262149:IVH262155 JFD262149:JFD262155 JOZ262149:JOZ262155 JYV262149:JYV262155 KIR262149:KIR262155 KSN262149:KSN262155 LCJ262149:LCJ262155 LMF262149:LMF262155 LWB262149:LWB262155 MFX262149:MFX262155 MPT262149:MPT262155 MZP262149:MZP262155 NJL262149:NJL262155 NTH262149:NTH262155 ODD262149:ODD262155 OMZ262149:OMZ262155 OWV262149:OWV262155 PGR262149:PGR262155 PQN262149:PQN262155 QAJ262149:QAJ262155 QKF262149:QKF262155 QUB262149:QUB262155 RDX262149:RDX262155 RNT262149:RNT262155 RXP262149:RXP262155 SHL262149:SHL262155 SRH262149:SRH262155 TBD262149:TBD262155 TKZ262149:TKZ262155 TUV262149:TUV262155 UER262149:UER262155 UON262149:UON262155 UYJ262149:UYJ262155 VIF262149:VIF262155 VSB262149:VSB262155 WBX262149:WBX262155 WLT262149:WLT262155 WVP262149:WVP262155 H327685:H327691 JD327685:JD327691 SZ327685:SZ327691 ACV327685:ACV327691 AMR327685:AMR327691 AWN327685:AWN327691 BGJ327685:BGJ327691 BQF327685:BQF327691 CAB327685:CAB327691 CJX327685:CJX327691 CTT327685:CTT327691 DDP327685:DDP327691 DNL327685:DNL327691 DXH327685:DXH327691 EHD327685:EHD327691 EQZ327685:EQZ327691 FAV327685:FAV327691 FKR327685:FKR327691 FUN327685:FUN327691 GEJ327685:GEJ327691 GOF327685:GOF327691 GYB327685:GYB327691 HHX327685:HHX327691 HRT327685:HRT327691 IBP327685:IBP327691 ILL327685:ILL327691 IVH327685:IVH327691 JFD327685:JFD327691 JOZ327685:JOZ327691 JYV327685:JYV327691 KIR327685:KIR327691 KSN327685:KSN327691 LCJ327685:LCJ327691 LMF327685:LMF327691 LWB327685:LWB327691 MFX327685:MFX327691 MPT327685:MPT327691 MZP327685:MZP327691 NJL327685:NJL327691 NTH327685:NTH327691 ODD327685:ODD327691 OMZ327685:OMZ327691 OWV327685:OWV327691 PGR327685:PGR327691 PQN327685:PQN327691 QAJ327685:QAJ327691 QKF327685:QKF327691 QUB327685:QUB327691 RDX327685:RDX327691 RNT327685:RNT327691 RXP327685:RXP327691 SHL327685:SHL327691 SRH327685:SRH327691 TBD327685:TBD327691 TKZ327685:TKZ327691 TUV327685:TUV327691 UER327685:UER327691 UON327685:UON327691 UYJ327685:UYJ327691 VIF327685:VIF327691 VSB327685:VSB327691 WBX327685:WBX327691 WLT327685:WLT327691 WVP327685:WVP327691 H393221:H393227 JD393221:JD393227 SZ393221:SZ393227 ACV393221:ACV393227 AMR393221:AMR393227 AWN393221:AWN393227 BGJ393221:BGJ393227 BQF393221:BQF393227 CAB393221:CAB393227 CJX393221:CJX393227 CTT393221:CTT393227 DDP393221:DDP393227 DNL393221:DNL393227 DXH393221:DXH393227 EHD393221:EHD393227 EQZ393221:EQZ393227 FAV393221:FAV393227 FKR393221:FKR393227 FUN393221:FUN393227 GEJ393221:GEJ393227 GOF393221:GOF393227 GYB393221:GYB393227 HHX393221:HHX393227 HRT393221:HRT393227 IBP393221:IBP393227 ILL393221:ILL393227 IVH393221:IVH393227 JFD393221:JFD393227 JOZ393221:JOZ393227 JYV393221:JYV393227 KIR393221:KIR393227 KSN393221:KSN393227 LCJ393221:LCJ393227 LMF393221:LMF393227 LWB393221:LWB393227 MFX393221:MFX393227 MPT393221:MPT393227 MZP393221:MZP393227 NJL393221:NJL393227 NTH393221:NTH393227 ODD393221:ODD393227 OMZ393221:OMZ393227 OWV393221:OWV393227 PGR393221:PGR393227 PQN393221:PQN393227 QAJ393221:QAJ393227 QKF393221:QKF393227 QUB393221:QUB393227 RDX393221:RDX393227 RNT393221:RNT393227 RXP393221:RXP393227 SHL393221:SHL393227 SRH393221:SRH393227 TBD393221:TBD393227 TKZ393221:TKZ393227 TUV393221:TUV393227 UER393221:UER393227 UON393221:UON393227 UYJ393221:UYJ393227 VIF393221:VIF393227 VSB393221:VSB393227 WBX393221:WBX393227 WLT393221:WLT393227 WVP393221:WVP393227 H458757:H458763 JD458757:JD458763 SZ458757:SZ458763 ACV458757:ACV458763 AMR458757:AMR458763 AWN458757:AWN458763 BGJ458757:BGJ458763 BQF458757:BQF458763 CAB458757:CAB458763 CJX458757:CJX458763 CTT458757:CTT458763 DDP458757:DDP458763 DNL458757:DNL458763 DXH458757:DXH458763 EHD458757:EHD458763 EQZ458757:EQZ458763 FAV458757:FAV458763 FKR458757:FKR458763 FUN458757:FUN458763 GEJ458757:GEJ458763 GOF458757:GOF458763 GYB458757:GYB458763 HHX458757:HHX458763 HRT458757:HRT458763 IBP458757:IBP458763 ILL458757:ILL458763 IVH458757:IVH458763 JFD458757:JFD458763 JOZ458757:JOZ458763 JYV458757:JYV458763 KIR458757:KIR458763 KSN458757:KSN458763 LCJ458757:LCJ458763 LMF458757:LMF458763 LWB458757:LWB458763 MFX458757:MFX458763 MPT458757:MPT458763 MZP458757:MZP458763 NJL458757:NJL458763 NTH458757:NTH458763 ODD458757:ODD458763 OMZ458757:OMZ458763 OWV458757:OWV458763 PGR458757:PGR458763 PQN458757:PQN458763 QAJ458757:QAJ458763 QKF458757:QKF458763 QUB458757:QUB458763 RDX458757:RDX458763 RNT458757:RNT458763 RXP458757:RXP458763 SHL458757:SHL458763 SRH458757:SRH458763 TBD458757:TBD458763 TKZ458757:TKZ458763 TUV458757:TUV458763 UER458757:UER458763 UON458757:UON458763 UYJ458757:UYJ458763 VIF458757:VIF458763 VSB458757:VSB458763 WBX458757:WBX458763 WLT458757:WLT458763 WVP458757:WVP458763 H524293:H524299 JD524293:JD524299 SZ524293:SZ524299 ACV524293:ACV524299 AMR524293:AMR524299 AWN524293:AWN524299 BGJ524293:BGJ524299 BQF524293:BQF524299 CAB524293:CAB524299 CJX524293:CJX524299 CTT524293:CTT524299 DDP524293:DDP524299 DNL524293:DNL524299 DXH524293:DXH524299 EHD524293:EHD524299 EQZ524293:EQZ524299 FAV524293:FAV524299 FKR524293:FKR524299 FUN524293:FUN524299 GEJ524293:GEJ524299 GOF524293:GOF524299 GYB524293:GYB524299 HHX524293:HHX524299 HRT524293:HRT524299 IBP524293:IBP524299 ILL524293:ILL524299 IVH524293:IVH524299 JFD524293:JFD524299 JOZ524293:JOZ524299 JYV524293:JYV524299 KIR524293:KIR524299 KSN524293:KSN524299 LCJ524293:LCJ524299 LMF524293:LMF524299 LWB524293:LWB524299 MFX524293:MFX524299 MPT524293:MPT524299 MZP524293:MZP524299 NJL524293:NJL524299 NTH524293:NTH524299 ODD524293:ODD524299 OMZ524293:OMZ524299 OWV524293:OWV524299 PGR524293:PGR524299 PQN524293:PQN524299 QAJ524293:QAJ524299 QKF524293:QKF524299 QUB524293:QUB524299 RDX524293:RDX524299 RNT524293:RNT524299 RXP524293:RXP524299 SHL524293:SHL524299 SRH524293:SRH524299 TBD524293:TBD524299 TKZ524293:TKZ524299 TUV524293:TUV524299 UER524293:UER524299 UON524293:UON524299 UYJ524293:UYJ524299 VIF524293:VIF524299 VSB524293:VSB524299 WBX524293:WBX524299 WLT524293:WLT524299 WVP524293:WVP524299 H589829:H589835 JD589829:JD589835 SZ589829:SZ589835 ACV589829:ACV589835 AMR589829:AMR589835 AWN589829:AWN589835 BGJ589829:BGJ589835 BQF589829:BQF589835 CAB589829:CAB589835 CJX589829:CJX589835 CTT589829:CTT589835 DDP589829:DDP589835 DNL589829:DNL589835 DXH589829:DXH589835 EHD589829:EHD589835 EQZ589829:EQZ589835 FAV589829:FAV589835 FKR589829:FKR589835 FUN589829:FUN589835 GEJ589829:GEJ589835 GOF589829:GOF589835 GYB589829:GYB589835 HHX589829:HHX589835 HRT589829:HRT589835 IBP589829:IBP589835 ILL589829:ILL589835 IVH589829:IVH589835 JFD589829:JFD589835 JOZ589829:JOZ589835 JYV589829:JYV589835 KIR589829:KIR589835 KSN589829:KSN589835 LCJ589829:LCJ589835 LMF589829:LMF589835 LWB589829:LWB589835 MFX589829:MFX589835 MPT589829:MPT589835 MZP589829:MZP589835 NJL589829:NJL589835 NTH589829:NTH589835 ODD589829:ODD589835 OMZ589829:OMZ589835 OWV589829:OWV589835 PGR589829:PGR589835 PQN589829:PQN589835 QAJ589829:QAJ589835 QKF589829:QKF589835 QUB589829:QUB589835 RDX589829:RDX589835 RNT589829:RNT589835 RXP589829:RXP589835 SHL589829:SHL589835 SRH589829:SRH589835 TBD589829:TBD589835 TKZ589829:TKZ589835 TUV589829:TUV589835 UER589829:UER589835 UON589829:UON589835 UYJ589829:UYJ589835 VIF589829:VIF589835 VSB589829:VSB589835 WBX589829:WBX589835 WLT589829:WLT589835 WVP589829:WVP589835 H655365:H655371 JD655365:JD655371 SZ655365:SZ655371 ACV655365:ACV655371 AMR655365:AMR655371 AWN655365:AWN655371 BGJ655365:BGJ655371 BQF655365:BQF655371 CAB655365:CAB655371 CJX655365:CJX655371 CTT655365:CTT655371 DDP655365:DDP655371 DNL655365:DNL655371 DXH655365:DXH655371 EHD655365:EHD655371 EQZ655365:EQZ655371 FAV655365:FAV655371 FKR655365:FKR655371 FUN655365:FUN655371 GEJ655365:GEJ655371 GOF655365:GOF655371 GYB655365:GYB655371 HHX655365:HHX655371 HRT655365:HRT655371 IBP655365:IBP655371 ILL655365:ILL655371 IVH655365:IVH655371 JFD655365:JFD655371 JOZ655365:JOZ655371 JYV655365:JYV655371 KIR655365:KIR655371 KSN655365:KSN655371 LCJ655365:LCJ655371 LMF655365:LMF655371 LWB655365:LWB655371 MFX655365:MFX655371 MPT655365:MPT655371 MZP655365:MZP655371 NJL655365:NJL655371 NTH655365:NTH655371 ODD655365:ODD655371 OMZ655365:OMZ655371 OWV655365:OWV655371 PGR655365:PGR655371 PQN655365:PQN655371 QAJ655365:QAJ655371 QKF655365:QKF655371 QUB655365:QUB655371 RDX655365:RDX655371 RNT655365:RNT655371 RXP655365:RXP655371 SHL655365:SHL655371 SRH655365:SRH655371 TBD655365:TBD655371 TKZ655365:TKZ655371 TUV655365:TUV655371 UER655365:UER655371 UON655365:UON655371 UYJ655365:UYJ655371 VIF655365:VIF655371 VSB655365:VSB655371 WBX655365:WBX655371 WLT655365:WLT655371 WVP655365:WVP655371 H720901:H720907 JD720901:JD720907 SZ720901:SZ720907 ACV720901:ACV720907 AMR720901:AMR720907 AWN720901:AWN720907 BGJ720901:BGJ720907 BQF720901:BQF720907 CAB720901:CAB720907 CJX720901:CJX720907 CTT720901:CTT720907 DDP720901:DDP720907 DNL720901:DNL720907 DXH720901:DXH720907 EHD720901:EHD720907 EQZ720901:EQZ720907 FAV720901:FAV720907 FKR720901:FKR720907 FUN720901:FUN720907 GEJ720901:GEJ720907 GOF720901:GOF720907 GYB720901:GYB720907 HHX720901:HHX720907 HRT720901:HRT720907 IBP720901:IBP720907 ILL720901:ILL720907 IVH720901:IVH720907 JFD720901:JFD720907 JOZ720901:JOZ720907 JYV720901:JYV720907 KIR720901:KIR720907 KSN720901:KSN720907 LCJ720901:LCJ720907 LMF720901:LMF720907 LWB720901:LWB720907 MFX720901:MFX720907 MPT720901:MPT720907 MZP720901:MZP720907 NJL720901:NJL720907 NTH720901:NTH720907 ODD720901:ODD720907 OMZ720901:OMZ720907 OWV720901:OWV720907 PGR720901:PGR720907 PQN720901:PQN720907 QAJ720901:QAJ720907 QKF720901:QKF720907 QUB720901:QUB720907 RDX720901:RDX720907 RNT720901:RNT720907 RXP720901:RXP720907 SHL720901:SHL720907 SRH720901:SRH720907 TBD720901:TBD720907 TKZ720901:TKZ720907 TUV720901:TUV720907 UER720901:UER720907 UON720901:UON720907 UYJ720901:UYJ720907 VIF720901:VIF720907 VSB720901:VSB720907 WBX720901:WBX720907 WLT720901:WLT720907 WVP720901:WVP720907 H786437:H786443 JD786437:JD786443 SZ786437:SZ786443 ACV786437:ACV786443 AMR786437:AMR786443 AWN786437:AWN786443 BGJ786437:BGJ786443 BQF786437:BQF786443 CAB786437:CAB786443 CJX786437:CJX786443 CTT786437:CTT786443 DDP786437:DDP786443 DNL786437:DNL786443 DXH786437:DXH786443 EHD786437:EHD786443 EQZ786437:EQZ786443 FAV786437:FAV786443 FKR786437:FKR786443 FUN786437:FUN786443 GEJ786437:GEJ786443 GOF786437:GOF786443 GYB786437:GYB786443 HHX786437:HHX786443 HRT786437:HRT786443 IBP786437:IBP786443 ILL786437:ILL786443 IVH786437:IVH786443 JFD786437:JFD786443 JOZ786437:JOZ786443 JYV786437:JYV786443 KIR786437:KIR786443 KSN786437:KSN786443 LCJ786437:LCJ786443 LMF786437:LMF786443 LWB786437:LWB786443 MFX786437:MFX786443 MPT786437:MPT786443 MZP786437:MZP786443 NJL786437:NJL786443 NTH786437:NTH786443 ODD786437:ODD786443 OMZ786437:OMZ786443 OWV786437:OWV786443 PGR786437:PGR786443 PQN786437:PQN786443 QAJ786437:QAJ786443 QKF786437:QKF786443 QUB786437:QUB786443 RDX786437:RDX786443 RNT786437:RNT786443 RXP786437:RXP786443 SHL786437:SHL786443 SRH786437:SRH786443 TBD786437:TBD786443 TKZ786437:TKZ786443 TUV786437:TUV786443 UER786437:UER786443 UON786437:UON786443 UYJ786437:UYJ786443 VIF786437:VIF786443 VSB786437:VSB786443 WBX786437:WBX786443 WLT786437:WLT786443 WVP786437:WVP786443 H851973:H851979 JD851973:JD851979 SZ851973:SZ851979 ACV851973:ACV851979 AMR851973:AMR851979 AWN851973:AWN851979 BGJ851973:BGJ851979 BQF851973:BQF851979 CAB851973:CAB851979 CJX851973:CJX851979 CTT851973:CTT851979 DDP851973:DDP851979 DNL851973:DNL851979 DXH851973:DXH851979 EHD851973:EHD851979 EQZ851973:EQZ851979 FAV851973:FAV851979 FKR851973:FKR851979 FUN851973:FUN851979 GEJ851973:GEJ851979 GOF851973:GOF851979 GYB851973:GYB851979 HHX851973:HHX851979 HRT851973:HRT851979 IBP851973:IBP851979 ILL851973:ILL851979 IVH851973:IVH851979 JFD851973:JFD851979 JOZ851973:JOZ851979 JYV851973:JYV851979 KIR851973:KIR851979 KSN851973:KSN851979 LCJ851973:LCJ851979 LMF851973:LMF851979 LWB851973:LWB851979 MFX851973:MFX851979 MPT851973:MPT851979 MZP851973:MZP851979 NJL851973:NJL851979 NTH851973:NTH851979 ODD851973:ODD851979 OMZ851973:OMZ851979 OWV851973:OWV851979 PGR851973:PGR851979 PQN851973:PQN851979 QAJ851973:QAJ851979 QKF851973:QKF851979 QUB851973:QUB851979 RDX851973:RDX851979 RNT851973:RNT851979 RXP851973:RXP851979 SHL851973:SHL851979 SRH851973:SRH851979 TBD851973:TBD851979 TKZ851973:TKZ851979 TUV851973:TUV851979 UER851973:UER851979 UON851973:UON851979 UYJ851973:UYJ851979 VIF851973:VIF851979 VSB851973:VSB851979 WBX851973:WBX851979 WLT851973:WLT851979 WVP851973:WVP851979 H917509:H917515 JD917509:JD917515 SZ917509:SZ917515 ACV917509:ACV917515 AMR917509:AMR917515 AWN917509:AWN917515 BGJ917509:BGJ917515 BQF917509:BQF917515 CAB917509:CAB917515 CJX917509:CJX917515 CTT917509:CTT917515 DDP917509:DDP917515 DNL917509:DNL917515 DXH917509:DXH917515 EHD917509:EHD917515 EQZ917509:EQZ917515 FAV917509:FAV917515 FKR917509:FKR917515 FUN917509:FUN917515 GEJ917509:GEJ917515 GOF917509:GOF917515 GYB917509:GYB917515 HHX917509:HHX917515 HRT917509:HRT917515 IBP917509:IBP917515 ILL917509:ILL917515 IVH917509:IVH917515 JFD917509:JFD917515 JOZ917509:JOZ917515 JYV917509:JYV917515 KIR917509:KIR917515 KSN917509:KSN917515 LCJ917509:LCJ917515 LMF917509:LMF917515 LWB917509:LWB917515 MFX917509:MFX917515 MPT917509:MPT917515 MZP917509:MZP917515 NJL917509:NJL917515 NTH917509:NTH917515 ODD917509:ODD917515 OMZ917509:OMZ917515 OWV917509:OWV917515 PGR917509:PGR917515 PQN917509:PQN917515 QAJ917509:QAJ917515 QKF917509:QKF917515 QUB917509:QUB917515 RDX917509:RDX917515 RNT917509:RNT917515 RXP917509:RXP917515 SHL917509:SHL917515 SRH917509:SRH917515 TBD917509:TBD917515 TKZ917509:TKZ917515 TUV917509:TUV917515 UER917509:UER917515 UON917509:UON917515 UYJ917509:UYJ917515 VIF917509:VIF917515 VSB917509:VSB917515 WBX917509:WBX917515 WLT917509:WLT917515 WVP917509:WVP917515 H983045:H983051 JD983045:JD983051 SZ983045:SZ983051 ACV983045:ACV983051 AMR983045:AMR983051 AWN983045:AWN983051 BGJ983045:BGJ983051 BQF983045:BQF983051 CAB983045:CAB983051 CJX983045:CJX983051 CTT983045:CTT983051 DDP983045:DDP983051 DNL983045:DNL983051 DXH983045:DXH983051 EHD983045:EHD983051 EQZ983045:EQZ983051 FAV983045:FAV983051 FKR983045:FKR983051 FUN983045:FUN983051 GEJ983045:GEJ983051 GOF983045:GOF983051 GYB983045:GYB983051 HHX983045:HHX983051 HRT983045:HRT983051 IBP983045:IBP983051 ILL983045:ILL983051 IVH983045:IVH983051 JFD983045:JFD983051 JOZ983045:JOZ983051 JYV983045:JYV983051 KIR983045:KIR983051 KSN983045:KSN983051 LCJ983045:LCJ983051 LMF983045:LMF983051 LWB983045:LWB983051 MFX983045:MFX983051 MPT983045:MPT983051 MZP983045:MZP983051 NJL983045:NJL983051 NTH983045:NTH983051 ODD983045:ODD983051 OMZ983045:OMZ983051 OWV983045:OWV983051 PGR983045:PGR983051 PQN983045:PQN983051 QAJ983045:QAJ983051 QKF983045:QKF983051 QUB983045:QUB983051 RDX983045:RDX983051 RNT983045:RNT983051 RXP983045:RXP983051 SHL983045:SHL983051 SRH983045:SRH983051 TBD983045:TBD983051 TKZ983045:TKZ983051 TUV983045:TUV983051 UER983045:UER983051 UON983045:UON983051 UYJ983045:UYJ983051 VIF983045:VIF983051 VSB983045:VSB983051 WBX983045:WBX983051 WLT983045:WLT983051 WVP983045:WVP983051 WLT8:WLT11 WVP8:WVP11 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formula1>$AI$1:$AI$3</formula1>
    </dataValidation>
    <dataValidation type="list" allowBlank="1" showInputMessage="1" showErrorMessage="1" sqref="G65541:G65547 AMQ8:AMQ11 AWM8:AWM11 BGI8:BGI11 BQE8:BQE11 CAA8:CAA11 CJW8:CJW11 CTS8:CTS11 DDO8:DDO11 DNK8:DNK11 DXG8:DXG11 EHC8:EHC11 EQY8:EQY11 FAU8:FAU11 FKQ8:FKQ11 FUM8:FUM11 GEI8:GEI11 GOE8:GOE11 GYA8:GYA11 HHW8:HHW11 HRS8:HRS11 IBO8:IBO11 ILK8:ILK11 IVG8:IVG11 JFC8:JFC11 JOY8:JOY11 JYU8:JYU11 KIQ8:KIQ11 KSM8:KSM11 LCI8:LCI11 LME8:LME11 LWA8:LWA11 MFW8:MFW11 MPS8:MPS11 MZO8:MZO11 NJK8:NJK11 NTG8:NTG11 ODC8:ODC11 OMY8:OMY11 OWU8:OWU11 PGQ8:PGQ11 PQM8:PQM11 QAI8:QAI11 QKE8:QKE11 QUA8:QUA11 RDW8:RDW11 RNS8:RNS11 RXO8:RXO11 SHK8:SHK11 SRG8:SRG11 TBC8:TBC11 TKY8:TKY11 TUU8:TUU11 UEQ8:UEQ11 UOM8:UOM11 UYI8:UYI11 VIE8:VIE11 VSA8:VSA11 WBW8:WBW11 WLS8:WLS11 WVO8:WVO11 G8:G11 JC8:JC11 SY8:SY11 WVO983045:WVO983051 JC65541:JC65547 SY65541:SY65547 ACU65541:ACU65547 AMQ65541:AMQ65547 AWM65541:AWM65547 BGI65541:BGI65547 BQE65541:BQE65547 CAA65541:CAA65547 CJW65541:CJW65547 CTS65541:CTS65547 DDO65541:DDO65547 DNK65541:DNK65547 DXG65541:DXG65547 EHC65541:EHC65547 EQY65541:EQY65547 FAU65541:FAU65547 FKQ65541:FKQ65547 FUM65541:FUM65547 GEI65541:GEI65547 GOE65541:GOE65547 GYA65541:GYA65547 HHW65541:HHW65547 HRS65541:HRS65547 IBO65541:IBO65547 ILK65541:ILK65547 IVG65541:IVG65547 JFC65541:JFC65547 JOY65541:JOY65547 JYU65541:JYU65547 KIQ65541:KIQ65547 KSM65541:KSM65547 LCI65541:LCI65547 LME65541:LME65547 LWA65541:LWA65547 MFW65541:MFW65547 MPS65541:MPS65547 MZO65541:MZO65547 NJK65541:NJK65547 NTG65541:NTG65547 ODC65541:ODC65547 OMY65541:OMY65547 OWU65541:OWU65547 PGQ65541:PGQ65547 PQM65541:PQM65547 QAI65541:QAI65547 QKE65541:QKE65547 QUA65541:QUA65547 RDW65541:RDW65547 RNS65541:RNS65547 RXO65541:RXO65547 SHK65541:SHK65547 SRG65541:SRG65547 TBC65541:TBC65547 TKY65541:TKY65547 TUU65541:TUU65547 UEQ65541:UEQ65547 UOM65541:UOM65547 UYI65541:UYI65547 VIE65541:VIE65547 VSA65541:VSA65547 WBW65541:WBW65547 WLS65541:WLS65547 WVO65541:WVO65547 G131077:G131083 JC131077:JC131083 SY131077:SY131083 ACU131077:ACU131083 AMQ131077:AMQ131083 AWM131077:AWM131083 BGI131077:BGI131083 BQE131077:BQE131083 CAA131077:CAA131083 CJW131077:CJW131083 CTS131077:CTS131083 DDO131077:DDO131083 DNK131077:DNK131083 DXG131077:DXG131083 EHC131077:EHC131083 EQY131077:EQY131083 FAU131077:FAU131083 FKQ131077:FKQ131083 FUM131077:FUM131083 GEI131077:GEI131083 GOE131077:GOE131083 GYA131077:GYA131083 HHW131077:HHW131083 HRS131077:HRS131083 IBO131077:IBO131083 ILK131077:ILK131083 IVG131077:IVG131083 JFC131077:JFC131083 JOY131077:JOY131083 JYU131077:JYU131083 KIQ131077:KIQ131083 KSM131077:KSM131083 LCI131077:LCI131083 LME131077:LME131083 LWA131077:LWA131083 MFW131077:MFW131083 MPS131077:MPS131083 MZO131077:MZO131083 NJK131077:NJK131083 NTG131077:NTG131083 ODC131077:ODC131083 OMY131077:OMY131083 OWU131077:OWU131083 PGQ131077:PGQ131083 PQM131077:PQM131083 QAI131077:QAI131083 QKE131077:QKE131083 QUA131077:QUA131083 RDW131077:RDW131083 RNS131077:RNS131083 RXO131077:RXO131083 SHK131077:SHK131083 SRG131077:SRG131083 TBC131077:TBC131083 TKY131077:TKY131083 TUU131077:TUU131083 UEQ131077:UEQ131083 UOM131077:UOM131083 UYI131077:UYI131083 VIE131077:VIE131083 VSA131077:VSA131083 WBW131077:WBW131083 WLS131077:WLS131083 WVO131077:WVO131083 G196613:G196619 JC196613:JC196619 SY196613:SY196619 ACU196613:ACU196619 AMQ196613:AMQ196619 AWM196613:AWM196619 BGI196613:BGI196619 BQE196613:BQE196619 CAA196613:CAA196619 CJW196613:CJW196619 CTS196613:CTS196619 DDO196613:DDO196619 DNK196613:DNK196619 DXG196613:DXG196619 EHC196613:EHC196619 EQY196613:EQY196619 FAU196613:FAU196619 FKQ196613:FKQ196619 FUM196613:FUM196619 GEI196613:GEI196619 GOE196613:GOE196619 GYA196613:GYA196619 HHW196613:HHW196619 HRS196613:HRS196619 IBO196613:IBO196619 ILK196613:ILK196619 IVG196613:IVG196619 JFC196613:JFC196619 JOY196613:JOY196619 JYU196613:JYU196619 KIQ196613:KIQ196619 KSM196613:KSM196619 LCI196613:LCI196619 LME196613:LME196619 LWA196613:LWA196619 MFW196613:MFW196619 MPS196613:MPS196619 MZO196613:MZO196619 NJK196613:NJK196619 NTG196613:NTG196619 ODC196613:ODC196619 OMY196613:OMY196619 OWU196613:OWU196619 PGQ196613:PGQ196619 PQM196613:PQM196619 QAI196613:QAI196619 QKE196613:QKE196619 QUA196613:QUA196619 RDW196613:RDW196619 RNS196613:RNS196619 RXO196613:RXO196619 SHK196613:SHK196619 SRG196613:SRG196619 TBC196613:TBC196619 TKY196613:TKY196619 TUU196613:TUU196619 UEQ196613:UEQ196619 UOM196613:UOM196619 UYI196613:UYI196619 VIE196613:VIE196619 VSA196613:VSA196619 WBW196613:WBW196619 WLS196613:WLS196619 WVO196613:WVO196619 G262149:G262155 JC262149:JC262155 SY262149:SY262155 ACU262149:ACU262155 AMQ262149:AMQ262155 AWM262149:AWM262155 BGI262149:BGI262155 BQE262149:BQE262155 CAA262149:CAA262155 CJW262149:CJW262155 CTS262149:CTS262155 DDO262149:DDO262155 DNK262149:DNK262155 DXG262149:DXG262155 EHC262149:EHC262155 EQY262149:EQY262155 FAU262149:FAU262155 FKQ262149:FKQ262155 FUM262149:FUM262155 GEI262149:GEI262155 GOE262149:GOE262155 GYA262149:GYA262155 HHW262149:HHW262155 HRS262149:HRS262155 IBO262149:IBO262155 ILK262149:ILK262155 IVG262149:IVG262155 JFC262149:JFC262155 JOY262149:JOY262155 JYU262149:JYU262155 KIQ262149:KIQ262155 KSM262149:KSM262155 LCI262149:LCI262155 LME262149:LME262155 LWA262149:LWA262155 MFW262149:MFW262155 MPS262149:MPS262155 MZO262149:MZO262155 NJK262149:NJK262155 NTG262149:NTG262155 ODC262149:ODC262155 OMY262149:OMY262155 OWU262149:OWU262155 PGQ262149:PGQ262155 PQM262149:PQM262155 QAI262149:QAI262155 QKE262149:QKE262155 QUA262149:QUA262155 RDW262149:RDW262155 RNS262149:RNS262155 RXO262149:RXO262155 SHK262149:SHK262155 SRG262149:SRG262155 TBC262149:TBC262155 TKY262149:TKY262155 TUU262149:TUU262155 UEQ262149:UEQ262155 UOM262149:UOM262155 UYI262149:UYI262155 VIE262149:VIE262155 VSA262149:VSA262155 WBW262149:WBW262155 WLS262149:WLS262155 WVO262149:WVO262155 G327685:G327691 JC327685:JC327691 SY327685:SY327691 ACU327685:ACU327691 AMQ327685:AMQ327691 AWM327685:AWM327691 BGI327685:BGI327691 BQE327685:BQE327691 CAA327685:CAA327691 CJW327685:CJW327691 CTS327685:CTS327691 DDO327685:DDO327691 DNK327685:DNK327691 DXG327685:DXG327691 EHC327685:EHC327691 EQY327685:EQY327691 FAU327685:FAU327691 FKQ327685:FKQ327691 FUM327685:FUM327691 GEI327685:GEI327691 GOE327685:GOE327691 GYA327685:GYA327691 HHW327685:HHW327691 HRS327685:HRS327691 IBO327685:IBO327691 ILK327685:ILK327691 IVG327685:IVG327691 JFC327685:JFC327691 JOY327685:JOY327691 JYU327685:JYU327691 KIQ327685:KIQ327691 KSM327685:KSM327691 LCI327685:LCI327691 LME327685:LME327691 LWA327685:LWA327691 MFW327685:MFW327691 MPS327685:MPS327691 MZO327685:MZO327691 NJK327685:NJK327691 NTG327685:NTG327691 ODC327685:ODC327691 OMY327685:OMY327691 OWU327685:OWU327691 PGQ327685:PGQ327691 PQM327685:PQM327691 QAI327685:QAI327691 QKE327685:QKE327691 QUA327685:QUA327691 RDW327685:RDW327691 RNS327685:RNS327691 RXO327685:RXO327691 SHK327685:SHK327691 SRG327685:SRG327691 TBC327685:TBC327691 TKY327685:TKY327691 TUU327685:TUU327691 UEQ327685:UEQ327691 UOM327685:UOM327691 UYI327685:UYI327691 VIE327685:VIE327691 VSA327685:VSA327691 WBW327685:WBW327691 WLS327685:WLS327691 WVO327685:WVO327691 G393221:G393227 JC393221:JC393227 SY393221:SY393227 ACU393221:ACU393227 AMQ393221:AMQ393227 AWM393221:AWM393227 BGI393221:BGI393227 BQE393221:BQE393227 CAA393221:CAA393227 CJW393221:CJW393227 CTS393221:CTS393227 DDO393221:DDO393227 DNK393221:DNK393227 DXG393221:DXG393227 EHC393221:EHC393227 EQY393221:EQY393227 FAU393221:FAU393227 FKQ393221:FKQ393227 FUM393221:FUM393227 GEI393221:GEI393227 GOE393221:GOE393227 GYA393221:GYA393227 HHW393221:HHW393227 HRS393221:HRS393227 IBO393221:IBO393227 ILK393221:ILK393227 IVG393221:IVG393227 JFC393221:JFC393227 JOY393221:JOY393227 JYU393221:JYU393227 KIQ393221:KIQ393227 KSM393221:KSM393227 LCI393221:LCI393227 LME393221:LME393227 LWA393221:LWA393227 MFW393221:MFW393227 MPS393221:MPS393227 MZO393221:MZO393227 NJK393221:NJK393227 NTG393221:NTG393227 ODC393221:ODC393227 OMY393221:OMY393227 OWU393221:OWU393227 PGQ393221:PGQ393227 PQM393221:PQM393227 QAI393221:QAI393227 QKE393221:QKE393227 QUA393221:QUA393227 RDW393221:RDW393227 RNS393221:RNS393227 RXO393221:RXO393227 SHK393221:SHK393227 SRG393221:SRG393227 TBC393221:TBC393227 TKY393221:TKY393227 TUU393221:TUU393227 UEQ393221:UEQ393227 UOM393221:UOM393227 UYI393221:UYI393227 VIE393221:VIE393227 VSA393221:VSA393227 WBW393221:WBW393227 WLS393221:WLS393227 WVO393221:WVO393227 G458757:G458763 JC458757:JC458763 SY458757:SY458763 ACU458757:ACU458763 AMQ458757:AMQ458763 AWM458757:AWM458763 BGI458757:BGI458763 BQE458757:BQE458763 CAA458757:CAA458763 CJW458757:CJW458763 CTS458757:CTS458763 DDO458757:DDO458763 DNK458757:DNK458763 DXG458757:DXG458763 EHC458757:EHC458763 EQY458757:EQY458763 FAU458757:FAU458763 FKQ458757:FKQ458763 FUM458757:FUM458763 GEI458757:GEI458763 GOE458757:GOE458763 GYA458757:GYA458763 HHW458757:HHW458763 HRS458757:HRS458763 IBO458757:IBO458763 ILK458757:ILK458763 IVG458757:IVG458763 JFC458757:JFC458763 JOY458757:JOY458763 JYU458757:JYU458763 KIQ458757:KIQ458763 KSM458757:KSM458763 LCI458757:LCI458763 LME458757:LME458763 LWA458757:LWA458763 MFW458757:MFW458763 MPS458757:MPS458763 MZO458757:MZO458763 NJK458757:NJK458763 NTG458757:NTG458763 ODC458757:ODC458763 OMY458757:OMY458763 OWU458757:OWU458763 PGQ458757:PGQ458763 PQM458757:PQM458763 QAI458757:QAI458763 QKE458757:QKE458763 QUA458757:QUA458763 RDW458757:RDW458763 RNS458757:RNS458763 RXO458757:RXO458763 SHK458757:SHK458763 SRG458757:SRG458763 TBC458757:TBC458763 TKY458757:TKY458763 TUU458757:TUU458763 UEQ458757:UEQ458763 UOM458757:UOM458763 UYI458757:UYI458763 VIE458757:VIE458763 VSA458757:VSA458763 WBW458757:WBW458763 WLS458757:WLS458763 WVO458757:WVO458763 G524293:G524299 JC524293:JC524299 SY524293:SY524299 ACU524293:ACU524299 AMQ524293:AMQ524299 AWM524293:AWM524299 BGI524293:BGI524299 BQE524293:BQE524299 CAA524293:CAA524299 CJW524293:CJW524299 CTS524293:CTS524299 DDO524293:DDO524299 DNK524293:DNK524299 DXG524293:DXG524299 EHC524293:EHC524299 EQY524293:EQY524299 FAU524293:FAU524299 FKQ524293:FKQ524299 FUM524293:FUM524299 GEI524293:GEI524299 GOE524293:GOE524299 GYA524293:GYA524299 HHW524293:HHW524299 HRS524293:HRS524299 IBO524293:IBO524299 ILK524293:ILK524299 IVG524293:IVG524299 JFC524293:JFC524299 JOY524293:JOY524299 JYU524293:JYU524299 KIQ524293:KIQ524299 KSM524293:KSM524299 LCI524293:LCI524299 LME524293:LME524299 LWA524293:LWA524299 MFW524293:MFW524299 MPS524293:MPS524299 MZO524293:MZO524299 NJK524293:NJK524299 NTG524293:NTG524299 ODC524293:ODC524299 OMY524293:OMY524299 OWU524293:OWU524299 PGQ524293:PGQ524299 PQM524293:PQM524299 QAI524293:QAI524299 QKE524293:QKE524299 QUA524293:QUA524299 RDW524293:RDW524299 RNS524293:RNS524299 RXO524293:RXO524299 SHK524293:SHK524299 SRG524293:SRG524299 TBC524293:TBC524299 TKY524293:TKY524299 TUU524293:TUU524299 UEQ524293:UEQ524299 UOM524293:UOM524299 UYI524293:UYI524299 VIE524293:VIE524299 VSA524293:VSA524299 WBW524293:WBW524299 WLS524293:WLS524299 WVO524293:WVO524299 G589829:G589835 JC589829:JC589835 SY589829:SY589835 ACU589829:ACU589835 AMQ589829:AMQ589835 AWM589829:AWM589835 BGI589829:BGI589835 BQE589829:BQE589835 CAA589829:CAA589835 CJW589829:CJW589835 CTS589829:CTS589835 DDO589829:DDO589835 DNK589829:DNK589835 DXG589829:DXG589835 EHC589829:EHC589835 EQY589829:EQY589835 FAU589829:FAU589835 FKQ589829:FKQ589835 FUM589829:FUM589835 GEI589829:GEI589835 GOE589829:GOE589835 GYA589829:GYA589835 HHW589829:HHW589835 HRS589829:HRS589835 IBO589829:IBO589835 ILK589829:ILK589835 IVG589829:IVG589835 JFC589829:JFC589835 JOY589829:JOY589835 JYU589829:JYU589835 KIQ589829:KIQ589835 KSM589829:KSM589835 LCI589829:LCI589835 LME589829:LME589835 LWA589829:LWA589835 MFW589829:MFW589835 MPS589829:MPS589835 MZO589829:MZO589835 NJK589829:NJK589835 NTG589829:NTG589835 ODC589829:ODC589835 OMY589829:OMY589835 OWU589829:OWU589835 PGQ589829:PGQ589835 PQM589829:PQM589835 QAI589829:QAI589835 QKE589829:QKE589835 QUA589829:QUA589835 RDW589829:RDW589835 RNS589829:RNS589835 RXO589829:RXO589835 SHK589829:SHK589835 SRG589829:SRG589835 TBC589829:TBC589835 TKY589829:TKY589835 TUU589829:TUU589835 UEQ589829:UEQ589835 UOM589829:UOM589835 UYI589829:UYI589835 VIE589829:VIE589835 VSA589829:VSA589835 WBW589829:WBW589835 WLS589829:WLS589835 WVO589829:WVO589835 G655365:G655371 JC655365:JC655371 SY655365:SY655371 ACU655365:ACU655371 AMQ655365:AMQ655371 AWM655365:AWM655371 BGI655365:BGI655371 BQE655365:BQE655371 CAA655365:CAA655371 CJW655365:CJW655371 CTS655365:CTS655371 DDO655365:DDO655371 DNK655365:DNK655371 DXG655365:DXG655371 EHC655365:EHC655371 EQY655365:EQY655371 FAU655365:FAU655371 FKQ655365:FKQ655371 FUM655365:FUM655371 GEI655365:GEI655371 GOE655365:GOE655371 GYA655365:GYA655371 HHW655365:HHW655371 HRS655365:HRS655371 IBO655365:IBO655371 ILK655365:ILK655371 IVG655365:IVG655371 JFC655365:JFC655371 JOY655365:JOY655371 JYU655365:JYU655371 KIQ655365:KIQ655371 KSM655365:KSM655371 LCI655365:LCI655371 LME655365:LME655371 LWA655365:LWA655371 MFW655365:MFW655371 MPS655365:MPS655371 MZO655365:MZO655371 NJK655365:NJK655371 NTG655365:NTG655371 ODC655365:ODC655371 OMY655365:OMY655371 OWU655365:OWU655371 PGQ655365:PGQ655371 PQM655365:PQM655371 QAI655365:QAI655371 QKE655365:QKE655371 QUA655365:QUA655371 RDW655365:RDW655371 RNS655365:RNS655371 RXO655365:RXO655371 SHK655365:SHK655371 SRG655365:SRG655371 TBC655365:TBC655371 TKY655365:TKY655371 TUU655365:TUU655371 UEQ655365:UEQ655371 UOM655365:UOM655371 UYI655365:UYI655371 VIE655365:VIE655371 VSA655365:VSA655371 WBW655365:WBW655371 WLS655365:WLS655371 WVO655365:WVO655371 G720901:G720907 JC720901:JC720907 SY720901:SY720907 ACU720901:ACU720907 AMQ720901:AMQ720907 AWM720901:AWM720907 BGI720901:BGI720907 BQE720901:BQE720907 CAA720901:CAA720907 CJW720901:CJW720907 CTS720901:CTS720907 DDO720901:DDO720907 DNK720901:DNK720907 DXG720901:DXG720907 EHC720901:EHC720907 EQY720901:EQY720907 FAU720901:FAU720907 FKQ720901:FKQ720907 FUM720901:FUM720907 GEI720901:GEI720907 GOE720901:GOE720907 GYA720901:GYA720907 HHW720901:HHW720907 HRS720901:HRS720907 IBO720901:IBO720907 ILK720901:ILK720907 IVG720901:IVG720907 JFC720901:JFC720907 JOY720901:JOY720907 JYU720901:JYU720907 KIQ720901:KIQ720907 KSM720901:KSM720907 LCI720901:LCI720907 LME720901:LME720907 LWA720901:LWA720907 MFW720901:MFW720907 MPS720901:MPS720907 MZO720901:MZO720907 NJK720901:NJK720907 NTG720901:NTG720907 ODC720901:ODC720907 OMY720901:OMY720907 OWU720901:OWU720907 PGQ720901:PGQ720907 PQM720901:PQM720907 QAI720901:QAI720907 QKE720901:QKE720907 QUA720901:QUA720907 RDW720901:RDW720907 RNS720901:RNS720907 RXO720901:RXO720907 SHK720901:SHK720907 SRG720901:SRG720907 TBC720901:TBC720907 TKY720901:TKY720907 TUU720901:TUU720907 UEQ720901:UEQ720907 UOM720901:UOM720907 UYI720901:UYI720907 VIE720901:VIE720907 VSA720901:VSA720907 WBW720901:WBW720907 WLS720901:WLS720907 WVO720901:WVO720907 G786437:G786443 JC786437:JC786443 SY786437:SY786443 ACU786437:ACU786443 AMQ786437:AMQ786443 AWM786437:AWM786443 BGI786437:BGI786443 BQE786437:BQE786443 CAA786437:CAA786443 CJW786437:CJW786443 CTS786437:CTS786443 DDO786437:DDO786443 DNK786437:DNK786443 DXG786437:DXG786443 EHC786437:EHC786443 EQY786437:EQY786443 FAU786437:FAU786443 FKQ786437:FKQ786443 FUM786437:FUM786443 GEI786437:GEI786443 GOE786437:GOE786443 GYA786437:GYA786443 HHW786437:HHW786443 HRS786437:HRS786443 IBO786437:IBO786443 ILK786437:ILK786443 IVG786437:IVG786443 JFC786437:JFC786443 JOY786437:JOY786443 JYU786437:JYU786443 KIQ786437:KIQ786443 KSM786437:KSM786443 LCI786437:LCI786443 LME786437:LME786443 LWA786437:LWA786443 MFW786437:MFW786443 MPS786437:MPS786443 MZO786437:MZO786443 NJK786437:NJK786443 NTG786437:NTG786443 ODC786437:ODC786443 OMY786437:OMY786443 OWU786437:OWU786443 PGQ786437:PGQ786443 PQM786437:PQM786443 QAI786437:QAI786443 QKE786437:QKE786443 QUA786437:QUA786443 RDW786437:RDW786443 RNS786437:RNS786443 RXO786437:RXO786443 SHK786437:SHK786443 SRG786437:SRG786443 TBC786437:TBC786443 TKY786437:TKY786443 TUU786437:TUU786443 UEQ786437:UEQ786443 UOM786437:UOM786443 UYI786437:UYI786443 VIE786437:VIE786443 VSA786437:VSA786443 WBW786437:WBW786443 WLS786437:WLS786443 WVO786437:WVO786443 G851973:G851979 JC851973:JC851979 SY851973:SY851979 ACU851973:ACU851979 AMQ851973:AMQ851979 AWM851973:AWM851979 BGI851973:BGI851979 BQE851973:BQE851979 CAA851973:CAA851979 CJW851973:CJW851979 CTS851973:CTS851979 DDO851973:DDO851979 DNK851973:DNK851979 DXG851973:DXG851979 EHC851973:EHC851979 EQY851973:EQY851979 FAU851973:FAU851979 FKQ851973:FKQ851979 FUM851973:FUM851979 GEI851973:GEI851979 GOE851973:GOE851979 GYA851973:GYA851979 HHW851973:HHW851979 HRS851973:HRS851979 IBO851973:IBO851979 ILK851973:ILK851979 IVG851973:IVG851979 JFC851973:JFC851979 JOY851973:JOY851979 JYU851973:JYU851979 KIQ851973:KIQ851979 KSM851973:KSM851979 LCI851973:LCI851979 LME851973:LME851979 LWA851973:LWA851979 MFW851973:MFW851979 MPS851973:MPS851979 MZO851973:MZO851979 NJK851973:NJK851979 NTG851973:NTG851979 ODC851973:ODC851979 OMY851973:OMY851979 OWU851973:OWU851979 PGQ851973:PGQ851979 PQM851973:PQM851979 QAI851973:QAI851979 QKE851973:QKE851979 QUA851973:QUA851979 RDW851973:RDW851979 RNS851973:RNS851979 RXO851973:RXO851979 SHK851973:SHK851979 SRG851973:SRG851979 TBC851973:TBC851979 TKY851973:TKY851979 TUU851973:TUU851979 UEQ851973:UEQ851979 UOM851973:UOM851979 UYI851973:UYI851979 VIE851973:VIE851979 VSA851973:VSA851979 WBW851973:WBW851979 WLS851973:WLS851979 WVO851973:WVO851979 G917509:G917515 JC917509:JC917515 SY917509:SY917515 ACU917509:ACU917515 AMQ917509:AMQ917515 AWM917509:AWM917515 BGI917509:BGI917515 BQE917509:BQE917515 CAA917509:CAA917515 CJW917509:CJW917515 CTS917509:CTS917515 DDO917509:DDO917515 DNK917509:DNK917515 DXG917509:DXG917515 EHC917509:EHC917515 EQY917509:EQY917515 FAU917509:FAU917515 FKQ917509:FKQ917515 FUM917509:FUM917515 GEI917509:GEI917515 GOE917509:GOE917515 GYA917509:GYA917515 HHW917509:HHW917515 HRS917509:HRS917515 IBO917509:IBO917515 ILK917509:ILK917515 IVG917509:IVG917515 JFC917509:JFC917515 JOY917509:JOY917515 JYU917509:JYU917515 KIQ917509:KIQ917515 KSM917509:KSM917515 LCI917509:LCI917515 LME917509:LME917515 LWA917509:LWA917515 MFW917509:MFW917515 MPS917509:MPS917515 MZO917509:MZO917515 NJK917509:NJK917515 NTG917509:NTG917515 ODC917509:ODC917515 OMY917509:OMY917515 OWU917509:OWU917515 PGQ917509:PGQ917515 PQM917509:PQM917515 QAI917509:QAI917515 QKE917509:QKE917515 QUA917509:QUA917515 RDW917509:RDW917515 RNS917509:RNS917515 RXO917509:RXO917515 SHK917509:SHK917515 SRG917509:SRG917515 TBC917509:TBC917515 TKY917509:TKY917515 TUU917509:TUU917515 UEQ917509:UEQ917515 UOM917509:UOM917515 UYI917509:UYI917515 VIE917509:VIE917515 VSA917509:VSA917515 WBW917509:WBW917515 WLS917509:WLS917515 WVO917509:WVO917515 G983045:G983051 JC983045:JC983051 SY983045:SY983051 ACU983045:ACU983051 AMQ983045:AMQ983051 AWM983045:AWM983051 BGI983045:BGI983051 BQE983045:BQE983051 CAA983045:CAA983051 CJW983045:CJW983051 CTS983045:CTS983051 DDO983045:DDO983051 DNK983045:DNK983051 DXG983045:DXG983051 EHC983045:EHC983051 EQY983045:EQY983051 FAU983045:FAU983051 FKQ983045:FKQ983051 FUM983045:FUM983051 GEI983045:GEI983051 GOE983045:GOE983051 GYA983045:GYA983051 HHW983045:HHW983051 HRS983045:HRS983051 IBO983045:IBO983051 ILK983045:ILK983051 IVG983045:IVG983051 JFC983045:JFC983051 JOY983045:JOY983051 JYU983045:JYU983051 KIQ983045:KIQ983051 KSM983045:KSM983051 LCI983045:LCI983051 LME983045:LME983051 LWA983045:LWA983051 MFW983045:MFW983051 MPS983045:MPS983051 MZO983045:MZO983051 NJK983045:NJK983051 NTG983045:NTG983051 ODC983045:ODC983051 OMY983045:OMY983051 OWU983045:OWU983051 PGQ983045:PGQ983051 PQM983045:PQM983051 QAI983045:QAI983051 QKE983045:QKE983051 QUA983045:QUA983051 RDW983045:RDW983051 RNS983045:RNS983051 RXO983045:RXO983051 SHK983045:SHK983051 SRG983045:SRG983051 TBC983045:TBC983051 TKY983045:TKY983051 TUU983045:TUU983051 UEQ983045:UEQ983051 UOM983045:UOM983051 UYI983045:UYI983051 VIE983045:VIE983051 VSA983045:VSA983051 WBW983045:WBW983051 WLS983045:WLS983051 ACU8:ACU11">
      <formula1>$AI$21:$AI$33</formula1>
    </dataValidation>
  </dataValidations>
  <printOptions horizontalCentered="1"/>
  <pageMargins left="0.37" right="0.19685039370078741" top="0.59055118110236227" bottom="0.59055118110236227" header="0.31496062992125984" footer="0.31496062992125984"/>
  <pageSetup scale="49" orientation="landscape" horizontalDpi="360" verticalDpi="360" r:id="rId1"/>
  <headerFooter>
    <oddFooter>&amp;C&amp;"Tahoma,Cursiva"&amp;K365F91Si usted ha accedido a este formato a través de un medio diferente al sitio http://www.unicordoba.edu.co/index.php/documentossigec/documentos-calidad asegúrese que ésta es la versión vigente</oddFooter>
  </headerFooter>
  <rowBreaks count="1" manualBreakCount="1">
    <brk id="17" max="3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M43"/>
  <sheetViews>
    <sheetView topLeftCell="A12" zoomScale="80" zoomScaleNormal="80" zoomScaleSheetLayoutView="100" zoomScalePageLayoutView="60" workbookViewId="0">
      <selection activeCell="Y17" sqref="Y17:AA17"/>
    </sheetView>
  </sheetViews>
  <sheetFormatPr baseColWidth="10" defaultRowHeight="12.75"/>
  <cols>
    <col min="1" max="1" width="10.28515625" style="2" customWidth="1"/>
    <col min="2" max="2" width="13.42578125" style="2" customWidth="1"/>
    <col min="3" max="3" width="4.28515625" style="2" customWidth="1"/>
    <col min="4" max="4" width="4" style="2" customWidth="1"/>
    <col min="5" max="5" width="19.42578125" style="2" customWidth="1"/>
    <col min="6" max="6" width="4.140625" style="2" customWidth="1"/>
    <col min="7" max="7" width="11.28515625" style="2" customWidth="1"/>
    <col min="8" max="8" width="16.140625" style="2" customWidth="1"/>
    <col min="9" max="9" width="11" style="2" customWidth="1"/>
    <col min="10" max="11" width="2.140625" style="2" customWidth="1"/>
    <col min="12" max="12" width="3.28515625" style="2" customWidth="1"/>
    <col min="13" max="13" width="0.28515625" style="2" hidden="1" customWidth="1"/>
    <col min="14" max="14" width="0.42578125" style="2" hidden="1" customWidth="1"/>
    <col min="15" max="15" width="2.85546875" style="2" customWidth="1"/>
    <col min="16" max="16" width="3.28515625" style="2" customWidth="1"/>
    <col min="17" max="17" width="1.42578125" style="2" customWidth="1"/>
    <col min="18" max="18" width="1.85546875" style="2" hidden="1" customWidth="1"/>
    <col min="19" max="19" width="6.85546875" style="2" customWidth="1"/>
    <col min="20" max="20" width="3" style="2" hidden="1" customWidth="1"/>
    <col min="21" max="22" width="6.28515625" style="2" customWidth="1"/>
    <col min="23" max="23" width="17.85546875" style="2" customWidth="1"/>
    <col min="24" max="24" width="14.7109375" style="2" customWidth="1"/>
    <col min="25" max="25" width="10.85546875" style="2" customWidth="1"/>
    <col min="26" max="26" width="17.85546875" style="2" customWidth="1"/>
    <col min="27" max="27" width="0.42578125" style="2" hidden="1" customWidth="1"/>
    <col min="28" max="28" width="13" style="2" customWidth="1"/>
    <col min="29" max="29" width="13.140625" style="2" customWidth="1"/>
    <col min="30" max="31" width="14" style="2" customWidth="1"/>
    <col min="32" max="32" width="11.42578125" style="2" customWidth="1"/>
    <col min="33" max="33" width="15.85546875" style="2" customWidth="1"/>
    <col min="34" max="34" width="23.7109375" style="2" customWidth="1"/>
    <col min="35" max="35" width="12" style="2" customWidth="1"/>
    <col min="36" max="37" width="0.28515625" style="2" customWidth="1"/>
    <col min="38" max="38" width="1.42578125" style="2" customWidth="1"/>
    <col min="39" max="39" width="1.28515625" style="2" hidden="1" customWidth="1"/>
    <col min="40" max="256" width="11.42578125" style="2"/>
    <col min="257" max="257" width="10.28515625" style="2" customWidth="1"/>
    <col min="258" max="258" width="13.42578125" style="2" customWidth="1"/>
    <col min="259" max="259" width="4.28515625" style="2" customWidth="1"/>
    <col min="260" max="260" width="4" style="2" customWidth="1"/>
    <col min="261" max="261" width="15" style="2" customWidth="1"/>
    <col min="262" max="262" width="4.140625" style="2" customWidth="1"/>
    <col min="263" max="263" width="11.28515625" style="2" customWidth="1"/>
    <col min="264" max="264" width="16.140625" style="2" customWidth="1"/>
    <col min="265" max="265" width="11" style="2" customWidth="1"/>
    <col min="266" max="267" width="2.140625" style="2" customWidth="1"/>
    <col min="268" max="268" width="3.28515625" style="2" customWidth="1"/>
    <col min="269" max="270" width="0" style="2" hidden="1" customWidth="1"/>
    <col min="271" max="271" width="2.85546875" style="2" customWidth="1"/>
    <col min="272" max="272" width="3.28515625" style="2" customWidth="1"/>
    <col min="273" max="273" width="1.42578125" style="2" customWidth="1"/>
    <col min="274" max="274" width="0" style="2" hidden="1" customWidth="1"/>
    <col min="275" max="275" width="6.85546875" style="2" customWidth="1"/>
    <col min="276" max="276" width="0" style="2" hidden="1" customWidth="1"/>
    <col min="277" max="278" width="6.28515625" style="2" customWidth="1"/>
    <col min="279" max="280" width="13.85546875" style="2" customWidth="1"/>
    <col min="281" max="281" width="10.85546875" style="2" customWidth="1"/>
    <col min="282" max="282" width="14.140625" style="2" customWidth="1"/>
    <col min="283" max="283" width="0" style="2" hidden="1" customWidth="1"/>
    <col min="284" max="284" width="13" style="2" customWidth="1"/>
    <col min="285" max="285" width="13.140625" style="2" customWidth="1"/>
    <col min="286" max="287" width="14" style="2" customWidth="1"/>
    <col min="288" max="288" width="11.42578125" style="2" customWidth="1"/>
    <col min="289" max="289" width="15.85546875" style="2" customWidth="1"/>
    <col min="290" max="290" width="23.7109375" style="2" customWidth="1"/>
    <col min="291" max="291" width="12" style="2" customWidth="1"/>
    <col min="292" max="293" width="0.28515625" style="2" customWidth="1"/>
    <col min="294" max="294" width="1.42578125" style="2" customWidth="1"/>
    <col min="295" max="295" width="0" style="2" hidden="1" customWidth="1"/>
    <col min="296" max="512" width="11.42578125" style="2"/>
    <col min="513" max="513" width="10.28515625" style="2" customWidth="1"/>
    <col min="514" max="514" width="13.42578125" style="2" customWidth="1"/>
    <col min="515" max="515" width="4.28515625" style="2" customWidth="1"/>
    <col min="516" max="516" width="4" style="2" customWidth="1"/>
    <col min="517" max="517" width="15" style="2" customWidth="1"/>
    <col min="518" max="518" width="4.140625" style="2" customWidth="1"/>
    <col min="519" max="519" width="11.28515625" style="2" customWidth="1"/>
    <col min="520" max="520" width="16.140625" style="2" customWidth="1"/>
    <col min="521" max="521" width="11" style="2" customWidth="1"/>
    <col min="522" max="523" width="2.140625" style="2" customWidth="1"/>
    <col min="524" max="524" width="3.28515625" style="2" customWidth="1"/>
    <col min="525" max="526" width="0" style="2" hidden="1" customWidth="1"/>
    <col min="527" max="527" width="2.85546875" style="2" customWidth="1"/>
    <col min="528" max="528" width="3.28515625" style="2" customWidth="1"/>
    <col min="529" max="529" width="1.42578125" style="2" customWidth="1"/>
    <col min="530" max="530" width="0" style="2" hidden="1" customWidth="1"/>
    <col min="531" max="531" width="6.85546875" style="2" customWidth="1"/>
    <col min="532" max="532" width="0" style="2" hidden="1" customWidth="1"/>
    <col min="533" max="534" width="6.28515625" style="2" customWidth="1"/>
    <col min="535" max="536" width="13.85546875" style="2" customWidth="1"/>
    <col min="537" max="537" width="10.85546875" style="2" customWidth="1"/>
    <col min="538" max="538" width="14.140625" style="2" customWidth="1"/>
    <col min="539" max="539" width="0" style="2" hidden="1" customWidth="1"/>
    <col min="540" max="540" width="13" style="2" customWidth="1"/>
    <col min="541" max="541" width="13.140625" style="2" customWidth="1"/>
    <col min="542" max="543" width="14" style="2" customWidth="1"/>
    <col min="544" max="544" width="11.42578125" style="2" customWidth="1"/>
    <col min="545" max="545" width="15.85546875" style="2" customWidth="1"/>
    <col min="546" max="546" width="23.7109375" style="2" customWidth="1"/>
    <col min="547" max="547" width="12" style="2" customWidth="1"/>
    <col min="548" max="549" width="0.28515625" style="2" customWidth="1"/>
    <col min="550" max="550" width="1.42578125" style="2" customWidth="1"/>
    <col min="551" max="551" width="0" style="2" hidden="1" customWidth="1"/>
    <col min="552" max="768" width="11.42578125" style="2"/>
    <col min="769" max="769" width="10.28515625" style="2" customWidth="1"/>
    <col min="770" max="770" width="13.42578125" style="2" customWidth="1"/>
    <col min="771" max="771" width="4.28515625" style="2" customWidth="1"/>
    <col min="772" max="772" width="4" style="2" customWidth="1"/>
    <col min="773" max="773" width="15" style="2" customWidth="1"/>
    <col min="774" max="774" width="4.140625" style="2" customWidth="1"/>
    <col min="775" max="775" width="11.28515625" style="2" customWidth="1"/>
    <col min="776" max="776" width="16.140625" style="2" customWidth="1"/>
    <col min="777" max="777" width="11" style="2" customWidth="1"/>
    <col min="778" max="779" width="2.140625" style="2" customWidth="1"/>
    <col min="780" max="780" width="3.28515625" style="2" customWidth="1"/>
    <col min="781" max="782" width="0" style="2" hidden="1" customWidth="1"/>
    <col min="783" max="783" width="2.85546875" style="2" customWidth="1"/>
    <col min="784" max="784" width="3.28515625" style="2" customWidth="1"/>
    <col min="785" max="785" width="1.42578125" style="2" customWidth="1"/>
    <col min="786" max="786" width="0" style="2" hidden="1" customWidth="1"/>
    <col min="787" max="787" width="6.85546875" style="2" customWidth="1"/>
    <col min="788" max="788" width="0" style="2" hidden="1" customWidth="1"/>
    <col min="789" max="790" width="6.28515625" style="2" customWidth="1"/>
    <col min="791" max="792" width="13.85546875" style="2" customWidth="1"/>
    <col min="793" max="793" width="10.85546875" style="2" customWidth="1"/>
    <col min="794" max="794" width="14.140625" style="2" customWidth="1"/>
    <col min="795" max="795" width="0" style="2" hidden="1" customWidth="1"/>
    <col min="796" max="796" width="13" style="2" customWidth="1"/>
    <col min="797" max="797" width="13.140625" style="2" customWidth="1"/>
    <col min="798" max="799" width="14" style="2" customWidth="1"/>
    <col min="800" max="800" width="11.42578125" style="2" customWidth="1"/>
    <col min="801" max="801" width="15.85546875" style="2" customWidth="1"/>
    <col min="802" max="802" width="23.7109375" style="2" customWidth="1"/>
    <col min="803" max="803" width="12" style="2" customWidth="1"/>
    <col min="804" max="805" width="0.28515625" style="2" customWidth="1"/>
    <col min="806" max="806" width="1.42578125" style="2" customWidth="1"/>
    <col min="807" max="807" width="0" style="2" hidden="1" customWidth="1"/>
    <col min="808" max="1024" width="11.42578125" style="2"/>
    <col min="1025" max="1025" width="10.28515625" style="2" customWidth="1"/>
    <col min="1026" max="1026" width="13.42578125" style="2" customWidth="1"/>
    <col min="1027" max="1027" width="4.28515625" style="2" customWidth="1"/>
    <col min="1028" max="1028" width="4" style="2" customWidth="1"/>
    <col min="1029" max="1029" width="15" style="2" customWidth="1"/>
    <col min="1030" max="1030" width="4.140625" style="2" customWidth="1"/>
    <col min="1031" max="1031" width="11.28515625" style="2" customWidth="1"/>
    <col min="1032" max="1032" width="16.140625" style="2" customWidth="1"/>
    <col min="1033" max="1033" width="11" style="2" customWidth="1"/>
    <col min="1034" max="1035" width="2.140625" style="2" customWidth="1"/>
    <col min="1036" max="1036" width="3.28515625" style="2" customWidth="1"/>
    <col min="1037" max="1038" width="0" style="2" hidden="1" customWidth="1"/>
    <col min="1039" max="1039" width="2.85546875" style="2" customWidth="1"/>
    <col min="1040" max="1040" width="3.28515625" style="2" customWidth="1"/>
    <col min="1041" max="1041" width="1.42578125" style="2" customWidth="1"/>
    <col min="1042" max="1042" width="0" style="2" hidden="1" customWidth="1"/>
    <col min="1043" max="1043" width="6.85546875" style="2" customWidth="1"/>
    <col min="1044" max="1044" width="0" style="2" hidden="1" customWidth="1"/>
    <col min="1045" max="1046" width="6.28515625" style="2" customWidth="1"/>
    <col min="1047" max="1048" width="13.85546875" style="2" customWidth="1"/>
    <col min="1049" max="1049" width="10.85546875" style="2" customWidth="1"/>
    <col min="1050" max="1050" width="14.140625" style="2" customWidth="1"/>
    <col min="1051" max="1051" width="0" style="2" hidden="1" customWidth="1"/>
    <col min="1052" max="1052" width="13" style="2" customWidth="1"/>
    <col min="1053" max="1053" width="13.140625" style="2" customWidth="1"/>
    <col min="1054" max="1055" width="14" style="2" customWidth="1"/>
    <col min="1056" max="1056" width="11.42578125" style="2" customWidth="1"/>
    <col min="1057" max="1057" width="15.85546875" style="2" customWidth="1"/>
    <col min="1058" max="1058" width="23.7109375" style="2" customWidth="1"/>
    <col min="1059" max="1059" width="12" style="2" customWidth="1"/>
    <col min="1060" max="1061" width="0.28515625" style="2" customWidth="1"/>
    <col min="1062" max="1062" width="1.42578125" style="2" customWidth="1"/>
    <col min="1063" max="1063" width="0" style="2" hidden="1" customWidth="1"/>
    <col min="1064" max="1280" width="11.42578125" style="2"/>
    <col min="1281" max="1281" width="10.28515625" style="2" customWidth="1"/>
    <col min="1282" max="1282" width="13.42578125" style="2" customWidth="1"/>
    <col min="1283" max="1283" width="4.28515625" style="2" customWidth="1"/>
    <col min="1284" max="1284" width="4" style="2" customWidth="1"/>
    <col min="1285" max="1285" width="15" style="2" customWidth="1"/>
    <col min="1286" max="1286" width="4.140625" style="2" customWidth="1"/>
    <col min="1287" max="1287" width="11.28515625" style="2" customWidth="1"/>
    <col min="1288" max="1288" width="16.140625" style="2" customWidth="1"/>
    <col min="1289" max="1289" width="11" style="2" customWidth="1"/>
    <col min="1290" max="1291" width="2.140625" style="2" customWidth="1"/>
    <col min="1292" max="1292" width="3.28515625" style="2" customWidth="1"/>
    <col min="1293" max="1294" width="0" style="2" hidden="1" customWidth="1"/>
    <col min="1295" max="1295" width="2.85546875" style="2" customWidth="1"/>
    <col min="1296" max="1296" width="3.28515625" style="2" customWidth="1"/>
    <col min="1297" max="1297" width="1.42578125" style="2" customWidth="1"/>
    <col min="1298" max="1298" width="0" style="2" hidden="1" customWidth="1"/>
    <col min="1299" max="1299" width="6.85546875" style="2" customWidth="1"/>
    <col min="1300" max="1300" width="0" style="2" hidden="1" customWidth="1"/>
    <col min="1301" max="1302" width="6.28515625" style="2" customWidth="1"/>
    <col min="1303" max="1304" width="13.85546875" style="2" customWidth="1"/>
    <col min="1305" max="1305" width="10.85546875" style="2" customWidth="1"/>
    <col min="1306" max="1306" width="14.140625" style="2" customWidth="1"/>
    <col min="1307" max="1307" width="0" style="2" hidden="1" customWidth="1"/>
    <col min="1308" max="1308" width="13" style="2" customWidth="1"/>
    <col min="1309" max="1309" width="13.140625" style="2" customWidth="1"/>
    <col min="1310" max="1311" width="14" style="2" customWidth="1"/>
    <col min="1312" max="1312" width="11.42578125" style="2" customWidth="1"/>
    <col min="1313" max="1313" width="15.85546875" style="2" customWidth="1"/>
    <col min="1314" max="1314" width="23.7109375" style="2" customWidth="1"/>
    <col min="1315" max="1315" width="12" style="2" customWidth="1"/>
    <col min="1316" max="1317" width="0.28515625" style="2" customWidth="1"/>
    <col min="1318" max="1318" width="1.42578125" style="2" customWidth="1"/>
    <col min="1319" max="1319" width="0" style="2" hidden="1" customWidth="1"/>
    <col min="1320" max="1536" width="11.42578125" style="2"/>
    <col min="1537" max="1537" width="10.28515625" style="2" customWidth="1"/>
    <col min="1538" max="1538" width="13.42578125" style="2" customWidth="1"/>
    <col min="1539" max="1539" width="4.28515625" style="2" customWidth="1"/>
    <col min="1540" max="1540" width="4" style="2" customWidth="1"/>
    <col min="1541" max="1541" width="15" style="2" customWidth="1"/>
    <col min="1542" max="1542" width="4.140625" style="2" customWidth="1"/>
    <col min="1543" max="1543" width="11.28515625" style="2" customWidth="1"/>
    <col min="1544" max="1544" width="16.140625" style="2" customWidth="1"/>
    <col min="1545" max="1545" width="11" style="2" customWidth="1"/>
    <col min="1546" max="1547" width="2.140625" style="2" customWidth="1"/>
    <col min="1548" max="1548" width="3.28515625" style="2" customWidth="1"/>
    <col min="1549" max="1550" width="0" style="2" hidden="1" customWidth="1"/>
    <col min="1551" max="1551" width="2.85546875" style="2" customWidth="1"/>
    <col min="1552" max="1552" width="3.28515625" style="2" customWidth="1"/>
    <col min="1553" max="1553" width="1.42578125" style="2" customWidth="1"/>
    <col min="1554" max="1554" width="0" style="2" hidden="1" customWidth="1"/>
    <col min="1555" max="1555" width="6.85546875" style="2" customWidth="1"/>
    <col min="1556" max="1556" width="0" style="2" hidden="1" customWidth="1"/>
    <col min="1557" max="1558" width="6.28515625" style="2" customWidth="1"/>
    <col min="1559" max="1560" width="13.85546875" style="2" customWidth="1"/>
    <col min="1561" max="1561" width="10.85546875" style="2" customWidth="1"/>
    <col min="1562" max="1562" width="14.140625" style="2" customWidth="1"/>
    <col min="1563" max="1563" width="0" style="2" hidden="1" customWidth="1"/>
    <col min="1564" max="1564" width="13" style="2" customWidth="1"/>
    <col min="1565" max="1565" width="13.140625" style="2" customWidth="1"/>
    <col min="1566" max="1567" width="14" style="2" customWidth="1"/>
    <col min="1568" max="1568" width="11.42578125" style="2" customWidth="1"/>
    <col min="1569" max="1569" width="15.85546875" style="2" customWidth="1"/>
    <col min="1570" max="1570" width="23.7109375" style="2" customWidth="1"/>
    <col min="1571" max="1571" width="12" style="2" customWidth="1"/>
    <col min="1572" max="1573" width="0.28515625" style="2" customWidth="1"/>
    <col min="1574" max="1574" width="1.42578125" style="2" customWidth="1"/>
    <col min="1575" max="1575" width="0" style="2" hidden="1" customWidth="1"/>
    <col min="1576" max="1792" width="11.42578125" style="2"/>
    <col min="1793" max="1793" width="10.28515625" style="2" customWidth="1"/>
    <col min="1794" max="1794" width="13.42578125" style="2" customWidth="1"/>
    <col min="1795" max="1795" width="4.28515625" style="2" customWidth="1"/>
    <col min="1796" max="1796" width="4" style="2" customWidth="1"/>
    <col min="1797" max="1797" width="15" style="2" customWidth="1"/>
    <col min="1798" max="1798" width="4.140625" style="2" customWidth="1"/>
    <col min="1799" max="1799" width="11.28515625" style="2" customWidth="1"/>
    <col min="1800" max="1800" width="16.140625" style="2" customWidth="1"/>
    <col min="1801" max="1801" width="11" style="2" customWidth="1"/>
    <col min="1802" max="1803" width="2.140625" style="2" customWidth="1"/>
    <col min="1804" max="1804" width="3.28515625" style="2" customWidth="1"/>
    <col min="1805" max="1806" width="0" style="2" hidden="1" customWidth="1"/>
    <col min="1807" max="1807" width="2.85546875" style="2" customWidth="1"/>
    <col min="1808" max="1808" width="3.28515625" style="2" customWidth="1"/>
    <col min="1809" max="1809" width="1.42578125" style="2" customWidth="1"/>
    <col min="1810" max="1810" width="0" style="2" hidden="1" customWidth="1"/>
    <col min="1811" max="1811" width="6.85546875" style="2" customWidth="1"/>
    <col min="1812" max="1812" width="0" style="2" hidden="1" customWidth="1"/>
    <col min="1813" max="1814" width="6.28515625" style="2" customWidth="1"/>
    <col min="1815" max="1816" width="13.85546875" style="2" customWidth="1"/>
    <col min="1817" max="1817" width="10.85546875" style="2" customWidth="1"/>
    <col min="1818" max="1818" width="14.140625" style="2" customWidth="1"/>
    <col min="1819" max="1819" width="0" style="2" hidden="1" customWidth="1"/>
    <col min="1820" max="1820" width="13" style="2" customWidth="1"/>
    <col min="1821" max="1821" width="13.140625" style="2" customWidth="1"/>
    <col min="1822" max="1823" width="14" style="2" customWidth="1"/>
    <col min="1824" max="1824" width="11.42578125" style="2" customWidth="1"/>
    <col min="1825" max="1825" width="15.85546875" style="2" customWidth="1"/>
    <col min="1826" max="1826" width="23.7109375" style="2" customWidth="1"/>
    <col min="1827" max="1827" width="12" style="2" customWidth="1"/>
    <col min="1828" max="1829" width="0.28515625" style="2" customWidth="1"/>
    <col min="1830" max="1830" width="1.42578125" style="2" customWidth="1"/>
    <col min="1831" max="1831" width="0" style="2" hidden="1" customWidth="1"/>
    <col min="1832" max="2048" width="11.42578125" style="2"/>
    <col min="2049" max="2049" width="10.28515625" style="2" customWidth="1"/>
    <col min="2050" max="2050" width="13.42578125" style="2" customWidth="1"/>
    <col min="2051" max="2051" width="4.28515625" style="2" customWidth="1"/>
    <col min="2052" max="2052" width="4" style="2" customWidth="1"/>
    <col min="2053" max="2053" width="15" style="2" customWidth="1"/>
    <col min="2054" max="2054" width="4.140625" style="2" customWidth="1"/>
    <col min="2055" max="2055" width="11.28515625" style="2" customWidth="1"/>
    <col min="2056" max="2056" width="16.140625" style="2" customWidth="1"/>
    <col min="2057" max="2057" width="11" style="2" customWidth="1"/>
    <col min="2058" max="2059" width="2.140625" style="2" customWidth="1"/>
    <col min="2060" max="2060" width="3.28515625" style="2" customWidth="1"/>
    <col min="2061" max="2062" width="0" style="2" hidden="1" customWidth="1"/>
    <col min="2063" max="2063" width="2.85546875" style="2" customWidth="1"/>
    <col min="2064" max="2064" width="3.28515625" style="2" customWidth="1"/>
    <col min="2065" max="2065" width="1.42578125" style="2" customWidth="1"/>
    <col min="2066" max="2066" width="0" style="2" hidden="1" customWidth="1"/>
    <col min="2067" max="2067" width="6.85546875" style="2" customWidth="1"/>
    <col min="2068" max="2068" width="0" style="2" hidden="1" customWidth="1"/>
    <col min="2069" max="2070" width="6.28515625" style="2" customWidth="1"/>
    <col min="2071" max="2072" width="13.85546875" style="2" customWidth="1"/>
    <col min="2073" max="2073" width="10.85546875" style="2" customWidth="1"/>
    <col min="2074" max="2074" width="14.140625" style="2" customWidth="1"/>
    <col min="2075" max="2075" width="0" style="2" hidden="1" customWidth="1"/>
    <col min="2076" max="2076" width="13" style="2" customWidth="1"/>
    <col min="2077" max="2077" width="13.140625" style="2" customWidth="1"/>
    <col min="2078" max="2079" width="14" style="2" customWidth="1"/>
    <col min="2080" max="2080" width="11.42578125" style="2" customWidth="1"/>
    <col min="2081" max="2081" width="15.85546875" style="2" customWidth="1"/>
    <col min="2082" max="2082" width="23.7109375" style="2" customWidth="1"/>
    <col min="2083" max="2083" width="12" style="2" customWidth="1"/>
    <col min="2084" max="2085" width="0.28515625" style="2" customWidth="1"/>
    <col min="2086" max="2086" width="1.42578125" style="2" customWidth="1"/>
    <col min="2087" max="2087" width="0" style="2" hidden="1" customWidth="1"/>
    <col min="2088" max="2304" width="11.42578125" style="2"/>
    <col min="2305" max="2305" width="10.28515625" style="2" customWidth="1"/>
    <col min="2306" max="2306" width="13.42578125" style="2" customWidth="1"/>
    <col min="2307" max="2307" width="4.28515625" style="2" customWidth="1"/>
    <col min="2308" max="2308" width="4" style="2" customWidth="1"/>
    <col min="2309" max="2309" width="15" style="2" customWidth="1"/>
    <col min="2310" max="2310" width="4.140625" style="2" customWidth="1"/>
    <col min="2311" max="2311" width="11.28515625" style="2" customWidth="1"/>
    <col min="2312" max="2312" width="16.140625" style="2" customWidth="1"/>
    <col min="2313" max="2313" width="11" style="2" customWidth="1"/>
    <col min="2314" max="2315" width="2.140625" style="2" customWidth="1"/>
    <col min="2316" max="2316" width="3.28515625" style="2" customWidth="1"/>
    <col min="2317" max="2318" width="0" style="2" hidden="1" customWidth="1"/>
    <col min="2319" max="2319" width="2.85546875" style="2" customWidth="1"/>
    <col min="2320" max="2320" width="3.28515625" style="2" customWidth="1"/>
    <col min="2321" max="2321" width="1.42578125" style="2" customWidth="1"/>
    <col min="2322" max="2322" width="0" style="2" hidden="1" customWidth="1"/>
    <col min="2323" max="2323" width="6.85546875" style="2" customWidth="1"/>
    <col min="2324" max="2324" width="0" style="2" hidden="1" customWidth="1"/>
    <col min="2325" max="2326" width="6.28515625" style="2" customWidth="1"/>
    <col min="2327" max="2328" width="13.85546875" style="2" customWidth="1"/>
    <col min="2329" max="2329" width="10.85546875" style="2" customWidth="1"/>
    <col min="2330" max="2330" width="14.140625" style="2" customWidth="1"/>
    <col min="2331" max="2331" width="0" style="2" hidden="1" customWidth="1"/>
    <col min="2332" max="2332" width="13" style="2" customWidth="1"/>
    <col min="2333" max="2333" width="13.140625" style="2" customWidth="1"/>
    <col min="2334" max="2335" width="14" style="2" customWidth="1"/>
    <col min="2336" max="2336" width="11.42578125" style="2" customWidth="1"/>
    <col min="2337" max="2337" width="15.85546875" style="2" customWidth="1"/>
    <col min="2338" max="2338" width="23.7109375" style="2" customWidth="1"/>
    <col min="2339" max="2339" width="12" style="2" customWidth="1"/>
    <col min="2340" max="2341" width="0.28515625" style="2" customWidth="1"/>
    <col min="2342" max="2342" width="1.42578125" style="2" customWidth="1"/>
    <col min="2343" max="2343" width="0" style="2" hidden="1" customWidth="1"/>
    <col min="2344" max="2560" width="11.42578125" style="2"/>
    <col min="2561" max="2561" width="10.28515625" style="2" customWidth="1"/>
    <col min="2562" max="2562" width="13.42578125" style="2" customWidth="1"/>
    <col min="2563" max="2563" width="4.28515625" style="2" customWidth="1"/>
    <col min="2564" max="2564" width="4" style="2" customWidth="1"/>
    <col min="2565" max="2565" width="15" style="2" customWidth="1"/>
    <col min="2566" max="2566" width="4.140625" style="2" customWidth="1"/>
    <col min="2567" max="2567" width="11.28515625" style="2" customWidth="1"/>
    <col min="2568" max="2568" width="16.140625" style="2" customWidth="1"/>
    <col min="2569" max="2569" width="11" style="2" customWidth="1"/>
    <col min="2570" max="2571" width="2.140625" style="2" customWidth="1"/>
    <col min="2572" max="2572" width="3.28515625" style="2" customWidth="1"/>
    <col min="2573" max="2574" width="0" style="2" hidden="1" customWidth="1"/>
    <col min="2575" max="2575" width="2.85546875" style="2" customWidth="1"/>
    <col min="2576" max="2576" width="3.28515625" style="2" customWidth="1"/>
    <col min="2577" max="2577" width="1.42578125" style="2" customWidth="1"/>
    <col min="2578" max="2578" width="0" style="2" hidden="1" customWidth="1"/>
    <col min="2579" max="2579" width="6.85546875" style="2" customWidth="1"/>
    <col min="2580" max="2580" width="0" style="2" hidden="1" customWidth="1"/>
    <col min="2581" max="2582" width="6.28515625" style="2" customWidth="1"/>
    <col min="2583" max="2584" width="13.85546875" style="2" customWidth="1"/>
    <col min="2585" max="2585" width="10.85546875" style="2" customWidth="1"/>
    <col min="2586" max="2586" width="14.140625" style="2" customWidth="1"/>
    <col min="2587" max="2587" width="0" style="2" hidden="1" customWidth="1"/>
    <col min="2588" max="2588" width="13" style="2" customWidth="1"/>
    <col min="2589" max="2589" width="13.140625" style="2" customWidth="1"/>
    <col min="2590" max="2591" width="14" style="2" customWidth="1"/>
    <col min="2592" max="2592" width="11.42578125" style="2" customWidth="1"/>
    <col min="2593" max="2593" width="15.85546875" style="2" customWidth="1"/>
    <col min="2594" max="2594" width="23.7109375" style="2" customWidth="1"/>
    <col min="2595" max="2595" width="12" style="2" customWidth="1"/>
    <col min="2596" max="2597" width="0.28515625" style="2" customWidth="1"/>
    <col min="2598" max="2598" width="1.42578125" style="2" customWidth="1"/>
    <col min="2599" max="2599" width="0" style="2" hidden="1" customWidth="1"/>
    <col min="2600" max="2816" width="11.42578125" style="2"/>
    <col min="2817" max="2817" width="10.28515625" style="2" customWidth="1"/>
    <col min="2818" max="2818" width="13.42578125" style="2" customWidth="1"/>
    <col min="2819" max="2819" width="4.28515625" style="2" customWidth="1"/>
    <col min="2820" max="2820" width="4" style="2" customWidth="1"/>
    <col min="2821" max="2821" width="15" style="2" customWidth="1"/>
    <col min="2822" max="2822" width="4.140625" style="2" customWidth="1"/>
    <col min="2823" max="2823" width="11.28515625" style="2" customWidth="1"/>
    <col min="2824" max="2824" width="16.140625" style="2" customWidth="1"/>
    <col min="2825" max="2825" width="11" style="2" customWidth="1"/>
    <col min="2826" max="2827" width="2.140625" style="2" customWidth="1"/>
    <col min="2828" max="2828" width="3.28515625" style="2" customWidth="1"/>
    <col min="2829" max="2830" width="0" style="2" hidden="1" customWidth="1"/>
    <col min="2831" max="2831" width="2.85546875" style="2" customWidth="1"/>
    <col min="2832" max="2832" width="3.28515625" style="2" customWidth="1"/>
    <col min="2833" max="2833" width="1.42578125" style="2" customWidth="1"/>
    <col min="2834" max="2834" width="0" style="2" hidden="1" customWidth="1"/>
    <col min="2835" max="2835" width="6.85546875" style="2" customWidth="1"/>
    <col min="2836" max="2836" width="0" style="2" hidden="1" customWidth="1"/>
    <col min="2837" max="2838" width="6.28515625" style="2" customWidth="1"/>
    <col min="2839" max="2840" width="13.85546875" style="2" customWidth="1"/>
    <col min="2841" max="2841" width="10.85546875" style="2" customWidth="1"/>
    <col min="2842" max="2842" width="14.140625" style="2" customWidth="1"/>
    <col min="2843" max="2843" width="0" style="2" hidden="1" customWidth="1"/>
    <col min="2844" max="2844" width="13" style="2" customWidth="1"/>
    <col min="2845" max="2845" width="13.140625" style="2" customWidth="1"/>
    <col min="2846" max="2847" width="14" style="2" customWidth="1"/>
    <col min="2848" max="2848" width="11.42578125" style="2" customWidth="1"/>
    <col min="2849" max="2849" width="15.85546875" style="2" customWidth="1"/>
    <col min="2850" max="2850" width="23.7109375" style="2" customWidth="1"/>
    <col min="2851" max="2851" width="12" style="2" customWidth="1"/>
    <col min="2852" max="2853" width="0.28515625" style="2" customWidth="1"/>
    <col min="2854" max="2854" width="1.42578125" style="2" customWidth="1"/>
    <col min="2855" max="2855" width="0" style="2" hidden="1" customWidth="1"/>
    <col min="2856" max="3072" width="11.42578125" style="2"/>
    <col min="3073" max="3073" width="10.28515625" style="2" customWidth="1"/>
    <col min="3074" max="3074" width="13.42578125" style="2" customWidth="1"/>
    <col min="3075" max="3075" width="4.28515625" style="2" customWidth="1"/>
    <col min="3076" max="3076" width="4" style="2" customWidth="1"/>
    <col min="3077" max="3077" width="15" style="2" customWidth="1"/>
    <col min="3078" max="3078" width="4.140625" style="2" customWidth="1"/>
    <col min="3079" max="3079" width="11.28515625" style="2" customWidth="1"/>
    <col min="3080" max="3080" width="16.140625" style="2" customWidth="1"/>
    <col min="3081" max="3081" width="11" style="2" customWidth="1"/>
    <col min="3082" max="3083" width="2.140625" style="2" customWidth="1"/>
    <col min="3084" max="3084" width="3.28515625" style="2" customWidth="1"/>
    <col min="3085" max="3086" width="0" style="2" hidden="1" customWidth="1"/>
    <col min="3087" max="3087" width="2.85546875" style="2" customWidth="1"/>
    <col min="3088" max="3088" width="3.28515625" style="2" customWidth="1"/>
    <col min="3089" max="3089" width="1.42578125" style="2" customWidth="1"/>
    <col min="3090" max="3090" width="0" style="2" hidden="1" customWidth="1"/>
    <col min="3091" max="3091" width="6.85546875" style="2" customWidth="1"/>
    <col min="3092" max="3092" width="0" style="2" hidden="1" customWidth="1"/>
    <col min="3093" max="3094" width="6.28515625" style="2" customWidth="1"/>
    <col min="3095" max="3096" width="13.85546875" style="2" customWidth="1"/>
    <col min="3097" max="3097" width="10.85546875" style="2" customWidth="1"/>
    <col min="3098" max="3098" width="14.140625" style="2" customWidth="1"/>
    <col min="3099" max="3099" width="0" style="2" hidden="1" customWidth="1"/>
    <col min="3100" max="3100" width="13" style="2" customWidth="1"/>
    <col min="3101" max="3101" width="13.140625" style="2" customWidth="1"/>
    <col min="3102" max="3103" width="14" style="2" customWidth="1"/>
    <col min="3104" max="3104" width="11.42578125" style="2" customWidth="1"/>
    <col min="3105" max="3105" width="15.85546875" style="2" customWidth="1"/>
    <col min="3106" max="3106" width="23.7109375" style="2" customWidth="1"/>
    <col min="3107" max="3107" width="12" style="2" customWidth="1"/>
    <col min="3108" max="3109" width="0.28515625" style="2" customWidth="1"/>
    <col min="3110" max="3110" width="1.42578125" style="2" customWidth="1"/>
    <col min="3111" max="3111" width="0" style="2" hidden="1" customWidth="1"/>
    <col min="3112" max="3328" width="11.42578125" style="2"/>
    <col min="3329" max="3329" width="10.28515625" style="2" customWidth="1"/>
    <col min="3330" max="3330" width="13.42578125" style="2" customWidth="1"/>
    <col min="3331" max="3331" width="4.28515625" style="2" customWidth="1"/>
    <col min="3332" max="3332" width="4" style="2" customWidth="1"/>
    <col min="3333" max="3333" width="15" style="2" customWidth="1"/>
    <col min="3334" max="3334" width="4.140625" style="2" customWidth="1"/>
    <col min="3335" max="3335" width="11.28515625" style="2" customWidth="1"/>
    <col min="3336" max="3336" width="16.140625" style="2" customWidth="1"/>
    <col min="3337" max="3337" width="11" style="2" customWidth="1"/>
    <col min="3338" max="3339" width="2.140625" style="2" customWidth="1"/>
    <col min="3340" max="3340" width="3.28515625" style="2" customWidth="1"/>
    <col min="3341" max="3342" width="0" style="2" hidden="1" customWidth="1"/>
    <col min="3343" max="3343" width="2.85546875" style="2" customWidth="1"/>
    <col min="3344" max="3344" width="3.28515625" style="2" customWidth="1"/>
    <col min="3345" max="3345" width="1.42578125" style="2" customWidth="1"/>
    <col min="3346" max="3346" width="0" style="2" hidden="1" customWidth="1"/>
    <col min="3347" max="3347" width="6.85546875" style="2" customWidth="1"/>
    <col min="3348" max="3348" width="0" style="2" hidden="1" customWidth="1"/>
    <col min="3349" max="3350" width="6.28515625" style="2" customWidth="1"/>
    <col min="3351" max="3352" width="13.85546875" style="2" customWidth="1"/>
    <col min="3353" max="3353" width="10.85546875" style="2" customWidth="1"/>
    <col min="3354" max="3354" width="14.140625" style="2" customWidth="1"/>
    <col min="3355" max="3355" width="0" style="2" hidden="1" customWidth="1"/>
    <col min="3356" max="3356" width="13" style="2" customWidth="1"/>
    <col min="3357" max="3357" width="13.140625" style="2" customWidth="1"/>
    <col min="3358" max="3359" width="14" style="2" customWidth="1"/>
    <col min="3360" max="3360" width="11.42578125" style="2" customWidth="1"/>
    <col min="3361" max="3361" width="15.85546875" style="2" customWidth="1"/>
    <col min="3362" max="3362" width="23.7109375" style="2" customWidth="1"/>
    <col min="3363" max="3363" width="12" style="2" customWidth="1"/>
    <col min="3364" max="3365" width="0.28515625" style="2" customWidth="1"/>
    <col min="3366" max="3366" width="1.42578125" style="2" customWidth="1"/>
    <col min="3367" max="3367" width="0" style="2" hidden="1" customWidth="1"/>
    <col min="3368" max="3584" width="11.42578125" style="2"/>
    <col min="3585" max="3585" width="10.28515625" style="2" customWidth="1"/>
    <col min="3586" max="3586" width="13.42578125" style="2" customWidth="1"/>
    <col min="3587" max="3587" width="4.28515625" style="2" customWidth="1"/>
    <col min="3588" max="3588" width="4" style="2" customWidth="1"/>
    <col min="3589" max="3589" width="15" style="2" customWidth="1"/>
    <col min="3590" max="3590" width="4.140625" style="2" customWidth="1"/>
    <col min="3591" max="3591" width="11.28515625" style="2" customWidth="1"/>
    <col min="3592" max="3592" width="16.140625" style="2" customWidth="1"/>
    <col min="3593" max="3593" width="11" style="2" customWidth="1"/>
    <col min="3594" max="3595" width="2.140625" style="2" customWidth="1"/>
    <col min="3596" max="3596" width="3.28515625" style="2" customWidth="1"/>
    <col min="3597" max="3598" width="0" style="2" hidden="1" customWidth="1"/>
    <col min="3599" max="3599" width="2.85546875" style="2" customWidth="1"/>
    <col min="3600" max="3600" width="3.28515625" style="2" customWidth="1"/>
    <col min="3601" max="3601" width="1.42578125" style="2" customWidth="1"/>
    <col min="3602" max="3602" width="0" style="2" hidden="1" customWidth="1"/>
    <col min="3603" max="3603" width="6.85546875" style="2" customWidth="1"/>
    <col min="3604" max="3604" width="0" style="2" hidden="1" customWidth="1"/>
    <col min="3605" max="3606" width="6.28515625" style="2" customWidth="1"/>
    <col min="3607" max="3608" width="13.85546875" style="2" customWidth="1"/>
    <col min="3609" max="3609" width="10.85546875" style="2" customWidth="1"/>
    <col min="3610" max="3610" width="14.140625" style="2" customWidth="1"/>
    <col min="3611" max="3611" width="0" style="2" hidden="1" customWidth="1"/>
    <col min="3612" max="3612" width="13" style="2" customWidth="1"/>
    <col min="3613" max="3613" width="13.140625" style="2" customWidth="1"/>
    <col min="3614" max="3615" width="14" style="2" customWidth="1"/>
    <col min="3616" max="3616" width="11.42578125" style="2" customWidth="1"/>
    <col min="3617" max="3617" width="15.85546875" style="2" customWidth="1"/>
    <col min="3618" max="3618" width="23.7109375" style="2" customWidth="1"/>
    <col min="3619" max="3619" width="12" style="2" customWidth="1"/>
    <col min="3620" max="3621" width="0.28515625" style="2" customWidth="1"/>
    <col min="3622" max="3622" width="1.42578125" style="2" customWidth="1"/>
    <col min="3623" max="3623" width="0" style="2" hidden="1" customWidth="1"/>
    <col min="3624" max="3840" width="11.42578125" style="2"/>
    <col min="3841" max="3841" width="10.28515625" style="2" customWidth="1"/>
    <col min="3842" max="3842" width="13.42578125" style="2" customWidth="1"/>
    <col min="3843" max="3843" width="4.28515625" style="2" customWidth="1"/>
    <col min="3844" max="3844" width="4" style="2" customWidth="1"/>
    <col min="3845" max="3845" width="15" style="2" customWidth="1"/>
    <col min="3846" max="3846" width="4.140625" style="2" customWidth="1"/>
    <col min="3847" max="3847" width="11.28515625" style="2" customWidth="1"/>
    <col min="3848" max="3848" width="16.140625" style="2" customWidth="1"/>
    <col min="3849" max="3849" width="11" style="2" customWidth="1"/>
    <col min="3850" max="3851" width="2.140625" style="2" customWidth="1"/>
    <col min="3852" max="3852" width="3.28515625" style="2" customWidth="1"/>
    <col min="3853" max="3854" width="0" style="2" hidden="1" customWidth="1"/>
    <col min="3855" max="3855" width="2.85546875" style="2" customWidth="1"/>
    <col min="3856" max="3856" width="3.28515625" style="2" customWidth="1"/>
    <col min="3857" max="3857" width="1.42578125" style="2" customWidth="1"/>
    <col min="3858" max="3858" width="0" style="2" hidden="1" customWidth="1"/>
    <col min="3859" max="3859" width="6.85546875" style="2" customWidth="1"/>
    <col min="3860" max="3860" width="0" style="2" hidden="1" customWidth="1"/>
    <col min="3861" max="3862" width="6.28515625" style="2" customWidth="1"/>
    <col min="3863" max="3864" width="13.85546875" style="2" customWidth="1"/>
    <col min="3865" max="3865" width="10.85546875" style="2" customWidth="1"/>
    <col min="3866" max="3866" width="14.140625" style="2" customWidth="1"/>
    <col min="3867" max="3867" width="0" style="2" hidden="1" customWidth="1"/>
    <col min="3868" max="3868" width="13" style="2" customWidth="1"/>
    <col min="3869" max="3869" width="13.140625" style="2" customWidth="1"/>
    <col min="3870" max="3871" width="14" style="2" customWidth="1"/>
    <col min="3872" max="3872" width="11.42578125" style="2" customWidth="1"/>
    <col min="3873" max="3873" width="15.85546875" style="2" customWidth="1"/>
    <col min="3874" max="3874" width="23.7109375" style="2" customWidth="1"/>
    <col min="3875" max="3875" width="12" style="2" customWidth="1"/>
    <col min="3876" max="3877" width="0.28515625" style="2" customWidth="1"/>
    <col min="3878" max="3878" width="1.42578125" style="2" customWidth="1"/>
    <col min="3879" max="3879" width="0" style="2" hidden="1" customWidth="1"/>
    <col min="3880" max="4096" width="11.42578125" style="2"/>
    <col min="4097" max="4097" width="10.28515625" style="2" customWidth="1"/>
    <col min="4098" max="4098" width="13.42578125" style="2" customWidth="1"/>
    <col min="4099" max="4099" width="4.28515625" style="2" customWidth="1"/>
    <col min="4100" max="4100" width="4" style="2" customWidth="1"/>
    <col min="4101" max="4101" width="15" style="2" customWidth="1"/>
    <col min="4102" max="4102" width="4.140625" style="2" customWidth="1"/>
    <col min="4103" max="4103" width="11.28515625" style="2" customWidth="1"/>
    <col min="4104" max="4104" width="16.140625" style="2" customWidth="1"/>
    <col min="4105" max="4105" width="11" style="2" customWidth="1"/>
    <col min="4106" max="4107" width="2.140625" style="2" customWidth="1"/>
    <col min="4108" max="4108" width="3.28515625" style="2" customWidth="1"/>
    <col min="4109" max="4110" width="0" style="2" hidden="1" customWidth="1"/>
    <col min="4111" max="4111" width="2.85546875" style="2" customWidth="1"/>
    <col min="4112" max="4112" width="3.28515625" style="2" customWidth="1"/>
    <col min="4113" max="4113" width="1.42578125" style="2" customWidth="1"/>
    <col min="4114" max="4114" width="0" style="2" hidden="1" customWidth="1"/>
    <col min="4115" max="4115" width="6.85546875" style="2" customWidth="1"/>
    <col min="4116" max="4116" width="0" style="2" hidden="1" customWidth="1"/>
    <col min="4117" max="4118" width="6.28515625" style="2" customWidth="1"/>
    <col min="4119" max="4120" width="13.85546875" style="2" customWidth="1"/>
    <col min="4121" max="4121" width="10.85546875" style="2" customWidth="1"/>
    <col min="4122" max="4122" width="14.140625" style="2" customWidth="1"/>
    <col min="4123" max="4123" width="0" style="2" hidden="1" customWidth="1"/>
    <col min="4124" max="4124" width="13" style="2" customWidth="1"/>
    <col min="4125" max="4125" width="13.140625" style="2" customWidth="1"/>
    <col min="4126" max="4127" width="14" style="2" customWidth="1"/>
    <col min="4128" max="4128" width="11.42578125" style="2" customWidth="1"/>
    <col min="4129" max="4129" width="15.85546875" style="2" customWidth="1"/>
    <col min="4130" max="4130" width="23.7109375" style="2" customWidth="1"/>
    <col min="4131" max="4131" width="12" style="2" customWidth="1"/>
    <col min="4132" max="4133" width="0.28515625" style="2" customWidth="1"/>
    <col min="4134" max="4134" width="1.42578125" style="2" customWidth="1"/>
    <col min="4135" max="4135" width="0" style="2" hidden="1" customWidth="1"/>
    <col min="4136" max="4352" width="11.42578125" style="2"/>
    <col min="4353" max="4353" width="10.28515625" style="2" customWidth="1"/>
    <col min="4354" max="4354" width="13.42578125" style="2" customWidth="1"/>
    <col min="4355" max="4355" width="4.28515625" style="2" customWidth="1"/>
    <col min="4356" max="4356" width="4" style="2" customWidth="1"/>
    <col min="4357" max="4357" width="15" style="2" customWidth="1"/>
    <col min="4358" max="4358" width="4.140625" style="2" customWidth="1"/>
    <col min="4359" max="4359" width="11.28515625" style="2" customWidth="1"/>
    <col min="4360" max="4360" width="16.140625" style="2" customWidth="1"/>
    <col min="4361" max="4361" width="11" style="2" customWidth="1"/>
    <col min="4362" max="4363" width="2.140625" style="2" customWidth="1"/>
    <col min="4364" max="4364" width="3.28515625" style="2" customWidth="1"/>
    <col min="4365" max="4366" width="0" style="2" hidden="1" customWidth="1"/>
    <col min="4367" max="4367" width="2.85546875" style="2" customWidth="1"/>
    <col min="4368" max="4368" width="3.28515625" style="2" customWidth="1"/>
    <col min="4369" max="4369" width="1.42578125" style="2" customWidth="1"/>
    <col min="4370" max="4370" width="0" style="2" hidden="1" customWidth="1"/>
    <col min="4371" max="4371" width="6.85546875" style="2" customWidth="1"/>
    <col min="4372" max="4372" width="0" style="2" hidden="1" customWidth="1"/>
    <col min="4373" max="4374" width="6.28515625" style="2" customWidth="1"/>
    <col min="4375" max="4376" width="13.85546875" style="2" customWidth="1"/>
    <col min="4377" max="4377" width="10.85546875" style="2" customWidth="1"/>
    <col min="4378" max="4378" width="14.140625" style="2" customWidth="1"/>
    <col min="4379" max="4379" width="0" style="2" hidden="1" customWidth="1"/>
    <col min="4380" max="4380" width="13" style="2" customWidth="1"/>
    <col min="4381" max="4381" width="13.140625" style="2" customWidth="1"/>
    <col min="4382" max="4383" width="14" style="2" customWidth="1"/>
    <col min="4384" max="4384" width="11.42578125" style="2" customWidth="1"/>
    <col min="4385" max="4385" width="15.85546875" style="2" customWidth="1"/>
    <col min="4386" max="4386" width="23.7109375" style="2" customWidth="1"/>
    <col min="4387" max="4387" width="12" style="2" customWidth="1"/>
    <col min="4388" max="4389" width="0.28515625" style="2" customWidth="1"/>
    <col min="4390" max="4390" width="1.42578125" style="2" customWidth="1"/>
    <col min="4391" max="4391" width="0" style="2" hidden="1" customWidth="1"/>
    <col min="4392" max="4608" width="11.42578125" style="2"/>
    <col min="4609" max="4609" width="10.28515625" style="2" customWidth="1"/>
    <col min="4610" max="4610" width="13.42578125" style="2" customWidth="1"/>
    <col min="4611" max="4611" width="4.28515625" style="2" customWidth="1"/>
    <col min="4612" max="4612" width="4" style="2" customWidth="1"/>
    <col min="4613" max="4613" width="15" style="2" customWidth="1"/>
    <col min="4614" max="4614" width="4.140625" style="2" customWidth="1"/>
    <col min="4615" max="4615" width="11.28515625" style="2" customWidth="1"/>
    <col min="4616" max="4616" width="16.140625" style="2" customWidth="1"/>
    <col min="4617" max="4617" width="11" style="2" customWidth="1"/>
    <col min="4618" max="4619" width="2.140625" style="2" customWidth="1"/>
    <col min="4620" max="4620" width="3.28515625" style="2" customWidth="1"/>
    <col min="4621" max="4622" width="0" style="2" hidden="1" customWidth="1"/>
    <col min="4623" max="4623" width="2.85546875" style="2" customWidth="1"/>
    <col min="4624" max="4624" width="3.28515625" style="2" customWidth="1"/>
    <col min="4625" max="4625" width="1.42578125" style="2" customWidth="1"/>
    <col min="4626" max="4626" width="0" style="2" hidden="1" customWidth="1"/>
    <col min="4627" max="4627" width="6.85546875" style="2" customWidth="1"/>
    <col min="4628" max="4628" width="0" style="2" hidden="1" customWidth="1"/>
    <col min="4629" max="4630" width="6.28515625" style="2" customWidth="1"/>
    <col min="4631" max="4632" width="13.85546875" style="2" customWidth="1"/>
    <col min="4633" max="4633" width="10.85546875" style="2" customWidth="1"/>
    <col min="4634" max="4634" width="14.140625" style="2" customWidth="1"/>
    <col min="4635" max="4635" width="0" style="2" hidden="1" customWidth="1"/>
    <col min="4636" max="4636" width="13" style="2" customWidth="1"/>
    <col min="4637" max="4637" width="13.140625" style="2" customWidth="1"/>
    <col min="4638" max="4639" width="14" style="2" customWidth="1"/>
    <col min="4640" max="4640" width="11.42578125" style="2" customWidth="1"/>
    <col min="4641" max="4641" width="15.85546875" style="2" customWidth="1"/>
    <col min="4642" max="4642" width="23.7109375" style="2" customWidth="1"/>
    <col min="4643" max="4643" width="12" style="2" customWidth="1"/>
    <col min="4644" max="4645" width="0.28515625" style="2" customWidth="1"/>
    <col min="4646" max="4646" width="1.42578125" style="2" customWidth="1"/>
    <col min="4647" max="4647" width="0" style="2" hidden="1" customWidth="1"/>
    <col min="4648" max="4864" width="11.42578125" style="2"/>
    <col min="4865" max="4865" width="10.28515625" style="2" customWidth="1"/>
    <col min="4866" max="4866" width="13.42578125" style="2" customWidth="1"/>
    <col min="4867" max="4867" width="4.28515625" style="2" customWidth="1"/>
    <col min="4868" max="4868" width="4" style="2" customWidth="1"/>
    <col min="4869" max="4869" width="15" style="2" customWidth="1"/>
    <col min="4870" max="4870" width="4.140625" style="2" customWidth="1"/>
    <col min="4871" max="4871" width="11.28515625" style="2" customWidth="1"/>
    <col min="4872" max="4872" width="16.140625" style="2" customWidth="1"/>
    <col min="4873" max="4873" width="11" style="2" customWidth="1"/>
    <col min="4874" max="4875" width="2.140625" style="2" customWidth="1"/>
    <col min="4876" max="4876" width="3.28515625" style="2" customWidth="1"/>
    <col min="4877" max="4878" width="0" style="2" hidden="1" customWidth="1"/>
    <col min="4879" max="4879" width="2.85546875" style="2" customWidth="1"/>
    <col min="4880" max="4880" width="3.28515625" style="2" customWidth="1"/>
    <col min="4881" max="4881" width="1.42578125" style="2" customWidth="1"/>
    <col min="4882" max="4882" width="0" style="2" hidden="1" customWidth="1"/>
    <col min="4883" max="4883" width="6.85546875" style="2" customWidth="1"/>
    <col min="4884" max="4884" width="0" style="2" hidden="1" customWidth="1"/>
    <col min="4885" max="4886" width="6.28515625" style="2" customWidth="1"/>
    <col min="4887" max="4888" width="13.85546875" style="2" customWidth="1"/>
    <col min="4889" max="4889" width="10.85546875" style="2" customWidth="1"/>
    <col min="4890" max="4890" width="14.140625" style="2" customWidth="1"/>
    <col min="4891" max="4891" width="0" style="2" hidden="1" customWidth="1"/>
    <col min="4892" max="4892" width="13" style="2" customWidth="1"/>
    <col min="4893" max="4893" width="13.140625" style="2" customWidth="1"/>
    <col min="4894" max="4895" width="14" style="2" customWidth="1"/>
    <col min="4896" max="4896" width="11.42578125" style="2" customWidth="1"/>
    <col min="4897" max="4897" width="15.85546875" style="2" customWidth="1"/>
    <col min="4898" max="4898" width="23.7109375" style="2" customWidth="1"/>
    <col min="4899" max="4899" width="12" style="2" customWidth="1"/>
    <col min="4900" max="4901" width="0.28515625" style="2" customWidth="1"/>
    <col min="4902" max="4902" width="1.42578125" style="2" customWidth="1"/>
    <col min="4903" max="4903" width="0" style="2" hidden="1" customWidth="1"/>
    <col min="4904" max="5120" width="11.42578125" style="2"/>
    <col min="5121" max="5121" width="10.28515625" style="2" customWidth="1"/>
    <col min="5122" max="5122" width="13.42578125" style="2" customWidth="1"/>
    <col min="5123" max="5123" width="4.28515625" style="2" customWidth="1"/>
    <col min="5124" max="5124" width="4" style="2" customWidth="1"/>
    <col min="5125" max="5125" width="15" style="2" customWidth="1"/>
    <col min="5126" max="5126" width="4.140625" style="2" customWidth="1"/>
    <col min="5127" max="5127" width="11.28515625" style="2" customWidth="1"/>
    <col min="5128" max="5128" width="16.140625" style="2" customWidth="1"/>
    <col min="5129" max="5129" width="11" style="2" customWidth="1"/>
    <col min="5130" max="5131" width="2.140625" style="2" customWidth="1"/>
    <col min="5132" max="5132" width="3.28515625" style="2" customWidth="1"/>
    <col min="5133" max="5134" width="0" style="2" hidden="1" customWidth="1"/>
    <col min="5135" max="5135" width="2.85546875" style="2" customWidth="1"/>
    <col min="5136" max="5136" width="3.28515625" style="2" customWidth="1"/>
    <col min="5137" max="5137" width="1.42578125" style="2" customWidth="1"/>
    <col min="5138" max="5138" width="0" style="2" hidden="1" customWidth="1"/>
    <col min="5139" max="5139" width="6.85546875" style="2" customWidth="1"/>
    <col min="5140" max="5140" width="0" style="2" hidden="1" customWidth="1"/>
    <col min="5141" max="5142" width="6.28515625" style="2" customWidth="1"/>
    <col min="5143" max="5144" width="13.85546875" style="2" customWidth="1"/>
    <col min="5145" max="5145" width="10.85546875" style="2" customWidth="1"/>
    <col min="5146" max="5146" width="14.140625" style="2" customWidth="1"/>
    <col min="5147" max="5147" width="0" style="2" hidden="1" customWidth="1"/>
    <col min="5148" max="5148" width="13" style="2" customWidth="1"/>
    <col min="5149" max="5149" width="13.140625" style="2" customWidth="1"/>
    <col min="5150" max="5151" width="14" style="2" customWidth="1"/>
    <col min="5152" max="5152" width="11.42578125" style="2" customWidth="1"/>
    <col min="5153" max="5153" width="15.85546875" style="2" customWidth="1"/>
    <col min="5154" max="5154" width="23.7109375" style="2" customWidth="1"/>
    <col min="5155" max="5155" width="12" style="2" customWidth="1"/>
    <col min="5156" max="5157" width="0.28515625" style="2" customWidth="1"/>
    <col min="5158" max="5158" width="1.42578125" style="2" customWidth="1"/>
    <col min="5159" max="5159" width="0" style="2" hidden="1" customWidth="1"/>
    <col min="5160" max="5376" width="11.42578125" style="2"/>
    <col min="5377" max="5377" width="10.28515625" style="2" customWidth="1"/>
    <col min="5378" max="5378" width="13.42578125" style="2" customWidth="1"/>
    <col min="5379" max="5379" width="4.28515625" style="2" customWidth="1"/>
    <col min="5380" max="5380" width="4" style="2" customWidth="1"/>
    <col min="5381" max="5381" width="15" style="2" customWidth="1"/>
    <col min="5382" max="5382" width="4.140625" style="2" customWidth="1"/>
    <col min="5383" max="5383" width="11.28515625" style="2" customWidth="1"/>
    <col min="5384" max="5384" width="16.140625" style="2" customWidth="1"/>
    <col min="5385" max="5385" width="11" style="2" customWidth="1"/>
    <col min="5386" max="5387" width="2.140625" style="2" customWidth="1"/>
    <col min="5388" max="5388" width="3.28515625" style="2" customWidth="1"/>
    <col min="5389" max="5390" width="0" style="2" hidden="1" customWidth="1"/>
    <col min="5391" max="5391" width="2.85546875" style="2" customWidth="1"/>
    <col min="5392" max="5392" width="3.28515625" style="2" customWidth="1"/>
    <col min="5393" max="5393" width="1.42578125" style="2" customWidth="1"/>
    <col min="5394" max="5394" width="0" style="2" hidden="1" customWidth="1"/>
    <col min="5395" max="5395" width="6.85546875" style="2" customWidth="1"/>
    <col min="5396" max="5396" width="0" style="2" hidden="1" customWidth="1"/>
    <col min="5397" max="5398" width="6.28515625" style="2" customWidth="1"/>
    <col min="5399" max="5400" width="13.85546875" style="2" customWidth="1"/>
    <col min="5401" max="5401" width="10.85546875" style="2" customWidth="1"/>
    <col min="5402" max="5402" width="14.140625" style="2" customWidth="1"/>
    <col min="5403" max="5403" width="0" style="2" hidden="1" customWidth="1"/>
    <col min="5404" max="5404" width="13" style="2" customWidth="1"/>
    <col min="5405" max="5405" width="13.140625" style="2" customWidth="1"/>
    <col min="5406" max="5407" width="14" style="2" customWidth="1"/>
    <col min="5408" max="5408" width="11.42578125" style="2" customWidth="1"/>
    <col min="5409" max="5409" width="15.85546875" style="2" customWidth="1"/>
    <col min="5410" max="5410" width="23.7109375" style="2" customWidth="1"/>
    <col min="5411" max="5411" width="12" style="2" customWidth="1"/>
    <col min="5412" max="5413" width="0.28515625" style="2" customWidth="1"/>
    <col min="5414" max="5414" width="1.42578125" style="2" customWidth="1"/>
    <col min="5415" max="5415" width="0" style="2" hidden="1" customWidth="1"/>
    <col min="5416" max="5632" width="11.42578125" style="2"/>
    <col min="5633" max="5633" width="10.28515625" style="2" customWidth="1"/>
    <col min="5634" max="5634" width="13.42578125" style="2" customWidth="1"/>
    <col min="5635" max="5635" width="4.28515625" style="2" customWidth="1"/>
    <col min="5636" max="5636" width="4" style="2" customWidth="1"/>
    <col min="5637" max="5637" width="15" style="2" customWidth="1"/>
    <col min="5638" max="5638" width="4.140625" style="2" customWidth="1"/>
    <col min="5639" max="5639" width="11.28515625" style="2" customWidth="1"/>
    <col min="5640" max="5640" width="16.140625" style="2" customWidth="1"/>
    <col min="5641" max="5641" width="11" style="2" customWidth="1"/>
    <col min="5642" max="5643" width="2.140625" style="2" customWidth="1"/>
    <col min="5644" max="5644" width="3.28515625" style="2" customWidth="1"/>
    <col min="5645" max="5646" width="0" style="2" hidden="1" customWidth="1"/>
    <col min="5647" max="5647" width="2.85546875" style="2" customWidth="1"/>
    <col min="5648" max="5648" width="3.28515625" style="2" customWidth="1"/>
    <col min="5649" max="5649" width="1.42578125" style="2" customWidth="1"/>
    <col min="5650" max="5650" width="0" style="2" hidden="1" customWidth="1"/>
    <col min="5651" max="5651" width="6.85546875" style="2" customWidth="1"/>
    <col min="5652" max="5652" width="0" style="2" hidden="1" customWidth="1"/>
    <col min="5653" max="5654" width="6.28515625" style="2" customWidth="1"/>
    <col min="5655" max="5656" width="13.85546875" style="2" customWidth="1"/>
    <col min="5657" max="5657" width="10.85546875" style="2" customWidth="1"/>
    <col min="5658" max="5658" width="14.140625" style="2" customWidth="1"/>
    <col min="5659" max="5659" width="0" style="2" hidden="1" customWidth="1"/>
    <col min="5660" max="5660" width="13" style="2" customWidth="1"/>
    <col min="5661" max="5661" width="13.140625" style="2" customWidth="1"/>
    <col min="5662" max="5663" width="14" style="2" customWidth="1"/>
    <col min="5664" max="5664" width="11.42578125" style="2" customWidth="1"/>
    <col min="5665" max="5665" width="15.85546875" style="2" customWidth="1"/>
    <col min="5666" max="5666" width="23.7109375" style="2" customWidth="1"/>
    <col min="5667" max="5667" width="12" style="2" customWidth="1"/>
    <col min="5668" max="5669" width="0.28515625" style="2" customWidth="1"/>
    <col min="5670" max="5670" width="1.42578125" style="2" customWidth="1"/>
    <col min="5671" max="5671" width="0" style="2" hidden="1" customWidth="1"/>
    <col min="5672" max="5888" width="11.42578125" style="2"/>
    <col min="5889" max="5889" width="10.28515625" style="2" customWidth="1"/>
    <col min="5890" max="5890" width="13.42578125" style="2" customWidth="1"/>
    <col min="5891" max="5891" width="4.28515625" style="2" customWidth="1"/>
    <col min="5892" max="5892" width="4" style="2" customWidth="1"/>
    <col min="5893" max="5893" width="15" style="2" customWidth="1"/>
    <col min="5894" max="5894" width="4.140625" style="2" customWidth="1"/>
    <col min="5895" max="5895" width="11.28515625" style="2" customWidth="1"/>
    <col min="5896" max="5896" width="16.140625" style="2" customWidth="1"/>
    <col min="5897" max="5897" width="11" style="2" customWidth="1"/>
    <col min="5898" max="5899" width="2.140625" style="2" customWidth="1"/>
    <col min="5900" max="5900" width="3.28515625" style="2" customWidth="1"/>
    <col min="5901" max="5902" width="0" style="2" hidden="1" customWidth="1"/>
    <col min="5903" max="5903" width="2.85546875" style="2" customWidth="1"/>
    <col min="5904" max="5904" width="3.28515625" style="2" customWidth="1"/>
    <col min="5905" max="5905" width="1.42578125" style="2" customWidth="1"/>
    <col min="5906" max="5906" width="0" style="2" hidden="1" customWidth="1"/>
    <col min="5907" max="5907" width="6.85546875" style="2" customWidth="1"/>
    <col min="5908" max="5908" width="0" style="2" hidden="1" customWidth="1"/>
    <col min="5909" max="5910" width="6.28515625" style="2" customWidth="1"/>
    <col min="5911" max="5912" width="13.85546875" style="2" customWidth="1"/>
    <col min="5913" max="5913" width="10.85546875" style="2" customWidth="1"/>
    <col min="5914" max="5914" width="14.140625" style="2" customWidth="1"/>
    <col min="5915" max="5915" width="0" style="2" hidden="1" customWidth="1"/>
    <col min="5916" max="5916" width="13" style="2" customWidth="1"/>
    <col min="5917" max="5917" width="13.140625" style="2" customWidth="1"/>
    <col min="5918" max="5919" width="14" style="2" customWidth="1"/>
    <col min="5920" max="5920" width="11.42578125" style="2" customWidth="1"/>
    <col min="5921" max="5921" width="15.85546875" style="2" customWidth="1"/>
    <col min="5922" max="5922" width="23.7109375" style="2" customWidth="1"/>
    <col min="5923" max="5923" width="12" style="2" customWidth="1"/>
    <col min="5924" max="5925" width="0.28515625" style="2" customWidth="1"/>
    <col min="5926" max="5926" width="1.42578125" style="2" customWidth="1"/>
    <col min="5927" max="5927" width="0" style="2" hidden="1" customWidth="1"/>
    <col min="5928" max="6144" width="11.42578125" style="2"/>
    <col min="6145" max="6145" width="10.28515625" style="2" customWidth="1"/>
    <col min="6146" max="6146" width="13.42578125" style="2" customWidth="1"/>
    <col min="6147" max="6147" width="4.28515625" style="2" customWidth="1"/>
    <col min="6148" max="6148" width="4" style="2" customWidth="1"/>
    <col min="6149" max="6149" width="15" style="2" customWidth="1"/>
    <col min="6150" max="6150" width="4.140625" style="2" customWidth="1"/>
    <col min="6151" max="6151" width="11.28515625" style="2" customWidth="1"/>
    <col min="6152" max="6152" width="16.140625" style="2" customWidth="1"/>
    <col min="6153" max="6153" width="11" style="2" customWidth="1"/>
    <col min="6154" max="6155" width="2.140625" style="2" customWidth="1"/>
    <col min="6156" max="6156" width="3.28515625" style="2" customWidth="1"/>
    <col min="6157" max="6158" width="0" style="2" hidden="1" customWidth="1"/>
    <col min="6159" max="6159" width="2.85546875" style="2" customWidth="1"/>
    <col min="6160" max="6160" width="3.28515625" style="2" customWidth="1"/>
    <col min="6161" max="6161" width="1.42578125" style="2" customWidth="1"/>
    <col min="6162" max="6162" width="0" style="2" hidden="1" customWidth="1"/>
    <col min="6163" max="6163" width="6.85546875" style="2" customWidth="1"/>
    <col min="6164" max="6164" width="0" style="2" hidden="1" customWidth="1"/>
    <col min="6165" max="6166" width="6.28515625" style="2" customWidth="1"/>
    <col min="6167" max="6168" width="13.85546875" style="2" customWidth="1"/>
    <col min="6169" max="6169" width="10.85546875" style="2" customWidth="1"/>
    <col min="6170" max="6170" width="14.140625" style="2" customWidth="1"/>
    <col min="6171" max="6171" width="0" style="2" hidden="1" customWidth="1"/>
    <col min="6172" max="6172" width="13" style="2" customWidth="1"/>
    <col min="6173" max="6173" width="13.140625" style="2" customWidth="1"/>
    <col min="6174" max="6175" width="14" style="2" customWidth="1"/>
    <col min="6176" max="6176" width="11.42578125" style="2" customWidth="1"/>
    <col min="6177" max="6177" width="15.85546875" style="2" customWidth="1"/>
    <col min="6178" max="6178" width="23.7109375" style="2" customWidth="1"/>
    <col min="6179" max="6179" width="12" style="2" customWidth="1"/>
    <col min="6180" max="6181" width="0.28515625" style="2" customWidth="1"/>
    <col min="6182" max="6182" width="1.42578125" style="2" customWidth="1"/>
    <col min="6183" max="6183" width="0" style="2" hidden="1" customWidth="1"/>
    <col min="6184" max="6400" width="11.42578125" style="2"/>
    <col min="6401" max="6401" width="10.28515625" style="2" customWidth="1"/>
    <col min="6402" max="6402" width="13.42578125" style="2" customWidth="1"/>
    <col min="6403" max="6403" width="4.28515625" style="2" customWidth="1"/>
    <col min="6404" max="6404" width="4" style="2" customWidth="1"/>
    <col min="6405" max="6405" width="15" style="2" customWidth="1"/>
    <col min="6406" max="6406" width="4.140625" style="2" customWidth="1"/>
    <col min="6407" max="6407" width="11.28515625" style="2" customWidth="1"/>
    <col min="6408" max="6408" width="16.140625" style="2" customWidth="1"/>
    <col min="6409" max="6409" width="11" style="2" customWidth="1"/>
    <col min="6410" max="6411" width="2.140625" style="2" customWidth="1"/>
    <col min="6412" max="6412" width="3.28515625" style="2" customWidth="1"/>
    <col min="6413" max="6414" width="0" style="2" hidden="1" customWidth="1"/>
    <col min="6415" max="6415" width="2.85546875" style="2" customWidth="1"/>
    <col min="6416" max="6416" width="3.28515625" style="2" customWidth="1"/>
    <col min="6417" max="6417" width="1.42578125" style="2" customWidth="1"/>
    <col min="6418" max="6418" width="0" style="2" hidden="1" customWidth="1"/>
    <col min="6419" max="6419" width="6.85546875" style="2" customWidth="1"/>
    <col min="6420" max="6420" width="0" style="2" hidden="1" customWidth="1"/>
    <col min="6421" max="6422" width="6.28515625" style="2" customWidth="1"/>
    <col min="6423" max="6424" width="13.85546875" style="2" customWidth="1"/>
    <col min="6425" max="6425" width="10.85546875" style="2" customWidth="1"/>
    <col min="6426" max="6426" width="14.140625" style="2" customWidth="1"/>
    <col min="6427" max="6427" width="0" style="2" hidden="1" customWidth="1"/>
    <col min="6428" max="6428" width="13" style="2" customWidth="1"/>
    <col min="6429" max="6429" width="13.140625" style="2" customWidth="1"/>
    <col min="6430" max="6431" width="14" style="2" customWidth="1"/>
    <col min="6432" max="6432" width="11.42578125" style="2" customWidth="1"/>
    <col min="6433" max="6433" width="15.85546875" style="2" customWidth="1"/>
    <col min="6434" max="6434" width="23.7109375" style="2" customWidth="1"/>
    <col min="6435" max="6435" width="12" style="2" customWidth="1"/>
    <col min="6436" max="6437" width="0.28515625" style="2" customWidth="1"/>
    <col min="6438" max="6438" width="1.42578125" style="2" customWidth="1"/>
    <col min="6439" max="6439" width="0" style="2" hidden="1" customWidth="1"/>
    <col min="6440" max="6656" width="11.42578125" style="2"/>
    <col min="6657" max="6657" width="10.28515625" style="2" customWidth="1"/>
    <col min="6658" max="6658" width="13.42578125" style="2" customWidth="1"/>
    <col min="6659" max="6659" width="4.28515625" style="2" customWidth="1"/>
    <col min="6660" max="6660" width="4" style="2" customWidth="1"/>
    <col min="6661" max="6661" width="15" style="2" customWidth="1"/>
    <col min="6662" max="6662" width="4.140625" style="2" customWidth="1"/>
    <col min="6663" max="6663" width="11.28515625" style="2" customWidth="1"/>
    <col min="6664" max="6664" width="16.140625" style="2" customWidth="1"/>
    <col min="6665" max="6665" width="11" style="2" customWidth="1"/>
    <col min="6666" max="6667" width="2.140625" style="2" customWidth="1"/>
    <col min="6668" max="6668" width="3.28515625" style="2" customWidth="1"/>
    <col min="6669" max="6670" width="0" style="2" hidden="1" customWidth="1"/>
    <col min="6671" max="6671" width="2.85546875" style="2" customWidth="1"/>
    <col min="6672" max="6672" width="3.28515625" style="2" customWidth="1"/>
    <col min="6673" max="6673" width="1.42578125" style="2" customWidth="1"/>
    <col min="6674" max="6674" width="0" style="2" hidden="1" customWidth="1"/>
    <col min="6675" max="6675" width="6.85546875" style="2" customWidth="1"/>
    <col min="6676" max="6676" width="0" style="2" hidden="1" customWidth="1"/>
    <col min="6677" max="6678" width="6.28515625" style="2" customWidth="1"/>
    <col min="6679" max="6680" width="13.85546875" style="2" customWidth="1"/>
    <col min="6681" max="6681" width="10.85546875" style="2" customWidth="1"/>
    <col min="6682" max="6682" width="14.140625" style="2" customWidth="1"/>
    <col min="6683" max="6683" width="0" style="2" hidden="1" customWidth="1"/>
    <col min="6684" max="6684" width="13" style="2" customWidth="1"/>
    <col min="6685" max="6685" width="13.140625" style="2" customWidth="1"/>
    <col min="6686" max="6687" width="14" style="2" customWidth="1"/>
    <col min="6688" max="6688" width="11.42578125" style="2" customWidth="1"/>
    <col min="6689" max="6689" width="15.85546875" style="2" customWidth="1"/>
    <col min="6690" max="6690" width="23.7109375" style="2" customWidth="1"/>
    <col min="6691" max="6691" width="12" style="2" customWidth="1"/>
    <col min="6692" max="6693" width="0.28515625" style="2" customWidth="1"/>
    <col min="6694" max="6694" width="1.42578125" style="2" customWidth="1"/>
    <col min="6695" max="6695" width="0" style="2" hidden="1" customWidth="1"/>
    <col min="6696" max="6912" width="11.42578125" style="2"/>
    <col min="6913" max="6913" width="10.28515625" style="2" customWidth="1"/>
    <col min="6914" max="6914" width="13.42578125" style="2" customWidth="1"/>
    <col min="6915" max="6915" width="4.28515625" style="2" customWidth="1"/>
    <col min="6916" max="6916" width="4" style="2" customWidth="1"/>
    <col min="6917" max="6917" width="15" style="2" customWidth="1"/>
    <col min="6918" max="6918" width="4.140625" style="2" customWidth="1"/>
    <col min="6919" max="6919" width="11.28515625" style="2" customWidth="1"/>
    <col min="6920" max="6920" width="16.140625" style="2" customWidth="1"/>
    <col min="6921" max="6921" width="11" style="2" customWidth="1"/>
    <col min="6922" max="6923" width="2.140625" style="2" customWidth="1"/>
    <col min="6924" max="6924" width="3.28515625" style="2" customWidth="1"/>
    <col min="6925" max="6926" width="0" style="2" hidden="1" customWidth="1"/>
    <col min="6927" max="6927" width="2.85546875" style="2" customWidth="1"/>
    <col min="6928" max="6928" width="3.28515625" style="2" customWidth="1"/>
    <col min="6929" max="6929" width="1.42578125" style="2" customWidth="1"/>
    <col min="6930" max="6930" width="0" style="2" hidden="1" customWidth="1"/>
    <col min="6931" max="6931" width="6.85546875" style="2" customWidth="1"/>
    <col min="6932" max="6932" width="0" style="2" hidden="1" customWidth="1"/>
    <col min="6933" max="6934" width="6.28515625" style="2" customWidth="1"/>
    <col min="6935" max="6936" width="13.85546875" style="2" customWidth="1"/>
    <col min="6937" max="6937" width="10.85546875" style="2" customWidth="1"/>
    <col min="6938" max="6938" width="14.140625" style="2" customWidth="1"/>
    <col min="6939" max="6939" width="0" style="2" hidden="1" customWidth="1"/>
    <col min="6940" max="6940" width="13" style="2" customWidth="1"/>
    <col min="6941" max="6941" width="13.140625" style="2" customWidth="1"/>
    <col min="6942" max="6943" width="14" style="2" customWidth="1"/>
    <col min="6944" max="6944" width="11.42578125" style="2" customWidth="1"/>
    <col min="6945" max="6945" width="15.85546875" style="2" customWidth="1"/>
    <col min="6946" max="6946" width="23.7109375" style="2" customWidth="1"/>
    <col min="6947" max="6947" width="12" style="2" customWidth="1"/>
    <col min="6948" max="6949" width="0.28515625" style="2" customWidth="1"/>
    <col min="6950" max="6950" width="1.42578125" style="2" customWidth="1"/>
    <col min="6951" max="6951" width="0" style="2" hidden="1" customWidth="1"/>
    <col min="6952" max="7168" width="11.42578125" style="2"/>
    <col min="7169" max="7169" width="10.28515625" style="2" customWidth="1"/>
    <col min="7170" max="7170" width="13.42578125" style="2" customWidth="1"/>
    <col min="7171" max="7171" width="4.28515625" style="2" customWidth="1"/>
    <col min="7172" max="7172" width="4" style="2" customWidth="1"/>
    <col min="7173" max="7173" width="15" style="2" customWidth="1"/>
    <col min="7174" max="7174" width="4.140625" style="2" customWidth="1"/>
    <col min="7175" max="7175" width="11.28515625" style="2" customWidth="1"/>
    <col min="7176" max="7176" width="16.140625" style="2" customWidth="1"/>
    <col min="7177" max="7177" width="11" style="2" customWidth="1"/>
    <col min="7178" max="7179" width="2.140625" style="2" customWidth="1"/>
    <col min="7180" max="7180" width="3.28515625" style="2" customWidth="1"/>
    <col min="7181" max="7182" width="0" style="2" hidden="1" customWidth="1"/>
    <col min="7183" max="7183" width="2.85546875" style="2" customWidth="1"/>
    <col min="7184" max="7184" width="3.28515625" style="2" customWidth="1"/>
    <col min="7185" max="7185" width="1.42578125" style="2" customWidth="1"/>
    <col min="7186" max="7186" width="0" style="2" hidden="1" customWidth="1"/>
    <col min="7187" max="7187" width="6.85546875" style="2" customWidth="1"/>
    <col min="7188" max="7188" width="0" style="2" hidden="1" customWidth="1"/>
    <col min="7189" max="7190" width="6.28515625" style="2" customWidth="1"/>
    <col min="7191" max="7192" width="13.85546875" style="2" customWidth="1"/>
    <col min="7193" max="7193" width="10.85546875" style="2" customWidth="1"/>
    <col min="7194" max="7194" width="14.140625" style="2" customWidth="1"/>
    <col min="7195" max="7195" width="0" style="2" hidden="1" customWidth="1"/>
    <col min="7196" max="7196" width="13" style="2" customWidth="1"/>
    <col min="7197" max="7197" width="13.140625" style="2" customWidth="1"/>
    <col min="7198" max="7199" width="14" style="2" customWidth="1"/>
    <col min="7200" max="7200" width="11.42578125" style="2" customWidth="1"/>
    <col min="7201" max="7201" width="15.85546875" style="2" customWidth="1"/>
    <col min="7202" max="7202" width="23.7109375" style="2" customWidth="1"/>
    <col min="7203" max="7203" width="12" style="2" customWidth="1"/>
    <col min="7204" max="7205" width="0.28515625" style="2" customWidth="1"/>
    <col min="7206" max="7206" width="1.42578125" style="2" customWidth="1"/>
    <col min="7207" max="7207" width="0" style="2" hidden="1" customWidth="1"/>
    <col min="7208" max="7424" width="11.42578125" style="2"/>
    <col min="7425" max="7425" width="10.28515625" style="2" customWidth="1"/>
    <col min="7426" max="7426" width="13.42578125" style="2" customWidth="1"/>
    <col min="7427" max="7427" width="4.28515625" style="2" customWidth="1"/>
    <col min="7428" max="7428" width="4" style="2" customWidth="1"/>
    <col min="7429" max="7429" width="15" style="2" customWidth="1"/>
    <col min="7430" max="7430" width="4.140625" style="2" customWidth="1"/>
    <col min="7431" max="7431" width="11.28515625" style="2" customWidth="1"/>
    <col min="7432" max="7432" width="16.140625" style="2" customWidth="1"/>
    <col min="7433" max="7433" width="11" style="2" customWidth="1"/>
    <col min="7434" max="7435" width="2.140625" style="2" customWidth="1"/>
    <col min="7436" max="7436" width="3.28515625" style="2" customWidth="1"/>
    <col min="7437" max="7438" width="0" style="2" hidden="1" customWidth="1"/>
    <col min="7439" max="7439" width="2.85546875" style="2" customWidth="1"/>
    <col min="7440" max="7440" width="3.28515625" style="2" customWidth="1"/>
    <col min="7441" max="7441" width="1.42578125" style="2" customWidth="1"/>
    <col min="7442" max="7442" width="0" style="2" hidden="1" customWidth="1"/>
    <col min="7443" max="7443" width="6.85546875" style="2" customWidth="1"/>
    <col min="7444" max="7444" width="0" style="2" hidden="1" customWidth="1"/>
    <col min="7445" max="7446" width="6.28515625" style="2" customWidth="1"/>
    <col min="7447" max="7448" width="13.85546875" style="2" customWidth="1"/>
    <col min="7449" max="7449" width="10.85546875" style="2" customWidth="1"/>
    <col min="7450" max="7450" width="14.140625" style="2" customWidth="1"/>
    <col min="7451" max="7451" width="0" style="2" hidden="1" customWidth="1"/>
    <col min="7452" max="7452" width="13" style="2" customWidth="1"/>
    <col min="7453" max="7453" width="13.140625" style="2" customWidth="1"/>
    <col min="7454" max="7455" width="14" style="2" customWidth="1"/>
    <col min="7456" max="7456" width="11.42578125" style="2" customWidth="1"/>
    <col min="7457" max="7457" width="15.85546875" style="2" customWidth="1"/>
    <col min="7458" max="7458" width="23.7109375" style="2" customWidth="1"/>
    <col min="7459" max="7459" width="12" style="2" customWidth="1"/>
    <col min="7460" max="7461" width="0.28515625" style="2" customWidth="1"/>
    <col min="7462" max="7462" width="1.42578125" style="2" customWidth="1"/>
    <col min="7463" max="7463" width="0" style="2" hidden="1" customWidth="1"/>
    <col min="7464" max="7680" width="11.42578125" style="2"/>
    <col min="7681" max="7681" width="10.28515625" style="2" customWidth="1"/>
    <col min="7682" max="7682" width="13.42578125" style="2" customWidth="1"/>
    <col min="7683" max="7683" width="4.28515625" style="2" customWidth="1"/>
    <col min="7684" max="7684" width="4" style="2" customWidth="1"/>
    <col min="7685" max="7685" width="15" style="2" customWidth="1"/>
    <col min="7686" max="7686" width="4.140625" style="2" customWidth="1"/>
    <col min="7687" max="7687" width="11.28515625" style="2" customWidth="1"/>
    <col min="7688" max="7688" width="16.140625" style="2" customWidth="1"/>
    <col min="7689" max="7689" width="11" style="2" customWidth="1"/>
    <col min="7690" max="7691" width="2.140625" style="2" customWidth="1"/>
    <col min="7692" max="7692" width="3.28515625" style="2" customWidth="1"/>
    <col min="7693" max="7694" width="0" style="2" hidden="1" customWidth="1"/>
    <col min="7695" max="7695" width="2.85546875" style="2" customWidth="1"/>
    <col min="7696" max="7696" width="3.28515625" style="2" customWidth="1"/>
    <col min="7697" max="7697" width="1.42578125" style="2" customWidth="1"/>
    <col min="7698" max="7698" width="0" style="2" hidden="1" customWidth="1"/>
    <col min="7699" max="7699" width="6.85546875" style="2" customWidth="1"/>
    <col min="7700" max="7700" width="0" style="2" hidden="1" customWidth="1"/>
    <col min="7701" max="7702" width="6.28515625" style="2" customWidth="1"/>
    <col min="7703" max="7704" width="13.85546875" style="2" customWidth="1"/>
    <col min="7705" max="7705" width="10.85546875" style="2" customWidth="1"/>
    <col min="7706" max="7706" width="14.140625" style="2" customWidth="1"/>
    <col min="7707" max="7707" width="0" style="2" hidden="1" customWidth="1"/>
    <col min="7708" max="7708" width="13" style="2" customWidth="1"/>
    <col min="7709" max="7709" width="13.140625" style="2" customWidth="1"/>
    <col min="7710" max="7711" width="14" style="2" customWidth="1"/>
    <col min="7712" max="7712" width="11.42578125" style="2" customWidth="1"/>
    <col min="7713" max="7713" width="15.85546875" style="2" customWidth="1"/>
    <col min="7714" max="7714" width="23.7109375" style="2" customWidth="1"/>
    <col min="7715" max="7715" width="12" style="2" customWidth="1"/>
    <col min="7716" max="7717" width="0.28515625" style="2" customWidth="1"/>
    <col min="7718" max="7718" width="1.42578125" style="2" customWidth="1"/>
    <col min="7719" max="7719" width="0" style="2" hidden="1" customWidth="1"/>
    <col min="7720" max="7936" width="11.42578125" style="2"/>
    <col min="7937" max="7937" width="10.28515625" style="2" customWidth="1"/>
    <col min="7938" max="7938" width="13.42578125" style="2" customWidth="1"/>
    <col min="7939" max="7939" width="4.28515625" style="2" customWidth="1"/>
    <col min="7940" max="7940" width="4" style="2" customWidth="1"/>
    <col min="7941" max="7941" width="15" style="2" customWidth="1"/>
    <col min="7942" max="7942" width="4.140625" style="2" customWidth="1"/>
    <col min="7943" max="7943" width="11.28515625" style="2" customWidth="1"/>
    <col min="7944" max="7944" width="16.140625" style="2" customWidth="1"/>
    <col min="7945" max="7945" width="11" style="2" customWidth="1"/>
    <col min="7946" max="7947" width="2.140625" style="2" customWidth="1"/>
    <col min="7948" max="7948" width="3.28515625" style="2" customWidth="1"/>
    <col min="7949" max="7950" width="0" style="2" hidden="1" customWidth="1"/>
    <col min="7951" max="7951" width="2.85546875" style="2" customWidth="1"/>
    <col min="7952" max="7952" width="3.28515625" style="2" customWidth="1"/>
    <col min="7953" max="7953" width="1.42578125" style="2" customWidth="1"/>
    <col min="7954" max="7954" width="0" style="2" hidden="1" customWidth="1"/>
    <col min="7955" max="7955" width="6.85546875" style="2" customWidth="1"/>
    <col min="7956" max="7956" width="0" style="2" hidden="1" customWidth="1"/>
    <col min="7957" max="7958" width="6.28515625" style="2" customWidth="1"/>
    <col min="7959" max="7960" width="13.85546875" style="2" customWidth="1"/>
    <col min="7961" max="7961" width="10.85546875" style="2" customWidth="1"/>
    <col min="7962" max="7962" width="14.140625" style="2" customWidth="1"/>
    <col min="7963" max="7963" width="0" style="2" hidden="1" customWidth="1"/>
    <col min="7964" max="7964" width="13" style="2" customWidth="1"/>
    <col min="7965" max="7965" width="13.140625" style="2" customWidth="1"/>
    <col min="7966" max="7967" width="14" style="2" customWidth="1"/>
    <col min="7968" max="7968" width="11.42578125" style="2" customWidth="1"/>
    <col min="7969" max="7969" width="15.85546875" style="2" customWidth="1"/>
    <col min="7970" max="7970" width="23.7109375" style="2" customWidth="1"/>
    <col min="7971" max="7971" width="12" style="2" customWidth="1"/>
    <col min="7972" max="7973" width="0.28515625" style="2" customWidth="1"/>
    <col min="7974" max="7974" width="1.42578125" style="2" customWidth="1"/>
    <col min="7975" max="7975" width="0" style="2" hidden="1" customWidth="1"/>
    <col min="7976" max="8192" width="11.42578125" style="2"/>
    <col min="8193" max="8193" width="10.28515625" style="2" customWidth="1"/>
    <col min="8194" max="8194" width="13.42578125" style="2" customWidth="1"/>
    <col min="8195" max="8195" width="4.28515625" style="2" customWidth="1"/>
    <col min="8196" max="8196" width="4" style="2" customWidth="1"/>
    <col min="8197" max="8197" width="15" style="2" customWidth="1"/>
    <col min="8198" max="8198" width="4.140625" style="2" customWidth="1"/>
    <col min="8199" max="8199" width="11.28515625" style="2" customWidth="1"/>
    <col min="8200" max="8200" width="16.140625" style="2" customWidth="1"/>
    <col min="8201" max="8201" width="11" style="2" customWidth="1"/>
    <col min="8202" max="8203" width="2.140625" style="2" customWidth="1"/>
    <col min="8204" max="8204" width="3.28515625" style="2" customWidth="1"/>
    <col min="8205" max="8206" width="0" style="2" hidden="1" customWidth="1"/>
    <col min="8207" max="8207" width="2.85546875" style="2" customWidth="1"/>
    <col min="8208" max="8208" width="3.28515625" style="2" customWidth="1"/>
    <col min="8209" max="8209" width="1.42578125" style="2" customWidth="1"/>
    <col min="8210" max="8210" width="0" style="2" hidden="1" customWidth="1"/>
    <col min="8211" max="8211" width="6.85546875" style="2" customWidth="1"/>
    <col min="8212" max="8212" width="0" style="2" hidden="1" customWidth="1"/>
    <col min="8213" max="8214" width="6.28515625" style="2" customWidth="1"/>
    <col min="8215" max="8216" width="13.85546875" style="2" customWidth="1"/>
    <col min="8217" max="8217" width="10.85546875" style="2" customWidth="1"/>
    <col min="8218" max="8218" width="14.140625" style="2" customWidth="1"/>
    <col min="8219" max="8219" width="0" style="2" hidden="1" customWidth="1"/>
    <col min="8220" max="8220" width="13" style="2" customWidth="1"/>
    <col min="8221" max="8221" width="13.140625" style="2" customWidth="1"/>
    <col min="8222" max="8223" width="14" style="2" customWidth="1"/>
    <col min="8224" max="8224" width="11.42578125" style="2" customWidth="1"/>
    <col min="8225" max="8225" width="15.85546875" style="2" customWidth="1"/>
    <col min="8226" max="8226" width="23.7109375" style="2" customWidth="1"/>
    <col min="8227" max="8227" width="12" style="2" customWidth="1"/>
    <col min="8228" max="8229" width="0.28515625" style="2" customWidth="1"/>
    <col min="8230" max="8230" width="1.42578125" style="2" customWidth="1"/>
    <col min="8231" max="8231" width="0" style="2" hidden="1" customWidth="1"/>
    <col min="8232" max="8448" width="11.42578125" style="2"/>
    <col min="8449" max="8449" width="10.28515625" style="2" customWidth="1"/>
    <col min="8450" max="8450" width="13.42578125" style="2" customWidth="1"/>
    <col min="8451" max="8451" width="4.28515625" style="2" customWidth="1"/>
    <col min="8452" max="8452" width="4" style="2" customWidth="1"/>
    <col min="8453" max="8453" width="15" style="2" customWidth="1"/>
    <col min="8454" max="8454" width="4.140625" style="2" customWidth="1"/>
    <col min="8455" max="8455" width="11.28515625" style="2" customWidth="1"/>
    <col min="8456" max="8456" width="16.140625" style="2" customWidth="1"/>
    <col min="8457" max="8457" width="11" style="2" customWidth="1"/>
    <col min="8458" max="8459" width="2.140625" style="2" customWidth="1"/>
    <col min="8460" max="8460" width="3.28515625" style="2" customWidth="1"/>
    <col min="8461" max="8462" width="0" style="2" hidden="1" customWidth="1"/>
    <col min="8463" max="8463" width="2.85546875" style="2" customWidth="1"/>
    <col min="8464" max="8464" width="3.28515625" style="2" customWidth="1"/>
    <col min="8465" max="8465" width="1.42578125" style="2" customWidth="1"/>
    <col min="8466" max="8466" width="0" style="2" hidden="1" customWidth="1"/>
    <col min="8467" max="8467" width="6.85546875" style="2" customWidth="1"/>
    <col min="8468" max="8468" width="0" style="2" hidden="1" customWidth="1"/>
    <col min="8469" max="8470" width="6.28515625" style="2" customWidth="1"/>
    <col min="8471" max="8472" width="13.85546875" style="2" customWidth="1"/>
    <col min="8473" max="8473" width="10.85546875" style="2" customWidth="1"/>
    <col min="8474" max="8474" width="14.140625" style="2" customWidth="1"/>
    <col min="8475" max="8475" width="0" style="2" hidden="1" customWidth="1"/>
    <col min="8476" max="8476" width="13" style="2" customWidth="1"/>
    <col min="8477" max="8477" width="13.140625" style="2" customWidth="1"/>
    <col min="8478" max="8479" width="14" style="2" customWidth="1"/>
    <col min="8480" max="8480" width="11.42578125" style="2" customWidth="1"/>
    <col min="8481" max="8481" width="15.85546875" style="2" customWidth="1"/>
    <col min="8482" max="8482" width="23.7109375" style="2" customWidth="1"/>
    <col min="8483" max="8483" width="12" style="2" customWidth="1"/>
    <col min="8484" max="8485" width="0.28515625" style="2" customWidth="1"/>
    <col min="8486" max="8486" width="1.42578125" style="2" customWidth="1"/>
    <col min="8487" max="8487" width="0" style="2" hidden="1" customWidth="1"/>
    <col min="8488" max="8704" width="11.42578125" style="2"/>
    <col min="8705" max="8705" width="10.28515625" style="2" customWidth="1"/>
    <col min="8706" max="8706" width="13.42578125" style="2" customWidth="1"/>
    <col min="8707" max="8707" width="4.28515625" style="2" customWidth="1"/>
    <col min="8708" max="8708" width="4" style="2" customWidth="1"/>
    <col min="8709" max="8709" width="15" style="2" customWidth="1"/>
    <col min="8710" max="8710" width="4.140625" style="2" customWidth="1"/>
    <col min="8711" max="8711" width="11.28515625" style="2" customWidth="1"/>
    <col min="8712" max="8712" width="16.140625" style="2" customWidth="1"/>
    <col min="8713" max="8713" width="11" style="2" customWidth="1"/>
    <col min="8714" max="8715" width="2.140625" style="2" customWidth="1"/>
    <col min="8716" max="8716" width="3.28515625" style="2" customWidth="1"/>
    <col min="8717" max="8718" width="0" style="2" hidden="1" customWidth="1"/>
    <col min="8719" max="8719" width="2.85546875" style="2" customWidth="1"/>
    <col min="8720" max="8720" width="3.28515625" style="2" customWidth="1"/>
    <col min="8721" max="8721" width="1.42578125" style="2" customWidth="1"/>
    <col min="8722" max="8722" width="0" style="2" hidden="1" customWidth="1"/>
    <col min="8723" max="8723" width="6.85546875" style="2" customWidth="1"/>
    <col min="8724" max="8724" width="0" style="2" hidden="1" customWidth="1"/>
    <col min="8725" max="8726" width="6.28515625" style="2" customWidth="1"/>
    <col min="8727" max="8728" width="13.85546875" style="2" customWidth="1"/>
    <col min="8729" max="8729" width="10.85546875" style="2" customWidth="1"/>
    <col min="8730" max="8730" width="14.140625" style="2" customWidth="1"/>
    <col min="8731" max="8731" width="0" style="2" hidden="1" customWidth="1"/>
    <col min="8732" max="8732" width="13" style="2" customWidth="1"/>
    <col min="8733" max="8733" width="13.140625" style="2" customWidth="1"/>
    <col min="8734" max="8735" width="14" style="2" customWidth="1"/>
    <col min="8736" max="8736" width="11.42578125" style="2" customWidth="1"/>
    <col min="8737" max="8737" width="15.85546875" style="2" customWidth="1"/>
    <col min="8738" max="8738" width="23.7109375" style="2" customWidth="1"/>
    <col min="8739" max="8739" width="12" style="2" customWidth="1"/>
    <col min="8740" max="8741" width="0.28515625" style="2" customWidth="1"/>
    <col min="8742" max="8742" width="1.42578125" style="2" customWidth="1"/>
    <col min="8743" max="8743" width="0" style="2" hidden="1" customWidth="1"/>
    <col min="8744" max="8960" width="11.42578125" style="2"/>
    <col min="8961" max="8961" width="10.28515625" style="2" customWidth="1"/>
    <col min="8962" max="8962" width="13.42578125" style="2" customWidth="1"/>
    <col min="8963" max="8963" width="4.28515625" style="2" customWidth="1"/>
    <col min="8964" max="8964" width="4" style="2" customWidth="1"/>
    <col min="8965" max="8965" width="15" style="2" customWidth="1"/>
    <col min="8966" max="8966" width="4.140625" style="2" customWidth="1"/>
    <col min="8967" max="8967" width="11.28515625" style="2" customWidth="1"/>
    <col min="8968" max="8968" width="16.140625" style="2" customWidth="1"/>
    <col min="8969" max="8969" width="11" style="2" customWidth="1"/>
    <col min="8970" max="8971" width="2.140625" style="2" customWidth="1"/>
    <col min="8972" max="8972" width="3.28515625" style="2" customWidth="1"/>
    <col min="8973" max="8974" width="0" style="2" hidden="1" customWidth="1"/>
    <col min="8975" max="8975" width="2.85546875" style="2" customWidth="1"/>
    <col min="8976" max="8976" width="3.28515625" style="2" customWidth="1"/>
    <col min="8977" max="8977" width="1.42578125" style="2" customWidth="1"/>
    <col min="8978" max="8978" width="0" style="2" hidden="1" customWidth="1"/>
    <col min="8979" max="8979" width="6.85546875" style="2" customWidth="1"/>
    <col min="8980" max="8980" width="0" style="2" hidden="1" customWidth="1"/>
    <col min="8981" max="8982" width="6.28515625" style="2" customWidth="1"/>
    <col min="8983" max="8984" width="13.85546875" style="2" customWidth="1"/>
    <col min="8985" max="8985" width="10.85546875" style="2" customWidth="1"/>
    <col min="8986" max="8986" width="14.140625" style="2" customWidth="1"/>
    <col min="8987" max="8987" width="0" style="2" hidden="1" customWidth="1"/>
    <col min="8988" max="8988" width="13" style="2" customWidth="1"/>
    <col min="8989" max="8989" width="13.140625" style="2" customWidth="1"/>
    <col min="8990" max="8991" width="14" style="2" customWidth="1"/>
    <col min="8992" max="8992" width="11.42578125" style="2" customWidth="1"/>
    <col min="8993" max="8993" width="15.85546875" style="2" customWidth="1"/>
    <col min="8994" max="8994" width="23.7109375" style="2" customWidth="1"/>
    <col min="8995" max="8995" width="12" style="2" customWidth="1"/>
    <col min="8996" max="8997" width="0.28515625" style="2" customWidth="1"/>
    <col min="8998" max="8998" width="1.42578125" style="2" customWidth="1"/>
    <col min="8999" max="8999" width="0" style="2" hidden="1" customWidth="1"/>
    <col min="9000" max="9216" width="11.42578125" style="2"/>
    <col min="9217" max="9217" width="10.28515625" style="2" customWidth="1"/>
    <col min="9218" max="9218" width="13.42578125" style="2" customWidth="1"/>
    <col min="9219" max="9219" width="4.28515625" style="2" customWidth="1"/>
    <col min="9220" max="9220" width="4" style="2" customWidth="1"/>
    <col min="9221" max="9221" width="15" style="2" customWidth="1"/>
    <col min="9222" max="9222" width="4.140625" style="2" customWidth="1"/>
    <col min="9223" max="9223" width="11.28515625" style="2" customWidth="1"/>
    <col min="9224" max="9224" width="16.140625" style="2" customWidth="1"/>
    <col min="9225" max="9225" width="11" style="2" customWidth="1"/>
    <col min="9226" max="9227" width="2.140625" style="2" customWidth="1"/>
    <col min="9228" max="9228" width="3.28515625" style="2" customWidth="1"/>
    <col min="9229" max="9230" width="0" style="2" hidden="1" customWidth="1"/>
    <col min="9231" max="9231" width="2.85546875" style="2" customWidth="1"/>
    <col min="9232" max="9232" width="3.28515625" style="2" customWidth="1"/>
    <col min="9233" max="9233" width="1.42578125" style="2" customWidth="1"/>
    <col min="9234" max="9234" width="0" style="2" hidden="1" customWidth="1"/>
    <col min="9235" max="9235" width="6.85546875" style="2" customWidth="1"/>
    <col min="9236" max="9236" width="0" style="2" hidden="1" customWidth="1"/>
    <col min="9237" max="9238" width="6.28515625" style="2" customWidth="1"/>
    <col min="9239" max="9240" width="13.85546875" style="2" customWidth="1"/>
    <col min="9241" max="9241" width="10.85546875" style="2" customWidth="1"/>
    <col min="9242" max="9242" width="14.140625" style="2" customWidth="1"/>
    <col min="9243" max="9243" width="0" style="2" hidden="1" customWidth="1"/>
    <col min="9244" max="9244" width="13" style="2" customWidth="1"/>
    <col min="9245" max="9245" width="13.140625" style="2" customWidth="1"/>
    <col min="9246" max="9247" width="14" style="2" customWidth="1"/>
    <col min="9248" max="9248" width="11.42578125" style="2" customWidth="1"/>
    <col min="9249" max="9249" width="15.85546875" style="2" customWidth="1"/>
    <col min="9250" max="9250" width="23.7109375" style="2" customWidth="1"/>
    <col min="9251" max="9251" width="12" style="2" customWidth="1"/>
    <col min="9252" max="9253" width="0.28515625" style="2" customWidth="1"/>
    <col min="9254" max="9254" width="1.42578125" style="2" customWidth="1"/>
    <col min="9255" max="9255" width="0" style="2" hidden="1" customWidth="1"/>
    <col min="9256" max="9472" width="11.42578125" style="2"/>
    <col min="9473" max="9473" width="10.28515625" style="2" customWidth="1"/>
    <col min="9474" max="9474" width="13.42578125" style="2" customWidth="1"/>
    <col min="9475" max="9475" width="4.28515625" style="2" customWidth="1"/>
    <col min="9476" max="9476" width="4" style="2" customWidth="1"/>
    <col min="9477" max="9477" width="15" style="2" customWidth="1"/>
    <col min="9478" max="9478" width="4.140625" style="2" customWidth="1"/>
    <col min="9479" max="9479" width="11.28515625" style="2" customWidth="1"/>
    <col min="9480" max="9480" width="16.140625" style="2" customWidth="1"/>
    <col min="9481" max="9481" width="11" style="2" customWidth="1"/>
    <col min="9482" max="9483" width="2.140625" style="2" customWidth="1"/>
    <col min="9484" max="9484" width="3.28515625" style="2" customWidth="1"/>
    <col min="9485" max="9486" width="0" style="2" hidden="1" customWidth="1"/>
    <col min="9487" max="9487" width="2.85546875" style="2" customWidth="1"/>
    <col min="9488" max="9488" width="3.28515625" style="2" customWidth="1"/>
    <col min="9489" max="9489" width="1.42578125" style="2" customWidth="1"/>
    <col min="9490" max="9490" width="0" style="2" hidden="1" customWidth="1"/>
    <col min="9491" max="9491" width="6.85546875" style="2" customWidth="1"/>
    <col min="9492" max="9492" width="0" style="2" hidden="1" customWidth="1"/>
    <col min="9493" max="9494" width="6.28515625" style="2" customWidth="1"/>
    <col min="9495" max="9496" width="13.85546875" style="2" customWidth="1"/>
    <col min="9497" max="9497" width="10.85546875" style="2" customWidth="1"/>
    <col min="9498" max="9498" width="14.140625" style="2" customWidth="1"/>
    <col min="9499" max="9499" width="0" style="2" hidden="1" customWidth="1"/>
    <col min="9500" max="9500" width="13" style="2" customWidth="1"/>
    <col min="9501" max="9501" width="13.140625" style="2" customWidth="1"/>
    <col min="9502" max="9503" width="14" style="2" customWidth="1"/>
    <col min="9504" max="9504" width="11.42578125" style="2" customWidth="1"/>
    <col min="9505" max="9505" width="15.85546875" style="2" customWidth="1"/>
    <col min="9506" max="9506" width="23.7109375" style="2" customWidth="1"/>
    <col min="9507" max="9507" width="12" style="2" customWidth="1"/>
    <col min="9508" max="9509" width="0.28515625" style="2" customWidth="1"/>
    <col min="9510" max="9510" width="1.42578125" style="2" customWidth="1"/>
    <col min="9511" max="9511" width="0" style="2" hidden="1" customWidth="1"/>
    <col min="9512" max="9728" width="11.42578125" style="2"/>
    <col min="9729" max="9729" width="10.28515625" style="2" customWidth="1"/>
    <col min="9730" max="9730" width="13.42578125" style="2" customWidth="1"/>
    <col min="9731" max="9731" width="4.28515625" style="2" customWidth="1"/>
    <col min="9732" max="9732" width="4" style="2" customWidth="1"/>
    <col min="9733" max="9733" width="15" style="2" customWidth="1"/>
    <col min="9734" max="9734" width="4.140625" style="2" customWidth="1"/>
    <col min="9735" max="9735" width="11.28515625" style="2" customWidth="1"/>
    <col min="9736" max="9736" width="16.140625" style="2" customWidth="1"/>
    <col min="9737" max="9737" width="11" style="2" customWidth="1"/>
    <col min="9738" max="9739" width="2.140625" style="2" customWidth="1"/>
    <col min="9740" max="9740" width="3.28515625" style="2" customWidth="1"/>
    <col min="9741" max="9742" width="0" style="2" hidden="1" customWidth="1"/>
    <col min="9743" max="9743" width="2.85546875" style="2" customWidth="1"/>
    <col min="9744" max="9744" width="3.28515625" style="2" customWidth="1"/>
    <col min="9745" max="9745" width="1.42578125" style="2" customWidth="1"/>
    <col min="9746" max="9746" width="0" style="2" hidden="1" customWidth="1"/>
    <col min="9747" max="9747" width="6.85546875" style="2" customWidth="1"/>
    <col min="9748" max="9748" width="0" style="2" hidden="1" customWidth="1"/>
    <col min="9749" max="9750" width="6.28515625" style="2" customWidth="1"/>
    <col min="9751" max="9752" width="13.85546875" style="2" customWidth="1"/>
    <col min="9753" max="9753" width="10.85546875" style="2" customWidth="1"/>
    <col min="9754" max="9754" width="14.140625" style="2" customWidth="1"/>
    <col min="9755" max="9755" width="0" style="2" hidden="1" customWidth="1"/>
    <col min="9756" max="9756" width="13" style="2" customWidth="1"/>
    <col min="9757" max="9757" width="13.140625" style="2" customWidth="1"/>
    <col min="9758" max="9759" width="14" style="2" customWidth="1"/>
    <col min="9760" max="9760" width="11.42578125" style="2" customWidth="1"/>
    <col min="9761" max="9761" width="15.85546875" style="2" customWidth="1"/>
    <col min="9762" max="9762" width="23.7109375" style="2" customWidth="1"/>
    <col min="9763" max="9763" width="12" style="2" customWidth="1"/>
    <col min="9764" max="9765" width="0.28515625" style="2" customWidth="1"/>
    <col min="9766" max="9766" width="1.42578125" style="2" customWidth="1"/>
    <col min="9767" max="9767" width="0" style="2" hidden="1" customWidth="1"/>
    <col min="9768" max="9984" width="11.42578125" style="2"/>
    <col min="9985" max="9985" width="10.28515625" style="2" customWidth="1"/>
    <col min="9986" max="9986" width="13.42578125" style="2" customWidth="1"/>
    <col min="9987" max="9987" width="4.28515625" style="2" customWidth="1"/>
    <col min="9988" max="9988" width="4" style="2" customWidth="1"/>
    <col min="9989" max="9989" width="15" style="2" customWidth="1"/>
    <col min="9990" max="9990" width="4.140625" style="2" customWidth="1"/>
    <col min="9991" max="9991" width="11.28515625" style="2" customWidth="1"/>
    <col min="9992" max="9992" width="16.140625" style="2" customWidth="1"/>
    <col min="9993" max="9993" width="11" style="2" customWidth="1"/>
    <col min="9994" max="9995" width="2.140625" style="2" customWidth="1"/>
    <col min="9996" max="9996" width="3.28515625" style="2" customWidth="1"/>
    <col min="9997" max="9998" width="0" style="2" hidden="1" customWidth="1"/>
    <col min="9999" max="9999" width="2.85546875" style="2" customWidth="1"/>
    <col min="10000" max="10000" width="3.28515625" style="2" customWidth="1"/>
    <col min="10001" max="10001" width="1.42578125" style="2" customWidth="1"/>
    <col min="10002" max="10002" width="0" style="2" hidden="1" customWidth="1"/>
    <col min="10003" max="10003" width="6.85546875" style="2" customWidth="1"/>
    <col min="10004" max="10004" width="0" style="2" hidden="1" customWidth="1"/>
    <col min="10005" max="10006" width="6.28515625" style="2" customWidth="1"/>
    <col min="10007" max="10008" width="13.85546875" style="2" customWidth="1"/>
    <col min="10009" max="10009" width="10.85546875" style="2" customWidth="1"/>
    <col min="10010" max="10010" width="14.140625" style="2" customWidth="1"/>
    <col min="10011" max="10011" width="0" style="2" hidden="1" customWidth="1"/>
    <col min="10012" max="10012" width="13" style="2" customWidth="1"/>
    <col min="10013" max="10013" width="13.140625" style="2" customWidth="1"/>
    <col min="10014" max="10015" width="14" style="2" customWidth="1"/>
    <col min="10016" max="10016" width="11.42578125" style="2" customWidth="1"/>
    <col min="10017" max="10017" width="15.85546875" style="2" customWidth="1"/>
    <col min="10018" max="10018" width="23.7109375" style="2" customWidth="1"/>
    <col min="10019" max="10019" width="12" style="2" customWidth="1"/>
    <col min="10020" max="10021" width="0.28515625" style="2" customWidth="1"/>
    <col min="10022" max="10022" width="1.42578125" style="2" customWidth="1"/>
    <col min="10023" max="10023" width="0" style="2" hidden="1" customWidth="1"/>
    <col min="10024" max="10240" width="11.42578125" style="2"/>
    <col min="10241" max="10241" width="10.28515625" style="2" customWidth="1"/>
    <col min="10242" max="10242" width="13.42578125" style="2" customWidth="1"/>
    <col min="10243" max="10243" width="4.28515625" style="2" customWidth="1"/>
    <col min="10244" max="10244" width="4" style="2" customWidth="1"/>
    <col min="10245" max="10245" width="15" style="2" customWidth="1"/>
    <col min="10246" max="10246" width="4.140625" style="2" customWidth="1"/>
    <col min="10247" max="10247" width="11.28515625" style="2" customWidth="1"/>
    <col min="10248" max="10248" width="16.140625" style="2" customWidth="1"/>
    <col min="10249" max="10249" width="11" style="2" customWidth="1"/>
    <col min="10250" max="10251" width="2.140625" style="2" customWidth="1"/>
    <col min="10252" max="10252" width="3.28515625" style="2" customWidth="1"/>
    <col min="10253" max="10254" width="0" style="2" hidden="1" customWidth="1"/>
    <col min="10255" max="10255" width="2.85546875" style="2" customWidth="1"/>
    <col min="10256" max="10256" width="3.28515625" style="2" customWidth="1"/>
    <col min="10257" max="10257" width="1.42578125" style="2" customWidth="1"/>
    <col min="10258" max="10258" width="0" style="2" hidden="1" customWidth="1"/>
    <col min="10259" max="10259" width="6.85546875" style="2" customWidth="1"/>
    <col min="10260" max="10260" width="0" style="2" hidden="1" customWidth="1"/>
    <col min="10261" max="10262" width="6.28515625" style="2" customWidth="1"/>
    <col min="10263" max="10264" width="13.85546875" style="2" customWidth="1"/>
    <col min="10265" max="10265" width="10.85546875" style="2" customWidth="1"/>
    <col min="10266" max="10266" width="14.140625" style="2" customWidth="1"/>
    <col min="10267" max="10267" width="0" style="2" hidden="1" customWidth="1"/>
    <col min="10268" max="10268" width="13" style="2" customWidth="1"/>
    <col min="10269" max="10269" width="13.140625" style="2" customWidth="1"/>
    <col min="10270" max="10271" width="14" style="2" customWidth="1"/>
    <col min="10272" max="10272" width="11.42578125" style="2" customWidth="1"/>
    <col min="10273" max="10273" width="15.85546875" style="2" customWidth="1"/>
    <col min="10274" max="10274" width="23.7109375" style="2" customWidth="1"/>
    <col min="10275" max="10275" width="12" style="2" customWidth="1"/>
    <col min="10276" max="10277" width="0.28515625" style="2" customWidth="1"/>
    <col min="10278" max="10278" width="1.42578125" style="2" customWidth="1"/>
    <col min="10279" max="10279" width="0" style="2" hidden="1" customWidth="1"/>
    <col min="10280" max="10496" width="11.42578125" style="2"/>
    <col min="10497" max="10497" width="10.28515625" style="2" customWidth="1"/>
    <col min="10498" max="10498" width="13.42578125" style="2" customWidth="1"/>
    <col min="10499" max="10499" width="4.28515625" style="2" customWidth="1"/>
    <col min="10500" max="10500" width="4" style="2" customWidth="1"/>
    <col min="10501" max="10501" width="15" style="2" customWidth="1"/>
    <col min="10502" max="10502" width="4.140625" style="2" customWidth="1"/>
    <col min="10503" max="10503" width="11.28515625" style="2" customWidth="1"/>
    <col min="10504" max="10504" width="16.140625" style="2" customWidth="1"/>
    <col min="10505" max="10505" width="11" style="2" customWidth="1"/>
    <col min="10506" max="10507" width="2.140625" style="2" customWidth="1"/>
    <col min="10508" max="10508" width="3.28515625" style="2" customWidth="1"/>
    <col min="10509" max="10510" width="0" style="2" hidden="1" customWidth="1"/>
    <col min="10511" max="10511" width="2.85546875" style="2" customWidth="1"/>
    <col min="10512" max="10512" width="3.28515625" style="2" customWidth="1"/>
    <col min="10513" max="10513" width="1.42578125" style="2" customWidth="1"/>
    <col min="10514" max="10514" width="0" style="2" hidden="1" customWidth="1"/>
    <col min="10515" max="10515" width="6.85546875" style="2" customWidth="1"/>
    <col min="10516" max="10516" width="0" style="2" hidden="1" customWidth="1"/>
    <col min="10517" max="10518" width="6.28515625" style="2" customWidth="1"/>
    <col min="10519" max="10520" width="13.85546875" style="2" customWidth="1"/>
    <col min="10521" max="10521" width="10.85546875" style="2" customWidth="1"/>
    <col min="10522" max="10522" width="14.140625" style="2" customWidth="1"/>
    <col min="10523" max="10523" width="0" style="2" hidden="1" customWidth="1"/>
    <col min="10524" max="10524" width="13" style="2" customWidth="1"/>
    <col min="10525" max="10525" width="13.140625" style="2" customWidth="1"/>
    <col min="10526" max="10527" width="14" style="2" customWidth="1"/>
    <col min="10528" max="10528" width="11.42578125" style="2" customWidth="1"/>
    <col min="10529" max="10529" width="15.85546875" style="2" customWidth="1"/>
    <col min="10530" max="10530" width="23.7109375" style="2" customWidth="1"/>
    <col min="10531" max="10531" width="12" style="2" customWidth="1"/>
    <col min="10532" max="10533" width="0.28515625" style="2" customWidth="1"/>
    <col min="10534" max="10534" width="1.42578125" style="2" customWidth="1"/>
    <col min="10535" max="10535" width="0" style="2" hidden="1" customWidth="1"/>
    <col min="10536" max="10752" width="11.42578125" style="2"/>
    <col min="10753" max="10753" width="10.28515625" style="2" customWidth="1"/>
    <col min="10754" max="10754" width="13.42578125" style="2" customWidth="1"/>
    <col min="10755" max="10755" width="4.28515625" style="2" customWidth="1"/>
    <col min="10756" max="10756" width="4" style="2" customWidth="1"/>
    <col min="10757" max="10757" width="15" style="2" customWidth="1"/>
    <col min="10758" max="10758" width="4.140625" style="2" customWidth="1"/>
    <col min="10759" max="10759" width="11.28515625" style="2" customWidth="1"/>
    <col min="10760" max="10760" width="16.140625" style="2" customWidth="1"/>
    <col min="10761" max="10761" width="11" style="2" customWidth="1"/>
    <col min="10762" max="10763" width="2.140625" style="2" customWidth="1"/>
    <col min="10764" max="10764" width="3.28515625" style="2" customWidth="1"/>
    <col min="10765" max="10766" width="0" style="2" hidden="1" customWidth="1"/>
    <col min="10767" max="10767" width="2.85546875" style="2" customWidth="1"/>
    <col min="10768" max="10768" width="3.28515625" style="2" customWidth="1"/>
    <col min="10769" max="10769" width="1.42578125" style="2" customWidth="1"/>
    <col min="10770" max="10770" width="0" style="2" hidden="1" customWidth="1"/>
    <col min="10771" max="10771" width="6.85546875" style="2" customWidth="1"/>
    <col min="10772" max="10772" width="0" style="2" hidden="1" customWidth="1"/>
    <col min="10773" max="10774" width="6.28515625" style="2" customWidth="1"/>
    <col min="10775" max="10776" width="13.85546875" style="2" customWidth="1"/>
    <col min="10777" max="10777" width="10.85546875" style="2" customWidth="1"/>
    <col min="10778" max="10778" width="14.140625" style="2" customWidth="1"/>
    <col min="10779" max="10779" width="0" style="2" hidden="1" customWidth="1"/>
    <col min="10780" max="10780" width="13" style="2" customWidth="1"/>
    <col min="10781" max="10781" width="13.140625" style="2" customWidth="1"/>
    <col min="10782" max="10783" width="14" style="2" customWidth="1"/>
    <col min="10784" max="10784" width="11.42578125" style="2" customWidth="1"/>
    <col min="10785" max="10785" width="15.85546875" style="2" customWidth="1"/>
    <col min="10786" max="10786" width="23.7109375" style="2" customWidth="1"/>
    <col min="10787" max="10787" width="12" style="2" customWidth="1"/>
    <col min="10788" max="10789" width="0.28515625" style="2" customWidth="1"/>
    <col min="10790" max="10790" width="1.42578125" style="2" customWidth="1"/>
    <col min="10791" max="10791" width="0" style="2" hidden="1" customWidth="1"/>
    <col min="10792" max="11008" width="11.42578125" style="2"/>
    <col min="11009" max="11009" width="10.28515625" style="2" customWidth="1"/>
    <col min="11010" max="11010" width="13.42578125" style="2" customWidth="1"/>
    <col min="11011" max="11011" width="4.28515625" style="2" customWidth="1"/>
    <col min="11012" max="11012" width="4" style="2" customWidth="1"/>
    <col min="11013" max="11013" width="15" style="2" customWidth="1"/>
    <col min="11014" max="11014" width="4.140625" style="2" customWidth="1"/>
    <col min="11015" max="11015" width="11.28515625" style="2" customWidth="1"/>
    <col min="11016" max="11016" width="16.140625" style="2" customWidth="1"/>
    <col min="11017" max="11017" width="11" style="2" customWidth="1"/>
    <col min="11018" max="11019" width="2.140625" style="2" customWidth="1"/>
    <col min="11020" max="11020" width="3.28515625" style="2" customWidth="1"/>
    <col min="11021" max="11022" width="0" style="2" hidden="1" customWidth="1"/>
    <col min="11023" max="11023" width="2.85546875" style="2" customWidth="1"/>
    <col min="11024" max="11024" width="3.28515625" style="2" customWidth="1"/>
    <col min="11025" max="11025" width="1.42578125" style="2" customWidth="1"/>
    <col min="11026" max="11026" width="0" style="2" hidden="1" customWidth="1"/>
    <col min="11027" max="11027" width="6.85546875" style="2" customWidth="1"/>
    <col min="11028" max="11028" width="0" style="2" hidden="1" customWidth="1"/>
    <col min="11029" max="11030" width="6.28515625" style="2" customWidth="1"/>
    <col min="11031" max="11032" width="13.85546875" style="2" customWidth="1"/>
    <col min="11033" max="11033" width="10.85546875" style="2" customWidth="1"/>
    <col min="11034" max="11034" width="14.140625" style="2" customWidth="1"/>
    <col min="11035" max="11035" width="0" style="2" hidden="1" customWidth="1"/>
    <col min="11036" max="11036" width="13" style="2" customWidth="1"/>
    <col min="11037" max="11037" width="13.140625" style="2" customWidth="1"/>
    <col min="11038" max="11039" width="14" style="2" customWidth="1"/>
    <col min="11040" max="11040" width="11.42578125" style="2" customWidth="1"/>
    <col min="11041" max="11041" width="15.85546875" style="2" customWidth="1"/>
    <col min="11042" max="11042" width="23.7109375" style="2" customWidth="1"/>
    <col min="11043" max="11043" width="12" style="2" customWidth="1"/>
    <col min="11044" max="11045" width="0.28515625" style="2" customWidth="1"/>
    <col min="11046" max="11046" width="1.42578125" style="2" customWidth="1"/>
    <col min="11047" max="11047" width="0" style="2" hidden="1" customWidth="1"/>
    <col min="11048" max="11264" width="11.42578125" style="2"/>
    <col min="11265" max="11265" width="10.28515625" style="2" customWidth="1"/>
    <col min="11266" max="11266" width="13.42578125" style="2" customWidth="1"/>
    <col min="11267" max="11267" width="4.28515625" style="2" customWidth="1"/>
    <col min="11268" max="11268" width="4" style="2" customWidth="1"/>
    <col min="11269" max="11269" width="15" style="2" customWidth="1"/>
    <col min="11270" max="11270" width="4.140625" style="2" customWidth="1"/>
    <col min="11271" max="11271" width="11.28515625" style="2" customWidth="1"/>
    <col min="11272" max="11272" width="16.140625" style="2" customWidth="1"/>
    <col min="11273" max="11273" width="11" style="2" customWidth="1"/>
    <col min="11274" max="11275" width="2.140625" style="2" customWidth="1"/>
    <col min="11276" max="11276" width="3.28515625" style="2" customWidth="1"/>
    <col min="11277" max="11278" width="0" style="2" hidden="1" customWidth="1"/>
    <col min="11279" max="11279" width="2.85546875" style="2" customWidth="1"/>
    <col min="11280" max="11280" width="3.28515625" style="2" customWidth="1"/>
    <col min="11281" max="11281" width="1.42578125" style="2" customWidth="1"/>
    <col min="11282" max="11282" width="0" style="2" hidden="1" customWidth="1"/>
    <col min="11283" max="11283" width="6.85546875" style="2" customWidth="1"/>
    <col min="11284" max="11284" width="0" style="2" hidden="1" customWidth="1"/>
    <col min="11285" max="11286" width="6.28515625" style="2" customWidth="1"/>
    <col min="11287" max="11288" width="13.85546875" style="2" customWidth="1"/>
    <col min="11289" max="11289" width="10.85546875" style="2" customWidth="1"/>
    <col min="11290" max="11290" width="14.140625" style="2" customWidth="1"/>
    <col min="11291" max="11291" width="0" style="2" hidden="1" customWidth="1"/>
    <col min="11292" max="11292" width="13" style="2" customWidth="1"/>
    <col min="11293" max="11293" width="13.140625" style="2" customWidth="1"/>
    <col min="11294" max="11295" width="14" style="2" customWidth="1"/>
    <col min="11296" max="11296" width="11.42578125" style="2" customWidth="1"/>
    <col min="11297" max="11297" width="15.85546875" style="2" customWidth="1"/>
    <col min="11298" max="11298" width="23.7109375" style="2" customWidth="1"/>
    <col min="11299" max="11299" width="12" style="2" customWidth="1"/>
    <col min="11300" max="11301" width="0.28515625" style="2" customWidth="1"/>
    <col min="11302" max="11302" width="1.42578125" style="2" customWidth="1"/>
    <col min="11303" max="11303" width="0" style="2" hidden="1" customWidth="1"/>
    <col min="11304" max="11520" width="11.42578125" style="2"/>
    <col min="11521" max="11521" width="10.28515625" style="2" customWidth="1"/>
    <col min="11522" max="11522" width="13.42578125" style="2" customWidth="1"/>
    <col min="11523" max="11523" width="4.28515625" style="2" customWidth="1"/>
    <col min="11524" max="11524" width="4" style="2" customWidth="1"/>
    <col min="11525" max="11525" width="15" style="2" customWidth="1"/>
    <col min="11526" max="11526" width="4.140625" style="2" customWidth="1"/>
    <col min="11527" max="11527" width="11.28515625" style="2" customWidth="1"/>
    <col min="11528" max="11528" width="16.140625" style="2" customWidth="1"/>
    <col min="11529" max="11529" width="11" style="2" customWidth="1"/>
    <col min="11530" max="11531" width="2.140625" style="2" customWidth="1"/>
    <col min="11532" max="11532" width="3.28515625" style="2" customWidth="1"/>
    <col min="11533" max="11534" width="0" style="2" hidden="1" customWidth="1"/>
    <col min="11535" max="11535" width="2.85546875" style="2" customWidth="1"/>
    <col min="11536" max="11536" width="3.28515625" style="2" customWidth="1"/>
    <col min="11537" max="11537" width="1.42578125" style="2" customWidth="1"/>
    <col min="11538" max="11538" width="0" style="2" hidden="1" customWidth="1"/>
    <col min="11539" max="11539" width="6.85546875" style="2" customWidth="1"/>
    <col min="11540" max="11540" width="0" style="2" hidden="1" customWidth="1"/>
    <col min="11541" max="11542" width="6.28515625" style="2" customWidth="1"/>
    <col min="11543" max="11544" width="13.85546875" style="2" customWidth="1"/>
    <col min="11545" max="11545" width="10.85546875" style="2" customWidth="1"/>
    <col min="11546" max="11546" width="14.140625" style="2" customWidth="1"/>
    <col min="11547" max="11547" width="0" style="2" hidden="1" customWidth="1"/>
    <col min="11548" max="11548" width="13" style="2" customWidth="1"/>
    <col min="11549" max="11549" width="13.140625" style="2" customWidth="1"/>
    <col min="11550" max="11551" width="14" style="2" customWidth="1"/>
    <col min="11552" max="11552" width="11.42578125" style="2" customWidth="1"/>
    <col min="11553" max="11553" width="15.85546875" style="2" customWidth="1"/>
    <col min="11554" max="11554" width="23.7109375" style="2" customWidth="1"/>
    <col min="11555" max="11555" width="12" style="2" customWidth="1"/>
    <col min="11556" max="11557" width="0.28515625" style="2" customWidth="1"/>
    <col min="11558" max="11558" width="1.42578125" style="2" customWidth="1"/>
    <col min="11559" max="11559" width="0" style="2" hidden="1" customWidth="1"/>
    <col min="11560" max="11776" width="11.42578125" style="2"/>
    <col min="11777" max="11777" width="10.28515625" style="2" customWidth="1"/>
    <col min="11778" max="11778" width="13.42578125" style="2" customWidth="1"/>
    <col min="11779" max="11779" width="4.28515625" style="2" customWidth="1"/>
    <col min="11780" max="11780" width="4" style="2" customWidth="1"/>
    <col min="11781" max="11781" width="15" style="2" customWidth="1"/>
    <col min="11782" max="11782" width="4.140625" style="2" customWidth="1"/>
    <col min="11783" max="11783" width="11.28515625" style="2" customWidth="1"/>
    <col min="11784" max="11784" width="16.140625" style="2" customWidth="1"/>
    <col min="11785" max="11785" width="11" style="2" customWidth="1"/>
    <col min="11786" max="11787" width="2.140625" style="2" customWidth="1"/>
    <col min="11788" max="11788" width="3.28515625" style="2" customWidth="1"/>
    <col min="11789" max="11790" width="0" style="2" hidden="1" customWidth="1"/>
    <col min="11791" max="11791" width="2.85546875" style="2" customWidth="1"/>
    <col min="11792" max="11792" width="3.28515625" style="2" customWidth="1"/>
    <col min="11793" max="11793" width="1.42578125" style="2" customWidth="1"/>
    <col min="11794" max="11794" width="0" style="2" hidden="1" customWidth="1"/>
    <col min="11795" max="11795" width="6.85546875" style="2" customWidth="1"/>
    <col min="11796" max="11796" width="0" style="2" hidden="1" customWidth="1"/>
    <col min="11797" max="11798" width="6.28515625" style="2" customWidth="1"/>
    <col min="11799" max="11800" width="13.85546875" style="2" customWidth="1"/>
    <col min="11801" max="11801" width="10.85546875" style="2" customWidth="1"/>
    <col min="11802" max="11802" width="14.140625" style="2" customWidth="1"/>
    <col min="11803" max="11803" width="0" style="2" hidden="1" customWidth="1"/>
    <col min="11804" max="11804" width="13" style="2" customWidth="1"/>
    <col min="11805" max="11805" width="13.140625" style="2" customWidth="1"/>
    <col min="11806" max="11807" width="14" style="2" customWidth="1"/>
    <col min="11808" max="11808" width="11.42578125" style="2" customWidth="1"/>
    <col min="11809" max="11809" width="15.85546875" style="2" customWidth="1"/>
    <col min="11810" max="11810" width="23.7109375" style="2" customWidth="1"/>
    <col min="11811" max="11811" width="12" style="2" customWidth="1"/>
    <col min="11812" max="11813" width="0.28515625" style="2" customWidth="1"/>
    <col min="11814" max="11814" width="1.42578125" style="2" customWidth="1"/>
    <col min="11815" max="11815" width="0" style="2" hidden="1" customWidth="1"/>
    <col min="11816" max="12032" width="11.42578125" style="2"/>
    <col min="12033" max="12033" width="10.28515625" style="2" customWidth="1"/>
    <col min="12034" max="12034" width="13.42578125" style="2" customWidth="1"/>
    <col min="12035" max="12035" width="4.28515625" style="2" customWidth="1"/>
    <col min="12036" max="12036" width="4" style="2" customWidth="1"/>
    <col min="12037" max="12037" width="15" style="2" customWidth="1"/>
    <col min="12038" max="12038" width="4.140625" style="2" customWidth="1"/>
    <col min="12039" max="12039" width="11.28515625" style="2" customWidth="1"/>
    <col min="12040" max="12040" width="16.140625" style="2" customWidth="1"/>
    <col min="12041" max="12041" width="11" style="2" customWidth="1"/>
    <col min="12042" max="12043" width="2.140625" style="2" customWidth="1"/>
    <col min="12044" max="12044" width="3.28515625" style="2" customWidth="1"/>
    <col min="12045" max="12046" width="0" style="2" hidden="1" customWidth="1"/>
    <col min="12047" max="12047" width="2.85546875" style="2" customWidth="1"/>
    <col min="12048" max="12048" width="3.28515625" style="2" customWidth="1"/>
    <col min="12049" max="12049" width="1.42578125" style="2" customWidth="1"/>
    <col min="12050" max="12050" width="0" style="2" hidden="1" customWidth="1"/>
    <col min="12051" max="12051" width="6.85546875" style="2" customWidth="1"/>
    <col min="12052" max="12052" width="0" style="2" hidden="1" customWidth="1"/>
    <col min="12053" max="12054" width="6.28515625" style="2" customWidth="1"/>
    <col min="12055" max="12056" width="13.85546875" style="2" customWidth="1"/>
    <col min="12057" max="12057" width="10.85546875" style="2" customWidth="1"/>
    <col min="12058" max="12058" width="14.140625" style="2" customWidth="1"/>
    <col min="12059" max="12059" width="0" style="2" hidden="1" customWidth="1"/>
    <col min="12060" max="12060" width="13" style="2" customWidth="1"/>
    <col min="12061" max="12061" width="13.140625" style="2" customWidth="1"/>
    <col min="12062" max="12063" width="14" style="2" customWidth="1"/>
    <col min="12064" max="12064" width="11.42578125" style="2" customWidth="1"/>
    <col min="12065" max="12065" width="15.85546875" style="2" customWidth="1"/>
    <col min="12066" max="12066" width="23.7109375" style="2" customWidth="1"/>
    <col min="12067" max="12067" width="12" style="2" customWidth="1"/>
    <col min="12068" max="12069" width="0.28515625" style="2" customWidth="1"/>
    <col min="12070" max="12070" width="1.42578125" style="2" customWidth="1"/>
    <col min="12071" max="12071" width="0" style="2" hidden="1" customWidth="1"/>
    <col min="12072" max="12288" width="11.42578125" style="2"/>
    <col min="12289" max="12289" width="10.28515625" style="2" customWidth="1"/>
    <col min="12290" max="12290" width="13.42578125" style="2" customWidth="1"/>
    <col min="12291" max="12291" width="4.28515625" style="2" customWidth="1"/>
    <col min="12292" max="12292" width="4" style="2" customWidth="1"/>
    <col min="12293" max="12293" width="15" style="2" customWidth="1"/>
    <col min="12294" max="12294" width="4.140625" style="2" customWidth="1"/>
    <col min="12295" max="12295" width="11.28515625" style="2" customWidth="1"/>
    <col min="12296" max="12296" width="16.140625" style="2" customWidth="1"/>
    <col min="12297" max="12297" width="11" style="2" customWidth="1"/>
    <col min="12298" max="12299" width="2.140625" style="2" customWidth="1"/>
    <col min="12300" max="12300" width="3.28515625" style="2" customWidth="1"/>
    <col min="12301" max="12302" width="0" style="2" hidden="1" customWidth="1"/>
    <col min="12303" max="12303" width="2.85546875" style="2" customWidth="1"/>
    <col min="12304" max="12304" width="3.28515625" style="2" customWidth="1"/>
    <col min="12305" max="12305" width="1.42578125" style="2" customWidth="1"/>
    <col min="12306" max="12306" width="0" style="2" hidden="1" customWidth="1"/>
    <col min="12307" max="12307" width="6.85546875" style="2" customWidth="1"/>
    <col min="12308" max="12308" width="0" style="2" hidden="1" customWidth="1"/>
    <col min="12309" max="12310" width="6.28515625" style="2" customWidth="1"/>
    <col min="12311" max="12312" width="13.85546875" style="2" customWidth="1"/>
    <col min="12313" max="12313" width="10.85546875" style="2" customWidth="1"/>
    <col min="12314" max="12314" width="14.140625" style="2" customWidth="1"/>
    <col min="12315" max="12315" width="0" style="2" hidden="1" customWidth="1"/>
    <col min="12316" max="12316" width="13" style="2" customWidth="1"/>
    <col min="12317" max="12317" width="13.140625" style="2" customWidth="1"/>
    <col min="12318" max="12319" width="14" style="2" customWidth="1"/>
    <col min="12320" max="12320" width="11.42578125" style="2" customWidth="1"/>
    <col min="12321" max="12321" width="15.85546875" style="2" customWidth="1"/>
    <col min="12322" max="12322" width="23.7109375" style="2" customWidth="1"/>
    <col min="12323" max="12323" width="12" style="2" customWidth="1"/>
    <col min="12324" max="12325" width="0.28515625" style="2" customWidth="1"/>
    <col min="12326" max="12326" width="1.42578125" style="2" customWidth="1"/>
    <col min="12327" max="12327" width="0" style="2" hidden="1" customWidth="1"/>
    <col min="12328" max="12544" width="11.42578125" style="2"/>
    <col min="12545" max="12545" width="10.28515625" style="2" customWidth="1"/>
    <col min="12546" max="12546" width="13.42578125" style="2" customWidth="1"/>
    <col min="12547" max="12547" width="4.28515625" style="2" customWidth="1"/>
    <col min="12548" max="12548" width="4" style="2" customWidth="1"/>
    <col min="12549" max="12549" width="15" style="2" customWidth="1"/>
    <col min="12550" max="12550" width="4.140625" style="2" customWidth="1"/>
    <col min="12551" max="12551" width="11.28515625" style="2" customWidth="1"/>
    <col min="12552" max="12552" width="16.140625" style="2" customWidth="1"/>
    <col min="12553" max="12553" width="11" style="2" customWidth="1"/>
    <col min="12554" max="12555" width="2.140625" style="2" customWidth="1"/>
    <col min="12556" max="12556" width="3.28515625" style="2" customWidth="1"/>
    <col min="12557" max="12558" width="0" style="2" hidden="1" customWidth="1"/>
    <col min="12559" max="12559" width="2.85546875" style="2" customWidth="1"/>
    <col min="12560" max="12560" width="3.28515625" style="2" customWidth="1"/>
    <col min="12561" max="12561" width="1.42578125" style="2" customWidth="1"/>
    <col min="12562" max="12562" width="0" style="2" hidden="1" customWidth="1"/>
    <col min="12563" max="12563" width="6.85546875" style="2" customWidth="1"/>
    <col min="12564" max="12564" width="0" style="2" hidden="1" customWidth="1"/>
    <col min="12565" max="12566" width="6.28515625" style="2" customWidth="1"/>
    <col min="12567" max="12568" width="13.85546875" style="2" customWidth="1"/>
    <col min="12569" max="12569" width="10.85546875" style="2" customWidth="1"/>
    <col min="12570" max="12570" width="14.140625" style="2" customWidth="1"/>
    <col min="12571" max="12571" width="0" style="2" hidden="1" customWidth="1"/>
    <col min="12572" max="12572" width="13" style="2" customWidth="1"/>
    <col min="12573" max="12573" width="13.140625" style="2" customWidth="1"/>
    <col min="12574" max="12575" width="14" style="2" customWidth="1"/>
    <col min="12576" max="12576" width="11.42578125" style="2" customWidth="1"/>
    <col min="12577" max="12577" width="15.85546875" style="2" customWidth="1"/>
    <col min="12578" max="12578" width="23.7109375" style="2" customWidth="1"/>
    <col min="12579" max="12579" width="12" style="2" customWidth="1"/>
    <col min="12580" max="12581" width="0.28515625" style="2" customWidth="1"/>
    <col min="12582" max="12582" width="1.42578125" style="2" customWidth="1"/>
    <col min="12583" max="12583" width="0" style="2" hidden="1" customWidth="1"/>
    <col min="12584" max="12800" width="11.42578125" style="2"/>
    <col min="12801" max="12801" width="10.28515625" style="2" customWidth="1"/>
    <col min="12802" max="12802" width="13.42578125" style="2" customWidth="1"/>
    <col min="12803" max="12803" width="4.28515625" style="2" customWidth="1"/>
    <col min="12804" max="12804" width="4" style="2" customWidth="1"/>
    <col min="12805" max="12805" width="15" style="2" customWidth="1"/>
    <col min="12806" max="12806" width="4.140625" style="2" customWidth="1"/>
    <col min="12807" max="12807" width="11.28515625" style="2" customWidth="1"/>
    <col min="12808" max="12808" width="16.140625" style="2" customWidth="1"/>
    <col min="12809" max="12809" width="11" style="2" customWidth="1"/>
    <col min="12810" max="12811" width="2.140625" style="2" customWidth="1"/>
    <col min="12812" max="12812" width="3.28515625" style="2" customWidth="1"/>
    <col min="12813" max="12814" width="0" style="2" hidden="1" customWidth="1"/>
    <col min="12815" max="12815" width="2.85546875" style="2" customWidth="1"/>
    <col min="12816" max="12816" width="3.28515625" style="2" customWidth="1"/>
    <col min="12817" max="12817" width="1.42578125" style="2" customWidth="1"/>
    <col min="12818" max="12818" width="0" style="2" hidden="1" customWidth="1"/>
    <col min="12819" max="12819" width="6.85546875" style="2" customWidth="1"/>
    <col min="12820" max="12820" width="0" style="2" hidden="1" customWidth="1"/>
    <col min="12821" max="12822" width="6.28515625" style="2" customWidth="1"/>
    <col min="12823" max="12824" width="13.85546875" style="2" customWidth="1"/>
    <col min="12825" max="12825" width="10.85546875" style="2" customWidth="1"/>
    <col min="12826" max="12826" width="14.140625" style="2" customWidth="1"/>
    <col min="12827" max="12827" width="0" style="2" hidden="1" customWidth="1"/>
    <col min="12828" max="12828" width="13" style="2" customWidth="1"/>
    <col min="12829" max="12829" width="13.140625" style="2" customWidth="1"/>
    <col min="12830" max="12831" width="14" style="2" customWidth="1"/>
    <col min="12832" max="12832" width="11.42578125" style="2" customWidth="1"/>
    <col min="12833" max="12833" width="15.85546875" style="2" customWidth="1"/>
    <col min="12834" max="12834" width="23.7109375" style="2" customWidth="1"/>
    <col min="12835" max="12835" width="12" style="2" customWidth="1"/>
    <col min="12836" max="12837" width="0.28515625" style="2" customWidth="1"/>
    <col min="12838" max="12838" width="1.42578125" style="2" customWidth="1"/>
    <col min="12839" max="12839" width="0" style="2" hidden="1" customWidth="1"/>
    <col min="12840" max="13056" width="11.42578125" style="2"/>
    <col min="13057" max="13057" width="10.28515625" style="2" customWidth="1"/>
    <col min="13058" max="13058" width="13.42578125" style="2" customWidth="1"/>
    <col min="13059" max="13059" width="4.28515625" style="2" customWidth="1"/>
    <col min="13060" max="13060" width="4" style="2" customWidth="1"/>
    <col min="13061" max="13061" width="15" style="2" customWidth="1"/>
    <col min="13062" max="13062" width="4.140625" style="2" customWidth="1"/>
    <col min="13063" max="13063" width="11.28515625" style="2" customWidth="1"/>
    <col min="13064" max="13064" width="16.140625" style="2" customWidth="1"/>
    <col min="13065" max="13065" width="11" style="2" customWidth="1"/>
    <col min="13066" max="13067" width="2.140625" style="2" customWidth="1"/>
    <col min="13068" max="13068" width="3.28515625" style="2" customWidth="1"/>
    <col min="13069" max="13070" width="0" style="2" hidden="1" customWidth="1"/>
    <col min="13071" max="13071" width="2.85546875" style="2" customWidth="1"/>
    <col min="13072" max="13072" width="3.28515625" style="2" customWidth="1"/>
    <col min="13073" max="13073" width="1.42578125" style="2" customWidth="1"/>
    <col min="13074" max="13074" width="0" style="2" hidden="1" customWidth="1"/>
    <col min="13075" max="13075" width="6.85546875" style="2" customWidth="1"/>
    <col min="13076" max="13076" width="0" style="2" hidden="1" customWidth="1"/>
    <col min="13077" max="13078" width="6.28515625" style="2" customWidth="1"/>
    <col min="13079" max="13080" width="13.85546875" style="2" customWidth="1"/>
    <col min="13081" max="13081" width="10.85546875" style="2" customWidth="1"/>
    <col min="13082" max="13082" width="14.140625" style="2" customWidth="1"/>
    <col min="13083" max="13083" width="0" style="2" hidden="1" customWidth="1"/>
    <col min="13084" max="13084" width="13" style="2" customWidth="1"/>
    <col min="13085" max="13085" width="13.140625" style="2" customWidth="1"/>
    <col min="13086" max="13087" width="14" style="2" customWidth="1"/>
    <col min="13088" max="13088" width="11.42578125" style="2" customWidth="1"/>
    <col min="13089" max="13089" width="15.85546875" style="2" customWidth="1"/>
    <col min="13090" max="13090" width="23.7109375" style="2" customWidth="1"/>
    <col min="13091" max="13091" width="12" style="2" customWidth="1"/>
    <col min="13092" max="13093" width="0.28515625" style="2" customWidth="1"/>
    <col min="13094" max="13094" width="1.42578125" style="2" customWidth="1"/>
    <col min="13095" max="13095" width="0" style="2" hidden="1" customWidth="1"/>
    <col min="13096" max="13312" width="11.42578125" style="2"/>
    <col min="13313" max="13313" width="10.28515625" style="2" customWidth="1"/>
    <col min="13314" max="13314" width="13.42578125" style="2" customWidth="1"/>
    <col min="13315" max="13315" width="4.28515625" style="2" customWidth="1"/>
    <col min="13316" max="13316" width="4" style="2" customWidth="1"/>
    <col min="13317" max="13317" width="15" style="2" customWidth="1"/>
    <col min="13318" max="13318" width="4.140625" style="2" customWidth="1"/>
    <col min="13319" max="13319" width="11.28515625" style="2" customWidth="1"/>
    <col min="13320" max="13320" width="16.140625" style="2" customWidth="1"/>
    <col min="13321" max="13321" width="11" style="2" customWidth="1"/>
    <col min="13322" max="13323" width="2.140625" style="2" customWidth="1"/>
    <col min="13324" max="13324" width="3.28515625" style="2" customWidth="1"/>
    <col min="13325" max="13326" width="0" style="2" hidden="1" customWidth="1"/>
    <col min="13327" max="13327" width="2.85546875" style="2" customWidth="1"/>
    <col min="13328" max="13328" width="3.28515625" style="2" customWidth="1"/>
    <col min="13329" max="13329" width="1.42578125" style="2" customWidth="1"/>
    <col min="13330" max="13330" width="0" style="2" hidden="1" customWidth="1"/>
    <col min="13331" max="13331" width="6.85546875" style="2" customWidth="1"/>
    <col min="13332" max="13332" width="0" style="2" hidden="1" customWidth="1"/>
    <col min="13333" max="13334" width="6.28515625" style="2" customWidth="1"/>
    <col min="13335" max="13336" width="13.85546875" style="2" customWidth="1"/>
    <col min="13337" max="13337" width="10.85546875" style="2" customWidth="1"/>
    <col min="13338" max="13338" width="14.140625" style="2" customWidth="1"/>
    <col min="13339" max="13339" width="0" style="2" hidden="1" customWidth="1"/>
    <col min="13340" max="13340" width="13" style="2" customWidth="1"/>
    <col min="13341" max="13341" width="13.140625" style="2" customWidth="1"/>
    <col min="13342" max="13343" width="14" style="2" customWidth="1"/>
    <col min="13344" max="13344" width="11.42578125" style="2" customWidth="1"/>
    <col min="13345" max="13345" width="15.85546875" style="2" customWidth="1"/>
    <col min="13346" max="13346" width="23.7109375" style="2" customWidth="1"/>
    <col min="13347" max="13347" width="12" style="2" customWidth="1"/>
    <col min="13348" max="13349" width="0.28515625" style="2" customWidth="1"/>
    <col min="13350" max="13350" width="1.42578125" style="2" customWidth="1"/>
    <col min="13351" max="13351" width="0" style="2" hidden="1" customWidth="1"/>
    <col min="13352" max="13568" width="11.42578125" style="2"/>
    <col min="13569" max="13569" width="10.28515625" style="2" customWidth="1"/>
    <col min="13570" max="13570" width="13.42578125" style="2" customWidth="1"/>
    <col min="13571" max="13571" width="4.28515625" style="2" customWidth="1"/>
    <col min="13572" max="13572" width="4" style="2" customWidth="1"/>
    <col min="13573" max="13573" width="15" style="2" customWidth="1"/>
    <col min="13574" max="13574" width="4.140625" style="2" customWidth="1"/>
    <col min="13575" max="13575" width="11.28515625" style="2" customWidth="1"/>
    <col min="13576" max="13576" width="16.140625" style="2" customWidth="1"/>
    <col min="13577" max="13577" width="11" style="2" customWidth="1"/>
    <col min="13578" max="13579" width="2.140625" style="2" customWidth="1"/>
    <col min="13580" max="13580" width="3.28515625" style="2" customWidth="1"/>
    <col min="13581" max="13582" width="0" style="2" hidden="1" customWidth="1"/>
    <col min="13583" max="13583" width="2.85546875" style="2" customWidth="1"/>
    <col min="13584" max="13584" width="3.28515625" style="2" customWidth="1"/>
    <col min="13585" max="13585" width="1.42578125" style="2" customWidth="1"/>
    <col min="13586" max="13586" width="0" style="2" hidden="1" customWidth="1"/>
    <col min="13587" max="13587" width="6.85546875" style="2" customWidth="1"/>
    <col min="13588" max="13588" width="0" style="2" hidden="1" customWidth="1"/>
    <col min="13589" max="13590" width="6.28515625" style="2" customWidth="1"/>
    <col min="13591" max="13592" width="13.85546875" style="2" customWidth="1"/>
    <col min="13593" max="13593" width="10.85546875" style="2" customWidth="1"/>
    <col min="13594" max="13594" width="14.140625" style="2" customWidth="1"/>
    <col min="13595" max="13595" width="0" style="2" hidden="1" customWidth="1"/>
    <col min="13596" max="13596" width="13" style="2" customWidth="1"/>
    <col min="13597" max="13597" width="13.140625" style="2" customWidth="1"/>
    <col min="13598" max="13599" width="14" style="2" customWidth="1"/>
    <col min="13600" max="13600" width="11.42578125" style="2" customWidth="1"/>
    <col min="13601" max="13601" width="15.85546875" style="2" customWidth="1"/>
    <col min="13602" max="13602" width="23.7109375" style="2" customWidth="1"/>
    <col min="13603" max="13603" width="12" style="2" customWidth="1"/>
    <col min="13604" max="13605" width="0.28515625" style="2" customWidth="1"/>
    <col min="13606" max="13606" width="1.42578125" style="2" customWidth="1"/>
    <col min="13607" max="13607" width="0" style="2" hidden="1" customWidth="1"/>
    <col min="13608" max="13824" width="11.42578125" style="2"/>
    <col min="13825" max="13825" width="10.28515625" style="2" customWidth="1"/>
    <col min="13826" max="13826" width="13.42578125" style="2" customWidth="1"/>
    <col min="13827" max="13827" width="4.28515625" style="2" customWidth="1"/>
    <col min="13828" max="13828" width="4" style="2" customWidth="1"/>
    <col min="13829" max="13829" width="15" style="2" customWidth="1"/>
    <col min="13830" max="13830" width="4.140625" style="2" customWidth="1"/>
    <col min="13831" max="13831" width="11.28515625" style="2" customWidth="1"/>
    <col min="13832" max="13832" width="16.140625" style="2" customWidth="1"/>
    <col min="13833" max="13833" width="11" style="2" customWidth="1"/>
    <col min="13834" max="13835" width="2.140625" style="2" customWidth="1"/>
    <col min="13836" max="13836" width="3.28515625" style="2" customWidth="1"/>
    <col min="13837" max="13838" width="0" style="2" hidden="1" customWidth="1"/>
    <col min="13839" max="13839" width="2.85546875" style="2" customWidth="1"/>
    <col min="13840" max="13840" width="3.28515625" style="2" customWidth="1"/>
    <col min="13841" max="13841" width="1.42578125" style="2" customWidth="1"/>
    <col min="13842" max="13842" width="0" style="2" hidden="1" customWidth="1"/>
    <col min="13843" max="13843" width="6.85546875" style="2" customWidth="1"/>
    <col min="13844" max="13844" width="0" style="2" hidden="1" customWidth="1"/>
    <col min="13845" max="13846" width="6.28515625" style="2" customWidth="1"/>
    <col min="13847" max="13848" width="13.85546875" style="2" customWidth="1"/>
    <col min="13849" max="13849" width="10.85546875" style="2" customWidth="1"/>
    <col min="13850" max="13850" width="14.140625" style="2" customWidth="1"/>
    <col min="13851" max="13851" width="0" style="2" hidden="1" customWidth="1"/>
    <col min="13852" max="13852" width="13" style="2" customWidth="1"/>
    <col min="13853" max="13853" width="13.140625" style="2" customWidth="1"/>
    <col min="13854" max="13855" width="14" style="2" customWidth="1"/>
    <col min="13856" max="13856" width="11.42578125" style="2" customWidth="1"/>
    <col min="13857" max="13857" width="15.85546875" style="2" customWidth="1"/>
    <col min="13858" max="13858" width="23.7109375" style="2" customWidth="1"/>
    <col min="13859" max="13859" width="12" style="2" customWidth="1"/>
    <col min="13860" max="13861" width="0.28515625" style="2" customWidth="1"/>
    <col min="13862" max="13862" width="1.42578125" style="2" customWidth="1"/>
    <col min="13863" max="13863" width="0" style="2" hidden="1" customWidth="1"/>
    <col min="13864" max="14080" width="11.42578125" style="2"/>
    <col min="14081" max="14081" width="10.28515625" style="2" customWidth="1"/>
    <col min="14082" max="14082" width="13.42578125" style="2" customWidth="1"/>
    <col min="14083" max="14083" width="4.28515625" style="2" customWidth="1"/>
    <col min="14084" max="14084" width="4" style="2" customWidth="1"/>
    <col min="14085" max="14085" width="15" style="2" customWidth="1"/>
    <col min="14086" max="14086" width="4.140625" style="2" customWidth="1"/>
    <col min="14087" max="14087" width="11.28515625" style="2" customWidth="1"/>
    <col min="14088" max="14088" width="16.140625" style="2" customWidth="1"/>
    <col min="14089" max="14089" width="11" style="2" customWidth="1"/>
    <col min="14090" max="14091" width="2.140625" style="2" customWidth="1"/>
    <col min="14092" max="14092" width="3.28515625" style="2" customWidth="1"/>
    <col min="14093" max="14094" width="0" style="2" hidden="1" customWidth="1"/>
    <col min="14095" max="14095" width="2.85546875" style="2" customWidth="1"/>
    <col min="14096" max="14096" width="3.28515625" style="2" customWidth="1"/>
    <col min="14097" max="14097" width="1.42578125" style="2" customWidth="1"/>
    <col min="14098" max="14098" width="0" style="2" hidden="1" customWidth="1"/>
    <col min="14099" max="14099" width="6.85546875" style="2" customWidth="1"/>
    <col min="14100" max="14100" width="0" style="2" hidden="1" customWidth="1"/>
    <col min="14101" max="14102" width="6.28515625" style="2" customWidth="1"/>
    <col min="14103" max="14104" width="13.85546875" style="2" customWidth="1"/>
    <col min="14105" max="14105" width="10.85546875" style="2" customWidth="1"/>
    <col min="14106" max="14106" width="14.140625" style="2" customWidth="1"/>
    <col min="14107" max="14107" width="0" style="2" hidden="1" customWidth="1"/>
    <col min="14108" max="14108" width="13" style="2" customWidth="1"/>
    <col min="14109" max="14109" width="13.140625" style="2" customWidth="1"/>
    <col min="14110" max="14111" width="14" style="2" customWidth="1"/>
    <col min="14112" max="14112" width="11.42578125" style="2" customWidth="1"/>
    <col min="14113" max="14113" width="15.85546875" style="2" customWidth="1"/>
    <col min="14114" max="14114" width="23.7109375" style="2" customWidth="1"/>
    <col min="14115" max="14115" width="12" style="2" customWidth="1"/>
    <col min="14116" max="14117" width="0.28515625" style="2" customWidth="1"/>
    <col min="14118" max="14118" width="1.42578125" style="2" customWidth="1"/>
    <col min="14119" max="14119" width="0" style="2" hidden="1" customWidth="1"/>
    <col min="14120" max="14336" width="11.42578125" style="2"/>
    <col min="14337" max="14337" width="10.28515625" style="2" customWidth="1"/>
    <col min="14338" max="14338" width="13.42578125" style="2" customWidth="1"/>
    <col min="14339" max="14339" width="4.28515625" style="2" customWidth="1"/>
    <col min="14340" max="14340" width="4" style="2" customWidth="1"/>
    <col min="14341" max="14341" width="15" style="2" customWidth="1"/>
    <col min="14342" max="14342" width="4.140625" style="2" customWidth="1"/>
    <col min="14343" max="14343" width="11.28515625" style="2" customWidth="1"/>
    <col min="14344" max="14344" width="16.140625" style="2" customWidth="1"/>
    <col min="14345" max="14345" width="11" style="2" customWidth="1"/>
    <col min="14346" max="14347" width="2.140625" style="2" customWidth="1"/>
    <col min="14348" max="14348" width="3.28515625" style="2" customWidth="1"/>
    <col min="14349" max="14350" width="0" style="2" hidden="1" customWidth="1"/>
    <col min="14351" max="14351" width="2.85546875" style="2" customWidth="1"/>
    <col min="14352" max="14352" width="3.28515625" style="2" customWidth="1"/>
    <col min="14353" max="14353" width="1.42578125" style="2" customWidth="1"/>
    <col min="14354" max="14354" width="0" style="2" hidden="1" customWidth="1"/>
    <col min="14355" max="14355" width="6.85546875" style="2" customWidth="1"/>
    <col min="14356" max="14356" width="0" style="2" hidden="1" customWidth="1"/>
    <col min="14357" max="14358" width="6.28515625" style="2" customWidth="1"/>
    <col min="14359" max="14360" width="13.85546875" style="2" customWidth="1"/>
    <col min="14361" max="14361" width="10.85546875" style="2" customWidth="1"/>
    <col min="14362" max="14362" width="14.140625" style="2" customWidth="1"/>
    <col min="14363" max="14363" width="0" style="2" hidden="1" customWidth="1"/>
    <col min="14364" max="14364" width="13" style="2" customWidth="1"/>
    <col min="14365" max="14365" width="13.140625" style="2" customWidth="1"/>
    <col min="14366" max="14367" width="14" style="2" customWidth="1"/>
    <col min="14368" max="14368" width="11.42578125" style="2" customWidth="1"/>
    <col min="14369" max="14369" width="15.85546875" style="2" customWidth="1"/>
    <col min="14370" max="14370" width="23.7109375" style="2" customWidth="1"/>
    <col min="14371" max="14371" width="12" style="2" customWidth="1"/>
    <col min="14372" max="14373" width="0.28515625" style="2" customWidth="1"/>
    <col min="14374" max="14374" width="1.42578125" style="2" customWidth="1"/>
    <col min="14375" max="14375" width="0" style="2" hidden="1" customWidth="1"/>
    <col min="14376" max="14592" width="11.42578125" style="2"/>
    <col min="14593" max="14593" width="10.28515625" style="2" customWidth="1"/>
    <col min="14594" max="14594" width="13.42578125" style="2" customWidth="1"/>
    <col min="14595" max="14595" width="4.28515625" style="2" customWidth="1"/>
    <col min="14596" max="14596" width="4" style="2" customWidth="1"/>
    <col min="14597" max="14597" width="15" style="2" customWidth="1"/>
    <col min="14598" max="14598" width="4.140625" style="2" customWidth="1"/>
    <col min="14599" max="14599" width="11.28515625" style="2" customWidth="1"/>
    <col min="14600" max="14600" width="16.140625" style="2" customWidth="1"/>
    <col min="14601" max="14601" width="11" style="2" customWidth="1"/>
    <col min="14602" max="14603" width="2.140625" style="2" customWidth="1"/>
    <col min="14604" max="14604" width="3.28515625" style="2" customWidth="1"/>
    <col min="14605" max="14606" width="0" style="2" hidden="1" customWidth="1"/>
    <col min="14607" max="14607" width="2.85546875" style="2" customWidth="1"/>
    <col min="14608" max="14608" width="3.28515625" style="2" customWidth="1"/>
    <col min="14609" max="14609" width="1.42578125" style="2" customWidth="1"/>
    <col min="14610" max="14610" width="0" style="2" hidden="1" customWidth="1"/>
    <col min="14611" max="14611" width="6.85546875" style="2" customWidth="1"/>
    <col min="14612" max="14612" width="0" style="2" hidden="1" customWidth="1"/>
    <col min="14613" max="14614" width="6.28515625" style="2" customWidth="1"/>
    <col min="14615" max="14616" width="13.85546875" style="2" customWidth="1"/>
    <col min="14617" max="14617" width="10.85546875" style="2" customWidth="1"/>
    <col min="14618" max="14618" width="14.140625" style="2" customWidth="1"/>
    <col min="14619" max="14619" width="0" style="2" hidden="1" customWidth="1"/>
    <col min="14620" max="14620" width="13" style="2" customWidth="1"/>
    <col min="14621" max="14621" width="13.140625" style="2" customWidth="1"/>
    <col min="14622" max="14623" width="14" style="2" customWidth="1"/>
    <col min="14624" max="14624" width="11.42578125" style="2" customWidth="1"/>
    <col min="14625" max="14625" width="15.85546875" style="2" customWidth="1"/>
    <col min="14626" max="14626" width="23.7109375" style="2" customWidth="1"/>
    <col min="14627" max="14627" width="12" style="2" customWidth="1"/>
    <col min="14628" max="14629" width="0.28515625" style="2" customWidth="1"/>
    <col min="14630" max="14630" width="1.42578125" style="2" customWidth="1"/>
    <col min="14631" max="14631" width="0" style="2" hidden="1" customWidth="1"/>
    <col min="14632" max="14848" width="11.42578125" style="2"/>
    <col min="14849" max="14849" width="10.28515625" style="2" customWidth="1"/>
    <col min="14850" max="14850" width="13.42578125" style="2" customWidth="1"/>
    <col min="14851" max="14851" width="4.28515625" style="2" customWidth="1"/>
    <col min="14852" max="14852" width="4" style="2" customWidth="1"/>
    <col min="14853" max="14853" width="15" style="2" customWidth="1"/>
    <col min="14854" max="14854" width="4.140625" style="2" customWidth="1"/>
    <col min="14855" max="14855" width="11.28515625" style="2" customWidth="1"/>
    <col min="14856" max="14856" width="16.140625" style="2" customWidth="1"/>
    <col min="14857" max="14857" width="11" style="2" customWidth="1"/>
    <col min="14858" max="14859" width="2.140625" style="2" customWidth="1"/>
    <col min="14860" max="14860" width="3.28515625" style="2" customWidth="1"/>
    <col min="14861" max="14862" width="0" style="2" hidden="1" customWidth="1"/>
    <col min="14863" max="14863" width="2.85546875" style="2" customWidth="1"/>
    <col min="14864" max="14864" width="3.28515625" style="2" customWidth="1"/>
    <col min="14865" max="14865" width="1.42578125" style="2" customWidth="1"/>
    <col min="14866" max="14866" width="0" style="2" hidden="1" customWidth="1"/>
    <col min="14867" max="14867" width="6.85546875" style="2" customWidth="1"/>
    <col min="14868" max="14868" width="0" style="2" hidden="1" customWidth="1"/>
    <col min="14869" max="14870" width="6.28515625" style="2" customWidth="1"/>
    <col min="14871" max="14872" width="13.85546875" style="2" customWidth="1"/>
    <col min="14873" max="14873" width="10.85546875" style="2" customWidth="1"/>
    <col min="14874" max="14874" width="14.140625" style="2" customWidth="1"/>
    <col min="14875" max="14875" width="0" style="2" hidden="1" customWidth="1"/>
    <col min="14876" max="14876" width="13" style="2" customWidth="1"/>
    <col min="14877" max="14877" width="13.140625" style="2" customWidth="1"/>
    <col min="14878" max="14879" width="14" style="2" customWidth="1"/>
    <col min="14880" max="14880" width="11.42578125" style="2" customWidth="1"/>
    <col min="14881" max="14881" width="15.85546875" style="2" customWidth="1"/>
    <col min="14882" max="14882" width="23.7109375" style="2" customWidth="1"/>
    <col min="14883" max="14883" width="12" style="2" customWidth="1"/>
    <col min="14884" max="14885" width="0.28515625" style="2" customWidth="1"/>
    <col min="14886" max="14886" width="1.42578125" style="2" customWidth="1"/>
    <col min="14887" max="14887" width="0" style="2" hidden="1" customWidth="1"/>
    <col min="14888" max="15104" width="11.42578125" style="2"/>
    <col min="15105" max="15105" width="10.28515625" style="2" customWidth="1"/>
    <col min="15106" max="15106" width="13.42578125" style="2" customWidth="1"/>
    <col min="15107" max="15107" width="4.28515625" style="2" customWidth="1"/>
    <col min="15108" max="15108" width="4" style="2" customWidth="1"/>
    <col min="15109" max="15109" width="15" style="2" customWidth="1"/>
    <col min="15110" max="15110" width="4.140625" style="2" customWidth="1"/>
    <col min="15111" max="15111" width="11.28515625" style="2" customWidth="1"/>
    <col min="15112" max="15112" width="16.140625" style="2" customWidth="1"/>
    <col min="15113" max="15113" width="11" style="2" customWidth="1"/>
    <col min="15114" max="15115" width="2.140625" style="2" customWidth="1"/>
    <col min="15116" max="15116" width="3.28515625" style="2" customWidth="1"/>
    <col min="15117" max="15118" width="0" style="2" hidden="1" customWidth="1"/>
    <col min="15119" max="15119" width="2.85546875" style="2" customWidth="1"/>
    <col min="15120" max="15120" width="3.28515625" style="2" customWidth="1"/>
    <col min="15121" max="15121" width="1.42578125" style="2" customWidth="1"/>
    <col min="15122" max="15122" width="0" style="2" hidden="1" customWidth="1"/>
    <col min="15123" max="15123" width="6.85546875" style="2" customWidth="1"/>
    <col min="15124" max="15124" width="0" style="2" hidden="1" customWidth="1"/>
    <col min="15125" max="15126" width="6.28515625" style="2" customWidth="1"/>
    <col min="15127" max="15128" width="13.85546875" style="2" customWidth="1"/>
    <col min="15129" max="15129" width="10.85546875" style="2" customWidth="1"/>
    <col min="15130" max="15130" width="14.140625" style="2" customWidth="1"/>
    <col min="15131" max="15131" width="0" style="2" hidden="1" customWidth="1"/>
    <col min="15132" max="15132" width="13" style="2" customWidth="1"/>
    <col min="15133" max="15133" width="13.140625" style="2" customWidth="1"/>
    <col min="15134" max="15135" width="14" style="2" customWidth="1"/>
    <col min="15136" max="15136" width="11.42578125" style="2" customWidth="1"/>
    <col min="15137" max="15137" width="15.85546875" style="2" customWidth="1"/>
    <col min="15138" max="15138" width="23.7109375" style="2" customWidth="1"/>
    <col min="15139" max="15139" width="12" style="2" customWidth="1"/>
    <col min="15140" max="15141" width="0.28515625" style="2" customWidth="1"/>
    <col min="15142" max="15142" width="1.42578125" style="2" customWidth="1"/>
    <col min="15143" max="15143" width="0" style="2" hidden="1" customWidth="1"/>
    <col min="15144" max="15360" width="11.42578125" style="2"/>
    <col min="15361" max="15361" width="10.28515625" style="2" customWidth="1"/>
    <col min="15362" max="15362" width="13.42578125" style="2" customWidth="1"/>
    <col min="15363" max="15363" width="4.28515625" style="2" customWidth="1"/>
    <col min="15364" max="15364" width="4" style="2" customWidth="1"/>
    <col min="15365" max="15365" width="15" style="2" customWidth="1"/>
    <col min="15366" max="15366" width="4.140625" style="2" customWidth="1"/>
    <col min="15367" max="15367" width="11.28515625" style="2" customWidth="1"/>
    <col min="15368" max="15368" width="16.140625" style="2" customWidth="1"/>
    <col min="15369" max="15369" width="11" style="2" customWidth="1"/>
    <col min="15370" max="15371" width="2.140625" style="2" customWidth="1"/>
    <col min="15372" max="15372" width="3.28515625" style="2" customWidth="1"/>
    <col min="15373" max="15374" width="0" style="2" hidden="1" customWidth="1"/>
    <col min="15375" max="15375" width="2.85546875" style="2" customWidth="1"/>
    <col min="15376" max="15376" width="3.28515625" style="2" customWidth="1"/>
    <col min="15377" max="15377" width="1.42578125" style="2" customWidth="1"/>
    <col min="15378" max="15378" width="0" style="2" hidden="1" customWidth="1"/>
    <col min="15379" max="15379" width="6.85546875" style="2" customWidth="1"/>
    <col min="15380" max="15380" width="0" style="2" hidden="1" customWidth="1"/>
    <col min="15381" max="15382" width="6.28515625" style="2" customWidth="1"/>
    <col min="15383" max="15384" width="13.85546875" style="2" customWidth="1"/>
    <col min="15385" max="15385" width="10.85546875" style="2" customWidth="1"/>
    <col min="15386" max="15386" width="14.140625" style="2" customWidth="1"/>
    <col min="15387" max="15387" width="0" style="2" hidden="1" customWidth="1"/>
    <col min="15388" max="15388" width="13" style="2" customWidth="1"/>
    <col min="15389" max="15389" width="13.140625" style="2" customWidth="1"/>
    <col min="15390" max="15391" width="14" style="2" customWidth="1"/>
    <col min="15392" max="15392" width="11.42578125" style="2" customWidth="1"/>
    <col min="15393" max="15393" width="15.85546875" style="2" customWidth="1"/>
    <col min="15394" max="15394" width="23.7109375" style="2" customWidth="1"/>
    <col min="15395" max="15395" width="12" style="2" customWidth="1"/>
    <col min="15396" max="15397" width="0.28515625" style="2" customWidth="1"/>
    <col min="15398" max="15398" width="1.42578125" style="2" customWidth="1"/>
    <col min="15399" max="15399" width="0" style="2" hidden="1" customWidth="1"/>
    <col min="15400" max="15616" width="11.42578125" style="2"/>
    <col min="15617" max="15617" width="10.28515625" style="2" customWidth="1"/>
    <col min="15618" max="15618" width="13.42578125" style="2" customWidth="1"/>
    <col min="15619" max="15619" width="4.28515625" style="2" customWidth="1"/>
    <col min="15620" max="15620" width="4" style="2" customWidth="1"/>
    <col min="15621" max="15621" width="15" style="2" customWidth="1"/>
    <col min="15622" max="15622" width="4.140625" style="2" customWidth="1"/>
    <col min="15623" max="15623" width="11.28515625" style="2" customWidth="1"/>
    <col min="15624" max="15624" width="16.140625" style="2" customWidth="1"/>
    <col min="15625" max="15625" width="11" style="2" customWidth="1"/>
    <col min="15626" max="15627" width="2.140625" style="2" customWidth="1"/>
    <col min="15628" max="15628" width="3.28515625" style="2" customWidth="1"/>
    <col min="15629" max="15630" width="0" style="2" hidden="1" customWidth="1"/>
    <col min="15631" max="15631" width="2.85546875" style="2" customWidth="1"/>
    <col min="15632" max="15632" width="3.28515625" style="2" customWidth="1"/>
    <col min="15633" max="15633" width="1.42578125" style="2" customWidth="1"/>
    <col min="15634" max="15634" width="0" style="2" hidden="1" customWidth="1"/>
    <col min="15635" max="15635" width="6.85546875" style="2" customWidth="1"/>
    <col min="15636" max="15636" width="0" style="2" hidden="1" customWidth="1"/>
    <col min="15637" max="15638" width="6.28515625" style="2" customWidth="1"/>
    <col min="15639" max="15640" width="13.85546875" style="2" customWidth="1"/>
    <col min="15641" max="15641" width="10.85546875" style="2" customWidth="1"/>
    <col min="15642" max="15642" width="14.140625" style="2" customWidth="1"/>
    <col min="15643" max="15643" width="0" style="2" hidden="1" customWidth="1"/>
    <col min="15644" max="15644" width="13" style="2" customWidth="1"/>
    <col min="15645" max="15645" width="13.140625" style="2" customWidth="1"/>
    <col min="15646" max="15647" width="14" style="2" customWidth="1"/>
    <col min="15648" max="15648" width="11.42578125" style="2" customWidth="1"/>
    <col min="15649" max="15649" width="15.85546875" style="2" customWidth="1"/>
    <col min="15650" max="15650" width="23.7109375" style="2" customWidth="1"/>
    <col min="15651" max="15651" width="12" style="2" customWidth="1"/>
    <col min="15652" max="15653" width="0.28515625" style="2" customWidth="1"/>
    <col min="15654" max="15654" width="1.42578125" style="2" customWidth="1"/>
    <col min="15655" max="15655" width="0" style="2" hidden="1" customWidth="1"/>
    <col min="15656" max="15872" width="11.42578125" style="2"/>
    <col min="15873" max="15873" width="10.28515625" style="2" customWidth="1"/>
    <col min="15874" max="15874" width="13.42578125" style="2" customWidth="1"/>
    <col min="15875" max="15875" width="4.28515625" style="2" customWidth="1"/>
    <col min="15876" max="15876" width="4" style="2" customWidth="1"/>
    <col min="15877" max="15877" width="15" style="2" customWidth="1"/>
    <col min="15878" max="15878" width="4.140625" style="2" customWidth="1"/>
    <col min="15879" max="15879" width="11.28515625" style="2" customWidth="1"/>
    <col min="15880" max="15880" width="16.140625" style="2" customWidth="1"/>
    <col min="15881" max="15881" width="11" style="2" customWidth="1"/>
    <col min="15882" max="15883" width="2.140625" style="2" customWidth="1"/>
    <col min="15884" max="15884" width="3.28515625" style="2" customWidth="1"/>
    <col min="15885" max="15886" width="0" style="2" hidden="1" customWidth="1"/>
    <col min="15887" max="15887" width="2.85546875" style="2" customWidth="1"/>
    <col min="15888" max="15888" width="3.28515625" style="2" customWidth="1"/>
    <col min="15889" max="15889" width="1.42578125" style="2" customWidth="1"/>
    <col min="15890" max="15890" width="0" style="2" hidden="1" customWidth="1"/>
    <col min="15891" max="15891" width="6.85546875" style="2" customWidth="1"/>
    <col min="15892" max="15892" width="0" style="2" hidden="1" customWidth="1"/>
    <col min="15893" max="15894" width="6.28515625" style="2" customWidth="1"/>
    <col min="15895" max="15896" width="13.85546875" style="2" customWidth="1"/>
    <col min="15897" max="15897" width="10.85546875" style="2" customWidth="1"/>
    <col min="15898" max="15898" width="14.140625" style="2" customWidth="1"/>
    <col min="15899" max="15899" width="0" style="2" hidden="1" customWidth="1"/>
    <col min="15900" max="15900" width="13" style="2" customWidth="1"/>
    <col min="15901" max="15901" width="13.140625" style="2" customWidth="1"/>
    <col min="15902" max="15903" width="14" style="2" customWidth="1"/>
    <col min="15904" max="15904" width="11.42578125" style="2" customWidth="1"/>
    <col min="15905" max="15905" width="15.85546875" style="2" customWidth="1"/>
    <col min="15906" max="15906" width="23.7109375" style="2" customWidth="1"/>
    <col min="15907" max="15907" width="12" style="2" customWidth="1"/>
    <col min="15908" max="15909" width="0.28515625" style="2" customWidth="1"/>
    <col min="15910" max="15910" width="1.42578125" style="2" customWidth="1"/>
    <col min="15911" max="15911" width="0" style="2" hidden="1" customWidth="1"/>
    <col min="15912" max="16128" width="11.42578125" style="2"/>
    <col min="16129" max="16129" width="10.28515625" style="2" customWidth="1"/>
    <col min="16130" max="16130" width="13.42578125" style="2" customWidth="1"/>
    <col min="16131" max="16131" width="4.28515625" style="2" customWidth="1"/>
    <col min="16132" max="16132" width="4" style="2" customWidth="1"/>
    <col min="16133" max="16133" width="15" style="2" customWidth="1"/>
    <col min="16134" max="16134" width="4.140625" style="2" customWidth="1"/>
    <col min="16135" max="16135" width="11.28515625" style="2" customWidth="1"/>
    <col min="16136" max="16136" width="16.140625" style="2" customWidth="1"/>
    <col min="16137" max="16137" width="11" style="2" customWidth="1"/>
    <col min="16138" max="16139" width="2.140625" style="2" customWidth="1"/>
    <col min="16140" max="16140" width="3.28515625" style="2" customWidth="1"/>
    <col min="16141" max="16142" width="0" style="2" hidden="1" customWidth="1"/>
    <col min="16143" max="16143" width="2.85546875" style="2" customWidth="1"/>
    <col min="16144" max="16144" width="3.28515625" style="2" customWidth="1"/>
    <col min="16145" max="16145" width="1.42578125" style="2" customWidth="1"/>
    <col min="16146" max="16146" width="0" style="2" hidden="1" customWidth="1"/>
    <col min="16147" max="16147" width="6.85546875" style="2" customWidth="1"/>
    <col min="16148" max="16148" width="0" style="2" hidden="1" customWidth="1"/>
    <col min="16149" max="16150" width="6.28515625" style="2" customWidth="1"/>
    <col min="16151" max="16152" width="13.85546875" style="2" customWidth="1"/>
    <col min="16153" max="16153" width="10.85546875" style="2" customWidth="1"/>
    <col min="16154" max="16154" width="14.140625" style="2" customWidth="1"/>
    <col min="16155" max="16155" width="0" style="2" hidden="1" customWidth="1"/>
    <col min="16156" max="16156" width="13" style="2" customWidth="1"/>
    <col min="16157" max="16157" width="13.140625" style="2" customWidth="1"/>
    <col min="16158" max="16159" width="14" style="2" customWidth="1"/>
    <col min="16160" max="16160" width="11.42578125" style="2" customWidth="1"/>
    <col min="16161" max="16161" width="15.85546875" style="2" customWidth="1"/>
    <col min="16162" max="16162" width="23.7109375" style="2" customWidth="1"/>
    <col min="16163" max="16163" width="12" style="2" customWidth="1"/>
    <col min="16164" max="16165" width="0.28515625" style="2" customWidth="1"/>
    <col min="16166" max="16166" width="1.42578125" style="2" customWidth="1"/>
    <col min="16167" max="16167" width="0" style="2" hidden="1" customWidth="1"/>
    <col min="16168" max="16384" width="11.42578125" style="2"/>
  </cols>
  <sheetData>
    <row r="1" spans="1:37" ht="45" customHeight="1">
      <c r="A1" s="600"/>
      <c r="B1" s="600"/>
      <c r="C1" s="684" t="s">
        <v>0</v>
      </c>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6"/>
      <c r="AH1" s="689" t="s">
        <v>45</v>
      </c>
      <c r="AJ1" s="3" t="s">
        <v>17</v>
      </c>
      <c r="AK1" s="6" t="s">
        <v>23</v>
      </c>
    </row>
    <row r="2" spans="1:37" ht="45" customHeight="1">
      <c r="A2" s="600"/>
      <c r="B2" s="600"/>
      <c r="C2" s="690" t="s">
        <v>37</v>
      </c>
      <c r="D2" s="691"/>
      <c r="E2" s="691"/>
      <c r="F2" s="691"/>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2"/>
      <c r="AH2" s="689"/>
      <c r="AJ2" s="2" t="s">
        <v>18</v>
      </c>
      <c r="AK2" s="7" t="s">
        <v>24</v>
      </c>
    </row>
    <row r="3" spans="1:37"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G3" s="604"/>
      <c r="AH3" s="604"/>
      <c r="AJ3" s="3" t="s">
        <v>16</v>
      </c>
      <c r="AK3" s="6" t="s">
        <v>25</v>
      </c>
    </row>
    <row r="4" spans="1:37" ht="30.75" customHeight="1">
      <c r="A4" s="597" t="s">
        <v>5</v>
      </c>
      <c r="B4" s="597"/>
      <c r="C4" s="597"/>
      <c r="D4" s="597"/>
      <c r="E4" s="598" t="s">
        <v>1118</v>
      </c>
      <c r="F4" s="598"/>
      <c r="G4" s="598"/>
      <c r="H4" s="598"/>
      <c r="I4" s="598"/>
      <c r="J4" s="598"/>
      <c r="K4" s="598"/>
      <c r="L4" s="598"/>
      <c r="M4" s="598"/>
      <c r="N4" s="598"/>
      <c r="O4" s="598"/>
      <c r="P4" s="598"/>
      <c r="Q4" s="598"/>
      <c r="R4" s="598"/>
      <c r="S4" s="598"/>
      <c r="T4" s="598"/>
      <c r="U4" s="598"/>
      <c r="V4" s="598"/>
      <c r="W4" s="599" t="s">
        <v>20</v>
      </c>
      <c r="X4" s="599"/>
      <c r="Y4" s="599"/>
      <c r="Z4" s="679" t="s">
        <v>1119</v>
      </c>
      <c r="AA4" s="680"/>
      <c r="AB4" s="680"/>
      <c r="AC4" s="680"/>
      <c r="AD4" s="680"/>
      <c r="AE4" s="681"/>
      <c r="AF4" s="682" t="s">
        <v>48</v>
      </c>
      <c r="AG4" s="683"/>
      <c r="AH4" s="45"/>
      <c r="AJ4" s="6" t="s">
        <v>19</v>
      </c>
    </row>
    <row r="5" spans="1:37" ht="4.5" customHeight="1" thickBo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row>
    <row r="6" spans="1:37" ht="57" customHeight="1">
      <c r="A6" s="605" t="s">
        <v>39</v>
      </c>
      <c r="B6" s="606"/>
      <c r="C6" s="599" t="s">
        <v>1</v>
      </c>
      <c r="D6" s="599" t="s">
        <v>49</v>
      </c>
      <c r="E6" s="599"/>
      <c r="F6" s="608" t="s">
        <v>6</v>
      </c>
      <c r="G6" s="599" t="s">
        <v>9</v>
      </c>
      <c r="H6" s="607" t="s">
        <v>50</v>
      </c>
      <c r="I6" s="599" t="s">
        <v>2</v>
      </c>
      <c r="J6" s="599" t="s">
        <v>21</v>
      </c>
      <c r="K6" s="599"/>
      <c r="L6" s="599"/>
      <c r="M6" s="599"/>
      <c r="N6" s="599"/>
      <c r="O6" s="599"/>
      <c r="P6" s="599"/>
      <c r="Q6" s="599"/>
      <c r="R6" s="599"/>
      <c r="S6" s="599"/>
      <c r="T6" s="599"/>
      <c r="U6" s="599"/>
      <c r="V6" s="599"/>
      <c r="W6" s="599" t="s">
        <v>51</v>
      </c>
      <c r="X6" s="607" t="s">
        <v>52</v>
      </c>
      <c r="Y6" s="599" t="s">
        <v>3</v>
      </c>
      <c r="Z6" s="599"/>
      <c r="AA6" s="599"/>
      <c r="AB6" s="610" t="s">
        <v>53</v>
      </c>
      <c r="AC6" s="610" t="s">
        <v>4</v>
      </c>
      <c r="AD6" s="610"/>
      <c r="AE6" s="611" t="s">
        <v>54</v>
      </c>
      <c r="AF6" s="599" t="s">
        <v>55</v>
      </c>
      <c r="AG6" s="599" t="s">
        <v>56</v>
      </c>
      <c r="AH6" s="599" t="s">
        <v>57</v>
      </c>
    </row>
    <row r="7" spans="1:37" ht="37.5" customHeight="1" thickBot="1">
      <c r="A7" s="58" t="s">
        <v>40</v>
      </c>
      <c r="B7" s="59" t="s">
        <v>41</v>
      </c>
      <c r="C7" s="599"/>
      <c r="D7" s="599"/>
      <c r="E7" s="599"/>
      <c r="F7" s="608"/>
      <c r="G7" s="599"/>
      <c r="H7" s="693"/>
      <c r="I7" s="599"/>
      <c r="J7" s="599" t="s">
        <v>11</v>
      </c>
      <c r="K7" s="599"/>
      <c r="L7" s="599"/>
      <c r="M7" s="599"/>
      <c r="N7" s="599"/>
      <c r="O7" s="599"/>
      <c r="P7" s="644" t="s">
        <v>12</v>
      </c>
      <c r="Q7" s="644"/>
      <c r="R7" s="644"/>
      <c r="S7" s="644"/>
      <c r="T7" s="644"/>
      <c r="U7" s="644" t="s">
        <v>13</v>
      </c>
      <c r="V7" s="644"/>
      <c r="W7" s="599"/>
      <c r="X7" s="693"/>
      <c r="Y7" s="599"/>
      <c r="Z7" s="599"/>
      <c r="AA7" s="599"/>
      <c r="AB7" s="610"/>
      <c r="AC7" s="545" t="s">
        <v>14</v>
      </c>
      <c r="AD7" s="540" t="s">
        <v>15</v>
      </c>
      <c r="AE7" s="687"/>
      <c r="AF7" s="599"/>
      <c r="AG7" s="599"/>
      <c r="AH7" s="599"/>
    </row>
    <row r="8" spans="1:37" ht="63" customHeight="1">
      <c r="A8" s="698"/>
      <c r="B8" s="632"/>
      <c r="C8" s="696">
        <v>1</v>
      </c>
      <c r="D8" s="655" t="s">
        <v>1120</v>
      </c>
      <c r="E8" s="655"/>
      <c r="F8" s="677">
        <v>44063</v>
      </c>
      <c r="G8" s="665" t="s">
        <v>38</v>
      </c>
      <c r="H8" s="695" t="s">
        <v>65</v>
      </c>
      <c r="I8" s="671" t="s">
        <v>23</v>
      </c>
      <c r="J8" s="653" t="s">
        <v>162</v>
      </c>
      <c r="K8" s="653"/>
      <c r="L8" s="653"/>
      <c r="M8" s="653"/>
      <c r="N8" s="653"/>
      <c r="O8" s="653"/>
      <c r="P8" s="653" t="s">
        <v>162</v>
      </c>
      <c r="Q8" s="653"/>
      <c r="R8" s="653"/>
      <c r="S8" s="653"/>
      <c r="T8" s="551"/>
      <c r="U8" s="653" t="s">
        <v>162</v>
      </c>
      <c r="V8" s="653"/>
      <c r="W8" s="655" t="s">
        <v>1121</v>
      </c>
      <c r="X8" s="700" t="s">
        <v>1122</v>
      </c>
      <c r="Y8" s="901" t="s">
        <v>1123</v>
      </c>
      <c r="Z8" s="767"/>
      <c r="AA8" s="768"/>
      <c r="AB8" s="182" t="s">
        <v>1009</v>
      </c>
      <c r="AC8" s="549">
        <v>44061</v>
      </c>
      <c r="AD8" s="549">
        <v>44064</v>
      </c>
      <c r="AE8" s="66"/>
      <c r="AF8" s="587"/>
      <c r="AG8" s="5"/>
      <c r="AH8" s="67"/>
    </row>
    <row r="9" spans="1:37" ht="68.25" customHeight="1">
      <c r="A9" s="699"/>
      <c r="B9" s="633"/>
      <c r="C9" s="674"/>
      <c r="D9" s="655"/>
      <c r="E9" s="655"/>
      <c r="F9" s="677"/>
      <c r="G9" s="665"/>
      <c r="H9" s="668"/>
      <c r="I9" s="671"/>
      <c r="J9" s="653"/>
      <c r="K9" s="653"/>
      <c r="L9" s="653"/>
      <c r="M9" s="653"/>
      <c r="N9" s="653"/>
      <c r="O9" s="653"/>
      <c r="P9" s="653"/>
      <c r="Q9" s="653"/>
      <c r="R9" s="653"/>
      <c r="S9" s="653"/>
      <c r="T9" s="551"/>
      <c r="U9" s="653"/>
      <c r="V9" s="653"/>
      <c r="W9" s="655"/>
      <c r="X9" s="657"/>
      <c r="Y9" s="766" t="s">
        <v>1124</v>
      </c>
      <c r="Z9" s="764"/>
      <c r="AA9" s="765"/>
      <c r="AB9" s="546" t="s">
        <v>1009</v>
      </c>
      <c r="AC9" s="546">
        <v>44064</v>
      </c>
      <c r="AD9" s="549">
        <v>44067</v>
      </c>
      <c r="AE9" s="66"/>
      <c r="AF9" s="587"/>
      <c r="AG9" s="5"/>
      <c r="AH9" s="67"/>
    </row>
    <row r="10" spans="1:37" ht="71.25" customHeight="1">
      <c r="A10" s="699"/>
      <c r="B10" s="633"/>
      <c r="C10" s="674"/>
      <c r="D10" s="700"/>
      <c r="E10" s="700"/>
      <c r="F10" s="701"/>
      <c r="G10" s="695"/>
      <c r="H10" s="668"/>
      <c r="I10" s="696"/>
      <c r="J10" s="697"/>
      <c r="K10" s="697"/>
      <c r="L10" s="697"/>
      <c r="M10" s="697"/>
      <c r="N10" s="697"/>
      <c r="O10" s="697"/>
      <c r="P10" s="697"/>
      <c r="Q10" s="697"/>
      <c r="R10" s="697"/>
      <c r="S10" s="697"/>
      <c r="T10" s="589"/>
      <c r="U10" s="697"/>
      <c r="V10" s="697"/>
      <c r="W10" s="700"/>
      <c r="X10" s="657"/>
      <c r="Y10" s="764" t="s">
        <v>1125</v>
      </c>
      <c r="Z10" s="764"/>
      <c r="AA10" s="765"/>
      <c r="AB10" s="578" t="s">
        <v>1009</v>
      </c>
      <c r="AC10" s="546">
        <v>44068</v>
      </c>
      <c r="AD10" s="546">
        <v>44075</v>
      </c>
      <c r="AE10" s="236"/>
      <c r="AF10" s="556"/>
      <c r="AG10" s="557"/>
      <c r="AH10" s="228"/>
    </row>
    <row r="11" spans="1:37" ht="59.25" customHeight="1" thickBot="1">
      <c r="A11" s="1363"/>
      <c r="B11" s="634"/>
      <c r="C11" s="675"/>
      <c r="D11" s="628"/>
      <c r="E11" s="628"/>
      <c r="F11" s="678"/>
      <c r="G11" s="666"/>
      <c r="H11" s="669"/>
      <c r="I11" s="672"/>
      <c r="J11" s="654"/>
      <c r="K11" s="654"/>
      <c r="L11" s="654"/>
      <c r="M11" s="654"/>
      <c r="N11" s="654"/>
      <c r="O11" s="654"/>
      <c r="P11" s="654"/>
      <c r="Q11" s="654"/>
      <c r="R11" s="654"/>
      <c r="S11" s="654"/>
      <c r="T11" s="555"/>
      <c r="U11" s="654"/>
      <c r="V11" s="654"/>
      <c r="W11" s="628"/>
      <c r="X11" s="658"/>
      <c r="Y11" s="1365" t="s">
        <v>1126</v>
      </c>
      <c r="Z11" s="1366"/>
      <c r="AA11" s="1367"/>
      <c r="AB11" s="145" t="s">
        <v>1127</v>
      </c>
      <c r="AC11" s="554">
        <v>44075</v>
      </c>
      <c r="AD11" s="554">
        <v>44076</v>
      </c>
      <c r="AE11" s="390"/>
      <c r="AF11" s="543"/>
      <c r="AG11" s="114"/>
      <c r="AH11" s="1364"/>
    </row>
    <row r="12" spans="1:37" ht="78" customHeight="1">
      <c r="A12" s="632"/>
      <c r="B12" s="632"/>
      <c r="C12" s="673">
        <v>2</v>
      </c>
      <c r="D12" s="821" t="s">
        <v>1128</v>
      </c>
      <c r="E12" s="822"/>
      <c r="F12" s="676">
        <v>44063</v>
      </c>
      <c r="G12" s="667" t="s">
        <v>38</v>
      </c>
      <c r="H12" s="667" t="s">
        <v>59</v>
      </c>
      <c r="I12" s="673" t="s">
        <v>25</v>
      </c>
      <c r="J12" s="1368" t="s">
        <v>162</v>
      </c>
      <c r="K12" s="1369"/>
      <c r="L12" s="1369"/>
      <c r="M12" s="1369"/>
      <c r="N12" s="1369"/>
      <c r="O12" s="1370"/>
      <c r="P12" s="1368" t="s">
        <v>162</v>
      </c>
      <c r="Q12" s="1369"/>
      <c r="R12" s="1369"/>
      <c r="S12" s="1370"/>
      <c r="T12" s="1371"/>
      <c r="U12" s="1368" t="s">
        <v>162</v>
      </c>
      <c r="V12" s="1370"/>
      <c r="W12" s="656" t="s">
        <v>1129</v>
      </c>
      <c r="X12" s="656" t="s">
        <v>1130</v>
      </c>
      <c r="Y12" s="1372" t="s">
        <v>1131</v>
      </c>
      <c r="Z12" s="1373"/>
      <c r="AA12" s="1374"/>
      <c r="AB12" s="1375" t="s">
        <v>1132</v>
      </c>
      <c r="AC12" s="592">
        <v>44061</v>
      </c>
      <c r="AD12" s="592">
        <v>44104</v>
      </c>
      <c r="AE12" s="593"/>
      <c r="AF12" s="542"/>
      <c r="AG12" s="102"/>
      <c r="AH12" s="1376"/>
    </row>
    <row r="13" spans="1:37" ht="70.5" customHeight="1">
      <c r="A13" s="633"/>
      <c r="B13" s="633"/>
      <c r="C13" s="674"/>
      <c r="D13" s="834"/>
      <c r="E13" s="835"/>
      <c r="F13" s="677"/>
      <c r="G13" s="668"/>
      <c r="H13" s="668"/>
      <c r="I13" s="674"/>
      <c r="J13" s="917"/>
      <c r="K13" s="929"/>
      <c r="L13" s="929"/>
      <c r="M13" s="929"/>
      <c r="N13" s="929"/>
      <c r="O13" s="918"/>
      <c r="P13" s="917"/>
      <c r="Q13" s="929"/>
      <c r="R13" s="929"/>
      <c r="S13" s="918"/>
      <c r="T13" s="1377"/>
      <c r="U13" s="917"/>
      <c r="V13" s="918"/>
      <c r="W13" s="657"/>
      <c r="X13" s="657"/>
      <c r="Y13" s="766" t="s">
        <v>1133</v>
      </c>
      <c r="Z13" s="764"/>
      <c r="AA13" s="765"/>
      <c r="AB13" s="578" t="s">
        <v>1134</v>
      </c>
      <c r="AC13" s="549">
        <v>44061</v>
      </c>
      <c r="AD13" s="548">
        <v>44104</v>
      </c>
      <c r="AE13" s="66"/>
      <c r="AF13" s="587"/>
      <c r="AG13" s="5"/>
      <c r="AH13" s="67"/>
    </row>
    <row r="14" spans="1:37" ht="66" customHeight="1">
      <c r="A14" s="633"/>
      <c r="B14" s="633"/>
      <c r="C14" s="674"/>
      <c r="D14" s="834"/>
      <c r="E14" s="835"/>
      <c r="F14" s="701"/>
      <c r="G14" s="668"/>
      <c r="H14" s="668"/>
      <c r="I14" s="674"/>
      <c r="J14" s="917"/>
      <c r="K14" s="929"/>
      <c r="L14" s="929"/>
      <c r="M14" s="929"/>
      <c r="N14" s="929"/>
      <c r="O14" s="918"/>
      <c r="P14" s="917"/>
      <c r="Q14" s="929"/>
      <c r="R14" s="929"/>
      <c r="S14" s="918"/>
      <c r="T14" s="1377"/>
      <c r="U14" s="917"/>
      <c r="V14" s="918"/>
      <c r="W14" s="657"/>
      <c r="X14" s="657"/>
      <c r="Y14" s="766" t="s">
        <v>1135</v>
      </c>
      <c r="Z14" s="764"/>
      <c r="AA14" s="765"/>
      <c r="AB14" s="1378" t="s">
        <v>1136</v>
      </c>
      <c r="AC14" s="549">
        <v>44104</v>
      </c>
      <c r="AD14" s="546">
        <v>44106</v>
      </c>
      <c r="AE14" s="66"/>
      <c r="AF14" s="587"/>
      <c r="AG14" s="5"/>
      <c r="AH14" s="67"/>
    </row>
    <row r="15" spans="1:37" ht="60" customHeight="1" thickBot="1">
      <c r="A15" s="634"/>
      <c r="B15" s="634"/>
      <c r="C15" s="675"/>
      <c r="D15" s="823"/>
      <c r="E15" s="824"/>
      <c r="F15" s="678"/>
      <c r="G15" s="669"/>
      <c r="H15" s="669"/>
      <c r="I15" s="675"/>
      <c r="J15" s="1379"/>
      <c r="K15" s="1380"/>
      <c r="L15" s="1380"/>
      <c r="M15" s="1380"/>
      <c r="N15" s="1380"/>
      <c r="O15" s="1381"/>
      <c r="P15" s="1379"/>
      <c r="Q15" s="1380"/>
      <c r="R15" s="1380"/>
      <c r="S15" s="1381"/>
      <c r="T15" s="1382"/>
      <c r="U15" s="1379"/>
      <c r="V15" s="1381"/>
      <c r="W15" s="658"/>
      <c r="X15" s="658"/>
      <c r="Y15" s="1365" t="s">
        <v>1137</v>
      </c>
      <c r="Z15" s="1366"/>
      <c r="AA15" s="1367"/>
      <c r="AB15" s="145" t="s">
        <v>1138</v>
      </c>
      <c r="AC15" s="554">
        <v>44106</v>
      </c>
      <c r="AD15" s="554">
        <v>44134</v>
      </c>
      <c r="AE15" s="390"/>
      <c r="AF15" s="543"/>
      <c r="AG15" s="114"/>
      <c r="AH15" s="1364"/>
    </row>
    <row r="16" spans="1:37" ht="81" customHeight="1">
      <c r="A16" s="632"/>
      <c r="B16" s="632"/>
      <c r="C16" s="673">
        <v>3</v>
      </c>
      <c r="D16" s="821" t="s">
        <v>1139</v>
      </c>
      <c r="E16" s="822"/>
      <c r="F16" s="790">
        <v>44063</v>
      </c>
      <c r="G16" s="667" t="s">
        <v>38</v>
      </c>
      <c r="H16" s="667" t="s">
        <v>59</v>
      </c>
      <c r="I16" s="673" t="s">
        <v>25</v>
      </c>
      <c r="J16" s="1368" t="s">
        <v>162</v>
      </c>
      <c r="K16" s="1369"/>
      <c r="L16" s="1369"/>
      <c r="M16" s="1369"/>
      <c r="N16" s="1369"/>
      <c r="O16" s="1370"/>
      <c r="P16" s="1368" t="s">
        <v>162</v>
      </c>
      <c r="Q16" s="1369"/>
      <c r="R16" s="1369"/>
      <c r="S16" s="1370"/>
      <c r="T16" s="558"/>
      <c r="U16" s="1368" t="s">
        <v>162</v>
      </c>
      <c r="V16" s="1370"/>
      <c r="W16" s="656" t="s">
        <v>1140</v>
      </c>
      <c r="X16" s="656" t="s">
        <v>1141</v>
      </c>
      <c r="Y16" s="806" t="s">
        <v>1142</v>
      </c>
      <c r="Z16" s="807"/>
      <c r="AA16" s="808"/>
      <c r="AB16" s="1383" t="s">
        <v>1143</v>
      </c>
      <c r="AC16" s="137">
        <v>44074</v>
      </c>
      <c r="AD16" s="137">
        <v>44076</v>
      </c>
      <c r="AE16" s="593"/>
      <c r="AF16" s="542"/>
      <c r="AG16" s="102"/>
      <c r="AH16" s="1376"/>
    </row>
    <row r="17" spans="1:37" ht="81" customHeight="1" thickBot="1">
      <c r="A17" s="634"/>
      <c r="B17" s="634"/>
      <c r="C17" s="675"/>
      <c r="D17" s="823"/>
      <c r="E17" s="824"/>
      <c r="F17" s="792"/>
      <c r="G17" s="669"/>
      <c r="H17" s="669"/>
      <c r="I17" s="675"/>
      <c r="J17" s="1379"/>
      <c r="K17" s="1380"/>
      <c r="L17" s="1380"/>
      <c r="M17" s="1380"/>
      <c r="N17" s="1380"/>
      <c r="O17" s="1381"/>
      <c r="P17" s="1379"/>
      <c r="Q17" s="1380"/>
      <c r="R17" s="1380"/>
      <c r="S17" s="1381"/>
      <c r="T17" s="1382"/>
      <c r="U17" s="1379"/>
      <c r="V17" s="1381"/>
      <c r="W17" s="658"/>
      <c r="X17" s="658"/>
      <c r="Y17" s="812" t="s">
        <v>1144</v>
      </c>
      <c r="Z17" s="813"/>
      <c r="AA17" s="814"/>
      <c r="AB17" s="310" t="s">
        <v>1145</v>
      </c>
      <c r="AC17" s="1384">
        <v>44106</v>
      </c>
      <c r="AD17" s="1384">
        <v>44162</v>
      </c>
      <c r="AE17" s="1385"/>
      <c r="AF17" s="538"/>
      <c r="AG17" s="124"/>
      <c r="AH17" s="1386"/>
    </row>
    <row r="18" spans="1:37" ht="6" customHeight="1">
      <c r="A18" s="643"/>
      <c r="B18" s="643"/>
      <c r="C18" s="643"/>
      <c r="D18" s="643"/>
      <c r="E18" s="643"/>
      <c r="F18" s="643"/>
      <c r="G18" s="643"/>
      <c r="H18" s="643"/>
      <c r="I18" s="643"/>
      <c r="J18" s="643"/>
      <c r="K18" s="643"/>
      <c r="L18" s="643"/>
      <c r="M18" s="643"/>
      <c r="N18" s="643"/>
      <c r="O18" s="643"/>
      <c r="P18" s="643"/>
      <c r="Q18" s="643"/>
      <c r="R18" s="643"/>
      <c r="S18" s="643"/>
      <c r="T18" s="643"/>
      <c r="U18" s="643"/>
      <c r="V18" s="643"/>
      <c r="W18" s="643"/>
      <c r="X18" s="643"/>
      <c r="Y18" s="643"/>
      <c r="Z18" s="643"/>
      <c r="AA18" s="643"/>
      <c r="AB18" s="643"/>
      <c r="AC18" s="643"/>
      <c r="AD18" s="643"/>
      <c r="AE18" s="643"/>
      <c r="AF18" s="643"/>
      <c r="AG18" s="643"/>
      <c r="AH18" s="643"/>
    </row>
    <row r="19" spans="1:37" ht="12.75" customHeight="1">
      <c r="A19" s="644" t="s">
        <v>22</v>
      </c>
      <c r="B19" s="644"/>
      <c r="C19" s="644"/>
      <c r="D19" s="644"/>
      <c r="E19" s="644"/>
      <c r="F19" s="644"/>
      <c r="G19" s="644"/>
      <c r="H19" s="644"/>
      <c r="I19" s="644"/>
      <c r="J19" s="644"/>
      <c r="K19" s="644"/>
      <c r="L19" s="644"/>
      <c r="M19" s="4"/>
      <c r="N19" s="4"/>
      <c r="O19" s="645" t="s">
        <v>34</v>
      </c>
      <c r="P19" s="645"/>
      <c r="Q19" s="645"/>
      <c r="R19" s="645"/>
      <c r="S19" s="645"/>
      <c r="T19" s="645"/>
      <c r="U19" s="645"/>
      <c r="V19" s="645"/>
      <c r="W19" s="645"/>
      <c r="X19" s="645"/>
      <c r="Y19" s="645"/>
      <c r="Z19" s="645"/>
      <c r="AA19" s="645"/>
      <c r="AB19" s="645"/>
      <c r="AC19" s="645"/>
      <c r="AD19" s="646" t="s">
        <v>35</v>
      </c>
      <c r="AE19" s="646"/>
      <c r="AF19" s="646"/>
      <c r="AG19" s="646"/>
      <c r="AH19" s="646"/>
    </row>
    <row r="20" spans="1:37">
      <c r="A20" s="644"/>
      <c r="B20" s="644"/>
      <c r="C20" s="644"/>
      <c r="D20" s="644"/>
      <c r="E20" s="644"/>
      <c r="F20" s="644"/>
      <c r="G20" s="644"/>
      <c r="H20" s="644"/>
      <c r="I20" s="644"/>
      <c r="J20" s="644"/>
      <c r="K20" s="644"/>
      <c r="L20" s="644"/>
      <c r="M20" s="4"/>
      <c r="N20" s="4"/>
      <c r="O20" s="645"/>
      <c r="P20" s="645"/>
      <c r="Q20" s="645"/>
      <c r="R20" s="645"/>
      <c r="S20" s="645"/>
      <c r="T20" s="645"/>
      <c r="U20" s="645"/>
      <c r="V20" s="645"/>
      <c r="W20" s="645"/>
      <c r="X20" s="645"/>
      <c r="Y20" s="645"/>
      <c r="Z20" s="645"/>
      <c r="AA20" s="645"/>
      <c r="AB20" s="645"/>
      <c r="AC20" s="645"/>
      <c r="AD20" s="646"/>
      <c r="AE20" s="646"/>
      <c r="AF20" s="646"/>
      <c r="AG20" s="646"/>
      <c r="AH20" s="646"/>
    </row>
    <row r="21" spans="1:37" ht="38.25" customHeight="1">
      <c r="A21" s="694"/>
      <c r="B21" s="694"/>
      <c r="C21" s="694"/>
      <c r="D21" s="694"/>
      <c r="E21" s="694"/>
      <c r="F21" s="694"/>
      <c r="G21" s="694"/>
      <c r="H21" s="694"/>
      <c r="I21" s="694"/>
      <c r="J21" s="694"/>
      <c r="K21" s="694"/>
      <c r="L21" s="694"/>
      <c r="M21" s="4"/>
      <c r="N21" s="4"/>
      <c r="O21" s="650"/>
      <c r="P21" s="650"/>
      <c r="Q21" s="650"/>
      <c r="R21" s="650"/>
      <c r="S21" s="650"/>
      <c r="T21" s="650"/>
      <c r="U21" s="650"/>
      <c r="V21" s="650"/>
      <c r="W21" s="650"/>
      <c r="X21" s="650"/>
      <c r="Y21" s="650"/>
      <c r="Z21" s="650"/>
      <c r="AA21" s="650"/>
      <c r="AB21" s="650"/>
      <c r="AC21" s="650"/>
      <c r="AD21" s="651"/>
      <c r="AE21" s="651"/>
      <c r="AF21" s="651"/>
      <c r="AG21" s="651"/>
      <c r="AH21" s="651"/>
    </row>
    <row r="22" spans="1:37" ht="15" customHeight="1">
      <c r="A22" s="641" t="s">
        <v>36</v>
      </c>
      <c r="B22" s="641"/>
      <c r="C22" s="641"/>
      <c r="D22" s="641"/>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c r="AH22" s="641"/>
    </row>
    <row r="23" spans="1:37" ht="0.95" customHeight="1">
      <c r="A23" s="642"/>
      <c r="B23" s="642"/>
      <c r="C23" s="642"/>
      <c r="D23" s="642"/>
      <c r="E23" s="642"/>
      <c r="F23" s="642"/>
      <c r="G23" s="642"/>
      <c r="H23" s="642"/>
      <c r="I23" s="642"/>
      <c r="J23" s="642"/>
      <c r="K23" s="642"/>
      <c r="L23" s="642"/>
      <c r="M23" s="642"/>
      <c r="N23" s="642"/>
      <c r="O23" s="642"/>
      <c r="P23" s="642"/>
      <c r="Q23" s="642"/>
      <c r="R23" s="642"/>
      <c r="S23" s="642"/>
      <c r="T23" s="642"/>
      <c r="U23" s="642"/>
      <c r="V23" s="642"/>
      <c r="W23" s="642"/>
      <c r="X23" s="642"/>
      <c r="Y23" s="642"/>
      <c r="Z23" s="642"/>
      <c r="AA23" s="642"/>
      <c r="AB23" s="642"/>
      <c r="AC23" s="642"/>
      <c r="AD23" s="642"/>
      <c r="AE23" s="642"/>
      <c r="AF23" s="642"/>
      <c r="AG23" s="642"/>
      <c r="AH23" s="642"/>
      <c r="AI23" s="642"/>
    </row>
    <row r="24" spans="1:37">
      <c r="A24" s="642"/>
      <c r="B24" s="642"/>
      <c r="C24" s="642"/>
      <c r="D24" s="642"/>
      <c r="E24" s="642"/>
      <c r="F24" s="642"/>
      <c r="G24" s="642"/>
      <c r="H24" s="642"/>
      <c r="I24" s="642"/>
      <c r="J24" s="642"/>
      <c r="K24" s="642"/>
      <c r="L24" s="642"/>
      <c r="M24" s="642"/>
      <c r="N24" s="642"/>
      <c r="O24" s="642"/>
      <c r="P24" s="642"/>
      <c r="Q24" s="642"/>
      <c r="R24" s="642"/>
      <c r="S24" s="642"/>
      <c r="T24" s="642"/>
      <c r="U24" s="642"/>
      <c r="V24" s="642"/>
      <c r="W24" s="642"/>
      <c r="X24" s="642"/>
      <c r="Y24" s="642"/>
      <c r="Z24" s="642"/>
      <c r="AA24" s="642"/>
      <c r="AB24" s="642"/>
      <c r="AC24" s="642"/>
      <c r="AD24" s="642"/>
      <c r="AE24" s="642"/>
      <c r="AF24" s="642"/>
      <c r="AG24" s="642"/>
      <c r="AH24" s="642"/>
      <c r="AI24" s="8"/>
      <c r="AJ24" s="8"/>
    </row>
    <row r="25" spans="1:37" ht="24" customHeight="1">
      <c r="A25" s="74"/>
      <c r="B25" s="75"/>
      <c r="C25" s="74"/>
      <c r="D25" s="74"/>
      <c r="E25" s="74"/>
      <c r="F25" s="74"/>
      <c r="G25" s="74"/>
      <c r="H25" s="76" t="s">
        <v>66</v>
      </c>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8"/>
      <c r="AJ25" s="8"/>
    </row>
    <row r="26" spans="1:37" ht="54.95" customHeight="1">
      <c r="A26" s="74"/>
      <c r="B26" s="75"/>
      <c r="C26" s="74"/>
      <c r="D26" s="74"/>
      <c r="E26" s="74"/>
      <c r="F26" s="74"/>
      <c r="G26" s="74"/>
      <c r="H26" s="76" t="s">
        <v>67</v>
      </c>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8"/>
      <c r="AJ26" s="8"/>
    </row>
    <row r="27" spans="1:37" ht="0.95" customHeight="1">
      <c r="A27" s="74"/>
      <c r="B27" s="75" t="s">
        <v>68</v>
      </c>
      <c r="C27" s="74"/>
      <c r="D27" s="74"/>
      <c r="E27" s="74"/>
      <c r="F27" s="74"/>
      <c r="G27" s="74"/>
      <c r="H27" s="76" t="s">
        <v>69</v>
      </c>
      <c r="I27" s="74"/>
      <c r="J27" s="74"/>
      <c r="K27" s="74"/>
      <c r="L27" s="74"/>
      <c r="M27" s="74"/>
      <c r="N27" s="74"/>
      <c r="O27" s="74"/>
      <c r="P27" s="74"/>
      <c r="Q27" s="74"/>
      <c r="R27" s="74"/>
      <c r="S27" s="74"/>
      <c r="T27" s="74"/>
      <c r="U27" s="74"/>
      <c r="V27" s="74"/>
      <c r="W27" s="74"/>
      <c r="X27" s="76" t="s">
        <v>23</v>
      </c>
      <c r="Y27" s="74"/>
      <c r="Z27" s="74"/>
      <c r="AA27" s="74"/>
      <c r="AB27" s="74"/>
      <c r="AC27" s="74"/>
      <c r="AD27" s="74"/>
      <c r="AE27" s="74"/>
      <c r="AF27" s="74"/>
      <c r="AG27" s="74"/>
      <c r="AH27" s="74"/>
      <c r="AI27" s="8"/>
      <c r="AJ27" s="8"/>
    </row>
    <row r="28" spans="1:37" ht="0.95" customHeight="1">
      <c r="A28" s="74"/>
      <c r="B28" s="75" t="s">
        <v>70</v>
      </c>
      <c r="C28" s="74"/>
      <c r="D28" s="74"/>
      <c r="E28" s="74"/>
      <c r="F28" s="74"/>
      <c r="G28" s="74"/>
      <c r="H28" s="77" t="s">
        <v>59</v>
      </c>
      <c r="I28" s="74"/>
      <c r="J28" s="74"/>
      <c r="K28" s="74"/>
      <c r="L28" s="74"/>
      <c r="M28" s="74"/>
      <c r="N28" s="74"/>
      <c r="O28" s="74"/>
      <c r="P28" s="74"/>
      <c r="Q28" s="74"/>
      <c r="R28" s="74"/>
      <c r="S28" s="74"/>
      <c r="T28" s="74"/>
      <c r="U28" s="74"/>
      <c r="V28" s="74"/>
      <c r="W28" s="74"/>
      <c r="X28" s="76" t="s">
        <v>25</v>
      </c>
      <c r="Y28" s="74"/>
      <c r="Z28" s="74"/>
      <c r="AA28" s="74"/>
      <c r="AB28" s="74"/>
      <c r="AC28" s="74"/>
      <c r="AD28" s="74"/>
      <c r="AE28" s="74"/>
      <c r="AF28" s="74"/>
      <c r="AG28" s="74"/>
      <c r="AH28" s="74"/>
      <c r="AI28" s="8"/>
      <c r="AJ28" s="8"/>
    </row>
    <row r="29" spans="1:37" ht="0.95" customHeight="1">
      <c r="A29" s="78"/>
      <c r="B29" s="79" t="s">
        <v>16</v>
      </c>
      <c r="C29" s="78"/>
      <c r="D29" s="78"/>
      <c r="E29" s="78"/>
      <c r="F29" s="78"/>
      <c r="G29" s="78"/>
      <c r="H29" s="80" t="s">
        <v>65</v>
      </c>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row>
    <row r="31" spans="1:37" ht="24.75" customHeight="1">
      <c r="AK31" s="6" t="s">
        <v>38</v>
      </c>
    </row>
    <row r="32" spans="1:37" ht="24.75" customHeight="1">
      <c r="AK32" s="6" t="s">
        <v>10</v>
      </c>
    </row>
    <row r="33" spans="37:37" ht="24.75" customHeight="1">
      <c r="AK33" s="6" t="s">
        <v>42</v>
      </c>
    </row>
    <row r="34" spans="37:37" ht="24.75" customHeight="1">
      <c r="AK34" s="6" t="s">
        <v>43</v>
      </c>
    </row>
    <row r="35" spans="37:37" ht="24.75" customHeight="1">
      <c r="AK35" s="6" t="s">
        <v>44</v>
      </c>
    </row>
    <row r="36" spans="37:37" ht="24.75" customHeight="1">
      <c r="AK36" s="6" t="s">
        <v>26</v>
      </c>
    </row>
    <row r="37" spans="37:37" ht="24.75" customHeight="1">
      <c r="AK37" s="6" t="s">
        <v>27</v>
      </c>
    </row>
    <row r="38" spans="37:37" ht="24.75" customHeight="1">
      <c r="AK38" s="6" t="s">
        <v>28</v>
      </c>
    </row>
    <row r="39" spans="37:37" ht="24.75" customHeight="1">
      <c r="AK39" s="6" t="s">
        <v>30</v>
      </c>
    </row>
    <row r="40" spans="37:37" ht="24.75" customHeight="1">
      <c r="AK40" s="6" t="s">
        <v>29</v>
      </c>
    </row>
    <row r="41" spans="37:37" ht="24.75" customHeight="1">
      <c r="AK41" s="6" t="s">
        <v>31</v>
      </c>
    </row>
    <row r="42" spans="37:37" ht="24.75" customHeight="1">
      <c r="AK42" s="6" t="s">
        <v>32</v>
      </c>
    </row>
    <row r="43" spans="37:37" ht="51">
      <c r="AK43" s="6" t="s">
        <v>33</v>
      </c>
    </row>
  </sheetData>
  <mergeCells count="90">
    <mergeCell ref="A21:L21"/>
    <mergeCell ref="O21:AC21"/>
    <mergeCell ref="AD21:AH21"/>
    <mergeCell ref="A22:AH22"/>
    <mergeCell ref="A23:AI23"/>
    <mergeCell ref="A24:AH24"/>
    <mergeCell ref="W16:W17"/>
    <mergeCell ref="X16:X17"/>
    <mergeCell ref="Y16:AA16"/>
    <mergeCell ref="Y17:AA17"/>
    <mergeCell ref="A18:AH18"/>
    <mergeCell ref="A19:L20"/>
    <mergeCell ref="O19:AC20"/>
    <mergeCell ref="AD19:AH20"/>
    <mergeCell ref="G16:G17"/>
    <mergeCell ref="H16:H17"/>
    <mergeCell ref="I16:I17"/>
    <mergeCell ref="J16:O17"/>
    <mergeCell ref="P16:S17"/>
    <mergeCell ref="U16:V17"/>
    <mergeCell ref="X12:X15"/>
    <mergeCell ref="Y12:AA12"/>
    <mergeCell ref="Y13:AA13"/>
    <mergeCell ref="Y14:AA14"/>
    <mergeCell ref="Y15:AA15"/>
    <mergeCell ref="A16:A17"/>
    <mergeCell ref="B16:B17"/>
    <mergeCell ref="C16:C17"/>
    <mergeCell ref="D16:E17"/>
    <mergeCell ref="F16:F17"/>
    <mergeCell ref="H12:H15"/>
    <mergeCell ref="I12:I15"/>
    <mergeCell ref="J12:O15"/>
    <mergeCell ref="P12:S15"/>
    <mergeCell ref="U12:V15"/>
    <mergeCell ref="W12:W15"/>
    <mergeCell ref="A12:A15"/>
    <mergeCell ref="B12:B15"/>
    <mergeCell ref="C12:C15"/>
    <mergeCell ref="D12:E15"/>
    <mergeCell ref="F12:F15"/>
    <mergeCell ref="G12:G15"/>
    <mergeCell ref="W8:W11"/>
    <mergeCell ref="X8:X11"/>
    <mergeCell ref="Y8:AA8"/>
    <mergeCell ref="Y9:AA9"/>
    <mergeCell ref="Y10:AA10"/>
    <mergeCell ref="Y11:AA11"/>
    <mergeCell ref="G8:G11"/>
    <mergeCell ref="H8:H11"/>
    <mergeCell ref="I8:I11"/>
    <mergeCell ref="J8:O11"/>
    <mergeCell ref="P8:S11"/>
    <mergeCell ref="U8:V11"/>
    <mergeCell ref="AG6:AG7"/>
    <mergeCell ref="AH6:AH7"/>
    <mergeCell ref="J7:O7"/>
    <mergeCell ref="P7:T7"/>
    <mergeCell ref="U7:V7"/>
    <mergeCell ref="A8:A11"/>
    <mergeCell ref="B8:B11"/>
    <mergeCell ref="C8:C11"/>
    <mergeCell ref="D8:E11"/>
    <mergeCell ref="F8:F11"/>
    <mergeCell ref="X6:X7"/>
    <mergeCell ref="Y6:AA7"/>
    <mergeCell ref="AB6:AB7"/>
    <mergeCell ref="AC6:AD6"/>
    <mergeCell ref="AE6:AE7"/>
    <mergeCell ref="AF6:AF7"/>
    <mergeCell ref="A5:AH5"/>
    <mergeCell ref="A6:B6"/>
    <mergeCell ref="C6:C7"/>
    <mergeCell ref="D6:E7"/>
    <mergeCell ref="F6:F7"/>
    <mergeCell ref="G6:G7"/>
    <mergeCell ref="H6:H7"/>
    <mergeCell ref="I6:I7"/>
    <mergeCell ref="J6:V6"/>
    <mergeCell ref="W6:W7"/>
    <mergeCell ref="A1:B2"/>
    <mergeCell ref="C1:AG1"/>
    <mergeCell ref="AH1:AH2"/>
    <mergeCell ref="C2:AG2"/>
    <mergeCell ref="A3:AH3"/>
    <mergeCell ref="A4:D4"/>
    <mergeCell ref="E4:V4"/>
    <mergeCell ref="W4:Y4"/>
    <mergeCell ref="Z4:AE4"/>
    <mergeCell ref="AF4:AG4"/>
  </mergeCells>
  <conditionalFormatting sqref="AG8:AG17">
    <cfRule type="cellIs" dxfId="463" priority="1" operator="between">
      <formula>0.001</formula>
      <formula>0.99</formula>
    </cfRule>
    <cfRule type="cellIs" dxfId="462" priority="2" operator="equal">
      <formula>1</formula>
    </cfRule>
    <cfRule type="cellIs" dxfId="461" priority="3" operator="equal">
      <formula>0</formula>
    </cfRule>
  </conditionalFormatting>
  <conditionalFormatting sqref="AG8:AG17">
    <cfRule type="cellIs" dxfId="460" priority="4" operator="between">
      <formula>0.01</formula>
      <formula>0.99</formula>
    </cfRule>
    <cfRule type="cellIs" dxfId="459" priority="5" operator="equal">
      <formula>1</formula>
    </cfRule>
    <cfRule type="cellIs" dxfId="458" priority="6" operator="equal">
      <formula>0</formula>
    </cfRule>
  </conditionalFormatting>
  <dataValidations count="5">
    <dataValidation type="list" allowBlank="1" showInputMessage="1" showErrorMessage="1" sqref="WVP983055:WVP983057 JD8:JD17 WLT983055:WLT983057 WBX983055:WBX983057 VSB983055:VSB983057 VIF983055:VIF983057 UYJ983055:UYJ983057 UON983055:UON983057 UER983055:UER983057 TUV983055:TUV983057 TKZ983055:TKZ983057 TBD983055:TBD983057 SRH983055:SRH983057 SHL983055:SHL983057 RXP983055:RXP983057 RNT983055:RNT983057 RDX983055:RDX983057 QUB983055:QUB983057 QKF983055:QKF983057 QAJ983055:QAJ983057 PQN983055:PQN983057 PGR983055:PGR983057 OWV983055:OWV983057 OMZ983055:OMZ983057 ODD983055:ODD983057 NTH983055:NTH983057 NJL983055:NJL983057 MZP983055:MZP983057 MPT983055:MPT983057 MFX983055:MFX983057 LWB983055:LWB983057 LMF983055:LMF983057 LCJ983055:LCJ983057 KSN983055:KSN983057 KIR983055:KIR983057 JYV983055:JYV983057 JOZ983055:JOZ983057 JFD983055:JFD983057 IVH983055:IVH983057 ILL983055:ILL983057 IBP983055:IBP983057 HRT983055:HRT983057 HHX983055:HHX983057 GYB983055:GYB983057 GOF983055:GOF983057 GEJ983055:GEJ983057 FUN983055:FUN983057 FKR983055:FKR983057 FAV983055:FAV983057 EQZ983055:EQZ983057 EHD983055:EHD983057 DXH983055:DXH983057 DNL983055:DNL983057 DDP983055:DDP983057 CTT983055:CTT983057 CJX983055:CJX983057 CAB983055:CAB983057 BQF983055:BQF983057 BGJ983055:BGJ983057 AWN983055:AWN983057 AMR983055:AMR983057 ACV983055:ACV983057 SZ983055:SZ983057 JD983055:JD983057 H983055:H983057 WVP917519:WVP917521 WLT917519:WLT917521 WBX917519:WBX917521 VSB917519:VSB917521 VIF917519:VIF917521 UYJ917519:UYJ917521 UON917519:UON917521 UER917519:UER917521 TUV917519:TUV917521 TKZ917519:TKZ917521 TBD917519:TBD917521 SRH917519:SRH917521 SHL917519:SHL917521 RXP917519:RXP917521 RNT917519:RNT917521 RDX917519:RDX917521 QUB917519:QUB917521 QKF917519:QKF917521 QAJ917519:QAJ917521 PQN917519:PQN917521 PGR917519:PGR917521 OWV917519:OWV917521 OMZ917519:OMZ917521 ODD917519:ODD917521 NTH917519:NTH917521 NJL917519:NJL917521 MZP917519:MZP917521 MPT917519:MPT917521 MFX917519:MFX917521 LWB917519:LWB917521 LMF917519:LMF917521 LCJ917519:LCJ917521 KSN917519:KSN917521 KIR917519:KIR917521 JYV917519:JYV917521 JOZ917519:JOZ917521 JFD917519:JFD917521 IVH917519:IVH917521 ILL917519:ILL917521 IBP917519:IBP917521 HRT917519:HRT917521 HHX917519:HHX917521 GYB917519:GYB917521 GOF917519:GOF917521 GEJ917519:GEJ917521 FUN917519:FUN917521 FKR917519:FKR917521 FAV917519:FAV917521 EQZ917519:EQZ917521 EHD917519:EHD917521 DXH917519:DXH917521 DNL917519:DNL917521 DDP917519:DDP917521 CTT917519:CTT917521 CJX917519:CJX917521 CAB917519:CAB917521 BQF917519:BQF917521 BGJ917519:BGJ917521 AWN917519:AWN917521 AMR917519:AMR917521 ACV917519:ACV917521 SZ917519:SZ917521 JD917519:JD917521 H917519:H917521 WVP851983:WVP851985 WLT851983:WLT851985 WBX851983:WBX851985 VSB851983:VSB851985 VIF851983:VIF851985 UYJ851983:UYJ851985 UON851983:UON851985 UER851983:UER851985 TUV851983:TUV851985 TKZ851983:TKZ851985 TBD851983:TBD851985 SRH851983:SRH851985 SHL851983:SHL851985 RXP851983:RXP851985 RNT851983:RNT851985 RDX851983:RDX851985 QUB851983:QUB851985 QKF851983:QKF851985 QAJ851983:QAJ851985 PQN851983:PQN851985 PGR851983:PGR851985 OWV851983:OWV851985 OMZ851983:OMZ851985 ODD851983:ODD851985 NTH851983:NTH851985 NJL851983:NJL851985 MZP851983:MZP851985 MPT851983:MPT851985 MFX851983:MFX851985 LWB851983:LWB851985 LMF851983:LMF851985 LCJ851983:LCJ851985 KSN851983:KSN851985 KIR851983:KIR851985 JYV851983:JYV851985 JOZ851983:JOZ851985 JFD851983:JFD851985 IVH851983:IVH851985 ILL851983:ILL851985 IBP851983:IBP851985 HRT851983:HRT851985 HHX851983:HHX851985 GYB851983:GYB851985 GOF851983:GOF851985 GEJ851983:GEJ851985 FUN851983:FUN851985 FKR851983:FKR851985 FAV851983:FAV851985 EQZ851983:EQZ851985 EHD851983:EHD851985 DXH851983:DXH851985 DNL851983:DNL851985 DDP851983:DDP851985 CTT851983:CTT851985 CJX851983:CJX851985 CAB851983:CAB851985 BQF851983:BQF851985 BGJ851983:BGJ851985 AWN851983:AWN851985 AMR851983:AMR851985 ACV851983:ACV851985 SZ851983:SZ851985 JD851983:JD851985 H851983:H851985 WVP786447:WVP786449 WLT786447:WLT786449 WBX786447:WBX786449 VSB786447:VSB786449 VIF786447:VIF786449 UYJ786447:UYJ786449 UON786447:UON786449 UER786447:UER786449 TUV786447:TUV786449 TKZ786447:TKZ786449 TBD786447:TBD786449 SRH786447:SRH786449 SHL786447:SHL786449 RXP786447:RXP786449 RNT786447:RNT786449 RDX786447:RDX786449 QUB786447:QUB786449 QKF786447:QKF786449 QAJ786447:QAJ786449 PQN786447:PQN786449 PGR786447:PGR786449 OWV786447:OWV786449 OMZ786447:OMZ786449 ODD786447:ODD786449 NTH786447:NTH786449 NJL786447:NJL786449 MZP786447:MZP786449 MPT786447:MPT786449 MFX786447:MFX786449 LWB786447:LWB786449 LMF786447:LMF786449 LCJ786447:LCJ786449 KSN786447:KSN786449 KIR786447:KIR786449 JYV786447:JYV786449 JOZ786447:JOZ786449 JFD786447:JFD786449 IVH786447:IVH786449 ILL786447:ILL786449 IBP786447:IBP786449 HRT786447:HRT786449 HHX786447:HHX786449 GYB786447:GYB786449 GOF786447:GOF786449 GEJ786447:GEJ786449 FUN786447:FUN786449 FKR786447:FKR786449 FAV786447:FAV786449 EQZ786447:EQZ786449 EHD786447:EHD786449 DXH786447:DXH786449 DNL786447:DNL786449 DDP786447:DDP786449 CTT786447:CTT786449 CJX786447:CJX786449 CAB786447:CAB786449 BQF786447:BQF786449 BGJ786447:BGJ786449 AWN786447:AWN786449 AMR786447:AMR786449 ACV786447:ACV786449 SZ786447:SZ786449 JD786447:JD786449 H786447:H786449 WVP720911:WVP720913 WLT720911:WLT720913 WBX720911:WBX720913 VSB720911:VSB720913 VIF720911:VIF720913 UYJ720911:UYJ720913 UON720911:UON720913 UER720911:UER720913 TUV720911:TUV720913 TKZ720911:TKZ720913 TBD720911:TBD720913 SRH720911:SRH720913 SHL720911:SHL720913 RXP720911:RXP720913 RNT720911:RNT720913 RDX720911:RDX720913 QUB720911:QUB720913 QKF720911:QKF720913 QAJ720911:QAJ720913 PQN720911:PQN720913 PGR720911:PGR720913 OWV720911:OWV720913 OMZ720911:OMZ720913 ODD720911:ODD720913 NTH720911:NTH720913 NJL720911:NJL720913 MZP720911:MZP720913 MPT720911:MPT720913 MFX720911:MFX720913 LWB720911:LWB720913 LMF720911:LMF720913 LCJ720911:LCJ720913 KSN720911:KSN720913 KIR720911:KIR720913 JYV720911:JYV720913 JOZ720911:JOZ720913 JFD720911:JFD720913 IVH720911:IVH720913 ILL720911:ILL720913 IBP720911:IBP720913 HRT720911:HRT720913 HHX720911:HHX720913 GYB720911:GYB720913 GOF720911:GOF720913 GEJ720911:GEJ720913 FUN720911:FUN720913 FKR720911:FKR720913 FAV720911:FAV720913 EQZ720911:EQZ720913 EHD720911:EHD720913 DXH720911:DXH720913 DNL720911:DNL720913 DDP720911:DDP720913 CTT720911:CTT720913 CJX720911:CJX720913 CAB720911:CAB720913 BQF720911:BQF720913 BGJ720911:BGJ720913 AWN720911:AWN720913 AMR720911:AMR720913 ACV720911:ACV720913 SZ720911:SZ720913 JD720911:JD720913 H720911:H720913 WVP655375:WVP655377 WLT655375:WLT655377 WBX655375:WBX655377 VSB655375:VSB655377 VIF655375:VIF655377 UYJ655375:UYJ655377 UON655375:UON655377 UER655375:UER655377 TUV655375:TUV655377 TKZ655375:TKZ655377 TBD655375:TBD655377 SRH655375:SRH655377 SHL655375:SHL655377 RXP655375:RXP655377 RNT655375:RNT655377 RDX655375:RDX655377 QUB655375:QUB655377 QKF655375:QKF655377 QAJ655375:QAJ655377 PQN655375:PQN655377 PGR655375:PGR655377 OWV655375:OWV655377 OMZ655375:OMZ655377 ODD655375:ODD655377 NTH655375:NTH655377 NJL655375:NJL655377 MZP655375:MZP655377 MPT655375:MPT655377 MFX655375:MFX655377 LWB655375:LWB655377 LMF655375:LMF655377 LCJ655375:LCJ655377 KSN655375:KSN655377 KIR655375:KIR655377 JYV655375:JYV655377 JOZ655375:JOZ655377 JFD655375:JFD655377 IVH655375:IVH655377 ILL655375:ILL655377 IBP655375:IBP655377 HRT655375:HRT655377 HHX655375:HHX655377 GYB655375:GYB655377 GOF655375:GOF655377 GEJ655375:GEJ655377 FUN655375:FUN655377 FKR655375:FKR655377 FAV655375:FAV655377 EQZ655375:EQZ655377 EHD655375:EHD655377 DXH655375:DXH655377 DNL655375:DNL655377 DDP655375:DDP655377 CTT655375:CTT655377 CJX655375:CJX655377 CAB655375:CAB655377 BQF655375:BQF655377 BGJ655375:BGJ655377 AWN655375:AWN655377 AMR655375:AMR655377 ACV655375:ACV655377 SZ655375:SZ655377 JD655375:JD655377 H655375:H655377 WVP589839:WVP589841 WLT589839:WLT589841 WBX589839:WBX589841 VSB589839:VSB589841 VIF589839:VIF589841 UYJ589839:UYJ589841 UON589839:UON589841 UER589839:UER589841 TUV589839:TUV589841 TKZ589839:TKZ589841 TBD589839:TBD589841 SRH589839:SRH589841 SHL589839:SHL589841 RXP589839:RXP589841 RNT589839:RNT589841 RDX589839:RDX589841 QUB589839:QUB589841 QKF589839:QKF589841 QAJ589839:QAJ589841 PQN589839:PQN589841 PGR589839:PGR589841 OWV589839:OWV589841 OMZ589839:OMZ589841 ODD589839:ODD589841 NTH589839:NTH589841 NJL589839:NJL589841 MZP589839:MZP589841 MPT589839:MPT589841 MFX589839:MFX589841 LWB589839:LWB589841 LMF589839:LMF589841 LCJ589839:LCJ589841 KSN589839:KSN589841 KIR589839:KIR589841 JYV589839:JYV589841 JOZ589839:JOZ589841 JFD589839:JFD589841 IVH589839:IVH589841 ILL589839:ILL589841 IBP589839:IBP589841 HRT589839:HRT589841 HHX589839:HHX589841 GYB589839:GYB589841 GOF589839:GOF589841 GEJ589839:GEJ589841 FUN589839:FUN589841 FKR589839:FKR589841 FAV589839:FAV589841 EQZ589839:EQZ589841 EHD589839:EHD589841 DXH589839:DXH589841 DNL589839:DNL589841 DDP589839:DDP589841 CTT589839:CTT589841 CJX589839:CJX589841 CAB589839:CAB589841 BQF589839:BQF589841 BGJ589839:BGJ589841 AWN589839:AWN589841 AMR589839:AMR589841 ACV589839:ACV589841 SZ589839:SZ589841 JD589839:JD589841 H589839:H589841 WVP524303:WVP524305 WLT524303:WLT524305 WBX524303:WBX524305 VSB524303:VSB524305 VIF524303:VIF524305 UYJ524303:UYJ524305 UON524303:UON524305 UER524303:UER524305 TUV524303:TUV524305 TKZ524303:TKZ524305 TBD524303:TBD524305 SRH524303:SRH524305 SHL524303:SHL524305 RXP524303:RXP524305 RNT524303:RNT524305 RDX524303:RDX524305 QUB524303:QUB524305 QKF524303:QKF524305 QAJ524303:QAJ524305 PQN524303:PQN524305 PGR524303:PGR524305 OWV524303:OWV524305 OMZ524303:OMZ524305 ODD524303:ODD524305 NTH524303:NTH524305 NJL524303:NJL524305 MZP524303:MZP524305 MPT524303:MPT524305 MFX524303:MFX524305 LWB524303:LWB524305 LMF524303:LMF524305 LCJ524303:LCJ524305 KSN524303:KSN524305 KIR524303:KIR524305 JYV524303:JYV524305 JOZ524303:JOZ524305 JFD524303:JFD524305 IVH524303:IVH524305 ILL524303:ILL524305 IBP524303:IBP524305 HRT524303:HRT524305 HHX524303:HHX524305 GYB524303:GYB524305 GOF524303:GOF524305 GEJ524303:GEJ524305 FUN524303:FUN524305 FKR524303:FKR524305 FAV524303:FAV524305 EQZ524303:EQZ524305 EHD524303:EHD524305 DXH524303:DXH524305 DNL524303:DNL524305 DDP524303:DDP524305 CTT524303:CTT524305 CJX524303:CJX524305 CAB524303:CAB524305 BQF524303:BQF524305 BGJ524303:BGJ524305 AWN524303:AWN524305 AMR524303:AMR524305 ACV524303:ACV524305 SZ524303:SZ524305 JD524303:JD524305 H524303:H524305 WVP458767:WVP458769 WLT458767:WLT458769 WBX458767:WBX458769 VSB458767:VSB458769 VIF458767:VIF458769 UYJ458767:UYJ458769 UON458767:UON458769 UER458767:UER458769 TUV458767:TUV458769 TKZ458767:TKZ458769 TBD458767:TBD458769 SRH458767:SRH458769 SHL458767:SHL458769 RXP458767:RXP458769 RNT458767:RNT458769 RDX458767:RDX458769 QUB458767:QUB458769 QKF458767:QKF458769 QAJ458767:QAJ458769 PQN458767:PQN458769 PGR458767:PGR458769 OWV458767:OWV458769 OMZ458767:OMZ458769 ODD458767:ODD458769 NTH458767:NTH458769 NJL458767:NJL458769 MZP458767:MZP458769 MPT458767:MPT458769 MFX458767:MFX458769 LWB458767:LWB458769 LMF458767:LMF458769 LCJ458767:LCJ458769 KSN458767:KSN458769 KIR458767:KIR458769 JYV458767:JYV458769 JOZ458767:JOZ458769 JFD458767:JFD458769 IVH458767:IVH458769 ILL458767:ILL458769 IBP458767:IBP458769 HRT458767:HRT458769 HHX458767:HHX458769 GYB458767:GYB458769 GOF458767:GOF458769 GEJ458767:GEJ458769 FUN458767:FUN458769 FKR458767:FKR458769 FAV458767:FAV458769 EQZ458767:EQZ458769 EHD458767:EHD458769 DXH458767:DXH458769 DNL458767:DNL458769 DDP458767:DDP458769 CTT458767:CTT458769 CJX458767:CJX458769 CAB458767:CAB458769 BQF458767:BQF458769 BGJ458767:BGJ458769 AWN458767:AWN458769 AMR458767:AMR458769 ACV458767:ACV458769 SZ458767:SZ458769 JD458767:JD458769 H458767:H458769 WVP393231:WVP393233 WLT393231:WLT393233 WBX393231:WBX393233 VSB393231:VSB393233 VIF393231:VIF393233 UYJ393231:UYJ393233 UON393231:UON393233 UER393231:UER393233 TUV393231:TUV393233 TKZ393231:TKZ393233 TBD393231:TBD393233 SRH393231:SRH393233 SHL393231:SHL393233 RXP393231:RXP393233 RNT393231:RNT393233 RDX393231:RDX393233 QUB393231:QUB393233 QKF393231:QKF393233 QAJ393231:QAJ393233 PQN393231:PQN393233 PGR393231:PGR393233 OWV393231:OWV393233 OMZ393231:OMZ393233 ODD393231:ODD393233 NTH393231:NTH393233 NJL393231:NJL393233 MZP393231:MZP393233 MPT393231:MPT393233 MFX393231:MFX393233 LWB393231:LWB393233 LMF393231:LMF393233 LCJ393231:LCJ393233 KSN393231:KSN393233 KIR393231:KIR393233 JYV393231:JYV393233 JOZ393231:JOZ393233 JFD393231:JFD393233 IVH393231:IVH393233 ILL393231:ILL393233 IBP393231:IBP393233 HRT393231:HRT393233 HHX393231:HHX393233 GYB393231:GYB393233 GOF393231:GOF393233 GEJ393231:GEJ393233 FUN393231:FUN393233 FKR393231:FKR393233 FAV393231:FAV393233 EQZ393231:EQZ393233 EHD393231:EHD393233 DXH393231:DXH393233 DNL393231:DNL393233 DDP393231:DDP393233 CTT393231:CTT393233 CJX393231:CJX393233 CAB393231:CAB393233 BQF393231:BQF393233 BGJ393231:BGJ393233 AWN393231:AWN393233 AMR393231:AMR393233 ACV393231:ACV393233 SZ393231:SZ393233 JD393231:JD393233 H393231:H393233 WVP327695:WVP327697 WLT327695:WLT327697 WBX327695:WBX327697 VSB327695:VSB327697 VIF327695:VIF327697 UYJ327695:UYJ327697 UON327695:UON327697 UER327695:UER327697 TUV327695:TUV327697 TKZ327695:TKZ327697 TBD327695:TBD327697 SRH327695:SRH327697 SHL327695:SHL327697 RXP327695:RXP327697 RNT327695:RNT327697 RDX327695:RDX327697 QUB327695:QUB327697 QKF327695:QKF327697 QAJ327695:QAJ327697 PQN327695:PQN327697 PGR327695:PGR327697 OWV327695:OWV327697 OMZ327695:OMZ327697 ODD327695:ODD327697 NTH327695:NTH327697 NJL327695:NJL327697 MZP327695:MZP327697 MPT327695:MPT327697 MFX327695:MFX327697 LWB327695:LWB327697 LMF327695:LMF327697 LCJ327695:LCJ327697 KSN327695:KSN327697 KIR327695:KIR327697 JYV327695:JYV327697 JOZ327695:JOZ327697 JFD327695:JFD327697 IVH327695:IVH327697 ILL327695:ILL327697 IBP327695:IBP327697 HRT327695:HRT327697 HHX327695:HHX327697 GYB327695:GYB327697 GOF327695:GOF327697 GEJ327695:GEJ327697 FUN327695:FUN327697 FKR327695:FKR327697 FAV327695:FAV327697 EQZ327695:EQZ327697 EHD327695:EHD327697 DXH327695:DXH327697 DNL327695:DNL327697 DDP327695:DDP327697 CTT327695:CTT327697 CJX327695:CJX327697 CAB327695:CAB327697 BQF327695:BQF327697 BGJ327695:BGJ327697 AWN327695:AWN327697 AMR327695:AMR327697 ACV327695:ACV327697 SZ327695:SZ327697 JD327695:JD327697 H327695:H327697 WVP262159:WVP262161 WLT262159:WLT262161 WBX262159:WBX262161 VSB262159:VSB262161 VIF262159:VIF262161 UYJ262159:UYJ262161 UON262159:UON262161 UER262159:UER262161 TUV262159:TUV262161 TKZ262159:TKZ262161 TBD262159:TBD262161 SRH262159:SRH262161 SHL262159:SHL262161 RXP262159:RXP262161 RNT262159:RNT262161 RDX262159:RDX262161 QUB262159:QUB262161 QKF262159:QKF262161 QAJ262159:QAJ262161 PQN262159:PQN262161 PGR262159:PGR262161 OWV262159:OWV262161 OMZ262159:OMZ262161 ODD262159:ODD262161 NTH262159:NTH262161 NJL262159:NJL262161 MZP262159:MZP262161 MPT262159:MPT262161 MFX262159:MFX262161 LWB262159:LWB262161 LMF262159:LMF262161 LCJ262159:LCJ262161 KSN262159:KSN262161 KIR262159:KIR262161 JYV262159:JYV262161 JOZ262159:JOZ262161 JFD262159:JFD262161 IVH262159:IVH262161 ILL262159:ILL262161 IBP262159:IBP262161 HRT262159:HRT262161 HHX262159:HHX262161 GYB262159:GYB262161 GOF262159:GOF262161 GEJ262159:GEJ262161 FUN262159:FUN262161 FKR262159:FKR262161 FAV262159:FAV262161 EQZ262159:EQZ262161 EHD262159:EHD262161 DXH262159:DXH262161 DNL262159:DNL262161 DDP262159:DDP262161 CTT262159:CTT262161 CJX262159:CJX262161 CAB262159:CAB262161 BQF262159:BQF262161 BGJ262159:BGJ262161 AWN262159:AWN262161 AMR262159:AMR262161 ACV262159:ACV262161 SZ262159:SZ262161 JD262159:JD262161 H262159:H262161 WVP196623:WVP196625 WLT196623:WLT196625 WBX196623:WBX196625 VSB196623:VSB196625 VIF196623:VIF196625 UYJ196623:UYJ196625 UON196623:UON196625 UER196623:UER196625 TUV196623:TUV196625 TKZ196623:TKZ196625 TBD196623:TBD196625 SRH196623:SRH196625 SHL196623:SHL196625 RXP196623:RXP196625 RNT196623:RNT196625 RDX196623:RDX196625 QUB196623:QUB196625 QKF196623:QKF196625 QAJ196623:QAJ196625 PQN196623:PQN196625 PGR196623:PGR196625 OWV196623:OWV196625 OMZ196623:OMZ196625 ODD196623:ODD196625 NTH196623:NTH196625 NJL196623:NJL196625 MZP196623:MZP196625 MPT196623:MPT196625 MFX196623:MFX196625 LWB196623:LWB196625 LMF196623:LMF196625 LCJ196623:LCJ196625 KSN196623:KSN196625 KIR196623:KIR196625 JYV196623:JYV196625 JOZ196623:JOZ196625 JFD196623:JFD196625 IVH196623:IVH196625 ILL196623:ILL196625 IBP196623:IBP196625 HRT196623:HRT196625 HHX196623:HHX196625 GYB196623:GYB196625 GOF196623:GOF196625 GEJ196623:GEJ196625 FUN196623:FUN196625 FKR196623:FKR196625 FAV196623:FAV196625 EQZ196623:EQZ196625 EHD196623:EHD196625 DXH196623:DXH196625 DNL196623:DNL196625 DDP196623:DDP196625 CTT196623:CTT196625 CJX196623:CJX196625 CAB196623:CAB196625 BQF196623:BQF196625 BGJ196623:BGJ196625 AWN196623:AWN196625 AMR196623:AMR196625 ACV196623:ACV196625 SZ196623:SZ196625 JD196623:JD196625 H196623:H196625 WVP131087:WVP131089 WLT131087:WLT131089 WBX131087:WBX131089 VSB131087:VSB131089 VIF131087:VIF131089 UYJ131087:UYJ131089 UON131087:UON131089 UER131087:UER131089 TUV131087:TUV131089 TKZ131087:TKZ131089 TBD131087:TBD131089 SRH131087:SRH131089 SHL131087:SHL131089 RXP131087:RXP131089 RNT131087:RNT131089 RDX131087:RDX131089 QUB131087:QUB131089 QKF131087:QKF131089 QAJ131087:QAJ131089 PQN131087:PQN131089 PGR131087:PGR131089 OWV131087:OWV131089 OMZ131087:OMZ131089 ODD131087:ODD131089 NTH131087:NTH131089 NJL131087:NJL131089 MZP131087:MZP131089 MPT131087:MPT131089 MFX131087:MFX131089 LWB131087:LWB131089 LMF131087:LMF131089 LCJ131087:LCJ131089 KSN131087:KSN131089 KIR131087:KIR131089 JYV131087:JYV131089 JOZ131087:JOZ131089 JFD131087:JFD131089 IVH131087:IVH131089 ILL131087:ILL131089 IBP131087:IBP131089 HRT131087:HRT131089 HHX131087:HHX131089 GYB131087:GYB131089 GOF131087:GOF131089 GEJ131087:GEJ131089 FUN131087:FUN131089 FKR131087:FKR131089 FAV131087:FAV131089 EQZ131087:EQZ131089 EHD131087:EHD131089 DXH131087:DXH131089 DNL131087:DNL131089 DDP131087:DDP131089 CTT131087:CTT131089 CJX131087:CJX131089 CAB131087:CAB131089 BQF131087:BQF131089 BGJ131087:BGJ131089 AWN131087:AWN131089 AMR131087:AMR131089 ACV131087:ACV131089 SZ131087:SZ131089 JD131087:JD131089 H131087:H131089 WVP65551:WVP65553 WLT65551:WLT65553 WBX65551:WBX65553 VSB65551:VSB65553 VIF65551:VIF65553 UYJ65551:UYJ65553 UON65551:UON65553 UER65551:UER65553 TUV65551:TUV65553 TKZ65551:TKZ65553 TBD65551:TBD65553 SRH65551:SRH65553 SHL65551:SHL65553 RXP65551:RXP65553 RNT65551:RNT65553 RDX65551:RDX65553 QUB65551:QUB65553 QKF65551:QKF65553 QAJ65551:QAJ65553 PQN65551:PQN65553 PGR65551:PGR65553 OWV65551:OWV65553 OMZ65551:OMZ65553 ODD65551:ODD65553 NTH65551:NTH65553 NJL65551:NJL65553 MZP65551:MZP65553 MPT65551:MPT65553 MFX65551:MFX65553 LWB65551:LWB65553 LMF65551:LMF65553 LCJ65551:LCJ65553 KSN65551:KSN65553 KIR65551:KIR65553 JYV65551:JYV65553 JOZ65551:JOZ65553 JFD65551:JFD65553 IVH65551:IVH65553 ILL65551:ILL65553 IBP65551:IBP65553 HRT65551:HRT65553 HHX65551:HHX65553 GYB65551:GYB65553 GOF65551:GOF65553 GEJ65551:GEJ65553 FUN65551:FUN65553 FKR65551:FKR65553 FAV65551:FAV65553 EQZ65551:EQZ65553 EHD65551:EHD65553 DXH65551:DXH65553 DNL65551:DNL65553 DDP65551:DDP65553 CTT65551:CTT65553 CJX65551:CJX65553 CAB65551:CAB65553 BQF65551:BQF65553 BGJ65551:BGJ65553 AWN65551:AWN65553 AMR65551:AMR65553 ACV65551:ACV65553 SZ65551:SZ65553 JD65551:JD65553 H65551:H65553 WVP8:WVP17 WLT8:WLT17 WBX8:WBX17 VSB8:VSB17 VIF8:VIF17 UYJ8:UYJ17 UON8:UON17 UER8:UER17 TUV8:TUV17 TKZ8:TKZ17 TBD8:TBD17 SRH8:SRH17 SHL8:SHL17 RXP8:RXP17 RNT8:RNT17 RDX8:RDX17 QUB8:QUB17 QKF8:QKF17 QAJ8:QAJ17 PQN8:PQN17 PGR8:PGR17 OWV8:OWV17 OMZ8:OMZ17 ODD8:ODD17 NTH8:NTH17 NJL8:NJL17 MZP8:MZP17 MPT8:MPT17 MFX8:MFX17 LWB8:LWB17 LMF8:LMF17 LCJ8:LCJ17 KSN8:KSN17 KIR8:KIR17 JYV8:JYV17 JOZ8:JOZ17 JFD8:JFD17 IVH8:IVH17 ILL8:ILL17 IBP8:IBP17 HRT8:HRT17 HHX8:HHX17 GYB8:GYB17 GOF8:GOF17 GEJ8:GEJ17 FUN8:FUN17 FKR8:FKR17 FAV8:FAV17 EQZ8:EQZ17 EHD8:EHD17 DXH8:DXH17 DNL8:DNL17 DDP8:DDP17 CTT8:CTT17 CJX8:CJX17 CAB8:CAB17 BQF8:BQF17 BGJ8:BGJ17 AWN8:AWN17 AMR8:AMR17 ACV8:ACV17 SZ8:SZ17 H8:H12 H16">
      <formula1>$H$25:$H$29</formula1>
    </dataValidation>
    <dataValidation type="list" allowBlank="1" showInputMessage="1" showErrorMessage="1" sqref="AE8:AE17 WWM983055 WMQ983055 WCU983055 VSY983055 VJC983055 UZG983055 UPK983055 UFO983055 TVS983055 TLW983055 TCA983055 SSE983055 SII983055 RYM983055 ROQ983055 REU983055 QUY983055 QLC983055 QBG983055 PRK983055 PHO983055 OXS983055 ONW983055 OEA983055 NUE983055 NKI983055 NAM983055 MQQ983055 MGU983055 LWY983055 LNC983055 LDG983055 KTK983055 KJO983055 JZS983055 JPW983055 JGA983055 IWE983055 IMI983055 ICM983055 HSQ983055 HIU983055 GYY983055 GPC983055 GFG983055 FVK983055 FLO983055 FBS983055 ERW983055 EIA983055 DYE983055 DOI983055 DEM983055 CUQ983055 CKU983055 CAY983055 BRC983055 BHG983055 AXK983055 ANO983055 ADS983055 TW983055 KA983055 AE983055 WWM917519 WMQ917519 WCU917519 VSY917519 VJC917519 UZG917519 UPK917519 UFO917519 TVS917519 TLW917519 TCA917519 SSE917519 SII917519 RYM917519 ROQ917519 REU917519 QUY917519 QLC917519 QBG917519 PRK917519 PHO917519 OXS917519 ONW917519 OEA917519 NUE917519 NKI917519 NAM917519 MQQ917519 MGU917519 LWY917519 LNC917519 LDG917519 KTK917519 KJO917519 JZS917519 JPW917519 JGA917519 IWE917519 IMI917519 ICM917519 HSQ917519 HIU917519 GYY917519 GPC917519 GFG917519 FVK917519 FLO917519 FBS917519 ERW917519 EIA917519 DYE917519 DOI917519 DEM917519 CUQ917519 CKU917519 CAY917519 BRC917519 BHG917519 AXK917519 ANO917519 ADS917519 TW917519 KA917519 AE917519 WWM851983 WMQ851983 WCU851983 VSY851983 VJC851983 UZG851983 UPK851983 UFO851983 TVS851983 TLW851983 TCA851983 SSE851983 SII851983 RYM851983 ROQ851983 REU851983 QUY851983 QLC851983 QBG851983 PRK851983 PHO851983 OXS851983 ONW851983 OEA851983 NUE851983 NKI851983 NAM851983 MQQ851983 MGU851983 LWY851983 LNC851983 LDG851983 KTK851983 KJO851983 JZS851983 JPW851983 JGA851983 IWE851983 IMI851983 ICM851983 HSQ851983 HIU851983 GYY851983 GPC851983 GFG851983 FVK851983 FLO851983 FBS851983 ERW851983 EIA851983 DYE851983 DOI851983 DEM851983 CUQ851983 CKU851983 CAY851983 BRC851983 BHG851983 AXK851983 ANO851983 ADS851983 TW851983 KA851983 AE851983 WWM786447 WMQ786447 WCU786447 VSY786447 VJC786447 UZG786447 UPK786447 UFO786447 TVS786447 TLW786447 TCA786447 SSE786447 SII786447 RYM786447 ROQ786447 REU786447 QUY786447 QLC786447 QBG786447 PRK786447 PHO786447 OXS786447 ONW786447 OEA786447 NUE786447 NKI786447 NAM786447 MQQ786447 MGU786447 LWY786447 LNC786447 LDG786447 KTK786447 KJO786447 JZS786447 JPW786447 JGA786447 IWE786447 IMI786447 ICM786447 HSQ786447 HIU786447 GYY786447 GPC786447 GFG786447 FVK786447 FLO786447 FBS786447 ERW786447 EIA786447 DYE786447 DOI786447 DEM786447 CUQ786447 CKU786447 CAY786447 BRC786447 BHG786447 AXK786447 ANO786447 ADS786447 TW786447 KA786447 AE786447 WWM720911 WMQ720911 WCU720911 VSY720911 VJC720911 UZG720911 UPK720911 UFO720911 TVS720911 TLW720911 TCA720911 SSE720911 SII720911 RYM720911 ROQ720911 REU720911 QUY720911 QLC720911 QBG720911 PRK720911 PHO720911 OXS720911 ONW720911 OEA720911 NUE720911 NKI720911 NAM720911 MQQ720911 MGU720911 LWY720911 LNC720911 LDG720911 KTK720911 KJO720911 JZS720911 JPW720911 JGA720911 IWE720911 IMI720911 ICM720911 HSQ720911 HIU720911 GYY720911 GPC720911 GFG720911 FVK720911 FLO720911 FBS720911 ERW720911 EIA720911 DYE720911 DOI720911 DEM720911 CUQ720911 CKU720911 CAY720911 BRC720911 BHG720911 AXK720911 ANO720911 ADS720911 TW720911 KA720911 AE720911 WWM655375 WMQ655375 WCU655375 VSY655375 VJC655375 UZG655375 UPK655375 UFO655375 TVS655375 TLW655375 TCA655375 SSE655375 SII655375 RYM655375 ROQ655375 REU655375 QUY655375 QLC655375 QBG655375 PRK655375 PHO655375 OXS655375 ONW655375 OEA655375 NUE655375 NKI655375 NAM655375 MQQ655375 MGU655375 LWY655375 LNC655375 LDG655375 KTK655375 KJO655375 JZS655375 JPW655375 JGA655375 IWE655375 IMI655375 ICM655375 HSQ655375 HIU655375 GYY655375 GPC655375 GFG655375 FVK655375 FLO655375 FBS655375 ERW655375 EIA655375 DYE655375 DOI655375 DEM655375 CUQ655375 CKU655375 CAY655375 BRC655375 BHG655375 AXK655375 ANO655375 ADS655375 TW655375 KA655375 AE655375 WWM589839 WMQ589839 WCU589839 VSY589839 VJC589839 UZG589839 UPK589839 UFO589839 TVS589839 TLW589839 TCA589839 SSE589839 SII589839 RYM589839 ROQ589839 REU589839 QUY589839 QLC589839 QBG589839 PRK589839 PHO589839 OXS589839 ONW589839 OEA589839 NUE589839 NKI589839 NAM589839 MQQ589839 MGU589839 LWY589839 LNC589839 LDG589839 KTK589839 KJO589839 JZS589839 JPW589839 JGA589839 IWE589839 IMI589839 ICM589839 HSQ589839 HIU589839 GYY589839 GPC589839 GFG589839 FVK589839 FLO589839 FBS589839 ERW589839 EIA589839 DYE589839 DOI589839 DEM589839 CUQ589839 CKU589839 CAY589839 BRC589839 BHG589839 AXK589839 ANO589839 ADS589839 TW589839 KA589839 AE589839 WWM524303 WMQ524303 WCU524303 VSY524303 VJC524303 UZG524303 UPK524303 UFO524303 TVS524303 TLW524303 TCA524303 SSE524303 SII524303 RYM524303 ROQ524303 REU524303 QUY524303 QLC524303 QBG524303 PRK524303 PHO524303 OXS524303 ONW524303 OEA524303 NUE524303 NKI524303 NAM524303 MQQ524303 MGU524303 LWY524303 LNC524303 LDG524303 KTK524303 KJO524303 JZS524303 JPW524303 JGA524303 IWE524303 IMI524303 ICM524303 HSQ524303 HIU524303 GYY524303 GPC524303 GFG524303 FVK524303 FLO524303 FBS524303 ERW524303 EIA524303 DYE524303 DOI524303 DEM524303 CUQ524303 CKU524303 CAY524303 BRC524303 BHG524303 AXK524303 ANO524303 ADS524303 TW524303 KA524303 AE524303 WWM458767 WMQ458767 WCU458767 VSY458767 VJC458767 UZG458767 UPK458767 UFO458767 TVS458767 TLW458767 TCA458767 SSE458767 SII458767 RYM458767 ROQ458767 REU458767 QUY458767 QLC458767 QBG458767 PRK458767 PHO458767 OXS458767 ONW458767 OEA458767 NUE458767 NKI458767 NAM458767 MQQ458767 MGU458767 LWY458767 LNC458767 LDG458767 KTK458767 KJO458767 JZS458767 JPW458767 JGA458767 IWE458767 IMI458767 ICM458767 HSQ458767 HIU458767 GYY458767 GPC458767 GFG458767 FVK458767 FLO458767 FBS458767 ERW458767 EIA458767 DYE458767 DOI458767 DEM458767 CUQ458767 CKU458767 CAY458767 BRC458767 BHG458767 AXK458767 ANO458767 ADS458767 TW458767 KA458767 AE458767 WWM393231 WMQ393231 WCU393231 VSY393231 VJC393231 UZG393231 UPK393231 UFO393231 TVS393231 TLW393231 TCA393231 SSE393231 SII393231 RYM393231 ROQ393231 REU393231 QUY393231 QLC393231 QBG393231 PRK393231 PHO393231 OXS393231 ONW393231 OEA393231 NUE393231 NKI393231 NAM393231 MQQ393231 MGU393231 LWY393231 LNC393231 LDG393231 KTK393231 KJO393231 JZS393231 JPW393231 JGA393231 IWE393231 IMI393231 ICM393231 HSQ393231 HIU393231 GYY393231 GPC393231 GFG393231 FVK393231 FLO393231 FBS393231 ERW393231 EIA393231 DYE393231 DOI393231 DEM393231 CUQ393231 CKU393231 CAY393231 BRC393231 BHG393231 AXK393231 ANO393231 ADS393231 TW393231 KA393231 AE393231 WWM327695 WMQ327695 WCU327695 VSY327695 VJC327695 UZG327695 UPK327695 UFO327695 TVS327695 TLW327695 TCA327695 SSE327695 SII327695 RYM327695 ROQ327695 REU327695 QUY327695 QLC327695 QBG327695 PRK327695 PHO327695 OXS327695 ONW327695 OEA327695 NUE327695 NKI327695 NAM327695 MQQ327695 MGU327695 LWY327695 LNC327695 LDG327695 KTK327695 KJO327695 JZS327695 JPW327695 JGA327695 IWE327695 IMI327695 ICM327695 HSQ327695 HIU327695 GYY327695 GPC327695 GFG327695 FVK327695 FLO327695 FBS327695 ERW327695 EIA327695 DYE327695 DOI327695 DEM327695 CUQ327695 CKU327695 CAY327695 BRC327695 BHG327695 AXK327695 ANO327695 ADS327695 TW327695 KA327695 AE327695 WWM262159 WMQ262159 WCU262159 VSY262159 VJC262159 UZG262159 UPK262159 UFO262159 TVS262159 TLW262159 TCA262159 SSE262159 SII262159 RYM262159 ROQ262159 REU262159 QUY262159 QLC262159 QBG262159 PRK262159 PHO262159 OXS262159 ONW262159 OEA262159 NUE262159 NKI262159 NAM262159 MQQ262159 MGU262159 LWY262159 LNC262159 LDG262159 KTK262159 KJO262159 JZS262159 JPW262159 JGA262159 IWE262159 IMI262159 ICM262159 HSQ262159 HIU262159 GYY262159 GPC262159 GFG262159 FVK262159 FLO262159 FBS262159 ERW262159 EIA262159 DYE262159 DOI262159 DEM262159 CUQ262159 CKU262159 CAY262159 BRC262159 BHG262159 AXK262159 ANO262159 ADS262159 TW262159 KA262159 AE262159 WWM196623 WMQ196623 WCU196623 VSY196623 VJC196623 UZG196623 UPK196623 UFO196623 TVS196623 TLW196623 TCA196623 SSE196623 SII196623 RYM196623 ROQ196623 REU196623 QUY196623 QLC196623 QBG196623 PRK196623 PHO196623 OXS196623 ONW196623 OEA196623 NUE196623 NKI196623 NAM196623 MQQ196623 MGU196623 LWY196623 LNC196623 LDG196623 KTK196623 KJO196623 JZS196623 JPW196623 JGA196623 IWE196623 IMI196623 ICM196623 HSQ196623 HIU196623 GYY196623 GPC196623 GFG196623 FVK196623 FLO196623 FBS196623 ERW196623 EIA196623 DYE196623 DOI196623 DEM196623 CUQ196623 CKU196623 CAY196623 BRC196623 BHG196623 AXK196623 ANO196623 ADS196623 TW196623 KA196623 AE196623 WWM131087 WMQ131087 WCU131087 VSY131087 VJC131087 UZG131087 UPK131087 UFO131087 TVS131087 TLW131087 TCA131087 SSE131087 SII131087 RYM131087 ROQ131087 REU131087 QUY131087 QLC131087 QBG131087 PRK131087 PHO131087 OXS131087 ONW131087 OEA131087 NUE131087 NKI131087 NAM131087 MQQ131087 MGU131087 LWY131087 LNC131087 LDG131087 KTK131087 KJO131087 JZS131087 JPW131087 JGA131087 IWE131087 IMI131087 ICM131087 HSQ131087 HIU131087 GYY131087 GPC131087 GFG131087 FVK131087 FLO131087 FBS131087 ERW131087 EIA131087 DYE131087 DOI131087 DEM131087 CUQ131087 CKU131087 CAY131087 BRC131087 BHG131087 AXK131087 ANO131087 ADS131087 TW131087 KA131087 AE131087 WWM65551 WMQ65551 WCU65551 VSY65551 VJC65551 UZG65551 UPK65551 UFO65551 TVS65551 TLW65551 TCA65551 SSE65551 SII65551 RYM65551 ROQ65551 REU65551 QUY65551 QLC65551 QBG65551 PRK65551 PHO65551 OXS65551 ONW65551 OEA65551 NUE65551 NKI65551 NAM65551 MQQ65551 MGU65551 LWY65551 LNC65551 LDG65551 KTK65551 KJO65551 JZS65551 JPW65551 JGA65551 IWE65551 IMI65551 ICM65551 HSQ65551 HIU65551 GYY65551 GPC65551 GFG65551 FVK65551 FLO65551 FBS65551 ERW65551 EIA65551 DYE65551 DOI65551 DEM65551 CUQ65551 CKU65551 CAY65551 BRC65551 BHG65551 AXK65551 ANO65551 ADS65551 TW65551 KA65551 AE65551 WWM8 WMQ8 WCU8 VSY8 VJC8 UZG8 UPK8 UFO8 TVS8 TLW8 TCA8 SSE8 SII8 RYM8 ROQ8 REU8 QUY8 QLC8 QBG8 PRK8 PHO8 OXS8 ONW8 OEA8 NUE8 NKI8 NAM8 MQQ8 MGU8 LWY8 LNC8 LDG8 KTK8 KJO8 JZS8 JPW8 JGA8 IWE8 IMI8 ICM8 HSQ8 HIU8 GYY8 GPC8 GFG8 FVK8 FLO8 FBS8 ERW8 EIA8 DYE8 DOI8 DEM8 CUQ8 CKU8 CAY8 BRC8 BHG8 AXK8 ANO8 ADS8 TW8 KA8">
      <formula1>$B$27:$B$29</formula1>
    </dataValidation>
    <dataValidation type="list" allowBlank="1" showInputMessage="1" showErrorMessage="1" sqref="WWN983055:WWN983057 KB8:KB17 TX8:TX17 ADT8:ADT17 ANP8:ANP17 AXL8:AXL17 BHH8:BHH17 BRD8:BRD17 CAZ8:CAZ17 CKV8:CKV17 CUR8:CUR17 DEN8:DEN17 DOJ8:DOJ17 DYF8:DYF17 EIB8:EIB17 ERX8:ERX17 FBT8:FBT17 FLP8:FLP17 FVL8:FVL17 GFH8:GFH17 GPD8:GPD17 GYZ8:GYZ17 HIV8:HIV17 HSR8:HSR17 ICN8:ICN17 IMJ8:IMJ17 IWF8:IWF17 JGB8:JGB17 JPX8:JPX17 JZT8:JZT17 KJP8:KJP17 KTL8:KTL17 LDH8:LDH17 LND8:LND17 LWZ8:LWZ17 MGV8:MGV17 MQR8:MQR17 NAN8:NAN17 NKJ8:NKJ17 NUF8:NUF17 OEB8:OEB17 ONX8:ONX17 OXT8:OXT17 PHP8:PHP17 PRL8:PRL17 QBH8:QBH17 QLD8:QLD17 QUZ8:QUZ17 REV8:REV17 ROR8:ROR17 RYN8:RYN17 SIJ8:SIJ17 SSF8:SSF17 TCB8:TCB17 TLX8:TLX17 TVT8:TVT17 UFP8:UFP17 UPL8:UPL17 UZH8:UZH17 VJD8:VJD17 VSZ8:VSZ17 WCV8:WCV17 WMR8:WMR17 WWN8:WWN17 AF65551:AF65553 KB65551:KB65553 TX65551:TX65553 ADT65551:ADT65553 ANP65551:ANP65553 AXL65551:AXL65553 BHH65551:BHH65553 BRD65551:BRD65553 CAZ65551:CAZ65553 CKV65551:CKV65553 CUR65551:CUR65553 DEN65551:DEN65553 DOJ65551:DOJ65553 DYF65551:DYF65553 EIB65551:EIB65553 ERX65551:ERX65553 FBT65551:FBT65553 FLP65551:FLP65553 FVL65551:FVL65553 GFH65551:GFH65553 GPD65551:GPD65553 GYZ65551:GYZ65553 HIV65551:HIV65553 HSR65551:HSR65553 ICN65551:ICN65553 IMJ65551:IMJ65553 IWF65551:IWF65553 JGB65551:JGB65553 JPX65551:JPX65553 JZT65551:JZT65553 KJP65551:KJP65553 KTL65551:KTL65553 LDH65551:LDH65553 LND65551:LND65553 LWZ65551:LWZ65553 MGV65551:MGV65553 MQR65551:MQR65553 NAN65551:NAN65553 NKJ65551:NKJ65553 NUF65551:NUF65553 OEB65551:OEB65553 ONX65551:ONX65553 OXT65551:OXT65553 PHP65551:PHP65553 PRL65551:PRL65553 QBH65551:QBH65553 QLD65551:QLD65553 QUZ65551:QUZ65553 REV65551:REV65553 ROR65551:ROR65553 RYN65551:RYN65553 SIJ65551:SIJ65553 SSF65551:SSF65553 TCB65551:TCB65553 TLX65551:TLX65553 TVT65551:TVT65553 UFP65551:UFP65553 UPL65551:UPL65553 UZH65551:UZH65553 VJD65551:VJD65553 VSZ65551:VSZ65553 WCV65551:WCV65553 WMR65551:WMR65553 WWN65551:WWN65553 AF131087:AF131089 KB131087:KB131089 TX131087:TX131089 ADT131087:ADT131089 ANP131087:ANP131089 AXL131087:AXL131089 BHH131087:BHH131089 BRD131087:BRD131089 CAZ131087:CAZ131089 CKV131087:CKV131089 CUR131087:CUR131089 DEN131087:DEN131089 DOJ131087:DOJ131089 DYF131087:DYF131089 EIB131087:EIB131089 ERX131087:ERX131089 FBT131087:FBT131089 FLP131087:FLP131089 FVL131087:FVL131089 GFH131087:GFH131089 GPD131087:GPD131089 GYZ131087:GYZ131089 HIV131087:HIV131089 HSR131087:HSR131089 ICN131087:ICN131089 IMJ131087:IMJ131089 IWF131087:IWF131089 JGB131087:JGB131089 JPX131087:JPX131089 JZT131087:JZT131089 KJP131087:KJP131089 KTL131087:KTL131089 LDH131087:LDH131089 LND131087:LND131089 LWZ131087:LWZ131089 MGV131087:MGV131089 MQR131087:MQR131089 NAN131087:NAN131089 NKJ131087:NKJ131089 NUF131087:NUF131089 OEB131087:OEB131089 ONX131087:ONX131089 OXT131087:OXT131089 PHP131087:PHP131089 PRL131087:PRL131089 QBH131087:QBH131089 QLD131087:QLD131089 QUZ131087:QUZ131089 REV131087:REV131089 ROR131087:ROR131089 RYN131087:RYN131089 SIJ131087:SIJ131089 SSF131087:SSF131089 TCB131087:TCB131089 TLX131087:TLX131089 TVT131087:TVT131089 UFP131087:UFP131089 UPL131087:UPL131089 UZH131087:UZH131089 VJD131087:VJD131089 VSZ131087:VSZ131089 WCV131087:WCV131089 WMR131087:WMR131089 WWN131087:WWN131089 AF196623:AF196625 KB196623:KB196625 TX196623:TX196625 ADT196623:ADT196625 ANP196623:ANP196625 AXL196623:AXL196625 BHH196623:BHH196625 BRD196623:BRD196625 CAZ196623:CAZ196625 CKV196623:CKV196625 CUR196623:CUR196625 DEN196623:DEN196625 DOJ196623:DOJ196625 DYF196623:DYF196625 EIB196623:EIB196625 ERX196623:ERX196625 FBT196623:FBT196625 FLP196623:FLP196625 FVL196623:FVL196625 GFH196623:GFH196625 GPD196623:GPD196625 GYZ196623:GYZ196625 HIV196623:HIV196625 HSR196623:HSR196625 ICN196623:ICN196625 IMJ196623:IMJ196625 IWF196623:IWF196625 JGB196623:JGB196625 JPX196623:JPX196625 JZT196623:JZT196625 KJP196623:KJP196625 KTL196623:KTL196625 LDH196623:LDH196625 LND196623:LND196625 LWZ196623:LWZ196625 MGV196623:MGV196625 MQR196623:MQR196625 NAN196623:NAN196625 NKJ196623:NKJ196625 NUF196623:NUF196625 OEB196623:OEB196625 ONX196623:ONX196625 OXT196623:OXT196625 PHP196623:PHP196625 PRL196623:PRL196625 QBH196623:QBH196625 QLD196623:QLD196625 QUZ196623:QUZ196625 REV196623:REV196625 ROR196623:ROR196625 RYN196623:RYN196625 SIJ196623:SIJ196625 SSF196623:SSF196625 TCB196623:TCB196625 TLX196623:TLX196625 TVT196623:TVT196625 UFP196623:UFP196625 UPL196623:UPL196625 UZH196623:UZH196625 VJD196623:VJD196625 VSZ196623:VSZ196625 WCV196623:WCV196625 WMR196623:WMR196625 WWN196623:WWN196625 AF262159:AF262161 KB262159:KB262161 TX262159:TX262161 ADT262159:ADT262161 ANP262159:ANP262161 AXL262159:AXL262161 BHH262159:BHH262161 BRD262159:BRD262161 CAZ262159:CAZ262161 CKV262159:CKV262161 CUR262159:CUR262161 DEN262159:DEN262161 DOJ262159:DOJ262161 DYF262159:DYF262161 EIB262159:EIB262161 ERX262159:ERX262161 FBT262159:FBT262161 FLP262159:FLP262161 FVL262159:FVL262161 GFH262159:GFH262161 GPD262159:GPD262161 GYZ262159:GYZ262161 HIV262159:HIV262161 HSR262159:HSR262161 ICN262159:ICN262161 IMJ262159:IMJ262161 IWF262159:IWF262161 JGB262159:JGB262161 JPX262159:JPX262161 JZT262159:JZT262161 KJP262159:KJP262161 KTL262159:KTL262161 LDH262159:LDH262161 LND262159:LND262161 LWZ262159:LWZ262161 MGV262159:MGV262161 MQR262159:MQR262161 NAN262159:NAN262161 NKJ262159:NKJ262161 NUF262159:NUF262161 OEB262159:OEB262161 ONX262159:ONX262161 OXT262159:OXT262161 PHP262159:PHP262161 PRL262159:PRL262161 QBH262159:QBH262161 QLD262159:QLD262161 QUZ262159:QUZ262161 REV262159:REV262161 ROR262159:ROR262161 RYN262159:RYN262161 SIJ262159:SIJ262161 SSF262159:SSF262161 TCB262159:TCB262161 TLX262159:TLX262161 TVT262159:TVT262161 UFP262159:UFP262161 UPL262159:UPL262161 UZH262159:UZH262161 VJD262159:VJD262161 VSZ262159:VSZ262161 WCV262159:WCV262161 WMR262159:WMR262161 WWN262159:WWN262161 AF327695:AF327697 KB327695:KB327697 TX327695:TX327697 ADT327695:ADT327697 ANP327695:ANP327697 AXL327695:AXL327697 BHH327695:BHH327697 BRD327695:BRD327697 CAZ327695:CAZ327697 CKV327695:CKV327697 CUR327695:CUR327697 DEN327695:DEN327697 DOJ327695:DOJ327697 DYF327695:DYF327697 EIB327695:EIB327697 ERX327695:ERX327697 FBT327695:FBT327697 FLP327695:FLP327697 FVL327695:FVL327697 GFH327695:GFH327697 GPD327695:GPD327697 GYZ327695:GYZ327697 HIV327695:HIV327697 HSR327695:HSR327697 ICN327695:ICN327697 IMJ327695:IMJ327697 IWF327695:IWF327697 JGB327695:JGB327697 JPX327695:JPX327697 JZT327695:JZT327697 KJP327695:KJP327697 KTL327695:KTL327697 LDH327695:LDH327697 LND327695:LND327697 LWZ327695:LWZ327697 MGV327695:MGV327697 MQR327695:MQR327697 NAN327695:NAN327697 NKJ327695:NKJ327697 NUF327695:NUF327697 OEB327695:OEB327697 ONX327695:ONX327697 OXT327695:OXT327697 PHP327695:PHP327697 PRL327695:PRL327697 QBH327695:QBH327697 QLD327695:QLD327697 QUZ327695:QUZ327697 REV327695:REV327697 ROR327695:ROR327697 RYN327695:RYN327697 SIJ327695:SIJ327697 SSF327695:SSF327697 TCB327695:TCB327697 TLX327695:TLX327697 TVT327695:TVT327697 UFP327695:UFP327697 UPL327695:UPL327697 UZH327695:UZH327697 VJD327695:VJD327697 VSZ327695:VSZ327697 WCV327695:WCV327697 WMR327695:WMR327697 WWN327695:WWN327697 AF393231:AF393233 KB393231:KB393233 TX393231:TX393233 ADT393231:ADT393233 ANP393231:ANP393233 AXL393231:AXL393233 BHH393231:BHH393233 BRD393231:BRD393233 CAZ393231:CAZ393233 CKV393231:CKV393233 CUR393231:CUR393233 DEN393231:DEN393233 DOJ393231:DOJ393233 DYF393231:DYF393233 EIB393231:EIB393233 ERX393231:ERX393233 FBT393231:FBT393233 FLP393231:FLP393233 FVL393231:FVL393233 GFH393231:GFH393233 GPD393231:GPD393233 GYZ393231:GYZ393233 HIV393231:HIV393233 HSR393231:HSR393233 ICN393231:ICN393233 IMJ393231:IMJ393233 IWF393231:IWF393233 JGB393231:JGB393233 JPX393231:JPX393233 JZT393231:JZT393233 KJP393231:KJP393233 KTL393231:KTL393233 LDH393231:LDH393233 LND393231:LND393233 LWZ393231:LWZ393233 MGV393231:MGV393233 MQR393231:MQR393233 NAN393231:NAN393233 NKJ393231:NKJ393233 NUF393231:NUF393233 OEB393231:OEB393233 ONX393231:ONX393233 OXT393231:OXT393233 PHP393231:PHP393233 PRL393231:PRL393233 QBH393231:QBH393233 QLD393231:QLD393233 QUZ393231:QUZ393233 REV393231:REV393233 ROR393231:ROR393233 RYN393231:RYN393233 SIJ393231:SIJ393233 SSF393231:SSF393233 TCB393231:TCB393233 TLX393231:TLX393233 TVT393231:TVT393233 UFP393231:UFP393233 UPL393231:UPL393233 UZH393231:UZH393233 VJD393231:VJD393233 VSZ393231:VSZ393233 WCV393231:WCV393233 WMR393231:WMR393233 WWN393231:WWN393233 AF458767:AF458769 KB458767:KB458769 TX458767:TX458769 ADT458767:ADT458769 ANP458767:ANP458769 AXL458767:AXL458769 BHH458767:BHH458769 BRD458767:BRD458769 CAZ458767:CAZ458769 CKV458767:CKV458769 CUR458767:CUR458769 DEN458767:DEN458769 DOJ458767:DOJ458769 DYF458767:DYF458769 EIB458767:EIB458769 ERX458767:ERX458769 FBT458767:FBT458769 FLP458767:FLP458769 FVL458767:FVL458769 GFH458767:GFH458769 GPD458767:GPD458769 GYZ458767:GYZ458769 HIV458767:HIV458769 HSR458767:HSR458769 ICN458767:ICN458769 IMJ458767:IMJ458769 IWF458767:IWF458769 JGB458767:JGB458769 JPX458767:JPX458769 JZT458767:JZT458769 KJP458767:KJP458769 KTL458767:KTL458769 LDH458767:LDH458769 LND458767:LND458769 LWZ458767:LWZ458769 MGV458767:MGV458769 MQR458767:MQR458769 NAN458767:NAN458769 NKJ458767:NKJ458769 NUF458767:NUF458769 OEB458767:OEB458769 ONX458767:ONX458769 OXT458767:OXT458769 PHP458767:PHP458769 PRL458767:PRL458769 QBH458767:QBH458769 QLD458767:QLD458769 QUZ458767:QUZ458769 REV458767:REV458769 ROR458767:ROR458769 RYN458767:RYN458769 SIJ458767:SIJ458769 SSF458767:SSF458769 TCB458767:TCB458769 TLX458767:TLX458769 TVT458767:TVT458769 UFP458767:UFP458769 UPL458767:UPL458769 UZH458767:UZH458769 VJD458767:VJD458769 VSZ458767:VSZ458769 WCV458767:WCV458769 WMR458767:WMR458769 WWN458767:WWN458769 AF524303:AF524305 KB524303:KB524305 TX524303:TX524305 ADT524303:ADT524305 ANP524303:ANP524305 AXL524303:AXL524305 BHH524303:BHH524305 BRD524303:BRD524305 CAZ524303:CAZ524305 CKV524303:CKV524305 CUR524303:CUR524305 DEN524303:DEN524305 DOJ524303:DOJ524305 DYF524303:DYF524305 EIB524303:EIB524305 ERX524303:ERX524305 FBT524303:FBT524305 FLP524303:FLP524305 FVL524303:FVL524305 GFH524303:GFH524305 GPD524303:GPD524305 GYZ524303:GYZ524305 HIV524303:HIV524305 HSR524303:HSR524305 ICN524303:ICN524305 IMJ524303:IMJ524305 IWF524303:IWF524305 JGB524303:JGB524305 JPX524303:JPX524305 JZT524303:JZT524305 KJP524303:KJP524305 KTL524303:KTL524305 LDH524303:LDH524305 LND524303:LND524305 LWZ524303:LWZ524305 MGV524303:MGV524305 MQR524303:MQR524305 NAN524303:NAN524305 NKJ524303:NKJ524305 NUF524303:NUF524305 OEB524303:OEB524305 ONX524303:ONX524305 OXT524303:OXT524305 PHP524303:PHP524305 PRL524303:PRL524305 QBH524303:QBH524305 QLD524303:QLD524305 QUZ524303:QUZ524305 REV524303:REV524305 ROR524303:ROR524305 RYN524303:RYN524305 SIJ524303:SIJ524305 SSF524303:SSF524305 TCB524303:TCB524305 TLX524303:TLX524305 TVT524303:TVT524305 UFP524303:UFP524305 UPL524303:UPL524305 UZH524303:UZH524305 VJD524303:VJD524305 VSZ524303:VSZ524305 WCV524303:WCV524305 WMR524303:WMR524305 WWN524303:WWN524305 AF589839:AF589841 KB589839:KB589841 TX589839:TX589841 ADT589839:ADT589841 ANP589839:ANP589841 AXL589839:AXL589841 BHH589839:BHH589841 BRD589839:BRD589841 CAZ589839:CAZ589841 CKV589839:CKV589841 CUR589839:CUR589841 DEN589839:DEN589841 DOJ589839:DOJ589841 DYF589839:DYF589841 EIB589839:EIB589841 ERX589839:ERX589841 FBT589839:FBT589841 FLP589839:FLP589841 FVL589839:FVL589841 GFH589839:GFH589841 GPD589839:GPD589841 GYZ589839:GYZ589841 HIV589839:HIV589841 HSR589839:HSR589841 ICN589839:ICN589841 IMJ589839:IMJ589841 IWF589839:IWF589841 JGB589839:JGB589841 JPX589839:JPX589841 JZT589839:JZT589841 KJP589839:KJP589841 KTL589839:KTL589841 LDH589839:LDH589841 LND589839:LND589841 LWZ589839:LWZ589841 MGV589839:MGV589841 MQR589839:MQR589841 NAN589839:NAN589841 NKJ589839:NKJ589841 NUF589839:NUF589841 OEB589839:OEB589841 ONX589839:ONX589841 OXT589839:OXT589841 PHP589839:PHP589841 PRL589839:PRL589841 QBH589839:QBH589841 QLD589839:QLD589841 QUZ589839:QUZ589841 REV589839:REV589841 ROR589839:ROR589841 RYN589839:RYN589841 SIJ589839:SIJ589841 SSF589839:SSF589841 TCB589839:TCB589841 TLX589839:TLX589841 TVT589839:TVT589841 UFP589839:UFP589841 UPL589839:UPL589841 UZH589839:UZH589841 VJD589839:VJD589841 VSZ589839:VSZ589841 WCV589839:WCV589841 WMR589839:WMR589841 WWN589839:WWN589841 AF655375:AF655377 KB655375:KB655377 TX655375:TX655377 ADT655375:ADT655377 ANP655375:ANP655377 AXL655375:AXL655377 BHH655375:BHH655377 BRD655375:BRD655377 CAZ655375:CAZ655377 CKV655375:CKV655377 CUR655375:CUR655377 DEN655375:DEN655377 DOJ655375:DOJ655377 DYF655375:DYF655377 EIB655375:EIB655377 ERX655375:ERX655377 FBT655375:FBT655377 FLP655375:FLP655377 FVL655375:FVL655377 GFH655375:GFH655377 GPD655375:GPD655377 GYZ655375:GYZ655377 HIV655375:HIV655377 HSR655375:HSR655377 ICN655375:ICN655377 IMJ655375:IMJ655377 IWF655375:IWF655377 JGB655375:JGB655377 JPX655375:JPX655377 JZT655375:JZT655377 KJP655375:KJP655377 KTL655375:KTL655377 LDH655375:LDH655377 LND655375:LND655377 LWZ655375:LWZ655377 MGV655375:MGV655377 MQR655375:MQR655377 NAN655375:NAN655377 NKJ655375:NKJ655377 NUF655375:NUF655377 OEB655375:OEB655377 ONX655375:ONX655377 OXT655375:OXT655377 PHP655375:PHP655377 PRL655375:PRL655377 QBH655375:QBH655377 QLD655375:QLD655377 QUZ655375:QUZ655377 REV655375:REV655377 ROR655375:ROR655377 RYN655375:RYN655377 SIJ655375:SIJ655377 SSF655375:SSF655377 TCB655375:TCB655377 TLX655375:TLX655377 TVT655375:TVT655377 UFP655375:UFP655377 UPL655375:UPL655377 UZH655375:UZH655377 VJD655375:VJD655377 VSZ655375:VSZ655377 WCV655375:WCV655377 WMR655375:WMR655377 WWN655375:WWN655377 AF720911:AF720913 KB720911:KB720913 TX720911:TX720913 ADT720911:ADT720913 ANP720911:ANP720913 AXL720911:AXL720913 BHH720911:BHH720913 BRD720911:BRD720913 CAZ720911:CAZ720913 CKV720911:CKV720913 CUR720911:CUR720913 DEN720911:DEN720913 DOJ720911:DOJ720913 DYF720911:DYF720913 EIB720911:EIB720913 ERX720911:ERX720913 FBT720911:FBT720913 FLP720911:FLP720913 FVL720911:FVL720913 GFH720911:GFH720913 GPD720911:GPD720913 GYZ720911:GYZ720913 HIV720911:HIV720913 HSR720911:HSR720913 ICN720911:ICN720913 IMJ720911:IMJ720913 IWF720911:IWF720913 JGB720911:JGB720913 JPX720911:JPX720913 JZT720911:JZT720913 KJP720911:KJP720913 KTL720911:KTL720913 LDH720911:LDH720913 LND720911:LND720913 LWZ720911:LWZ720913 MGV720911:MGV720913 MQR720911:MQR720913 NAN720911:NAN720913 NKJ720911:NKJ720913 NUF720911:NUF720913 OEB720911:OEB720913 ONX720911:ONX720913 OXT720911:OXT720913 PHP720911:PHP720913 PRL720911:PRL720913 QBH720911:QBH720913 QLD720911:QLD720913 QUZ720911:QUZ720913 REV720911:REV720913 ROR720911:ROR720913 RYN720911:RYN720913 SIJ720911:SIJ720913 SSF720911:SSF720913 TCB720911:TCB720913 TLX720911:TLX720913 TVT720911:TVT720913 UFP720911:UFP720913 UPL720911:UPL720913 UZH720911:UZH720913 VJD720911:VJD720913 VSZ720911:VSZ720913 WCV720911:WCV720913 WMR720911:WMR720913 WWN720911:WWN720913 AF786447:AF786449 KB786447:KB786449 TX786447:TX786449 ADT786447:ADT786449 ANP786447:ANP786449 AXL786447:AXL786449 BHH786447:BHH786449 BRD786447:BRD786449 CAZ786447:CAZ786449 CKV786447:CKV786449 CUR786447:CUR786449 DEN786447:DEN786449 DOJ786447:DOJ786449 DYF786447:DYF786449 EIB786447:EIB786449 ERX786447:ERX786449 FBT786447:FBT786449 FLP786447:FLP786449 FVL786447:FVL786449 GFH786447:GFH786449 GPD786447:GPD786449 GYZ786447:GYZ786449 HIV786447:HIV786449 HSR786447:HSR786449 ICN786447:ICN786449 IMJ786447:IMJ786449 IWF786447:IWF786449 JGB786447:JGB786449 JPX786447:JPX786449 JZT786447:JZT786449 KJP786447:KJP786449 KTL786447:KTL786449 LDH786447:LDH786449 LND786447:LND786449 LWZ786447:LWZ786449 MGV786447:MGV786449 MQR786447:MQR786449 NAN786447:NAN786449 NKJ786447:NKJ786449 NUF786447:NUF786449 OEB786447:OEB786449 ONX786447:ONX786449 OXT786447:OXT786449 PHP786447:PHP786449 PRL786447:PRL786449 QBH786447:QBH786449 QLD786447:QLD786449 QUZ786447:QUZ786449 REV786447:REV786449 ROR786447:ROR786449 RYN786447:RYN786449 SIJ786447:SIJ786449 SSF786447:SSF786449 TCB786447:TCB786449 TLX786447:TLX786449 TVT786447:TVT786449 UFP786447:UFP786449 UPL786447:UPL786449 UZH786447:UZH786449 VJD786447:VJD786449 VSZ786447:VSZ786449 WCV786447:WCV786449 WMR786447:WMR786449 WWN786447:WWN786449 AF851983:AF851985 KB851983:KB851985 TX851983:TX851985 ADT851983:ADT851985 ANP851983:ANP851985 AXL851983:AXL851985 BHH851983:BHH851985 BRD851983:BRD851985 CAZ851983:CAZ851985 CKV851983:CKV851985 CUR851983:CUR851985 DEN851983:DEN851985 DOJ851983:DOJ851985 DYF851983:DYF851985 EIB851983:EIB851985 ERX851983:ERX851985 FBT851983:FBT851985 FLP851983:FLP851985 FVL851983:FVL851985 GFH851983:GFH851985 GPD851983:GPD851985 GYZ851983:GYZ851985 HIV851983:HIV851985 HSR851983:HSR851985 ICN851983:ICN851985 IMJ851983:IMJ851985 IWF851983:IWF851985 JGB851983:JGB851985 JPX851983:JPX851985 JZT851983:JZT851985 KJP851983:KJP851985 KTL851983:KTL851985 LDH851983:LDH851985 LND851983:LND851985 LWZ851983:LWZ851985 MGV851983:MGV851985 MQR851983:MQR851985 NAN851983:NAN851985 NKJ851983:NKJ851985 NUF851983:NUF851985 OEB851983:OEB851985 ONX851983:ONX851985 OXT851983:OXT851985 PHP851983:PHP851985 PRL851983:PRL851985 QBH851983:QBH851985 QLD851983:QLD851985 QUZ851983:QUZ851985 REV851983:REV851985 ROR851983:ROR851985 RYN851983:RYN851985 SIJ851983:SIJ851985 SSF851983:SSF851985 TCB851983:TCB851985 TLX851983:TLX851985 TVT851983:TVT851985 UFP851983:UFP851985 UPL851983:UPL851985 UZH851983:UZH851985 VJD851983:VJD851985 VSZ851983:VSZ851985 WCV851983:WCV851985 WMR851983:WMR851985 WWN851983:WWN851985 AF917519:AF917521 KB917519:KB917521 TX917519:TX917521 ADT917519:ADT917521 ANP917519:ANP917521 AXL917519:AXL917521 BHH917519:BHH917521 BRD917519:BRD917521 CAZ917519:CAZ917521 CKV917519:CKV917521 CUR917519:CUR917521 DEN917519:DEN917521 DOJ917519:DOJ917521 DYF917519:DYF917521 EIB917519:EIB917521 ERX917519:ERX917521 FBT917519:FBT917521 FLP917519:FLP917521 FVL917519:FVL917521 GFH917519:GFH917521 GPD917519:GPD917521 GYZ917519:GYZ917521 HIV917519:HIV917521 HSR917519:HSR917521 ICN917519:ICN917521 IMJ917519:IMJ917521 IWF917519:IWF917521 JGB917519:JGB917521 JPX917519:JPX917521 JZT917519:JZT917521 KJP917519:KJP917521 KTL917519:KTL917521 LDH917519:LDH917521 LND917519:LND917521 LWZ917519:LWZ917521 MGV917519:MGV917521 MQR917519:MQR917521 NAN917519:NAN917521 NKJ917519:NKJ917521 NUF917519:NUF917521 OEB917519:OEB917521 ONX917519:ONX917521 OXT917519:OXT917521 PHP917519:PHP917521 PRL917519:PRL917521 QBH917519:QBH917521 QLD917519:QLD917521 QUZ917519:QUZ917521 REV917519:REV917521 ROR917519:ROR917521 RYN917519:RYN917521 SIJ917519:SIJ917521 SSF917519:SSF917521 TCB917519:TCB917521 TLX917519:TLX917521 TVT917519:TVT917521 UFP917519:UFP917521 UPL917519:UPL917521 UZH917519:UZH917521 VJD917519:VJD917521 VSZ917519:VSZ917521 WCV917519:WCV917521 WMR917519:WMR917521 WWN917519:WWN917521 AF983055:AF983057 KB983055:KB983057 TX983055:TX983057 ADT983055:ADT983057 ANP983055:ANP983057 AXL983055:AXL983057 BHH983055:BHH983057 BRD983055:BRD983057 CAZ983055:CAZ983057 CKV983055:CKV983057 CUR983055:CUR983057 DEN983055:DEN983057 DOJ983055:DOJ983057 DYF983055:DYF983057 EIB983055:EIB983057 ERX983055:ERX983057 FBT983055:FBT983057 FLP983055:FLP983057 FVL983055:FVL983057 GFH983055:GFH983057 GPD983055:GPD983057 GYZ983055:GYZ983057 HIV983055:HIV983057 HSR983055:HSR983057 ICN983055:ICN983057 IMJ983055:IMJ983057 IWF983055:IWF983057 JGB983055:JGB983057 JPX983055:JPX983057 JZT983055:JZT983057 KJP983055:KJP983057 KTL983055:KTL983057 LDH983055:LDH983057 LND983055:LND983057 LWZ983055:LWZ983057 MGV983055:MGV983057 MQR983055:MQR983057 NAN983055:NAN983057 NKJ983055:NKJ983057 NUF983055:NUF983057 OEB983055:OEB983057 ONX983055:ONX983057 OXT983055:OXT983057 PHP983055:PHP983057 PRL983055:PRL983057 QBH983055:QBH983057 QLD983055:QLD983057 QUZ983055:QUZ983057 REV983055:REV983057 ROR983055:ROR983057 RYN983055:RYN983057 SIJ983055:SIJ983057 SSF983055:SSF983057 TCB983055:TCB983057 TLX983055:TLX983057 TVT983055:TVT983057 UFP983055:UFP983057 UPL983055:UPL983057 UZH983055:UZH983057 VJD983055:VJD983057 VSZ983055:VSZ983057 WCV983055:WCV983057 WMR983055:WMR983057 AF8:AF17">
      <formula1>$AJ$1:$AJ$4</formula1>
    </dataValidation>
    <dataValidation type="list" allowBlank="1" showInputMessage="1" showErrorMessage="1" sqref="WVQ983055:WVQ983057 JE8:JE17 WLU983055:WLU983057 WBY983055:WBY983057 VSC983055:VSC983057 VIG983055:VIG983057 UYK983055:UYK983057 UOO983055:UOO983057 UES983055:UES983057 TUW983055:TUW983057 TLA983055:TLA983057 TBE983055:TBE983057 SRI983055:SRI983057 SHM983055:SHM983057 RXQ983055:RXQ983057 RNU983055:RNU983057 RDY983055:RDY983057 QUC983055:QUC983057 QKG983055:QKG983057 QAK983055:QAK983057 PQO983055:PQO983057 PGS983055:PGS983057 OWW983055:OWW983057 ONA983055:ONA983057 ODE983055:ODE983057 NTI983055:NTI983057 NJM983055:NJM983057 MZQ983055:MZQ983057 MPU983055:MPU983057 MFY983055:MFY983057 LWC983055:LWC983057 LMG983055:LMG983057 LCK983055:LCK983057 KSO983055:KSO983057 KIS983055:KIS983057 JYW983055:JYW983057 JPA983055:JPA983057 JFE983055:JFE983057 IVI983055:IVI983057 ILM983055:ILM983057 IBQ983055:IBQ983057 HRU983055:HRU983057 HHY983055:HHY983057 GYC983055:GYC983057 GOG983055:GOG983057 GEK983055:GEK983057 FUO983055:FUO983057 FKS983055:FKS983057 FAW983055:FAW983057 ERA983055:ERA983057 EHE983055:EHE983057 DXI983055:DXI983057 DNM983055:DNM983057 DDQ983055:DDQ983057 CTU983055:CTU983057 CJY983055:CJY983057 CAC983055:CAC983057 BQG983055:BQG983057 BGK983055:BGK983057 AWO983055:AWO983057 AMS983055:AMS983057 ACW983055:ACW983057 TA983055:TA983057 JE983055:JE983057 I983055:I983057 WVQ917519:WVQ917521 WLU917519:WLU917521 WBY917519:WBY917521 VSC917519:VSC917521 VIG917519:VIG917521 UYK917519:UYK917521 UOO917519:UOO917521 UES917519:UES917521 TUW917519:TUW917521 TLA917519:TLA917521 TBE917519:TBE917521 SRI917519:SRI917521 SHM917519:SHM917521 RXQ917519:RXQ917521 RNU917519:RNU917521 RDY917519:RDY917521 QUC917519:QUC917521 QKG917519:QKG917521 QAK917519:QAK917521 PQO917519:PQO917521 PGS917519:PGS917521 OWW917519:OWW917521 ONA917519:ONA917521 ODE917519:ODE917521 NTI917519:NTI917521 NJM917519:NJM917521 MZQ917519:MZQ917521 MPU917519:MPU917521 MFY917519:MFY917521 LWC917519:LWC917521 LMG917519:LMG917521 LCK917519:LCK917521 KSO917519:KSO917521 KIS917519:KIS917521 JYW917519:JYW917521 JPA917519:JPA917521 JFE917519:JFE917521 IVI917519:IVI917521 ILM917519:ILM917521 IBQ917519:IBQ917521 HRU917519:HRU917521 HHY917519:HHY917521 GYC917519:GYC917521 GOG917519:GOG917521 GEK917519:GEK917521 FUO917519:FUO917521 FKS917519:FKS917521 FAW917519:FAW917521 ERA917519:ERA917521 EHE917519:EHE917521 DXI917519:DXI917521 DNM917519:DNM917521 DDQ917519:DDQ917521 CTU917519:CTU917521 CJY917519:CJY917521 CAC917519:CAC917521 BQG917519:BQG917521 BGK917519:BGK917521 AWO917519:AWO917521 AMS917519:AMS917521 ACW917519:ACW917521 TA917519:TA917521 JE917519:JE917521 I917519:I917521 WVQ851983:WVQ851985 WLU851983:WLU851985 WBY851983:WBY851985 VSC851983:VSC851985 VIG851983:VIG851985 UYK851983:UYK851985 UOO851983:UOO851985 UES851983:UES851985 TUW851983:TUW851985 TLA851983:TLA851985 TBE851983:TBE851985 SRI851983:SRI851985 SHM851983:SHM851985 RXQ851983:RXQ851985 RNU851983:RNU851985 RDY851983:RDY851985 QUC851983:QUC851985 QKG851983:QKG851985 QAK851983:QAK851985 PQO851983:PQO851985 PGS851983:PGS851985 OWW851983:OWW851985 ONA851983:ONA851985 ODE851983:ODE851985 NTI851983:NTI851985 NJM851983:NJM851985 MZQ851983:MZQ851985 MPU851983:MPU851985 MFY851983:MFY851985 LWC851983:LWC851985 LMG851983:LMG851985 LCK851983:LCK851985 KSO851983:KSO851985 KIS851983:KIS851985 JYW851983:JYW851985 JPA851983:JPA851985 JFE851983:JFE851985 IVI851983:IVI851985 ILM851983:ILM851985 IBQ851983:IBQ851985 HRU851983:HRU851985 HHY851983:HHY851985 GYC851983:GYC851985 GOG851983:GOG851985 GEK851983:GEK851985 FUO851983:FUO851985 FKS851983:FKS851985 FAW851983:FAW851985 ERA851983:ERA851985 EHE851983:EHE851985 DXI851983:DXI851985 DNM851983:DNM851985 DDQ851983:DDQ851985 CTU851983:CTU851985 CJY851983:CJY851985 CAC851983:CAC851985 BQG851983:BQG851985 BGK851983:BGK851985 AWO851983:AWO851985 AMS851983:AMS851985 ACW851983:ACW851985 TA851983:TA851985 JE851983:JE851985 I851983:I851985 WVQ786447:WVQ786449 WLU786447:WLU786449 WBY786447:WBY786449 VSC786447:VSC786449 VIG786447:VIG786449 UYK786447:UYK786449 UOO786447:UOO786449 UES786447:UES786449 TUW786447:TUW786449 TLA786447:TLA786449 TBE786447:TBE786449 SRI786447:SRI786449 SHM786447:SHM786449 RXQ786447:RXQ786449 RNU786447:RNU786449 RDY786447:RDY786449 QUC786447:QUC786449 QKG786447:QKG786449 QAK786447:QAK786449 PQO786447:PQO786449 PGS786447:PGS786449 OWW786447:OWW786449 ONA786447:ONA786449 ODE786447:ODE786449 NTI786447:NTI786449 NJM786447:NJM786449 MZQ786447:MZQ786449 MPU786447:MPU786449 MFY786447:MFY786449 LWC786447:LWC786449 LMG786447:LMG786449 LCK786447:LCK786449 KSO786447:KSO786449 KIS786447:KIS786449 JYW786447:JYW786449 JPA786447:JPA786449 JFE786447:JFE786449 IVI786447:IVI786449 ILM786447:ILM786449 IBQ786447:IBQ786449 HRU786447:HRU786449 HHY786447:HHY786449 GYC786447:GYC786449 GOG786447:GOG786449 GEK786447:GEK786449 FUO786447:FUO786449 FKS786447:FKS786449 FAW786447:FAW786449 ERA786447:ERA786449 EHE786447:EHE786449 DXI786447:DXI786449 DNM786447:DNM786449 DDQ786447:DDQ786449 CTU786447:CTU786449 CJY786447:CJY786449 CAC786447:CAC786449 BQG786447:BQG786449 BGK786447:BGK786449 AWO786447:AWO786449 AMS786447:AMS786449 ACW786447:ACW786449 TA786447:TA786449 JE786447:JE786449 I786447:I786449 WVQ720911:WVQ720913 WLU720911:WLU720913 WBY720911:WBY720913 VSC720911:VSC720913 VIG720911:VIG720913 UYK720911:UYK720913 UOO720911:UOO720913 UES720911:UES720913 TUW720911:TUW720913 TLA720911:TLA720913 TBE720911:TBE720913 SRI720911:SRI720913 SHM720911:SHM720913 RXQ720911:RXQ720913 RNU720911:RNU720913 RDY720911:RDY720913 QUC720911:QUC720913 QKG720911:QKG720913 QAK720911:QAK720913 PQO720911:PQO720913 PGS720911:PGS720913 OWW720911:OWW720913 ONA720911:ONA720913 ODE720911:ODE720913 NTI720911:NTI720913 NJM720911:NJM720913 MZQ720911:MZQ720913 MPU720911:MPU720913 MFY720911:MFY720913 LWC720911:LWC720913 LMG720911:LMG720913 LCK720911:LCK720913 KSO720911:KSO720913 KIS720911:KIS720913 JYW720911:JYW720913 JPA720911:JPA720913 JFE720911:JFE720913 IVI720911:IVI720913 ILM720911:ILM720913 IBQ720911:IBQ720913 HRU720911:HRU720913 HHY720911:HHY720913 GYC720911:GYC720913 GOG720911:GOG720913 GEK720911:GEK720913 FUO720911:FUO720913 FKS720911:FKS720913 FAW720911:FAW720913 ERA720911:ERA720913 EHE720911:EHE720913 DXI720911:DXI720913 DNM720911:DNM720913 DDQ720911:DDQ720913 CTU720911:CTU720913 CJY720911:CJY720913 CAC720911:CAC720913 BQG720911:BQG720913 BGK720911:BGK720913 AWO720911:AWO720913 AMS720911:AMS720913 ACW720911:ACW720913 TA720911:TA720913 JE720911:JE720913 I720911:I720913 WVQ655375:WVQ655377 WLU655375:WLU655377 WBY655375:WBY655377 VSC655375:VSC655377 VIG655375:VIG655377 UYK655375:UYK655377 UOO655375:UOO655377 UES655375:UES655377 TUW655375:TUW655377 TLA655375:TLA655377 TBE655375:TBE655377 SRI655375:SRI655377 SHM655375:SHM655377 RXQ655375:RXQ655377 RNU655375:RNU655377 RDY655375:RDY655377 QUC655375:QUC655377 QKG655375:QKG655377 QAK655375:QAK655377 PQO655375:PQO655377 PGS655375:PGS655377 OWW655375:OWW655377 ONA655375:ONA655377 ODE655375:ODE655377 NTI655375:NTI655377 NJM655375:NJM655377 MZQ655375:MZQ655377 MPU655375:MPU655377 MFY655375:MFY655377 LWC655375:LWC655377 LMG655375:LMG655377 LCK655375:LCK655377 KSO655375:KSO655377 KIS655375:KIS655377 JYW655375:JYW655377 JPA655375:JPA655377 JFE655375:JFE655377 IVI655375:IVI655377 ILM655375:ILM655377 IBQ655375:IBQ655377 HRU655375:HRU655377 HHY655375:HHY655377 GYC655375:GYC655377 GOG655375:GOG655377 GEK655375:GEK655377 FUO655375:FUO655377 FKS655375:FKS655377 FAW655375:FAW655377 ERA655375:ERA655377 EHE655375:EHE655377 DXI655375:DXI655377 DNM655375:DNM655377 DDQ655375:DDQ655377 CTU655375:CTU655377 CJY655375:CJY655377 CAC655375:CAC655377 BQG655375:BQG655377 BGK655375:BGK655377 AWO655375:AWO655377 AMS655375:AMS655377 ACW655375:ACW655377 TA655375:TA655377 JE655375:JE655377 I655375:I655377 WVQ589839:WVQ589841 WLU589839:WLU589841 WBY589839:WBY589841 VSC589839:VSC589841 VIG589839:VIG589841 UYK589839:UYK589841 UOO589839:UOO589841 UES589839:UES589841 TUW589839:TUW589841 TLA589839:TLA589841 TBE589839:TBE589841 SRI589839:SRI589841 SHM589839:SHM589841 RXQ589839:RXQ589841 RNU589839:RNU589841 RDY589839:RDY589841 QUC589839:QUC589841 QKG589839:QKG589841 QAK589839:QAK589841 PQO589839:PQO589841 PGS589839:PGS589841 OWW589839:OWW589841 ONA589839:ONA589841 ODE589839:ODE589841 NTI589839:NTI589841 NJM589839:NJM589841 MZQ589839:MZQ589841 MPU589839:MPU589841 MFY589839:MFY589841 LWC589839:LWC589841 LMG589839:LMG589841 LCK589839:LCK589841 KSO589839:KSO589841 KIS589839:KIS589841 JYW589839:JYW589841 JPA589839:JPA589841 JFE589839:JFE589841 IVI589839:IVI589841 ILM589839:ILM589841 IBQ589839:IBQ589841 HRU589839:HRU589841 HHY589839:HHY589841 GYC589839:GYC589841 GOG589839:GOG589841 GEK589839:GEK589841 FUO589839:FUO589841 FKS589839:FKS589841 FAW589839:FAW589841 ERA589839:ERA589841 EHE589839:EHE589841 DXI589839:DXI589841 DNM589839:DNM589841 DDQ589839:DDQ589841 CTU589839:CTU589841 CJY589839:CJY589841 CAC589839:CAC589841 BQG589839:BQG589841 BGK589839:BGK589841 AWO589839:AWO589841 AMS589839:AMS589841 ACW589839:ACW589841 TA589839:TA589841 JE589839:JE589841 I589839:I589841 WVQ524303:WVQ524305 WLU524303:WLU524305 WBY524303:WBY524305 VSC524303:VSC524305 VIG524303:VIG524305 UYK524303:UYK524305 UOO524303:UOO524305 UES524303:UES524305 TUW524303:TUW524305 TLA524303:TLA524305 TBE524303:TBE524305 SRI524303:SRI524305 SHM524303:SHM524305 RXQ524303:RXQ524305 RNU524303:RNU524305 RDY524303:RDY524305 QUC524303:QUC524305 QKG524303:QKG524305 QAK524303:QAK524305 PQO524303:PQO524305 PGS524303:PGS524305 OWW524303:OWW524305 ONA524303:ONA524305 ODE524303:ODE524305 NTI524303:NTI524305 NJM524303:NJM524305 MZQ524303:MZQ524305 MPU524303:MPU524305 MFY524303:MFY524305 LWC524303:LWC524305 LMG524303:LMG524305 LCK524303:LCK524305 KSO524303:KSO524305 KIS524303:KIS524305 JYW524303:JYW524305 JPA524303:JPA524305 JFE524303:JFE524305 IVI524303:IVI524305 ILM524303:ILM524305 IBQ524303:IBQ524305 HRU524303:HRU524305 HHY524303:HHY524305 GYC524303:GYC524305 GOG524303:GOG524305 GEK524303:GEK524305 FUO524303:FUO524305 FKS524303:FKS524305 FAW524303:FAW524305 ERA524303:ERA524305 EHE524303:EHE524305 DXI524303:DXI524305 DNM524303:DNM524305 DDQ524303:DDQ524305 CTU524303:CTU524305 CJY524303:CJY524305 CAC524303:CAC524305 BQG524303:BQG524305 BGK524303:BGK524305 AWO524303:AWO524305 AMS524303:AMS524305 ACW524303:ACW524305 TA524303:TA524305 JE524303:JE524305 I524303:I524305 WVQ458767:WVQ458769 WLU458767:WLU458769 WBY458767:WBY458769 VSC458767:VSC458769 VIG458767:VIG458769 UYK458767:UYK458769 UOO458767:UOO458769 UES458767:UES458769 TUW458767:TUW458769 TLA458767:TLA458769 TBE458767:TBE458769 SRI458767:SRI458769 SHM458767:SHM458769 RXQ458767:RXQ458769 RNU458767:RNU458769 RDY458767:RDY458769 QUC458767:QUC458769 QKG458767:QKG458769 QAK458767:QAK458769 PQO458767:PQO458769 PGS458767:PGS458769 OWW458767:OWW458769 ONA458767:ONA458769 ODE458767:ODE458769 NTI458767:NTI458769 NJM458767:NJM458769 MZQ458767:MZQ458769 MPU458767:MPU458769 MFY458767:MFY458769 LWC458767:LWC458769 LMG458767:LMG458769 LCK458767:LCK458769 KSO458767:KSO458769 KIS458767:KIS458769 JYW458767:JYW458769 JPA458767:JPA458769 JFE458767:JFE458769 IVI458767:IVI458769 ILM458767:ILM458769 IBQ458767:IBQ458769 HRU458767:HRU458769 HHY458767:HHY458769 GYC458767:GYC458769 GOG458767:GOG458769 GEK458767:GEK458769 FUO458767:FUO458769 FKS458767:FKS458769 FAW458767:FAW458769 ERA458767:ERA458769 EHE458767:EHE458769 DXI458767:DXI458769 DNM458767:DNM458769 DDQ458767:DDQ458769 CTU458767:CTU458769 CJY458767:CJY458769 CAC458767:CAC458769 BQG458767:BQG458769 BGK458767:BGK458769 AWO458767:AWO458769 AMS458767:AMS458769 ACW458767:ACW458769 TA458767:TA458769 JE458767:JE458769 I458767:I458769 WVQ393231:WVQ393233 WLU393231:WLU393233 WBY393231:WBY393233 VSC393231:VSC393233 VIG393231:VIG393233 UYK393231:UYK393233 UOO393231:UOO393233 UES393231:UES393233 TUW393231:TUW393233 TLA393231:TLA393233 TBE393231:TBE393233 SRI393231:SRI393233 SHM393231:SHM393233 RXQ393231:RXQ393233 RNU393231:RNU393233 RDY393231:RDY393233 QUC393231:QUC393233 QKG393231:QKG393233 QAK393231:QAK393233 PQO393231:PQO393233 PGS393231:PGS393233 OWW393231:OWW393233 ONA393231:ONA393233 ODE393231:ODE393233 NTI393231:NTI393233 NJM393231:NJM393233 MZQ393231:MZQ393233 MPU393231:MPU393233 MFY393231:MFY393233 LWC393231:LWC393233 LMG393231:LMG393233 LCK393231:LCK393233 KSO393231:KSO393233 KIS393231:KIS393233 JYW393231:JYW393233 JPA393231:JPA393233 JFE393231:JFE393233 IVI393231:IVI393233 ILM393231:ILM393233 IBQ393231:IBQ393233 HRU393231:HRU393233 HHY393231:HHY393233 GYC393231:GYC393233 GOG393231:GOG393233 GEK393231:GEK393233 FUO393231:FUO393233 FKS393231:FKS393233 FAW393231:FAW393233 ERA393231:ERA393233 EHE393231:EHE393233 DXI393231:DXI393233 DNM393231:DNM393233 DDQ393231:DDQ393233 CTU393231:CTU393233 CJY393231:CJY393233 CAC393231:CAC393233 BQG393231:BQG393233 BGK393231:BGK393233 AWO393231:AWO393233 AMS393231:AMS393233 ACW393231:ACW393233 TA393231:TA393233 JE393231:JE393233 I393231:I393233 WVQ327695:WVQ327697 WLU327695:WLU327697 WBY327695:WBY327697 VSC327695:VSC327697 VIG327695:VIG327697 UYK327695:UYK327697 UOO327695:UOO327697 UES327695:UES327697 TUW327695:TUW327697 TLA327695:TLA327697 TBE327695:TBE327697 SRI327695:SRI327697 SHM327695:SHM327697 RXQ327695:RXQ327697 RNU327695:RNU327697 RDY327695:RDY327697 QUC327695:QUC327697 QKG327695:QKG327697 QAK327695:QAK327697 PQO327695:PQO327697 PGS327695:PGS327697 OWW327695:OWW327697 ONA327695:ONA327697 ODE327695:ODE327697 NTI327695:NTI327697 NJM327695:NJM327697 MZQ327695:MZQ327697 MPU327695:MPU327697 MFY327695:MFY327697 LWC327695:LWC327697 LMG327695:LMG327697 LCK327695:LCK327697 KSO327695:KSO327697 KIS327695:KIS327697 JYW327695:JYW327697 JPA327695:JPA327697 JFE327695:JFE327697 IVI327695:IVI327697 ILM327695:ILM327697 IBQ327695:IBQ327697 HRU327695:HRU327697 HHY327695:HHY327697 GYC327695:GYC327697 GOG327695:GOG327697 GEK327695:GEK327697 FUO327695:FUO327697 FKS327695:FKS327697 FAW327695:FAW327697 ERA327695:ERA327697 EHE327695:EHE327697 DXI327695:DXI327697 DNM327695:DNM327697 DDQ327695:DDQ327697 CTU327695:CTU327697 CJY327695:CJY327697 CAC327695:CAC327697 BQG327695:BQG327697 BGK327695:BGK327697 AWO327695:AWO327697 AMS327695:AMS327697 ACW327695:ACW327697 TA327695:TA327697 JE327695:JE327697 I327695:I327697 WVQ262159:WVQ262161 WLU262159:WLU262161 WBY262159:WBY262161 VSC262159:VSC262161 VIG262159:VIG262161 UYK262159:UYK262161 UOO262159:UOO262161 UES262159:UES262161 TUW262159:TUW262161 TLA262159:TLA262161 TBE262159:TBE262161 SRI262159:SRI262161 SHM262159:SHM262161 RXQ262159:RXQ262161 RNU262159:RNU262161 RDY262159:RDY262161 QUC262159:QUC262161 QKG262159:QKG262161 QAK262159:QAK262161 PQO262159:PQO262161 PGS262159:PGS262161 OWW262159:OWW262161 ONA262159:ONA262161 ODE262159:ODE262161 NTI262159:NTI262161 NJM262159:NJM262161 MZQ262159:MZQ262161 MPU262159:MPU262161 MFY262159:MFY262161 LWC262159:LWC262161 LMG262159:LMG262161 LCK262159:LCK262161 KSO262159:KSO262161 KIS262159:KIS262161 JYW262159:JYW262161 JPA262159:JPA262161 JFE262159:JFE262161 IVI262159:IVI262161 ILM262159:ILM262161 IBQ262159:IBQ262161 HRU262159:HRU262161 HHY262159:HHY262161 GYC262159:GYC262161 GOG262159:GOG262161 GEK262159:GEK262161 FUO262159:FUO262161 FKS262159:FKS262161 FAW262159:FAW262161 ERA262159:ERA262161 EHE262159:EHE262161 DXI262159:DXI262161 DNM262159:DNM262161 DDQ262159:DDQ262161 CTU262159:CTU262161 CJY262159:CJY262161 CAC262159:CAC262161 BQG262159:BQG262161 BGK262159:BGK262161 AWO262159:AWO262161 AMS262159:AMS262161 ACW262159:ACW262161 TA262159:TA262161 JE262159:JE262161 I262159:I262161 WVQ196623:WVQ196625 WLU196623:WLU196625 WBY196623:WBY196625 VSC196623:VSC196625 VIG196623:VIG196625 UYK196623:UYK196625 UOO196623:UOO196625 UES196623:UES196625 TUW196623:TUW196625 TLA196623:TLA196625 TBE196623:TBE196625 SRI196623:SRI196625 SHM196623:SHM196625 RXQ196623:RXQ196625 RNU196623:RNU196625 RDY196623:RDY196625 QUC196623:QUC196625 QKG196623:QKG196625 QAK196623:QAK196625 PQO196623:PQO196625 PGS196623:PGS196625 OWW196623:OWW196625 ONA196623:ONA196625 ODE196623:ODE196625 NTI196623:NTI196625 NJM196623:NJM196625 MZQ196623:MZQ196625 MPU196623:MPU196625 MFY196623:MFY196625 LWC196623:LWC196625 LMG196623:LMG196625 LCK196623:LCK196625 KSO196623:KSO196625 KIS196623:KIS196625 JYW196623:JYW196625 JPA196623:JPA196625 JFE196623:JFE196625 IVI196623:IVI196625 ILM196623:ILM196625 IBQ196623:IBQ196625 HRU196623:HRU196625 HHY196623:HHY196625 GYC196623:GYC196625 GOG196623:GOG196625 GEK196623:GEK196625 FUO196623:FUO196625 FKS196623:FKS196625 FAW196623:FAW196625 ERA196623:ERA196625 EHE196623:EHE196625 DXI196623:DXI196625 DNM196623:DNM196625 DDQ196623:DDQ196625 CTU196623:CTU196625 CJY196623:CJY196625 CAC196623:CAC196625 BQG196623:BQG196625 BGK196623:BGK196625 AWO196623:AWO196625 AMS196623:AMS196625 ACW196623:ACW196625 TA196623:TA196625 JE196623:JE196625 I196623:I196625 WVQ131087:WVQ131089 WLU131087:WLU131089 WBY131087:WBY131089 VSC131087:VSC131089 VIG131087:VIG131089 UYK131087:UYK131089 UOO131087:UOO131089 UES131087:UES131089 TUW131087:TUW131089 TLA131087:TLA131089 TBE131087:TBE131089 SRI131087:SRI131089 SHM131087:SHM131089 RXQ131087:RXQ131089 RNU131087:RNU131089 RDY131087:RDY131089 QUC131087:QUC131089 QKG131087:QKG131089 QAK131087:QAK131089 PQO131087:PQO131089 PGS131087:PGS131089 OWW131087:OWW131089 ONA131087:ONA131089 ODE131087:ODE131089 NTI131087:NTI131089 NJM131087:NJM131089 MZQ131087:MZQ131089 MPU131087:MPU131089 MFY131087:MFY131089 LWC131087:LWC131089 LMG131087:LMG131089 LCK131087:LCK131089 KSO131087:KSO131089 KIS131087:KIS131089 JYW131087:JYW131089 JPA131087:JPA131089 JFE131087:JFE131089 IVI131087:IVI131089 ILM131087:ILM131089 IBQ131087:IBQ131089 HRU131087:HRU131089 HHY131087:HHY131089 GYC131087:GYC131089 GOG131087:GOG131089 GEK131087:GEK131089 FUO131087:FUO131089 FKS131087:FKS131089 FAW131087:FAW131089 ERA131087:ERA131089 EHE131087:EHE131089 DXI131087:DXI131089 DNM131087:DNM131089 DDQ131087:DDQ131089 CTU131087:CTU131089 CJY131087:CJY131089 CAC131087:CAC131089 BQG131087:BQG131089 BGK131087:BGK131089 AWO131087:AWO131089 AMS131087:AMS131089 ACW131087:ACW131089 TA131087:TA131089 JE131087:JE131089 I131087:I131089 WVQ65551:WVQ65553 WLU65551:WLU65553 WBY65551:WBY65553 VSC65551:VSC65553 VIG65551:VIG65553 UYK65551:UYK65553 UOO65551:UOO65553 UES65551:UES65553 TUW65551:TUW65553 TLA65551:TLA65553 TBE65551:TBE65553 SRI65551:SRI65553 SHM65551:SHM65553 RXQ65551:RXQ65553 RNU65551:RNU65553 RDY65551:RDY65553 QUC65551:QUC65553 QKG65551:QKG65553 QAK65551:QAK65553 PQO65551:PQO65553 PGS65551:PGS65553 OWW65551:OWW65553 ONA65551:ONA65553 ODE65551:ODE65553 NTI65551:NTI65553 NJM65551:NJM65553 MZQ65551:MZQ65553 MPU65551:MPU65553 MFY65551:MFY65553 LWC65551:LWC65553 LMG65551:LMG65553 LCK65551:LCK65553 KSO65551:KSO65553 KIS65551:KIS65553 JYW65551:JYW65553 JPA65551:JPA65553 JFE65551:JFE65553 IVI65551:IVI65553 ILM65551:ILM65553 IBQ65551:IBQ65553 HRU65551:HRU65553 HHY65551:HHY65553 GYC65551:GYC65553 GOG65551:GOG65553 GEK65551:GEK65553 FUO65551:FUO65553 FKS65551:FKS65553 FAW65551:FAW65553 ERA65551:ERA65553 EHE65551:EHE65553 DXI65551:DXI65553 DNM65551:DNM65553 DDQ65551:DDQ65553 CTU65551:CTU65553 CJY65551:CJY65553 CAC65551:CAC65553 BQG65551:BQG65553 BGK65551:BGK65553 AWO65551:AWO65553 AMS65551:AMS65553 ACW65551:ACW65553 TA65551:TA65553 JE65551:JE65553 I65551:I65553 WVQ8:WVQ17 WLU8:WLU17 WBY8:WBY17 VSC8:VSC17 VIG8:VIG17 UYK8:UYK17 UOO8:UOO17 UES8:UES17 TUW8:TUW17 TLA8:TLA17 TBE8:TBE17 SRI8:SRI17 SHM8:SHM17 RXQ8:RXQ17 RNU8:RNU17 RDY8:RDY17 QUC8:QUC17 QKG8:QKG17 QAK8:QAK17 PQO8:PQO17 PGS8:PGS17 OWW8:OWW17 ONA8:ONA17 ODE8:ODE17 NTI8:NTI17 NJM8:NJM17 MZQ8:MZQ17 MPU8:MPU17 MFY8:MFY17 LWC8:LWC17 LMG8:LMG17 LCK8:LCK17 KSO8:KSO17 KIS8:KIS17 JYW8:JYW17 JPA8:JPA17 JFE8:JFE17 IVI8:IVI17 ILM8:ILM17 IBQ8:IBQ17 HRU8:HRU17 HHY8:HHY17 GYC8:GYC17 GOG8:GOG17 GEK8:GEK17 FUO8:FUO17 FKS8:FKS17 FAW8:FAW17 ERA8:ERA17 EHE8:EHE17 DXI8:DXI17 DNM8:DNM17 DDQ8:DDQ17 CTU8:CTU17 CJY8:CJY17 CAC8:CAC17 BQG8:BQG17 BGK8:BGK17 AWO8:AWO17 AMS8:AMS17 ACW8:ACW17 TA8:TA17 I8:I12 I16">
      <formula1>$X$27:$X$28</formula1>
    </dataValidation>
    <dataValidation type="list" allowBlank="1" showInputMessage="1" showErrorMessage="1" sqref="WVO983055:WVO983057 JC8:JC17 WLS983055:WLS983057 WBW983055:WBW983057 VSA983055:VSA983057 VIE983055:VIE983057 UYI983055:UYI983057 UOM983055:UOM983057 UEQ983055:UEQ983057 TUU983055:TUU983057 TKY983055:TKY983057 TBC983055:TBC983057 SRG983055:SRG983057 SHK983055:SHK983057 RXO983055:RXO983057 RNS983055:RNS983057 RDW983055:RDW983057 QUA983055:QUA983057 QKE983055:QKE983057 QAI983055:QAI983057 PQM983055:PQM983057 PGQ983055:PGQ983057 OWU983055:OWU983057 OMY983055:OMY983057 ODC983055:ODC983057 NTG983055:NTG983057 NJK983055:NJK983057 MZO983055:MZO983057 MPS983055:MPS983057 MFW983055:MFW983057 LWA983055:LWA983057 LME983055:LME983057 LCI983055:LCI983057 KSM983055:KSM983057 KIQ983055:KIQ983057 JYU983055:JYU983057 JOY983055:JOY983057 JFC983055:JFC983057 IVG983055:IVG983057 ILK983055:ILK983057 IBO983055:IBO983057 HRS983055:HRS983057 HHW983055:HHW983057 GYA983055:GYA983057 GOE983055:GOE983057 GEI983055:GEI983057 FUM983055:FUM983057 FKQ983055:FKQ983057 FAU983055:FAU983057 EQY983055:EQY983057 EHC983055:EHC983057 DXG983055:DXG983057 DNK983055:DNK983057 DDO983055:DDO983057 CTS983055:CTS983057 CJW983055:CJW983057 CAA983055:CAA983057 BQE983055:BQE983057 BGI983055:BGI983057 AWM983055:AWM983057 AMQ983055:AMQ983057 ACU983055:ACU983057 SY983055:SY983057 JC983055:JC983057 G983055:G983057 WVO917519:WVO917521 WLS917519:WLS917521 WBW917519:WBW917521 VSA917519:VSA917521 VIE917519:VIE917521 UYI917519:UYI917521 UOM917519:UOM917521 UEQ917519:UEQ917521 TUU917519:TUU917521 TKY917519:TKY917521 TBC917519:TBC917521 SRG917519:SRG917521 SHK917519:SHK917521 RXO917519:RXO917521 RNS917519:RNS917521 RDW917519:RDW917521 QUA917519:QUA917521 QKE917519:QKE917521 QAI917519:QAI917521 PQM917519:PQM917521 PGQ917519:PGQ917521 OWU917519:OWU917521 OMY917519:OMY917521 ODC917519:ODC917521 NTG917519:NTG917521 NJK917519:NJK917521 MZO917519:MZO917521 MPS917519:MPS917521 MFW917519:MFW917521 LWA917519:LWA917521 LME917519:LME917521 LCI917519:LCI917521 KSM917519:KSM917521 KIQ917519:KIQ917521 JYU917519:JYU917521 JOY917519:JOY917521 JFC917519:JFC917521 IVG917519:IVG917521 ILK917519:ILK917521 IBO917519:IBO917521 HRS917519:HRS917521 HHW917519:HHW917521 GYA917519:GYA917521 GOE917519:GOE917521 GEI917519:GEI917521 FUM917519:FUM917521 FKQ917519:FKQ917521 FAU917519:FAU917521 EQY917519:EQY917521 EHC917519:EHC917521 DXG917519:DXG917521 DNK917519:DNK917521 DDO917519:DDO917521 CTS917519:CTS917521 CJW917519:CJW917521 CAA917519:CAA917521 BQE917519:BQE917521 BGI917519:BGI917521 AWM917519:AWM917521 AMQ917519:AMQ917521 ACU917519:ACU917521 SY917519:SY917521 JC917519:JC917521 G917519:G917521 WVO851983:WVO851985 WLS851983:WLS851985 WBW851983:WBW851985 VSA851983:VSA851985 VIE851983:VIE851985 UYI851983:UYI851985 UOM851983:UOM851985 UEQ851983:UEQ851985 TUU851983:TUU851985 TKY851983:TKY851985 TBC851983:TBC851985 SRG851983:SRG851985 SHK851983:SHK851985 RXO851983:RXO851985 RNS851983:RNS851985 RDW851983:RDW851985 QUA851983:QUA851985 QKE851983:QKE851985 QAI851983:QAI851985 PQM851983:PQM851985 PGQ851983:PGQ851985 OWU851983:OWU851985 OMY851983:OMY851985 ODC851983:ODC851985 NTG851983:NTG851985 NJK851983:NJK851985 MZO851983:MZO851985 MPS851983:MPS851985 MFW851983:MFW851985 LWA851983:LWA851985 LME851983:LME851985 LCI851983:LCI851985 KSM851983:KSM851985 KIQ851983:KIQ851985 JYU851983:JYU851985 JOY851983:JOY851985 JFC851983:JFC851985 IVG851983:IVG851985 ILK851983:ILK851985 IBO851983:IBO851985 HRS851983:HRS851985 HHW851983:HHW851985 GYA851983:GYA851985 GOE851983:GOE851985 GEI851983:GEI851985 FUM851983:FUM851985 FKQ851983:FKQ851985 FAU851983:FAU851985 EQY851983:EQY851985 EHC851983:EHC851985 DXG851983:DXG851985 DNK851983:DNK851985 DDO851983:DDO851985 CTS851983:CTS851985 CJW851983:CJW851985 CAA851983:CAA851985 BQE851983:BQE851985 BGI851983:BGI851985 AWM851983:AWM851985 AMQ851983:AMQ851985 ACU851983:ACU851985 SY851983:SY851985 JC851983:JC851985 G851983:G851985 WVO786447:WVO786449 WLS786447:WLS786449 WBW786447:WBW786449 VSA786447:VSA786449 VIE786447:VIE786449 UYI786447:UYI786449 UOM786447:UOM786449 UEQ786447:UEQ786449 TUU786447:TUU786449 TKY786447:TKY786449 TBC786447:TBC786449 SRG786447:SRG786449 SHK786447:SHK786449 RXO786447:RXO786449 RNS786447:RNS786449 RDW786447:RDW786449 QUA786447:QUA786449 QKE786447:QKE786449 QAI786447:QAI786449 PQM786447:PQM786449 PGQ786447:PGQ786449 OWU786447:OWU786449 OMY786447:OMY786449 ODC786447:ODC786449 NTG786447:NTG786449 NJK786447:NJK786449 MZO786447:MZO786449 MPS786447:MPS786449 MFW786447:MFW786449 LWA786447:LWA786449 LME786447:LME786449 LCI786447:LCI786449 KSM786447:KSM786449 KIQ786447:KIQ786449 JYU786447:JYU786449 JOY786447:JOY786449 JFC786447:JFC786449 IVG786447:IVG786449 ILK786447:ILK786449 IBO786447:IBO786449 HRS786447:HRS786449 HHW786447:HHW786449 GYA786447:GYA786449 GOE786447:GOE786449 GEI786447:GEI786449 FUM786447:FUM786449 FKQ786447:FKQ786449 FAU786447:FAU786449 EQY786447:EQY786449 EHC786447:EHC786449 DXG786447:DXG786449 DNK786447:DNK786449 DDO786447:DDO786449 CTS786447:CTS786449 CJW786447:CJW786449 CAA786447:CAA786449 BQE786447:BQE786449 BGI786447:BGI786449 AWM786447:AWM786449 AMQ786447:AMQ786449 ACU786447:ACU786449 SY786447:SY786449 JC786447:JC786449 G786447:G786449 WVO720911:WVO720913 WLS720911:WLS720913 WBW720911:WBW720913 VSA720911:VSA720913 VIE720911:VIE720913 UYI720911:UYI720913 UOM720911:UOM720913 UEQ720911:UEQ720913 TUU720911:TUU720913 TKY720911:TKY720913 TBC720911:TBC720913 SRG720911:SRG720913 SHK720911:SHK720913 RXO720911:RXO720913 RNS720911:RNS720913 RDW720911:RDW720913 QUA720911:QUA720913 QKE720911:QKE720913 QAI720911:QAI720913 PQM720911:PQM720913 PGQ720911:PGQ720913 OWU720911:OWU720913 OMY720911:OMY720913 ODC720911:ODC720913 NTG720911:NTG720913 NJK720911:NJK720913 MZO720911:MZO720913 MPS720911:MPS720913 MFW720911:MFW720913 LWA720911:LWA720913 LME720911:LME720913 LCI720911:LCI720913 KSM720911:KSM720913 KIQ720911:KIQ720913 JYU720911:JYU720913 JOY720911:JOY720913 JFC720911:JFC720913 IVG720911:IVG720913 ILK720911:ILK720913 IBO720911:IBO720913 HRS720911:HRS720913 HHW720911:HHW720913 GYA720911:GYA720913 GOE720911:GOE720913 GEI720911:GEI720913 FUM720911:FUM720913 FKQ720911:FKQ720913 FAU720911:FAU720913 EQY720911:EQY720913 EHC720911:EHC720913 DXG720911:DXG720913 DNK720911:DNK720913 DDO720911:DDO720913 CTS720911:CTS720913 CJW720911:CJW720913 CAA720911:CAA720913 BQE720911:BQE720913 BGI720911:BGI720913 AWM720911:AWM720913 AMQ720911:AMQ720913 ACU720911:ACU720913 SY720911:SY720913 JC720911:JC720913 G720911:G720913 WVO655375:WVO655377 WLS655375:WLS655377 WBW655375:WBW655377 VSA655375:VSA655377 VIE655375:VIE655377 UYI655375:UYI655377 UOM655375:UOM655377 UEQ655375:UEQ655377 TUU655375:TUU655377 TKY655375:TKY655377 TBC655375:TBC655377 SRG655375:SRG655377 SHK655375:SHK655377 RXO655375:RXO655377 RNS655375:RNS655377 RDW655375:RDW655377 QUA655375:QUA655377 QKE655375:QKE655377 QAI655375:QAI655377 PQM655375:PQM655377 PGQ655375:PGQ655377 OWU655375:OWU655377 OMY655375:OMY655377 ODC655375:ODC655377 NTG655375:NTG655377 NJK655375:NJK655377 MZO655375:MZO655377 MPS655375:MPS655377 MFW655375:MFW655377 LWA655375:LWA655377 LME655375:LME655377 LCI655375:LCI655377 KSM655375:KSM655377 KIQ655375:KIQ655377 JYU655375:JYU655377 JOY655375:JOY655377 JFC655375:JFC655377 IVG655375:IVG655377 ILK655375:ILK655377 IBO655375:IBO655377 HRS655375:HRS655377 HHW655375:HHW655377 GYA655375:GYA655377 GOE655375:GOE655377 GEI655375:GEI655377 FUM655375:FUM655377 FKQ655375:FKQ655377 FAU655375:FAU655377 EQY655375:EQY655377 EHC655375:EHC655377 DXG655375:DXG655377 DNK655375:DNK655377 DDO655375:DDO655377 CTS655375:CTS655377 CJW655375:CJW655377 CAA655375:CAA655377 BQE655375:BQE655377 BGI655375:BGI655377 AWM655375:AWM655377 AMQ655375:AMQ655377 ACU655375:ACU655377 SY655375:SY655377 JC655375:JC655377 G655375:G655377 WVO589839:WVO589841 WLS589839:WLS589841 WBW589839:WBW589841 VSA589839:VSA589841 VIE589839:VIE589841 UYI589839:UYI589841 UOM589839:UOM589841 UEQ589839:UEQ589841 TUU589839:TUU589841 TKY589839:TKY589841 TBC589839:TBC589841 SRG589839:SRG589841 SHK589839:SHK589841 RXO589839:RXO589841 RNS589839:RNS589841 RDW589839:RDW589841 QUA589839:QUA589841 QKE589839:QKE589841 QAI589839:QAI589841 PQM589839:PQM589841 PGQ589839:PGQ589841 OWU589839:OWU589841 OMY589839:OMY589841 ODC589839:ODC589841 NTG589839:NTG589841 NJK589839:NJK589841 MZO589839:MZO589841 MPS589839:MPS589841 MFW589839:MFW589841 LWA589839:LWA589841 LME589839:LME589841 LCI589839:LCI589841 KSM589839:KSM589841 KIQ589839:KIQ589841 JYU589839:JYU589841 JOY589839:JOY589841 JFC589839:JFC589841 IVG589839:IVG589841 ILK589839:ILK589841 IBO589839:IBO589841 HRS589839:HRS589841 HHW589839:HHW589841 GYA589839:GYA589841 GOE589839:GOE589841 GEI589839:GEI589841 FUM589839:FUM589841 FKQ589839:FKQ589841 FAU589839:FAU589841 EQY589839:EQY589841 EHC589839:EHC589841 DXG589839:DXG589841 DNK589839:DNK589841 DDO589839:DDO589841 CTS589839:CTS589841 CJW589839:CJW589841 CAA589839:CAA589841 BQE589839:BQE589841 BGI589839:BGI589841 AWM589839:AWM589841 AMQ589839:AMQ589841 ACU589839:ACU589841 SY589839:SY589841 JC589839:JC589841 G589839:G589841 WVO524303:WVO524305 WLS524303:WLS524305 WBW524303:WBW524305 VSA524303:VSA524305 VIE524303:VIE524305 UYI524303:UYI524305 UOM524303:UOM524305 UEQ524303:UEQ524305 TUU524303:TUU524305 TKY524303:TKY524305 TBC524303:TBC524305 SRG524303:SRG524305 SHK524303:SHK524305 RXO524303:RXO524305 RNS524303:RNS524305 RDW524303:RDW524305 QUA524303:QUA524305 QKE524303:QKE524305 QAI524303:QAI524305 PQM524303:PQM524305 PGQ524303:PGQ524305 OWU524303:OWU524305 OMY524303:OMY524305 ODC524303:ODC524305 NTG524303:NTG524305 NJK524303:NJK524305 MZO524303:MZO524305 MPS524303:MPS524305 MFW524303:MFW524305 LWA524303:LWA524305 LME524303:LME524305 LCI524303:LCI524305 KSM524303:KSM524305 KIQ524303:KIQ524305 JYU524303:JYU524305 JOY524303:JOY524305 JFC524303:JFC524305 IVG524303:IVG524305 ILK524303:ILK524305 IBO524303:IBO524305 HRS524303:HRS524305 HHW524303:HHW524305 GYA524303:GYA524305 GOE524303:GOE524305 GEI524303:GEI524305 FUM524303:FUM524305 FKQ524303:FKQ524305 FAU524303:FAU524305 EQY524303:EQY524305 EHC524303:EHC524305 DXG524303:DXG524305 DNK524303:DNK524305 DDO524303:DDO524305 CTS524303:CTS524305 CJW524303:CJW524305 CAA524303:CAA524305 BQE524303:BQE524305 BGI524303:BGI524305 AWM524303:AWM524305 AMQ524303:AMQ524305 ACU524303:ACU524305 SY524303:SY524305 JC524303:JC524305 G524303:G524305 WVO458767:WVO458769 WLS458767:WLS458769 WBW458767:WBW458769 VSA458767:VSA458769 VIE458767:VIE458769 UYI458767:UYI458769 UOM458767:UOM458769 UEQ458767:UEQ458769 TUU458767:TUU458769 TKY458767:TKY458769 TBC458767:TBC458769 SRG458767:SRG458769 SHK458767:SHK458769 RXO458767:RXO458769 RNS458767:RNS458769 RDW458767:RDW458769 QUA458767:QUA458769 QKE458767:QKE458769 QAI458767:QAI458769 PQM458767:PQM458769 PGQ458767:PGQ458769 OWU458767:OWU458769 OMY458767:OMY458769 ODC458767:ODC458769 NTG458767:NTG458769 NJK458767:NJK458769 MZO458767:MZO458769 MPS458767:MPS458769 MFW458767:MFW458769 LWA458767:LWA458769 LME458767:LME458769 LCI458767:LCI458769 KSM458767:KSM458769 KIQ458767:KIQ458769 JYU458767:JYU458769 JOY458767:JOY458769 JFC458767:JFC458769 IVG458767:IVG458769 ILK458767:ILK458769 IBO458767:IBO458769 HRS458767:HRS458769 HHW458767:HHW458769 GYA458767:GYA458769 GOE458767:GOE458769 GEI458767:GEI458769 FUM458767:FUM458769 FKQ458767:FKQ458769 FAU458767:FAU458769 EQY458767:EQY458769 EHC458767:EHC458769 DXG458767:DXG458769 DNK458767:DNK458769 DDO458767:DDO458769 CTS458767:CTS458769 CJW458767:CJW458769 CAA458767:CAA458769 BQE458767:BQE458769 BGI458767:BGI458769 AWM458767:AWM458769 AMQ458767:AMQ458769 ACU458767:ACU458769 SY458767:SY458769 JC458767:JC458769 G458767:G458769 WVO393231:WVO393233 WLS393231:WLS393233 WBW393231:WBW393233 VSA393231:VSA393233 VIE393231:VIE393233 UYI393231:UYI393233 UOM393231:UOM393233 UEQ393231:UEQ393233 TUU393231:TUU393233 TKY393231:TKY393233 TBC393231:TBC393233 SRG393231:SRG393233 SHK393231:SHK393233 RXO393231:RXO393233 RNS393231:RNS393233 RDW393231:RDW393233 QUA393231:QUA393233 QKE393231:QKE393233 QAI393231:QAI393233 PQM393231:PQM393233 PGQ393231:PGQ393233 OWU393231:OWU393233 OMY393231:OMY393233 ODC393231:ODC393233 NTG393231:NTG393233 NJK393231:NJK393233 MZO393231:MZO393233 MPS393231:MPS393233 MFW393231:MFW393233 LWA393231:LWA393233 LME393231:LME393233 LCI393231:LCI393233 KSM393231:KSM393233 KIQ393231:KIQ393233 JYU393231:JYU393233 JOY393231:JOY393233 JFC393231:JFC393233 IVG393231:IVG393233 ILK393231:ILK393233 IBO393231:IBO393233 HRS393231:HRS393233 HHW393231:HHW393233 GYA393231:GYA393233 GOE393231:GOE393233 GEI393231:GEI393233 FUM393231:FUM393233 FKQ393231:FKQ393233 FAU393231:FAU393233 EQY393231:EQY393233 EHC393231:EHC393233 DXG393231:DXG393233 DNK393231:DNK393233 DDO393231:DDO393233 CTS393231:CTS393233 CJW393231:CJW393233 CAA393231:CAA393233 BQE393231:BQE393233 BGI393231:BGI393233 AWM393231:AWM393233 AMQ393231:AMQ393233 ACU393231:ACU393233 SY393231:SY393233 JC393231:JC393233 G393231:G393233 WVO327695:WVO327697 WLS327695:WLS327697 WBW327695:WBW327697 VSA327695:VSA327697 VIE327695:VIE327697 UYI327695:UYI327697 UOM327695:UOM327697 UEQ327695:UEQ327697 TUU327695:TUU327697 TKY327695:TKY327697 TBC327695:TBC327697 SRG327695:SRG327697 SHK327695:SHK327697 RXO327695:RXO327697 RNS327695:RNS327697 RDW327695:RDW327697 QUA327695:QUA327697 QKE327695:QKE327697 QAI327695:QAI327697 PQM327695:PQM327697 PGQ327695:PGQ327697 OWU327695:OWU327697 OMY327695:OMY327697 ODC327695:ODC327697 NTG327695:NTG327697 NJK327695:NJK327697 MZO327695:MZO327697 MPS327695:MPS327697 MFW327695:MFW327697 LWA327695:LWA327697 LME327695:LME327697 LCI327695:LCI327697 KSM327695:KSM327697 KIQ327695:KIQ327697 JYU327695:JYU327697 JOY327695:JOY327697 JFC327695:JFC327697 IVG327695:IVG327697 ILK327695:ILK327697 IBO327695:IBO327697 HRS327695:HRS327697 HHW327695:HHW327697 GYA327695:GYA327697 GOE327695:GOE327697 GEI327695:GEI327697 FUM327695:FUM327697 FKQ327695:FKQ327697 FAU327695:FAU327697 EQY327695:EQY327697 EHC327695:EHC327697 DXG327695:DXG327697 DNK327695:DNK327697 DDO327695:DDO327697 CTS327695:CTS327697 CJW327695:CJW327697 CAA327695:CAA327697 BQE327695:BQE327697 BGI327695:BGI327697 AWM327695:AWM327697 AMQ327695:AMQ327697 ACU327695:ACU327697 SY327695:SY327697 JC327695:JC327697 G327695:G327697 WVO262159:WVO262161 WLS262159:WLS262161 WBW262159:WBW262161 VSA262159:VSA262161 VIE262159:VIE262161 UYI262159:UYI262161 UOM262159:UOM262161 UEQ262159:UEQ262161 TUU262159:TUU262161 TKY262159:TKY262161 TBC262159:TBC262161 SRG262159:SRG262161 SHK262159:SHK262161 RXO262159:RXO262161 RNS262159:RNS262161 RDW262159:RDW262161 QUA262159:QUA262161 QKE262159:QKE262161 QAI262159:QAI262161 PQM262159:PQM262161 PGQ262159:PGQ262161 OWU262159:OWU262161 OMY262159:OMY262161 ODC262159:ODC262161 NTG262159:NTG262161 NJK262159:NJK262161 MZO262159:MZO262161 MPS262159:MPS262161 MFW262159:MFW262161 LWA262159:LWA262161 LME262159:LME262161 LCI262159:LCI262161 KSM262159:KSM262161 KIQ262159:KIQ262161 JYU262159:JYU262161 JOY262159:JOY262161 JFC262159:JFC262161 IVG262159:IVG262161 ILK262159:ILK262161 IBO262159:IBO262161 HRS262159:HRS262161 HHW262159:HHW262161 GYA262159:GYA262161 GOE262159:GOE262161 GEI262159:GEI262161 FUM262159:FUM262161 FKQ262159:FKQ262161 FAU262159:FAU262161 EQY262159:EQY262161 EHC262159:EHC262161 DXG262159:DXG262161 DNK262159:DNK262161 DDO262159:DDO262161 CTS262159:CTS262161 CJW262159:CJW262161 CAA262159:CAA262161 BQE262159:BQE262161 BGI262159:BGI262161 AWM262159:AWM262161 AMQ262159:AMQ262161 ACU262159:ACU262161 SY262159:SY262161 JC262159:JC262161 G262159:G262161 WVO196623:WVO196625 WLS196623:WLS196625 WBW196623:WBW196625 VSA196623:VSA196625 VIE196623:VIE196625 UYI196623:UYI196625 UOM196623:UOM196625 UEQ196623:UEQ196625 TUU196623:TUU196625 TKY196623:TKY196625 TBC196623:TBC196625 SRG196623:SRG196625 SHK196623:SHK196625 RXO196623:RXO196625 RNS196623:RNS196625 RDW196623:RDW196625 QUA196623:QUA196625 QKE196623:QKE196625 QAI196623:QAI196625 PQM196623:PQM196625 PGQ196623:PGQ196625 OWU196623:OWU196625 OMY196623:OMY196625 ODC196623:ODC196625 NTG196623:NTG196625 NJK196623:NJK196625 MZO196623:MZO196625 MPS196623:MPS196625 MFW196623:MFW196625 LWA196623:LWA196625 LME196623:LME196625 LCI196623:LCI196625 KSM196623:KSM196625 KIQ196623:KIQ196625 JYU196623:JYU196625 JOY196623:JOY196625 JFC196623:JFC196625 IVG196623:IVG196625 ILK196623:ILK196625 IBO196623:IBO196625 HRS196623:HRS196625 HHW196623:HHW196625 GYA196623:GYA196625 GOE196623:GOE196625 GEI196623:GEI196625 FUM196623:FUM196625 FKQ196623:FKQ196625 FAU196623:FAU196625 EQY196623:EQY196625 EHC196623:EHC196625 DXG196623:DXG196625 DNK196623:DNK196625 DDO196623:DDO196625 CTS196623:CTS196625 CJW196623:CJW196625 CAA196623:CAA196625 BQE196623:BQE196625 BGI196623:BGI196625 AWM196623:AWM196625 AMQ196623:AMQ196625 ACU196623:ACU196625 SY196623:SY196625 JC196623:JC196625 G196623:G196625 WVO131087:WVO131089 WLS131087:WLS131089 WBW131087:WBW131089 VSA131087:VSA131089 VIE131087:VIE131089 UYI131087:UYI131089 UOM131087:UOM131089 UEQ131087:UEQ131089 TUU131087:TUU131089 TKY131087:TKY131089 TBC131087:TBC131089 SRG131087:SRG131089 SHK131087:SHK131089 RXO131087:RXO131089 RNS131087:RNS131089 RDW131087:RDW131089 QUA131087:QUA131089 QKE131087:QKE131089 QAI131087:QAI131089 PQM131087:PQM131089 PGQ131087:PGQ131089 OWU131087:OWU131089 OMY131087:OMY131089 ODC131087:ODC131089 NTG131087:NTG131089 NJK131087:NJK131089 MZO131087:MZO131089 MPS131087:MPS131089 MFW131087:MFW131089 LWA131087:LWA131089 LME131087:LME131089 LCI131087:LCI131089 KSM131087:KSM131089 KIQ131087:KIQ131089 JYU131087:JYU131089 JOY131087:JOY131089 JFC131087:JFC131089 IVG131087:IVG131089 ILK131087:ILK131089 IBO131087:IBO131089 HRS131087:HRS131089 HHW131087:HHW131089 GYA131087:GYA131089 GOE131087:GOE131089 GEI131087:GEI131089 FUM131087:FUM131089 FKQ131087:FKQ131089 FAU131087:FAU131089 EQY131087:EQY131089 EHC131087:EHC131089 DXG131087:DXG131089 DNK131087:DNK131089 DDO131087:DDO131089 CTS131087:CTS131089 CJW131087:CJW131089 CAA131087:CAA131089 BQE131087:BQE131089 BGI131087:BGI131089 AWM131087:AWM131089 AMQ131087:AMQ131089 ACU131087:ACU131089 SY131087:SY131089 JC131087:JC131089 G131087:G131089 WVO65551:WVO65553 WLS65551:WLS65553 WBW65551:WBW65553 VSA65551:VSA65553 VIE65551:VIE65553 UYI65551:UYI65553 UOM65551:UOM65553 UEQ65551:UEQ65553 TUU65551:TUU65553 TKY65551:TKY65553 TBC65551:TBC65553 SRG65551:SRG65553 SHK65551:SHK65553 RXO65551:RXO65553 RNS65551:RNS65553 RDW65551:RDW65553 QUA65551:QUA65553 QKE65551:QKE65553 QAI65551:QAI65553 PQM65551:PQM65553 PGQ65551:PGQ65553 OWU65551:OWU65553 OMY65551:OMY65553 ODC65551:ODC65553 NTG65551:NTG65553 NJK65551:NJK65553 MZO65551:MZO65553 MPS65551:MPS65553 MFW65551:MFW65553 LWA65551:LWA65553 LME65551:LME65553 LCI65551:LCI65553 KSM65551:KSM65553 KIQ65551:KIQ65553 JYU65551:JYU65553 JOY65551:JOY65553 JFC65551:JFC65553 IVG65551:IVG65553 ILK65551:ILK65553 IBO65551:IBO65553 HRS65551:HRS65553 HHW65551:HHW65553 GYA65551:GYA65553 GOE65551:GOE65553 GEI65551:GEI65553 FUM65551:FUM65553 FKQ65551:FKQ65553 FAU65551:FAU65553 EQY65551:EQY65553 EHC65551:EHC65553 DXG65551:DXG65553 DNK65551:DNK65553 DDO65551:DDO65553 CTS65551:CTS65553 CJW65551:CJW65553 CAA65551:CAA65553 BQE65551:BQE65553 BGI65551:BGI65553 AWM65551:AWM65553 AMQ65551:AMQ65553 ACU65551:ACU65553 SY65551:SY65553 JC65551:JC65553 G65551:G65553 WVO8:WVO17 WLS8:WLS17 WBW8:WBW17 VSA8:VSA17 VIE8:VIE17 UYI8:UYI17 UOM8:UOM17 UEQ8:UEQ17 TUU8:TUU17 TKY8:TKY17 TBC8:TBC17 SRG8:SRG17 SHK8:SHK17 RXO8:RXO17 RNS8:RNS17 RDW8:RDW17 QUA8:QUA17 QKE8:QKE17 QAI8:QAI17 PQM8:PQM17 PGQ8:PGQ17 OWU8:OWU17 OMY8:OMY17 ODC8:ODC17 NTG8:NTG17 NJK8:NJK17 MZO8:MZO17 MPS8:MPS17 MFW8:MFW17 LWA8:LWA17 LME8:LME17 LCI8:LCI17 KSM8:KSM17 KIQ8:KIQ17 JYU8:JYU17 JOY8:JOY17 JFC8:JFC17 IVG8:IVG17 ILK8:ILK17 IBO8:IBO17 HRS8:HRS17 HHW8:HHW17 GYA8:GYA17 GOE8:GOE17 GEI8:GEI17 FUM8:FUM17 FKQ8:FKQ17 FAU8:FAU17 EQY8:EQY17 EHC8:EHC17 DXG8:DXG17 DNK8:DNK17 DDO8:DDO17 CTS8:CTS17 CJW8:CJW17 CAA8:CAA17 BQE8:BQE17 BGI8:BGI17 AWM8:AWM17 AMQ8:AMQ17 ACU8:ACU17 SY8:SY17 G8:G12 G16">
      <formula1>$AK$31:$AK$43</formula1>
    </dataValidation>
  </dataValidations>
  <printOptions horizontalCentered="1"/>
  <pageMargins left="0.25" right="0.25" top="0.75" bottom="0.75" header="0.3" footer="0.3"/>
  <pageSetup scale="45" orientation="landscape" copies="2"/>
  <headerFooter>
    <oddFooter>&amp;C&amp;"Tahoma,Cursiva"&amp;9Si usted ha accedido a este formato a través de un medio diferente al sitio web del Sistema de Control Documental del SIGEC asegúrese que ésta es la versión vigente</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40"/>
  <sheetViews>
    <sheetView view="pageBreakPreview" topLeftCell="F14" zoomScale="80" zoomScaleNormal="100" zoomScaleSheetLayoutView="80" workbookViewId="0">
      <selection activeCell="AD18" sqref="AD18"/>
    </sheetView>
  </sheetViews>
  <sheetFormatPr baseColWidth="10" defaultRowHeight="12.75"/>
  <cols>
    <col min="1" max="1" width="8" style="2" customWidth="1"/>
    <col min="2" max="2" width="13.42578125" style="2" customWidth="1"/>
    <col min="3" max="3" width="4.28515625" style="2" customWidth="1"/>
    <col min="4" max="4" width="8.28515625" style="2" customWidth="1"/>
    <col min="5" max="5" width="27.42578125" style="2" customWidth="1"/>
    <col min="6" max="6" width="4.140625" style="2" customWidth="1"/>
    <col min="7" max="7" width="10.85546875" style="2" customWidth="1"/>
    <col min="8" max="8" width="11" style="2" customWidth="1"/>
    <col min="9" max="10" width="2.140625" style="2" customWidth="1"/>
    <col min="11" max="11" width="3.28515625" style="2" customWidth="1"/>
    <col min="12" max="12" width="0.28515625" style="2" hidden="1" customWidth="1"/>
    <col min="13" max="13" width="0.42578125" style="2" hidden="1" customWidth="1"/>
    <col min="14" max="14" width="4.28515625" style="2" customWidth="1"/>
    <col min="15" max="15" width="3.28515625" style="2" customWidth="1"/>
    <col min="16" max="16" width="1.5703125" style="2" customWidth="1"/>
    <col min="17" max="17" width="1.85546875" style="2" hidden="1" customWidth="1"/>
    <col min="18" max="18" width="6.85546875" style="2" customWidth="1"/>
    <col min="19" max="19" width="3" style="2" hidden="1" customWidth="1"/>
    <col min="20" max="20" width="6.28515625" style="2" customWidth="1"/>
    <col min="21" max="21" width="4" style="2" customWidth="1"/>
    <col min="22" max="22" width="13.85546875" style="2" customWidth="1"/>
    <col min="23" max="24" width="14.7109375" style="2" customWidth="1"/>
    <col min="25" max="25" width="0.42578125" style="2" hidden="1" customWidth="1"/>
    <col min="26" max="26" width="13" style="2" customWidth="1"/>
    <col min="27" max="27" width="14.7109375" style="2" customWidth="1"/>
    <col min="28" max="28" width="13.140625" style="2" customWidth="1"/>
    <col min="29" max="29" width="14" style="2" customWidth="1"/>
    <col min="30" max="30" width="8.140625" style="2" customWidth="1"/>
    <col min="31" max="31" width="12.28515625" style="2" customWidth="1"/>
    <col min="32" max="32" width="44.42578125" style="2" customWidth="1"/>
    <col min="33" max="33" width="12" style="2" customWidth="1"/>
    <col min="34" max="35" width="0.28515625" style="2" customWidth="1"/>
    <col min="36" max="36" width="1.42578125" style="2" customWidth="1"/>
    <col min="37" max="37" width="1.28515625" style="2" hidden="1" customWidth="1"/>
    <col min="38" max="256" width="11.42578125" style="2"/>
    <col min="257" max="257" width="8" style="2" customWidth="1"/>
    <col min="258" max="258" width="13.42578125" style="2" customWidth="1"/>
    <col min="259" max="259" width="4.28515625" style="2" customWidth="1"/>
    <col min="260" max="260" width="4" style="2" customWidth="1"/>
    <col min="261" max="261" width="17" style="2" customWidth="1"/>
    <col min="262" max="262" width="4.140625" style="2" customWidth="1"/>
    <col min="263" max="263" width="11.28515625" style="2" customWidth="1"/>
    <col min="264" max="264" width="11" style="2" customWidth="1"/>
    <col min="265" max="266" width="2.140625" style="2" customWidth="1"/>
    <col min="267" max="267" width="3.28515625" style="2" customWidth="1"/>
    <col min="268" max="269" width="0" style="2" hidden="1" customWidth="1"/>
    <col min="270" max="270" width="2.85546875" style="2" customWidth="1"/>
    <col min="271" max="271" width="3.28515625" style="2" customWidth="1"/>
    <col min="272" max="272" width="1.5703125" style="2" customWidth="1"/>
    <col min="273" max="273" width="0" style="2" hidden="1" customWidth="1"/>
    <col min="274" max="274" width="6.85546875" style="2" customWidth="1"/>
    <col min="275" max="275" width="0" style="2" hidden="1" customWidth="1"/>
    <col min="276" max="277" width="6.28515625" style="2" customWidth="1"/>
    <col min="278" max="278" width="13.85546875" style="2" customWidth="1"/>
    <col min="279" max="279" width="10.85546875" style="2" customWidth="1"/>
    <col min="280" max="280" width="14.7109375" style="2" customWidth="1"/>
    <col min="281" max="281" width="0" style="2" hidden="1" customWidth="1"/>
    <col min="282" max="282" width="13" style="2" customWidth="1"/>
    <col min="283" max="283" width="12.7109375" style="2" customWidth="1"/>
    <col min="284" max="284" width="13.140625" style="2" customWidth="1"/>
    <col min="285" max="285" width="14" style="2" customWidth="1"/>
    <col min="286" max="286" width="8.140625" style="2" customWidth="1"/>
    <col min="287" max="287" width="11.5703125" style="2" customWidth="1"/>
    <col min="288" max="288" width="24.7109375" style="2" customWidth="1"/>
    <col min="289" max="289" width="12" style="2" customWidth="1"/>
    <col min="290" max="291" width="0.28515625" style="2" customWidth="1"/>
    <col min="292" max="292" width="1.42578125" style="2" customWidth="1"/>
    <col min="293" max="293" width="0" style="2" hidden="1" customWidth="1"/>
    <col min="294" max="512" width="11.42578125" style="2"/>
    <col min="513" max="513" width="8" style="2" customWidth="1"/>
    <col min="514" max="514" width="13.42578125" style="2" customWidth="1"/>
    <col min="515" max="515" width="4.28515625" style="2" customWidth="1"/>
    <col min="516" max="516" width="4" style="2" customWidth="1"/>
    <col min="517" max="517" width="17" style="2" customWidth="1"/>
    <col min="518" max="518" width="4.140625" style="2" customWidth="1"/>
    <col min="519" max="519" width="11.28515625" style="2" customWidth="1"/>
    <col min="520" max="520" width="11" style="2" customWidth="1"/>
    <col min="521" max="522" width="2.140625" style="2" customWidth="1"/>
    <col min="523" max="523" width="3.28515625" style="2" customWidth="1"/>
    <col min="524" max="525" width="0" style="2" hidden="1" customWidth="1"/>
    <col min="526" max="526" width="2.85546875" style="2" customWidth="1"/>
    <col min="527" max="527" width="3.28515625" style="2" customWidth="1"/>
    <col min="528" max="528" width="1.5703125" style="2" customWidth="1"/>
    <col min="529" max="529" width="0" style="2" hidden="1" customWidth="1"/>
    <col min="530" max="530" width="6.85546875" style="2" customWidth="1"/>
    <col min="531" max="531" width="0" style="2" hidden="1" customWidth="1"/>
    <col min="532" max="533" width="6.28515625" style="2" customWidth="1"/>
    <col min="534" max="534" width="13.85546875" style="2" customWidth="1"/>
    <col min="535" max="535" width="10.85546875" style="2" customWidth="1"/>
    <col min="536" max="536" width="14.7109375" style="2" customWidth="1"/>
    <col min="537" max="537" width="0" style="2" hidden="1" customWidth="1"/>
    <col min="538" max="538" width="13" style="2" customWidth="1"/>
    <col min="539" max="539" width="12.7109375" style="2" customWidth="1"/>
    <col min="540" max="540" width="13.140625" style="2" customWidth="1"/>
    <col min="541" max="541" width="14" style="2" customWidth="1"/>
    <col min="542" max="542" width="8.140625" style="2" customWidth="1"/>
    <col min="543" max="543" width="11.5703125" style="2" customWidth="1"/>
    <col min="544" max="544" width="24.7109375" style="2" customWidth="1"/>
    <col min="545" max="545" width="12" style="2" customWidth="1"/>
    <col min="546" max="547" width="0.28515625" style="2" customWidth="1"/>
    <col min="548" max="548" width="1.42578125" style="2" customWidth="1"/>
    <col min="549" max="549" width="0" style="2" hidden="1" customWidth="1"/>
    <col min="550" max="768" width="11.42578125" style="2"/>
    <col min="769" max="769" width="8" style="2" customWidth="1"/>
    <col min="770" max="770" width="13.42578125" style="2" customWidth="1"/>
    <col min="771" max="771" width="4.28515625" style="2" customWidth="1"/>
    <col min="772" max="772" width="4" style="2" customWidth="1"/>
    <col min="773" max="773" width="17" style="2" customWidth="1"/>
    <col min="774" max="774" width="4.140625" style="2" customWidth="1"/>
    <col min="775" max="775" width="11.28515625" style="2" customWidth="1"/>
    <col min="776" max="776" width="11" style="2" customWidth="1"/>
    <col min="777" max="778" width="2.140625" style="2" customWidth="1"/>
    <col min="779" max="779" width="3.28515625" style="2" customWidth="1"/>
    <col min="780" max="781" width="0" style="2" hidden="1" customWidth="1"/>
    <col min="782" max="782" width="2.85546875" style="2" customWidth="1"/>
    <col min="783" max="783" width="3.28515625" style="2" customWidth="1"/>
    <col min="784" max="784" width="1.5703125" style="2" customWidth="1"/>
    <col min="785" max="785" width="0" style="2" hidden="1" customWidth="1"/>
    <col min="786" max="786" width="6.85546875" style="2" customWidth="1"/>
    <col min="787" max="787" width="0" style="2" hidden="1" customWidth="1"/>
    <col min="788" max="789" width="6.28515625" style="2" customWidth="1"/>
    <col min="790" max="790" width="13.85546875" style="2" customWidth="1"/>
    <col min="791" max="791" width="10.85546875" style="2" customWidth="1"/>
    <col min="792" max="792" width="14.7109375" style="2" customWidth="1"/>
    <col min="793" max="793" width="0" style="2" hidden="1" customWidth="1"/>
    <col min="794" max="794" width="13" style="2" customWidth="1"/>
    <col min="795" max="795" width="12.7109375" style="2" customWidth="1"/>
    <col min="796" max="796" width="13.140625" style="2" customWidth="1"/>
    <col min="797" max="797" width="14" style="2" customWidth="1"/>
    <col min="798" max="798" width="8.140625" style="2" customWidth="1"/>
    <col min="799" max="799" width="11.5703125" style="2" customWidth="1"/>
    <col min="800" max="800" width="24.7109375" style="2" customWidth="1"/>
    <col min="801" max="801" width="12" style="2" customWidth="1"/>
    <col min="802" max="803" width="0.28515625" style="2" customWidth="1"/>
    <col min="804" max="804" width="1.42578125" style="2" customWidth="1"/>
    <col min="805" max="805" width="0" style="2" hidden="1" customWidth="1"/>
    <col min="806" max="1024" width="11.42578125" style="2"/>
    <col min="1025" max="1025" width="8" style="2" customWidth="1"/>
    <col min="1026" max="1026" width="13.42578125" style="2" customWidth="1"/>
    <col min="1027" max="1027" width="4.28515625" style="2" customWidth="1"/>
    <col min="1028" max="1028" width="4" style="2" customWidth="1"/>
    <col min="1029" max="1029" width="17" style="2" customWidth="1"/>
    <col min="1030" max="1030" width="4.140625" style="2" customWidth="1"/>
    <col min="1031" max="1031" width="11.28515625" style="2" customWidth="1"/>
    <col min="1032" max="1032" width="11" style="2" customWidth="1"/>
    <col min="1033" max="1034" width="2.140625" style="2" customWidth="1"/>
    <col min="1035" max="1035" width="3.28515625" style="2" customWidth="1"/>
    <col min="1036" max="1037" width="0" style="2" hidden="1" customWidth="1"/>
    <col min="1038" max="1038" width="2.85546875" style="2" customWidth="1"/>
    <col min="1039" max="1039" width="3.28515625" style="2" customWidth="1"/>
    <col min="1040" max="1040" width="1.5703125" style="2" customWidth="1"/>
    <col min="1041" max="1041" width="0" style="2" hidden="1" customWidth="1"/>
    <col min="1042" max="1042" width="6.85546875" style="2" customWidth="1"/>
    <col min="1043" max="1043" width="0" style="2" hidden="1" customWidth="1"/>
    <col min="1044" max="1045" width="6.28515625" style="2" customWidth="1"/>
    <col min="1046" max="1046" width="13.85546875" style="2" customWidth="1"/>
    <col min="1047" max="1047" width="10.85546875" style="2" customWidth="1"/>
    <col min="1048" max="1048" width="14.7109375" style="2" customWidth="1"/>
    <col min="1049" max="1049" width="0" style="2" hidden="1" customWidth="1"/>
    <col min="1050" max="1050" width="13" style="2" customWidth="1"/>
    <col min="1051" max="1051" width="12.7109375" style="2" customWidth="1"/>
    <col min="1052" max="1052" width="13.140625" style="2" customWidth="1"/>
    <col min="1053" max="1053" width="14" style="2" customWidth="1"/>
    <col min="1054" max="1054" width="8.140625" style="2" customWidth="1"/>
    <col min="1055" max="1055" width="11.5703125" style="2" customWidth="1"/>
    <col min="1056" max="1056" width="24.7109375" style="2" customWidth="1"/>
    <col min="1057" max="1057" width="12" style="2" customWidth="1"/>
    <col min="1058" max="1059" width="0.28515625" style="2" customWidth="1"/>
    <col min="1060" max="1060" width="1.42578125" style="2" customWidth="1"/>
    <col min="1061" max="1061" width="0" style="2" hidden="1" customWidth="1"/>
    <col min="1062" max="1280" width="11.42578125" style="2"/>
    <col min="1281" max="1281" width="8" style="2" customWidth="1"/>
    <col min="1282" max="1282" width="13.42578125" style="2" customWidth="1"/>
    <col min="1283" max="1283" width="4.28515625" style="2" customWidth="1"/>
    <col min="1284" max="1284" width="4" style="2" customWidth="1"/>
    <col min="1285" max="1285" width="17" style="2" customWidth="1"/>
    <col min="1286" max="1286" width="4.140625" style="2" customWidth="1"/>
    <col min="1287" max="1287" width="11.28515625" style="2" customWidth="1"/>
    <col min="1288" max="1288" width="11" style="2" customWidth="1"/>
    <col min="1289" max="1290" width="2.140625" style="2" customWidth="1"/>
    <col min="1291" max="1291" width="3.28515625" style="2" customWidth="1"/>
    <col min="1292" max="1293" width="0" style="2" hidden="1" customWidth="1"/>
    <col min="1294" max="1294" width="2.85546875" style="2" customWidth="1"/>
    <col min="1295" max="1295" width="3.28515625" style="2" customWidth="1"/>
    <col min="1296" max="1296" width="1.5703125" style="2" customWidth="1"/>
    <col min="1297" max="1297" width="0" style="2" hidden="1" customWidth="1"/>
    <col min="1298" max="1298" width="6.85546875" style="2" customWidth="1"/>
    <col min="1299" max="1299" width="0" style="2" hidden="1" customWidth="1"/>
    <col min="1300" max="1301" width="6.28515625" style="2" customWidth="1"/>
    <col min="1302" max="1302" width="13.85546875" style="2" customWidth="1"/>
    <col min="1303" max="1303" width="10.85546875" style="2" customWidth="1"/>
    <col min="1304" max="1304" width="14.7109375" style="2" customWidth="1"/>
    <col min="1305" max="1305" width="0" style="2" hidden="1" customWidth="1"/>
    <col min="1306" max="1306" width="13" style="2" customWidth="1"/>
    <col min="1307" max="1307" width="12.7109375" style="2" customWidth="1"/>
    <col min="1308" max="1308" width="13.140625" style="2" customWidth="1"/>
    <col min="1309" max="1309" width="14" style="2" customWidth="1"/>
    <col min="1310" max="1310" width="8.140625" style="2" customWidth="1"/>
    <col min="1311" max="1311" width="11.5703125" style="2" customWidth="1"/>
    <col min="1312" max="1312" width="24.7109375" style="2" customWidth="1"/>
    <col min="1313" max="1313" width="12" style="2" customWidth="1"/>
    <col min="1314" max="1315" width="0.28515625" style="2" customWidth="1"/>
    <col min="1316" max="1316" width="1.42578125" style="2" customWidth="1"/>
    <col min="1317" max="1317" width="0" style="2" hidden="1" customWidth="1"/>
    <col min="1318" max="1536" width="11.42578125" style="2"/>
    <col min="1537" max="1537" width="8" style="2" customWidth="1"/>
    <col min="1538" max="1538" width="13.42578125" style="2" customWidth="1"/>
    <col min="1539" max="1539" width="4.28515625" style="2" customWidth="1"/>
    <col min="1540" max="1540" width="4" style="2" customWidth="1"/>
    <col min="1541" max="1541" width="17" style="2" customWidth="1"/>
    <col min="1542" max="1542" width="4.140625" style="2" customWidth="1"/>
    <col min="1543" max="1543" width="11.28515625" style="2" customWidth="1"/>
    <col min="1544" max="1544" width="11" style="2" customWidth="1"/>
    <col min="1545" max="1546" width="2.140625" style="2" customWidth="1"/>
    <col min="1547" max="1547" width="3.28515625" style="2" customWidth="1"/>
    <col min="1548" max="1549" width="0" style="2" hidden="1" customWidth="1"/>
    <col min="1550" max="1550" width="2.85546875" style="2" customWidth="1"/>
    <col min="1551" max="1551" width="3.28515625" style="2" customWidth="1"/>
    <col min="1552" max="1552" width="1.5703125" style="2" customWidth="1"/>
    <col min="1553" max="1553" width="0" style="2" hidden="1" customWidth="1"/>
    <col min="1554" max="1554" width="6.85546875" style="2" customWidth="1"/>
    <col min="1555" max="1555" width="0" style="2" hidden="1" customWidth="1"/>
    <col min="1556" max="1557" width="6.28515625" style="2" customWidth="1"/>
    <col min="1558" max="1558" width="13.85546875" style="2" customWidth="1"/>
    <col min="1559" max="1559" width="10.85546875" style="2" customWidth="1"/>
    <col min="1560" max="1560" width="14.7109375" style="2" customWidth="1"/>
    <col min="1561" max="1561" width="0" style="2" hidden="1" customWidth="1"/>
    <col min="1562" max="1562" width="13" style="2" customWidth="1"/>
    <col min="1563" max="1563" width="12.7109375" style="2" customWidth="1"/>
    <col min="1564" max="1564" width="13.140625" style="2" customWidth="1"/>
    <col min="1565" max="1565" width="14" style="2" customWidth="1"/>
    <col min="1566" max="1566" width="8.140625" style="2" customWidth="1"/>
    <col min="1567" max="1567" width="11.5703125" style="2" customWidth="1"/>
    <col min="1568" max="1568" width="24.7109375" style="2" customWidth="1"/>
    <col min="1569" max="1569" width="12" style="2" customWidth="1"/>
    <col min="1570" max="1571" width="0.28515625" style="2" customWidth="1"/>
    <col min="1572" max="1572" width="1.42578125" style="2" customWidth="1"/>
    <col min="1573" max="1573" width="0" style="2" hidden="1" customWidth="1"/>
    <col min="1574" max="1792" width="11.42578125" style="2"/>
    <col min="1793" max="1793" width="8" style="2" customWidth="1"/>
    <col min="1794" max="1794" width="13.42578125" style="2" customWidth="1"/>
    <col min="1795" max="1795" width="4.28515625" style="2" customWidth="1"/>
    <col min="1796" max="1796" width="4" style="2" customWidth="1"/>
    <col min="1797" max="1797" width="17" style="2" customWidth="1"/>
    <col min="1798" max="1798" width="4.140625" style="2" customWidth="1"/>
    <col min="1799" max="1799" width="11.28515625" style="2" customWidth="1"/>
    <col min="1800" max="1800" width="11" style="2" customWidth="1"/>
    <col min="1801" max="1802" width="2.140625" style="2" customWidth="1"/>
    <col min="1803" max="1803" width="3.28515625" style="2" customWidth="1"/>
    <col min="1804" max="1805" width="0" style="2" hidden="1" customWidth="1"/>
    <col min="1806" max="1806" width="2.85546875" style="2" customWidth="1"/>
    <col min="1807" max="1807" width="3.28515625" style="2" customWidth="1"/>
    <col min="1808" max="1808" width="1.5703125" style="2" customWidth="1"/>
    <col min="1809" max="1809" width="0" style="2" hidden="1" customWidth="1"/>
    <col min="1810" max="1810" width="6.85546875" style="2" customWidth="1"/>
    <col min="1811" max="1811" width="0" style="2" hidden="1" customWidth="1"/>
    <col min="1812" max="1813" width="6.28515625" style="2" customWidth="1"/>
    <col min="1814" max="1814" width="13.85546875" style="2" customWidth="1"/>
    <col min="1815" max="1815" width="10.85546875" style="2" customWidth="1"/>
    <col min="1816" max="1816" width="14.7109375" style="2" customWidth="1"/>
    <col min="1817" max="1817" width="0" style="2" hidden="1" customWidth="1"/>
    <col min="1818" max="1818" width="13" style="2" customWidth="1"/>
    <col min="1819" max="1819" width="12.7109375" style="2" customWidth="1"/>
    <col min="1820" max="1820" width="13.140625" style="2" customWidth="1"/>
    <col min="1821" max="1821" width="14" style="2" customWidth="1"/>
    <col min="1822" max="1822" width="8.140625" style="2" customWidth="1"/>
    <col min="1823" max="1823" width="11.5703125" style="2" customWidth="1"/>
    <col min="1824" max="1824" width="24.7109375" style="2" customWidth="1"/>
    <col min="1825" max="1825" width="12" style="2" customWidth="1"/>
    <col min="1826" max="1827" width="0.28515625" style="2" customWidth="1"/>
    <col min="1828" max="1828" width="1.42578125" style="2" customWidth="1"/>
    <col min="1829" max="1829" width="0" style="2" hidden="1" customWidth="1"/>
    <col min="1830" max="2048" width="11.42578125" style="2"/>
    <col min="2049" max="2049" width="8" style="2" customWidth="1"/>
    <col min="2050" max="2050" width="13.42578125" style="2" customWidth="1"/>
    <col min="2051" max="2051" width="4.28515625" style="2" customWidth="1"/>
    <col min="2052" max="2052" width="4" style="2" customWidth="1"/>
    <col min="2053" max="2053" width="17" style="2" customWidth="1"/>
    <col min="2054" max="2054" width="4.140625" style="2" customWidth="1"/>
    <col min="2055" max="2055" width="11.28515625" style="2" customWidth="1"/>
    <col min="2056" max="2056" width="11" style="2" customWidth="1"/>
    <col min="2057" max="2058" width="2.140625" style="2" customWidth="1"/>
    <col min="2059" max="2059" width="3.28515625" style="2" customWidth="1"/>
    <col min="2060" max="2061" width="0" style="2" hidden="1" customWidth="1"/>
    <col min="2062" max="2062" width="2.85546875" style="2" customWidth="1"/>
    <col min="2063" max="2063" width="3.28515625" style="2" customWidth="1"/>
    <col min="2064" max="2064" width="1.5703125" style="2" customWidth="1"/>
    <col min="2065" max="2065" width="0" style="2" hidden="1" customWidth="1"/>
    <col min="2066" max="2066" width="6.85546875" style="2" customWidth="1"/>
    <col min="2067" max="2067" width="0" style="2" hidden="1" customWidth="1"/>
    <col min="2068" max="2069" width="6.28515625" style="2" customWidth="1"/>
    <col min="2070" max="2070" width="13.85546875" style="2" customWidth="1"/>
    <col min="2071" max="2071" width="10.85546875" style="2" customWidth="1"/>
    <col min="2072" max="2072" width="14.7109375" style="2" customWidth="1"/>
    <col min="2073" max="2073" width="0" style="2" hidden="1" customWidth="1"/>
    <col min="2074" max="2074" width="13" style="2" customWidth="1"/>
    <col min="2075" max="2075" width="12.7109375" style="2" customWidth="1"/>
    <col min="2076" max="2076" width="13.140625" style="2" customWidth="1"/>
    <col min="2077" max="2077" width="14" style="2" customWidth="1"/>
    <col min="2078" max="2078" width="8.140625" style="2" customWidth="1"/>
    <col min="2079" max="2079" width="11.5703125" style="2" customWidth="1"/>
    <col min="2080" max="2080" width="24.7109375" style="2" customWidth="1"/>
    <col min="2081" max="2081" width="12" style="2" customWidth="1"/>
    <col min="2082" max="2083" width="0.28515625" style="2" customWidth="1"/>
    <col min="2084" max="2084" width="1.42578125" style="2" customWidth="1"/>
    <col min="2085" max="2085" width="0" style="2" hidden="1" customWidth="1"/>
    <col min="2086" max="2304" width="11.42578125" style="2"/>
    <col min="2305" max="2305" width="8" style="2" customWidth="1"/>
    <col min="2306" max="2306" width="13.42578125" style="2" customWidth="1"/>
    <col min="2307" max="2307" width="4.28515625" style="2" customWidth="1"/>
    <col min="2308" max="2308" width="4" style="2" customWidth="1"/>
    <col min="2309" max="2309" width="17" style="2" customWidth="1"/>
    <col min="2310" max="2310" width="4.140625" style="2" customWidth="1"/>
    <col min="2311" max="2311" width="11.28515625" style="2" customWidth="1"/>
    <col min="2312" max="2312" width="11" style="2" customWidth="1"/>
    <col min="2313" max="2314" width="2.140625" style="2" customWidth="1"/>
    <col min="2315" max="2315" width="3.28515625" style="2" customWidth="1"/>
    <col min="2316" max="2317" width="0" style="2" hidden="1" customWidth="1"/>
    <col min="2318" max="2318" width="2.85546875" style="2" customWidth="1"/>
    <col min="2319" max="2319" width="3.28515625" style="2" customWidth="1"/>
    <col min="2320" max="2320" width="1.5703125" style="2" customWidth="1"/>
    <col min="2321" max="2321" width="0" style="2" hidden="1" customWidth="1"/>
    <col min="2322" max="2322" width="6.85546875" style="2" customWidth="1"/>
    <col min="2323" max="2323" width="0" style="2" hidden="1" customWidth="1"/>
    <col min="2324" max="2325" width="6.28515625" style="2" customWidth="1"/>
    <col min="2326" max="2326" width="13.85546875" style="2" customWidth="1"/>
    <col min="2327" max="2327" width="10.85546875" style="2" customWidth="1"/>
    <col min="2328" max="2328" width="14.7109375" style="2" customWidth="1"/>
    <col min="2329" max="2329" width="0" style="2" hidden="1" customWidth="1"/>
    <col min="2330" max="2330" width="13" style="2" customWidth="1"/>
    <col min="2331" max="2331" width="12.7109375" style="2" customWidth="1"/>
    <col min="2332" max="2332" width="13.140625" style="2" customWidth="1"/>
    <col min="2333" max="2333" width="14" style="2" customWidth="1"/>
    <col min="2334" max="2334" width="8.140625" style="2" customWidth="1"/>
    <col min="2335" max="2335" width="11.5703125" style="2" customWidth="1"/>
    <col min="2336" max="2336" width="24.7109375" style="2" customWidth="1"/>
    <col min="2337" max="2337" width="12" style="2" customWidth="1"/>
    <col min="2338" max="2339" width="0.28515625" style="2" customWidth="1"/>
    <col min="2340" max="2340" width="1.42578125" style="2" customWidth="1"/>
    <col min="2341" max="2341" width="0" style="2" hidden="1" customWidth="1"/>
    <col min="2342" max="2560" width="11.42578125" style="2"/>
    <col min="2561" max="2561" width="8" style="2" customWidth="1"/>
    <col min="2562" max="2562" width="13.42578125" style="2" customWidth="1"/>
    <col min="2563" max="2563" width="4.28515625" style="2" customWidth="1"/>
    <col min="2564" max="2564" width="4" style="2" customWidth="1"/>
    <col min="2565" max="2565" width="17" style="2" customWidth="1"/>
    <col min="2566" max="2566" width="4.140625" style="2" customWidth="1"/>
    <col min="2567" max="2567" width="11.28515625" style="2" customWidth="1"/>
    <col min="2568" max="2568" width="11" style="2" customWidth="1"/>
    <col min="2569" max="2570" width="2.140625" style="2" customWidth="1"/>
    <col min="2571" max="2571" width="3.28515625" style="2" customWidth="1"/>
    <col min="2572" max="2573" width="0" style="2" hidden="1" customWidth="1"/>
    <col min="2574" max="2574" width="2.85546875" style="2" customWidth="1"/>
    <col min="2575" max="2575" width="3.28515625" style="2" customWidth="1"/>
    <col min="2576" max="2576" width="1.5703125" style="2" customWidth="1"/>
    <col min="2577" max="2577" width="0" style="2" hidden="1" customWidth="1"/>
    <col min="2578" max="2578" width="6.85546875" style="2" customWidth="1"/>
    <col min="2579" max="2579" width="0" style="2" hidden="1" customWidth="1"/>
    <col min="2580" max="2581" width="6.28515625" style="2" customWidth="1"/>
    <col min="2582" max="2582" width="13.85546875" style="2" customWidth="1"/>
    <col min="2583" max="2583" width="10.85546875" style="2" customWidth="1"/>
    <col min="2584" max="2584" width="14.7109375" style="2" customWidth="1"/>
    <col min="2585" max="2585" width="0" style="2" hidden="1" customWidth="1"/>
    <col min="2586" max="2586" width="13" style="2" customWidth="1"/>
    <col min="2587" max="2587" width="12.7109375" style="2" customWidth="1"/>
    <col min="2588" max="2588" width="13.140625" style="2" customWidth="1"/>
    <col min="2589" max="2589" width="14" style="2" customWidth="1"/>
    <col min="2590" max="2590" width="8.140625" style="2" customWidth="1"/>
    <col min="2591" max="2591" width="11.5703125" style="2" customWidth="1"/>
    <col min="2592" max="2592" width="24.7109375" style="2" customWidth="1"/>
    <col min="2593" max="2593" width="12" style="2" customWidth="1"/>
    <col min="2594" max="2595" width="0.28515625" style="2" customWidth="1"/>
    <col min="2596" max="2596" width="1.42578125" style="2" customWidth="1"/>
    <col min="2597" max="2597" width="0" style="2" hidden="1" customWidth="1"/>
    <col min="2598" max="2816" width="11.42578125" style="2"/>
    <col min="2817" max="2817" width="8" style="2" customWidth="1"/>
    <col min="2818" max="2818" width="13.42578125" style="2" customWidth="1"/>
    <col min="2819" max="2819" width="4.28515625" style="2" customWidth="1"/>
    <col min="2820" max="2820" width="4" style="2" customWidth="1"/>
    <col min="2821" max="2821" width="17" style="2" customWidth="1"/>
    <col min="2822" max="2822" width="4.140625" style="2" customWidth="1"/>
    <col min="2823" max="2823" width="11.28515625" style="2" customWidth="1"/>
    <col min="2824" max="2824" width="11" style="2" customWidth="1"/>
    <col min="2825" max="2826" width="2.140625" style="2" customWidth="1"/>
    <col min="2827" max="2827" width="3.28515625" style="2" customWidth="1"/>
    <col min="2828" max="2829" width="0" style="2" hidden="1" customWidth="1"/>
    <col min="2830" max="2830" width="2.85546875" style="2" customWidth="1"/>
    <col min="2831" max="2831" width="3.28515625" style="2" customWidth="1"/>
    <col min="2832" max="2832" width="1.5703125" style="2" customWidth="1"/>
    <col min="2833" max="2833" width="0" style="2" hidden="1" customWidth="1"/>
    <col min="2834" max="2834" width="6.85546875" style="2" customWidth="1"/>
    <col min="2835" max="2835" width="0" style="2" hidden="1" customWidth="1"/>
    <col min="2836" max="2837" width="6.28515625" style="2" customWidth="1"/>
    <col min="2838" max="2838" width="13.85546875" style="2" customWidth="1"/>
    <col min="2839" max="2839" width="10.85546875" style="2" customWidth="1"/>
    <col min="2840" max="2840" width="14.7109375" style="2" customWidth="1"/>
    <col min="2841" max="2841" width="0" style="2" hidden="1" customWidth="1"/>
    <col min="2842" max="2842" width="13" style="2" customWidth="1"/>
    <col min="2843" max="2843" width="12.7109375" style="2" customWidth="1"/>
    <col min="2844" max="2844" width="13.140625" style="2" customWidth="1"/>
    <col min="2845" max="2845" width="14" style="2" customWidth="1"/>
    <col min="2846" max="2846" width="8.140625" style="2" customWidth="1"/>
    <col min="2847" max="2847" width="11.5703125" style="2" customWidth="1"/>
    <col min="2848" max="2848" width="24.7109375" style="2" customWidth="1"/>
    <col min="2849" max="2849" width="12" style="2" customWidth="1"/>
    <col min="2850" max="2851" width="0.28515625" style="2" customWidth="1"/>
    <col min="2852" max="2852" width="1.42578125" style="2" customWidth="1"/>
    <col min="2853" max="2853" width="0" style="2" hidden="1" customWidth="1"/>
    <col min="2854" max="3072" width="11.42578125" style="2"/>
    <col min="3073" max="3073" width="8" style="2" customWidth="1"/>
    <col min="3074" max="3074" width="13.42578125" style="2" customWidth="1"/>
    <col min="3075" max="3075" width="4.28515625" style="2" customWidth="1"/>
    <col min="3076" max="3076" width="4" style="2" customWidth="1"/>
    <col min="3077" max="3077" width="17" style="2" customWidth="1"/>
    <col min="3078" max="3078" width="4.140625" style="2" customWidth="1"/>
    <col min="3079" max="3079" width="11.28515625" style="2" customWidth="1"/>
    <col min="3080" max="3080" width="11" style="2" customWidth="1"/>
    <col min="3081" max="3082" width="2.140625" style="2" customWidth="1"/>
    <col min="3083" max="3083" width="3.28515625" style="2" customWidth="1"/>
    <col min="3084" max="3085" width="0" style="2" hidden="1" customWidth="1"/>
    <col min="3086" max="3086" width="2.85546875" style="2" customWidth="1"/>
    <col min="3087" max="3087" width="3.28515625" style="2" customWidth="1"/>
    <col min="3088" max="3088" width="1.5703125" style="2" customWidth="1"/>
    <col min="3089" max="3089" width="0" style="2" hidden="1" customWidth="1"/>
    <col min="3090" max="3090" width="6.85546875" style="2" customWidth="1"/>
    <col min="3091" max="3091" width="0" style="2" hidden="1" customWidth="1"/>
    <col min="3092" max="3093" width="6.28515625" style="2" customWidth="1"/>
    <col min="3094" max="3094" width="13.85546875" style="2" customWidth="1"/>
    <col min="3095" max="3095" width="10.85546875" style="2" customWidth="1"/>
    <col min="3096" max="3096" width="14.7109375" style="2" customWidth="1"/>
    <col min="3097" max="3097" width="0" style="2" hidden="1" customWidth="1"/>
    <col min="3098" max="3098" width="13" style="2" customWidth="1"/>
    <col min="3099" max="3099" width="12.7109375" style="2" customWidth="1"/>
    <col min="3100" max="3100" width="13.140625" style="2" customWidth="1"/>
    <col min="3101" max="3101" width="14" style="2" customWidth="1"/>
    <col min="3102" max="3102" width="8.140625" style="2" customWidth="1"/>
    <col min="3103" max="3103" width="11.5703125" style="2" customWidth="1"/>
    <col min="3104" max="3104" width="24.7109375" style="2" customWidth="1"/>
    <col min="3105" max="3105" width="12" style="2" customWidth="1"/>
    <col min="3106" max="3107" width="0.28515625" style="2" customWidth="1"/>
    <col min="3108" max="3108" width="1.42578125" style="2" customWidth="1"/>
    <col min="3109" max="3109" width="0" style="2" hidden="1" customWidth="1"/>
    <col min="3110" max="3328" width="11.42578125" style="2"/>
    <col min="3329" max="3329" width="8" style="2" customWidth="1"/>
    <col min="3330" max="3330" width="13.42578125" style="2" customWidth="1"/>
    <col min="3331" max="3331" width="4.28515625" style="2" customWidth="1"/>
    <col min="3332" max="3332" width="4" style="2" customWidth="1"/>
    <col min="3333" max="3333" width="17" style="2" customWidth="1"/>
    <col min="3334" max="3334" width="4.140625" style="2" customWidth="1"/>
    <col min="3335" max="3335" width="11.28515625" style="2" customWidth="1"/>
    <col min="3336" max="3336" width="11" style="2" customWidth="1"/>
    <col min="3337" max="3338" width="2.140625" style="2" customWidth="1"/>
    <col min="3339" max="3339" width="3.28515625" style="2" customWidth="1"/>
    <col min="3340" max="3341" width="0" style="2" hidden="1" customWidth="1"/>
    <col min="3342" max="3342" width="2.85546875" style="2" customWidth="1"/>
    <col min="3343" max="3343" width="3.28515625" style="2" customWidth="1"/>
    <col min="3344" max="3344" width="1.5703125" style="2" customWidth="1"/>
    <col min="3345" max="3345" width="0" style="2" hidden="1" customWidth="1"/>
    <col min="3346" max="3346" width="6.85546875" style="2" customWidth="1"/>
    <col min="3347" max="3347" width="0" style="2" hidden="1" customWidth="1"/>
    <col min="3348" max="3349" width="6.28515625" style="2" customWidth="1"/>
    <col min="3350" max="3350" width="13.85546875" style="2" customWidth="1"/>
    <col min="3351" max="3351" width="10.85546875" style="2" customWidth="1"/>
    <col min="3352" max="3352" width="14.7109375" style="2" customWidth="1"/>
    <col min="3353" max="3353" width="0" style="2" hidden="1" customWidth="1"/>
    <col min="3354" max="3354" width="13" style="2" customWidth="1"/>
    <col min="3355" max="3355" width="12.7109375" style="2" customWidth="1"/>
    <col min="3356" max="3356" width="13.140625" style="2" customWidth="1"/>
    <col min="3357" max="3357" width="14" style="2" customWidth="1"/>
    <col min="3358" max="3358" width="8.140625" style="2" customWidth="1"/>
    <col min="3359" max="3359" width="11.5703125" style="2" customWidth="1"/>
    <col min="3360" max="3360" width="24.7109375" style="2" customWidth="1"/>
    <col min="3361" max="3361" width="12" style="2" customWidth="1"/>
    <col min="3362" max="3363" width="0.28515625" style="2" customWidth="1"/>
    <col min="3364" max="3364" width="1.42578125" style="2" customWidth="1"/>
    <col min="3365" max="3365" width="0" style="2" hidden="1" customWidth="1"/>
    <col min="3366" max="3584" width="11.42578125" style="2"/>
    <col min="3585" max="3585" width="8" style="2" customWidth="1"/>
    <col min="3586" max="3586" width="13.42578125" style="2" customWidth="1"/>
    <col min="3587" max="3587" width="4.28515625" style="2" customWidth="1"/>
    <col min="3588" max="3588" width="4" style="2" customWidth="1"/>
    <col min="3589" max="3589" width="17" style="2" customWidth="1"/>
    <col min="3590" max="3590" width="4.140625" style="2" customWidth="1"/>
    <col min="3591" max="3591" width="11.28515625" style="2" customWidth="1"/>
    <col min="3592" max="3592" width="11" style="2" customWidth="1"/>
    <col min="3593" max="3594" width="2.140625" style="2" customWidth="1"/>
    <col min="3595" max="3595" width="3.28515625" style="2" customWidth="1"/>
    <col min="3596" max="3597" width="0" style="2" hidden="1" customWidth="1"/>
    <col min="3598" max="3598" width="2.85546875" style="2" customWidth="1"/>
    <col min="3599" max="3599" width="3.28515625" style="2" customWidth="1"/>
    <col min="3600" max="3600" width="1.5703125" style="2" customWidth="1"/>
    <col min="3601" max="3601" width="0" style="2" hidden="1" customWidth="1"/>
    <col min="3602" max="3602" width="6.85546875" style="2" customWidth="1"/>
    <col min="3603" max="3603" width="0" style="2" hidden="1" customWidth="1"/>
    <col min="3604" max="3605" width="6.28515625" style="2" customWidth="1"/>
    <col min="3606" max="3606" width="13.85546875" style="2" customWidth="1"/>
    <col min="3607" max="3607" width="10.85546875" style="2" customWidth="1"/>
    <col min="3608" max="3608" width="14.7109375" style="2" customWidth="1"/>
    <col min="3609" max="3609" width="0" style="2" hidden="1" customWidth="1"/>
    <col min="3610" max="3610" width="13" style="2" customWidth="1"/>
    <col min="3611" max="3611" width="12.7109375" style="2" customWidth="1"/>
    <col min="3612" max="3612" width="13.140625" style="2" customWidth="1"/>
    <col min="3613" max="3613" width="14" style="2" customWidth="1"/>
    <col min="3614" max="3614" width="8.140625" style="2" customWidth="1"/>
    <col min="3615" max="3615" width="11.5703125" style="2" customWidth="1"/>
    <col min="3616" max="3616" width="24.7109375" style="2" customWidth="1"/>
    <col min="3617" max="3617" width="12" style="2" customWidth="1"/>
    <col min="3618" max="3619" width="0.28515625" style="2" customWidth="1"/>
    <col min="3620" max="3620" width="1.42578125" style="2" customWidth="1"/>
    <col min="3621" max="3621" width="0" style="2" hidden="1" customWidth="1"/>
    <col min="3622" max="3840" width="11.42578125" style="2"/>
    <col min="3841" max="3841" width="8" style="2" customWidth="1"/>
    <col min="3842" max="3842" width="13.42578125" style="2" customWidth="1"/>
    <col min="3843" max="3843" width="4.28515625" style="2" customWidth="1"/>
    <col min="3844" max="3844" width="4" style="2" customWidth="1"/>
    <col min="3845" max="3845" width="17" style="2" customWidth="1"/>
    <col min="3846" max="3846" width="4.140625" style="2" customWidth="1"/>
    <col min="3847" max="3847" width="11.28515625" style="2" customWidth="1"/>
    <col min="3848" max="3848" width="11" style="2" customWidth="1"/>
    <col min="3849" max="3850" width="2.140625" style="2" customWidth="1"/>
    <col min="3851" max="3851" width="3.28515625" style="2" customWidth="1"/>
    <col min="3852" max="3853" width="0" style="2" hidden="1" customWidth="1"/>
    <col min="3854" max="3854" width="2.85546875" style="2" customWidth="1"/>
    <col min="3855" max="3855" width="3.28515625" style="2" customWidth="1"/>
    <col min="3856" max="3856" width="1.5703125" style="2" customWidth="1"/>
    <col min="3857" max="3857" width="0" style="2" hidden="1" customWidth="1"/>
    <col min="3858" max="3858" width="6.85546875" style="2" customWidth="1"/>
    <col min="3859" max="3859" width="0" style="2" hidden="1" customWidth="1"/>
    <col min="3860" max="3861" width="6.28515625" style="2" customWidth="1"/>
    <col min="3862" max="3862" width="13.85546875" style="2" customWidth="1"/>
    <col min="3863" max="3863" width="10.85546875" style="2" customWidth="1"/>
    <col min="3864" max="3864" width="14.7109375" style="2" customWidth="1"/>
    <col min="3865" max="3865" width="0" style="2" hidden="1" customWidth="1"/>
    <col min="3866" max="3866" width="13" style="2" customWidth="1"/>
    <col min="3867" max="3867" width="12.7109375" style="2" customWidth="1"/>
    <col min="3868" max="3868" width="13.140625" style="2" customWidth="1"/>
    <col min="3869" max="3869" width="14" style="2" customWidth="1"/>
    <col min="3870" max="3870" width="8.140625" style="2" customWidth="1"/>
    <col min="3871" max="3871" width="11.5703125" style="2" customWidth="1"/>
    <col min="3872" max="3872" width="24.7109375" style="2" customWidth="1"/>
    <col min="3873" max="3873" width="12" style="2" customWidth="1"/>
    <col min="3874" max="3875" width="0.28515625" style="2" customWidth="1"/>
    <col min="3876" max="3876" width="1.42578125" style="2" customWidth="1"/>
    <col min="3877" max="3877" width="0" style="2" hidden="1" customWidth="1"/>
    <col min="3878" max="4096" width="11.42578125" style="2"/>
    <col min="4097" max="4097" width="8" style="2" customWidth="1"/>
    <col min="4098" max="4098" width="13.42578125" style="2" customWidth="1"/>
    <col min="4099" max="4099" width="4.28515625" style="2" customWidth="1"/>
    <col min="4100" max="4100" width="4" style="2" customWidth="1"/>
    <col min="4101" max="4101" width="17" style="2" customWidth="1"/>
    <col min="4102" max="4102" width="4.140625" style="2" customWidth="1"/>
    <col min="4103" max="4103" width="11.28515625" style="2" customWidth="1"/>
    <col min="4104" max="4104" width="11" style="2" customWidth="1"/>
    <col min="4105" max="4106" width="2.140625" style="2" customWidth="1"/>
    <col min="4107" max="4107" width="3.28515625" style="2" customWidth="1"/>
    <col min="4108" max="4109" width="0" style="2" hidden="1" customWidth="1"/>
    <col min="4110" max="4110" width="2.85546875" style="2" customWidth="1"/>
    <col min="4111" max="4111" width="3.28515625" style="2" customWidth="1"/>
    <col min="4112" max="4112" width="1.5703125" style="2" customWidth="1"/>
    <col min="4113" max="4113" width="0" style="2" hidden="1" customWidth="1"/>
    <col min="4114" max="4114" width="6.85546875" style="2" customWidth="1"/>
    <col min="4115" max="4115" width="0" style="2" hidden="1" customWidth="1"/>
    <col min="4116" max="4117" width="6.28515625" style="2" customWidth="1"/>
    <col min="4118" max="4118" width="13.85546875" style="2" customWidth="1"/>
    <col min="4119" max="4119" width="10.85546875" style="2" customWidth="1"/>
    <col min="4120" max="4120" width="14.7109375" style="2" customWidth="1"/>
    <col min="4121" max="4121" width="0" style="2" hidden="1" customWidth="1"/>
    <col min="4122" max="4122" width="13" style="2" customWidth="1"/>
    <col min="4123" max="4123" width="12.7109375" style="2" customWidth="1"/>
    <col min="4124" max="4124" width="13.140625" style="2" customWidth="1"/>
    <col min="4125" max="4125" width="14" style="2" customWidth="1"/>
    <col min="4126" max="4126" width="8.140625" style="2" customWidth="1"/>
    <col min="4127" max="4127" width="11.5703125" style="2" customWidth="1"/>
    <col min="4128" max="4128" width="24.7109375" style="2" customWidth="1"/>
    <col min="4129" max="4129" width="12" style="2" customWidth="1"/>
    <col min="4130" max="4131" width="0.28515625" style="2" customWidth="1"/>
    <col min="4132" max="4132" width="1.42578125" style="2" customWidth="1"/>
    <col min="4133" max="4133" width="0" style="2" hidden="1" customWidth="1"/>
    <col min="4134" max="4352" width="11.42578125" style="2"/>
    <col min="4353" max="4353" width="8" style="2" customWidth="1"/>
    <col min="4354" max="4354" width="13.42578125" style="2" customWidth="1"/>
    <col min="4355" max="4355" width="4.28515625" style="2" customWidth="1"/>
    <col min="4356" max="4356" width="4" style="2" customWidth="1"/>
    <col min="4357" max="4357" width="17" style="2" customWidth="1"/>
    <col min="4358" max="4358" width="4.140625" style="2" customWidth="1"/>
    <col min="4359" max="4359" width="11.28515625" style="2" customWidth="1"/>
    <col min="4360" max="4360" width="11" style="2" customWidth="1"/>
    <col min="4361" max="4362" width="2.140625" style="2" customWidth="1"/>
    <col min="4363" max="4363" width="3.28515625" style="2" customWidth="1"/>
    <col min="4364" max="4365" width="0" style="2" hidden="1" customWidth="1"/>
    <col min="4366" max="4366" width="2.85546875" style="2" customWidth="1"/>
    <col min="4367" max="4367" width="3.28515625" style="2" customWidth="1"/>
    <col min="4368" max="4368" width="1.5703125" style="2" customWidth="1"/>
    <col min="4369" max="4369" width="0" style="2" hidden="1" customWidth="1"/>
    <col min="4370" max="4370" width="6.85546875" style="2" customWidth="1"/>
    <col min="4371" max="4371" width="0" style="2" hidden="1" customWidth="1"/>
    <col min="4372" max="4373" width="6.28515625" style="2" customWidth="1"/>
    <col min="4374" max="4374" width="13.85546875" style="2" customWidth="1"/>
    <col min="4375" max="4375" width="10.85546875" style="2" customWidth="1"/>
    <col min="4376" max="4376" width="14.7109375" style="2" customWidth="1"/>
    <col min="4377" max="4377" width="0" style="2" hidden="1" customWidth="1"/>
    <col min="4378" max="4378" width="13" style="2" customWidth="1"/>
    <col min="4379" max="4379" width="12.7109375" style="2" customWidth="1"/>
    <col min="4380" max="4380" width="13.140625" style="2" customWidth="1"/>
    <col min="4381" max="4381" width="14" style="2" customWidth="1"/>
    <col min="4382" max="4382" width="8.140625" style="2" customWidth="1"/>
    <col min="4383" max="4383" width="11.5703125" style="2" customWidth="1"/>
    <col min="4384" max="4384" width="24.7109375" style="2" customWidth="1"/>
    <col min="4385" max="4385" width="12" style="2" customWidth="1"/>
    <col min="4386" max="4387" width="0.28515625" style="2" customWidth="1"/>
    <col min="4388" max="4388" width="1.42578125" style="2" customWidth="1"/>
    <col min="4389" max="4389" width="0" style="2" hidden="1" customWidth="1"/>
    <col min="4390" max="4608" width="11.42578125" style="2"/>
    <col min="4609" max="4609" width="8" style="2" customWidth="1"/>
    <col min="4610" max="4610" width="13.42578125" style="2" customWidth="1"/>
    <col min="4611" max="4611" width="4.28515625" style="2" customWidth="1"/>
    <col min="4612" max="4612" width="4" style="2" customWidth="1"/>
    <col min="4613" max="4613" width="17" style="2" customWidth="1"/>
    <col min="4614" max="4614" width="4.140625" style="2" customWidth="1"/>
    <col min="4615" max="4615" width="11.28515625" style="2" customWidth="1"/>
    <col min="4616" max="4616" width="11" style="2" customWidth="1"/>
    <col min="4617" max="4618" width="2.140625" style="2" customWidth="1"/>
    <col min="4619" max="4619" width="3.28515625" style="2" customWidth="1"/>
    <col min="4620" max="4621" width="0" style="2" hidden="1" customWidth="1"/>
    <col min="4622" max="4622" width="2.85546875" style="2" customWidth="1"/>
    <col min="4623" max="4623" width="3.28515625" style="2" customWidth="1"/>
    <col min="4624" max="4624" width="1.5703125" style="2" customWidth="1"/>
    <col min="4625" max="4625" width="0" style="2" hidden="1" customWidth="1"/>
    <col min="4626" max="4626" width="6.85546875" style="2" customWidth="1"/>
    <col min="4627" max="4627" width="0" style="2" hidden="1" customWidth="1"/>
    <col min="4628" max="4629" width="6.28515625" style="2" customWidth="1"/>
    <col min="4630" max="4630" width="13.85546875" style="2" customWidth="1"/>
    <col min="4631" max="4631" width="10.85546875" style="2" customWidth="1"/>
    <col min="4632" max="4632" width="14.7109375" style="2" customWidth="1"/>
    <col min="4633" max="4633" width="0" style="2" hidden="1" customWidth="1"/>
    <col min="4634" max="4634" width="13" style="2" customWidth="1"/>
    <col min="4635" max="4635" width="12.7109375" style="2" customWidth="1"/>
    <col min="4636" max="4636" width="13.140625" style="2" customWidth="1"/>
    <col min="4637" max="4637" width="14" style="2" customWidth="1"/>
    <col min="4638" max="4638" width="8.140625" style="2" customWidth="1"/>
    <col min="4639" max="4639" width="11.5703125" style="2" customWidth="1"/>
    <col min="4640" max="4640" width="24.7109375" style="2" customWidth="1"/>
    <col min="4641" max="4641" width="12" style="2" customWidth="1"/>
    <col min="4642" max="4643" width="0.28515625" style="2" customWidth="1"/>
    <col min="4644" max="4644" width="1.42578125" style="2" customWidth="1"/>
    <col min="4645" max="4645" width="0" style="2" hidden="1" customWidth="1"/>
    <col min="4646" max="4864" width="11.42578125" style="2"/>
    <col min="4865" max="4865" width="8" style="2" customWidth="1"/>
    <col min="4866" max="4866" width="13.42578125" style="2" customWidth="1"/>
    <col min="4867" max="4867" width="4.28515625" style="2" customWidth="1"/>
    <col min="4868" max="4868" width="4" style="2" customWidth="1"/>
    <col min="4869" max="4869" width="17" style="2" customWidth="1"/>
    <col min="4870" max="4870" width="4.140625" style="2" customWidth="1"/>
    <col min="4871" max="4871" width="11.28515625" style="2" customWidth="1"/>
    <col min="4872" max="4872" width="11" style="2" customWidth="1"/>
    <col min="4873" max="4874" width="2.140625" style="2" customWidth="1"/>
    <col min="4875" max="4875" width="3.28515625" style="2" customWidth="1"/>
    <col min="4876" max="4877" width="0" style="2" hidden="1" customWidth="1"/>
    <col min="4878" max="4878" width="2.85546875" style="2" customWidth="1"/>
    <col min="4879" max="4879" width="3.28515625" style="2" customWidth="1"/>
    <col min="4880" max="4880" width="1.5703125" style="2" customWidth="1"/>
    <col min="4881" max="4881" width="0" style="2" hidden="1" customWidth="1"/>
    <col min="4882" max="4882" width="6.85546875" style="2" customWidth="1"/>
    <col min="4883" max="4883" width="0" style="2" hidden="1" customWidth="1"/>
    <col min="4884" max="4885" width="6.28515625" style="2" customWidth="1"/>
    <col min="4886" max="4886" width="13.85546875" style="2" customWidth="1"/>
    <col min="4887" max="4887" width="10.85546875" style="2" customWidth="1"/>
    <col min="4888" max="4888" width="14.7109375" style="2" customWidth="1"/>
    <col min="4889" max="4889" width="0" style="2" hidden="1" customWidth="1"/>
    <col min="4890" max="4890" width="13" style="2" customWidth="1"/>
    <col min="4891" max="4891" width="12.7109375" style="2" customWidth="1"/>
    <col min="4892" max="4892" width="13.140625" style="2" customWidth="1"/>
    <col min="4893" max="4893" width="14" style="2" customWidth="1"/>
    <col min="4894" max="4894" width="8.140625" style="2" customWidth="1"/>
    <col min="4895" max="4895" width="11.5703125" style="2" customWidth="1"/>
    <col min="4896" max="4896" width="24.7109375" style="2" customWidth="1"/>
    <col min="4897" max="4897" width="12" style="2" customWidth="1"/>
    <col min="4898" max="4899" width="0.28515625" style="2" customWidth="1"/>
    <col min="4900" max="4900" width="1.42578125" style="2" customWidth="1"/>
    <col min="4901" max="4901" width="0" style="2" hidden="1" customWidth="1"/>
    <col min="4902" max="5120" width="11.42578125" style="2"/>
    <col min="5121" max="5121" width="8" style="2" customWidth="1"/>
    <col min="5122" max="5122" width="13.42578125" style="2" customWidth="1"/>
    <col min="5123" max="5123" width="4.28515625" style="2" customWidth="1"/>
    <col min="5124" max="5124" width="4" style="2" customWidth="1"/>
    <col min="5125" max="5125" width="17" style="2" customWidth="1"/>
    <col min="5126" max="5126" width="4.140625" style="2" customWidth="1"/>
    <col min="5127" max="5127" width="11.28515625" style="2" customWidth="1"/>
    <col min="5128" max="5128" width="11" style="2" customWidth="1"/>
    <col min="5129" max="5130" width="2.140625" style="2" customWidth="1"/>
    <col min="5131" max="5131" width="3.28515625" style="2" customWidth="1"/>
    <col min="5132" max="5133" width="0" style="2" hidden="1" customWidth="1"/>
    <col min="5134" max="5134" width="2.85546875" style="2" customWidth="1"/>
    <col min="5135" max="5135" width="3.28515625" style="2" customWidth="1"/>
    <col min="5136" max="5136" width="1.5703125" style="2" customWidth="1"/>
    <col min="5137" max="5137" width="0" style="2" hidden="1" customWidth="1"/>
    <col min="5138" max="5138" width="6.85546875" style="2" customWidth="1"/>
    <col min="5139" max="5139" width="0" style="2" hidden="1" customWidth="1"/>
    <col min="5140" max="5141" width="6.28515625" style="2" customWidth="1"/>
    <col min="5142" max="5142" width="13.85546875" style="2" customWidth="1"/>
    <col min="5143" max="5143" width="10.85546875" style="2" customWidth="1"/>
    <col min="5144" max="5144" width="14.7109375" style="2" customWidth="1"/>
    <col min="5145" max="5145" width="0" style="2" hidden="1" customWidth="1"/>
    <col min="5146" max="5146" width="13" style="2" customWidth="1"/>
    <col min="5147" max="5147" width="12.7109375" style="2" customWidth="1"/>
    <col min="5148" max="5148" width="13.140625" style="2" customWidth="1"/>
    <col min="5149" max="5149" width="14" style="2" customWidth="1"/>
    <col min="5150" max="5150" width="8.140625" style="2" customWidth="1"/>
    <col min="5151" max="5151" width="11.5703125" style="2" customWidth="1"/>
    <col min="5152" max="5152" width="24.7109375" style="2" customWidth="1"/>
    <col min="5153" max="5153" width="12" style="2" customWidth="1"/>
    <col min="5154" max="5155" width="0.28515625" style="2" customWidth="1"/>
    <col min="5156" max="5156" width="1.42578125" style="2" customWidth="1"/>
    <col min="5157" max="5157" width="0" style="2" hidden="1" customWidth="1"/>
    <col min="5158" max="5376" width="11.42578125" style="2"/>
    <col min="5377" max="5377" width="8" style="2" customWidth="1"/>
    <col min="5378" max="5378" width="13.42578125" style="2" customWidth="1"/>
    <col min="5379" max="5379" width="4.28515625" style="2" customWidth="1"/>
    <col min="5380" max="5380" width="4" style="2" customWidth="1"/>
    <col min="5381" max="5381" width="17" style="2" customWidth="1"/>
    <col min="5382" max="5382" width="4.140625" style="2" customWidth="1"/>
    <col min="5383" max="5383" width="11.28515625" style="2" customWidth="1"/>
    <col min="5384" max="5384" width="11" style="2" customWidth="1"/>
    <col min="5385" max="5386" width="2.140625" style="2" customWidth="1"/>
    <col min="5387" max="5387" width="3.28515625" style="2" customWidth="1"/>
    <col min="5388" max="5389" width="0" style="2" hidden="1" customWidth="1"/>
    <col min="5390" max="5390" width="2.85546875" style="2" customWidth="1"/>
    <col min="5391" max="5391" width="3.28515625" style="2" customWidth="1"/>
    <col min="5392" max="5392" width="1.5703125" style="2" customWidth="1"/>
    <col min="5393" max="5393" width="0" style="2" hidden="1" customWidth="1"/>
    <col min="5394" max="5394" width="6.85546875" style="2" customWidth="1"/>
    <col min="5395" max="5395" width="0" style="2" hidden="1" customWidth="1"/>
    <col min="5396" max="5397" width="6.28515625" style="2" customWidth="1"/>
    <col min="5398" max="5398" width="13.85546875" style="2" customWidth="1"/>
    <col min="5399" max="5399" width="10.85546875" style="2" customWidth="1"/>
    <col min="5400" max="5400" width="14.7109375" style="2" customWidth="1"/>
    <col min="5401" max="5401" width="0" style="2" hidden="1" customWidth="1"/>
    <col min="5402" max="5402" width="13" style="2" customWidth="1"/>
    <col min="5403" max="5403" width="12.7109375" style="2" customWidth="1"/>
    <col min="5404" max="5404" width="13.140625" style="2" customWidth="1"/>
    <col min="5405" max="5405" width="14" style="2" customWidth="1"/>
    <col min="5406" max="5406" width="8.140625" style="2" customWidth="1"/>
    <col min="5407" max="5407" width="11.5703125" style="2" customWidth="1"/>
    <col min="5408" max="5408" width="24.7109375" style="2" customWidth="1"/>
    <col min="5409" max="5409" width="12" style="2" customWidth="1"/>
    <col min="5410" max="5411" width="0.28515625" style="2" customWidth="1"/>
    <col min="5412" max="5412" width="1.42578125" style="2" customWidth="1"/>
    <col min="5413" max="5413" width="0" style="2" hidden="1" customWidth="1"/>
    <col min="5414" max="5632" width="11.42578125" style="2"/>
    <col min="5633" max="5633" width="8" style="2" customWidth="1"/>
    <col min="5634" max="5634" width="13.42578125" style="2" customWidth="1"/>
    <col min="5635" max="5635" width="4.28515625" style="2" customWidth="1"/>
    <col min="5636" max="5636" width="4" style="2" customWidth="1"/>
    <col min="5637" max="5637" width="17" style="2" customWidth="1"/>
    <col min="5638" max="5638" width="4.140625" style="2" customWidth="1"/>
    <col min="5639" max="5639" width="11.28515625" style="2" customWidth="1"/>
    <col min="5640" max="5640" width="11" style="2" customWidth="1"/>
    <col min="5641" max="5642" width="2.140625" style="2" customWidth="1"/>
    <col min="5643" max="5643" width="3.28515625" style="2" customWidth="1"/>
    <col min="5644" max="5645" width="0" style="2" hidden="1" customWidth="1"/>
    <col min="5646" max="5646" width="2.85546875" style="2" customWidth="1"/>
    <col min="5647" max="5647" width="3.28515625" style="2" customWidth="1"/>
    <col min="5648" max="5648" width="1.5703125" style="2" customWidth="1"/>
    <col min="5649" max="5649" width="0" style="2" hidden="1" customWidth="1"/>
    <col min="5650" max="5650" width="6.85546875" style="2" customWidth="1"/>
    <col min="5651" max="5651" width="0" style="2" hidden="1" customWidth="1"/>
    <col min="5652" max="5653" width="6.28515625" style="2" customWidth="1"/>
    <col min="5654" max="5654" width="13.85546875" style="2" customWidth="1"/>
    <col min="5655" max="5655" width="10.85546875" style="2" customWidth="1"/>
    <col min="5656" max="5656" width="14.7109375" style="2" customWidth="1"/>
    <col min="5657" max="5657" width="0" style="2" hidden="1" customWidth="1"/>
    <col min="5658" max="5658" width="13" style="2" customWidth="1"/>
    <col min="5659" max="5659" width="12.7109375" style="2" customWidth="1"/>
    <col min="5660" max="5660" width="13.140625" style="2" customWidth="1"/>
    <col min="5661" max="5661" width="14" style="2" customWidth="1"/>
    <col min="5662" max="5662" width="8.140625" style="2" customWidth="1"/>
    <col min="5663" max="5663" width="11.5703125" style="2" customWidth="1"/>
    <col min="5664" max="5664" width="24.7109375" style="2" customWidth="1"/>
    <col min="5665" max="5665" width="12" style="2" customWidth="1"/>
    <col min="5666" max="5667" width="0.28515625" style="2" customWidth="1"/>
    <col min="5668" max="5668" width="1.42578125" style="2" customWidth="1"/>
    <col min="5669" max="5669" width="0" style="2" hidden="1" customWidth="1"/>
    <col min="5670" max="5888" width="11.42578125" style="2"/>
    <col min="5889" max="5889" width="8" style="2" customWidth="1"/>
    <col min="5890" max="5890" width="13.42578125" style="2" customWidth="1"/>
    <col min="5891" max="5891" width="4.28515625" style="2" customWidth="1"/>
    <col min="5892" max="5892" width="4" style="2" customWidth="1"/>
    <col min="5893" max="5893" width="17" style="2" customWidth="1"/>
    <col min="5894" max="5894" width="4.140625" style="2" customWidth="1"/>
    <col min="5895" max="5895" width="11.28515625" style="2" customWidth="1"/>
    <col min="5896" max="5896" width="11" style="2" customWidth="1"/>
    <col min="5897" max="5898" width="2.140625" style="2" customWidth="1"/>
    <col min="5899" max="5899" width="3.28515625" style="2" customWidth="1"/>
    <col min="5900" max="5901" width="0" style="2" hidden="1" customWidth="1"/>
    <col min="5902" max="5902" width="2.85546875" style="2" customWidth="1"/>
    <col min="5903" max="5903" width="3.28515625" style="2" customWidth="1"/>
    <col min="5904" max="5904" width="1.5703125" style="2" customWidth="1"/>
    <col min="5905" max="5905" width="0" style="2" hidden="1" customWidth="1"/>
    <col min="5906" max="5906" width="6.85546875" style="2" customWidth="1"/>
    <col min="5907" max="5907" width="0" style="2" hidden="1" customWidth="1"/>
    <col min="5908" max="5909" width="6.28515625" style="2" customWidth="1"/>
    <col min="5910" max="5910" width="13.85546875" style="2" customWidth="1"/>
    <col min="5911" max="5911" width="10.85546875" style="2" customWidth="1"/>
    <col min="5912" max="5912" width="14.7109375" style="2" customWidth="1"/>
    <col min="5913" max="5913" width="0" style="2" hidden="1" customWidth="1"/>
    <col min="5914" max="5914" width="13" style="2" customWidth="1"/>
    <col min="5915" max="5915" width="12.7109375" style="2" customWidth="1"/>
    <col min="5916" max="5916" width="13.140625" style="2" customWidth="1"/>
    <col min="5917" max="5917" width="14" style="2" customWidth="1"/>
    <col min="5918" max="5918" width="8.140625" style="2" customWidth="1"/>
    <col min="5919" max="5919" width="11.5703125" style="2" customWidth="1"/>
    <col min="5920" max="5920" width="24.7109375" style="2" customWidth="1"/>
    <col min="5921" max="5921" width="12" style="2" customWidth="1"/>
    <col min="5922" max="5923" width="0.28515625" style="2" customWidth="1"/>
    <col min="5924" max="5924" width="1.42578125" style="2" customWidth="1"/>
    <col min="5925" max="5925" width="0" style="2" hidden="1" customWidth="1"/>
    <col min="5926" max="6144" width="11.42578125" style="2"/>
    <col min="6145" max="6145" width="8" style="2" customWidth="1"/>
    <col min="6146" max="6146" width="13.42578125" style="2" customWidth="1"/>
    <col min="6147" max="6147" width="4.28515625" style="2" customWidth="1"/>
    <col min="6148" max="6148" width="4" style="2" customWidth="1"/>
    <col min="6149" max="6149" width="17" style="2" customWidth="1"/>
    <col min="6150" max="6150" width="4.140625" style="2" customWidth="1"/>
    <col min="6151" max="6151" width="11.28515625" style="2" customWidth="1"/>
    <col min="6152" max="6152" width="11" style="2" customWidth="1"/>
    <col min="6153" max="6154" width="2.140625" style="2" customWidth="1"/>
    <col min="6155" max="6155" width="3.28515625" style="2" customWidth="1"/>
    <col min="6156" max="6157" width="0" style="2" hidden="1" customWidth="1"/>
    <col min="6158" max="6158" width="2.85546875" style="2" customWidth="1"/>
    <col min="6159" max="6159" width="3.28515625" style="2" customWidth="1"/>
    <col min="6160" max="6160" width="1.5703125" style="2" customWidth="1"/>
    <col min="6161" max="6161" width="0" style="2" hidden="1" customWidth="1"/>
    <col min="6162" max="6162" width="6.85546875" style="2" customWidth="1"/>
    <col min="6163" max="6163" width="0" style="2" hidden="1" customWidth="1"/>
    <col min="6164" max="6165" width="6.28515625" style="2" customWidth="1"/>
    <col min="6166" max="6166" width="13.85546875" style="2" customWidth="1"/>
    <col min="6167" max="6167" width="10.85546875" style="2" customWidth="1"/>
    <col min="6168" max="6168" width="14.7109375" style="2" customWidth="1"/>
    <col min="6169" max="6169" width="0" style="2" hidden="1" customWidth="1"/>
    <col min="6170" max="6170" width="13" style="2" customWidth="1"/>
    <col min="6171" max="6171" width="12.7109375" style="2" customWidth="1"/>
    <col min="6172" max="6172" width="13.140625" style="2" customWidth="1"/>
    <col min="6173" max="6173" width="14" style="2" customWidth="1"/>
    <col min="6174" max="6174" width="8.140625" style="2" customWidth="1"/>
    <col min="6175" max="6175" width="11.5703125" style="2" customWidth="1"/>
    <col min="6176" max="6176" width="24.7109375" style="2" customWidth="1"/>
    <col min="6177" max="6177" width="12" style="2" customWidth="1"/>
    <col min="6178" max="6179" width="0.28515625" style="2" customWidth="1"/>
    <col min="6180" max="6180" width="1.42578125" style="2" customWidth="1"/>
    <col min="6181" max="6181" width="0" style="2" hidden="1" customWidth="1"/>
    <col min="6182" max="6400" width="11.42578125" style="2"/>
    <col min="6401" max="6401" width="8" style="2" customWidth="1"/>
    <col min="6402" max="6402" width="13.42578125" style="2" customWidth="1"/>
    <col min="6403" max="6403" width="4.28515625" style="2" customWidth="1"/>
    <col min="6404" max="6404" width="4" style="2" customWidth="1"/>
    <col min="6405" max="6405" width="17" style="2" customWidth="1"/>
    <col min="6406" max="6406" width="4.140625" style="2" customWidth="1"/>
    <col min="6407" max="6407" width="11.28515625" style="2" customWidth="1"/>
    <col min="6408" max="6408" width="11" style="2" customWidth="1"/>
    <col min="6409" max="6410" width="2.140625" style="2" customWidth="1"/>
    <col min="6411" max="6411" width="3.28515625" style="2" customWidth="1"/>
    <col min="6412" max="6413" width="0" style="2" hidden="1" customWidth="1"/>
    <col min="6414" max="6414" width="2.85546875" style="2" customWidth="1"/>
    <col min="6415" max="6415" width="3.28515625" style="2" customWidth="1"/>
    <col min="6416" max="6416" width="1.5703125" style="2" customWidth="1"/>
    <col min="6417" max="6417" width="0" style="2" hidden="1" customWidth="1"/>
    <col min="6418" max="6418" width="6.85546875" style="2" customWidth="1"/>
    <col min="6419" max="6419" width="0" style="2" hidden="1" customWidth="1"/>
    <col min="6420" max="6421" width="6.28515625" style="2" customWidth="1"/>
    <col min="6422" max="6422" width="13.85546875" style="2" customWidth="1"/>
    <col min="6423" max="6423" width="10.85546875" style="2" customWidth="1"/>
    <col min="6424" max="6424" width="14.7109375" style="2" customWidth="1"/>
    <col min="6425" max="6425" width="0" style="2" hidden="1" customWidth="1"/>
    <col min="6426" max="6426" width="13" style="2" customWidth="1"/>
    <col min="6427" max="6427" width="12.7109375" style="2" customWidth="1"/>
    <col min="6428" max="6428" width="13.140625" style="2" customWidth="1"/>
    <col min="6429" max="6429" width="14" style="2" customWidth="1"/>
    <col min="6430" max="6430" width="8.140625" style="2" customWidth="1"/>
    <col min="6431" max="6431" width="11.5703125" style="2" customWidth="1"/>
    <col min="6432" max="6432" width="24.7109375" style="2" customWidth="1"/>
    <col min="6433" max="6433" width="12" style="2" customWidth="1"/>
    <col min="6434" max="6435" width="0.28515625" style="2" customWidth="1"/>
    <col min="6436" max="6436" width="1.42578125" style="2" customWidth="1"/>
    <col min="6437" max="6437" width="0" style="2" hidden="1" customWidth="1"/>
    <col min="6438" max="6656" width="11.42578125" style="2"/>
    <col min="6657" max="6657" width="8" style="2" customWidth="1"/>
    <col min="6658" max="6658" width="13.42578125" style="2" customWidth="1"/>
    <col min="6659" max="6659" width="4.28515625" style="2" customWidth="1"/>
    <col min="6660" max="6660" width="4" style="2" customWidth="1"/>
    <col min="6661" max="6661" width="17" style="2" customWidth="1"/>
    <col min="6662" max="6662" width="4.140625" style="2" customWidth="1"/>
    <col min="6663" max="6663" width="11.28515625" style="2" customWidth="1"/>
    <col min="6664" max="6664" width="11" style="2" customWidth="1"/>
    <col min="6665" max="6666" width="2.140625" style="2" customWidth="1"/>
    <col min="6667" max="6667" width="3.28515625" style="2" customWidth="1"/>
    <col min="6668" max="6669" width="0" style="2" hidden="1" customWidth="1"/>
    <col min="6670" max="6670" width="2.85546875" style="2" customWidth="1"/>
    <col min="6671" max="6671" width="3.28515625" style="2" customWidth="1"/>
    <col min="6672" max="6672" width="1.5703125" style="2" customWidth="1"/>
    <col min="6673" max="6673" width="0" style="2" hidden="1" customWidth="1"/>
    <col min="6674" max="6674" width="6.85546875" style="2" customWidth="1"/>
    <col min="6675" max="6675" width="0" style="2" hidden="1" customWidth="1"/>
    <col min="6676" max="6677" width="6.28515625" style="2" customWidth="1"/>
    <col min="6678" max="6678" width="13.85546875" style="2" customWidth="1"/>
    <col min="6679" max="6679" width="10.85546875" style="2" customWidth="1"/>
    <col min="6680" max="6680" width="14.7109375" style="2" customWidth="1"/>
    <col min="6681" max="6681" width="0" style="2" hidden="1" customWidth="1"/>
    <col min="6682" max="6682" width="13" style="2" customWidth="1"/>
    <col min="6683" max="6683" width="12.7109375" style="2" customWidth="1"/>
    <col min="6684" max="6684" width="13.140625" style="2" customWidth="1"/>
    <col min="6685" max="6685" width="14" style="2" customWidth="1"/>
    <col min="6686" max="6686" width="8.140625" style="2" customWidth="1"/>
    <col min="6687" max="6687" width="11.5703125" style="2" customWidth="1"/>
    <col min="6688" max="6688" width="24.7109375" style="2" customWidth="1"/>
    <col min="6689" max="6689" width="12" style="2" customWidth="1"/>
    <col min="6690" max="6691" width="0.28515625" style="2" customWidth="1"/>
    <col min="6692" max="6692" width="1.42578125" style="2" customWidth="1"/>
    <col min="6693" max="6693" width="0" style="2" hidden="1" customWidth="1"/>
    <col min="6694" max="6912" width="11.42578125" style="2"/>
    <col min="6913" max="6913" width="8" style="2" customWidth="1"/>
    <col min="6914" max="6914" width="13.42578125" style="2" customWidth="1"/>
    <col min="6915" max="6915" width="4.28515625" style="2" customWidth="1"/>
    <col min="6916" max="6916" width="4" style="2" customWidth="1"/>
    <col min="6917" max="6917" width="17" style="2" customWidth="1"/>
    <col min="6918" max="6918" width="4.140625" style="2" customWidth="1"/>
    <col min="6919" max="6919" width="11.28515625" style="2" customWidth="1"/>
    <col min="6920" max="6920" width="11" style="2" customWidth="1"/>
    <col min="6921" max="6922" width="2.140625" style="2" customWidth="1"/>
    <col min="6923" max="6923" width="3.28515625" style="2" customWidth="1"/>
    <col min="6924" max="6925" width="0" style="2" hidden="1" customWidth="1"/>
    <col min="6926" max="6926" width="2.85546875" style="2" customWidth="1"/>
    <col min="6927" max="6927" width="3.28515625" style="2" customWidth="1"/>
    <col min="6928" max="6928" width="1.5703125" style="2" customWidth="1"/>
    <col min="6929" max="6929" width="0" style="2" hidden="1" customWidth="1"/>
    <col min="6930" max="6930" width="6.85546875" style="2" customWidth="1"/>
    <col min="6931" max="6931" width="0" style="2" hidden="1" customWidth="1"/>
    <col min="6932" max="6933" width="6.28515625" style="2" customWidth="1"/>
    <col min="6934" max="6934" width="13.85546875" style="2" customWidth="1"/>
    <col min="6935" max="6935" width="10.85546875" style="2" customWidth="1"/>
    <col min="6936" max="6936" width="14.7109375" style="2" customWidth="1"/>
    <col min="6937" max="6937" width="0" style="2" hidden="1" customWidth="1"/>
    <col min="6938" max="6938" width="13" style="2" customWidth="1"/>
    <col min="6939" max="6939" width="12.7109375" style="2" customWidth="1"/>
    <col min="6940" max="6940" width="13.140625" style="2" customWidth="1"/>
    <col min="6941" max="6941" width="14" style="2" customWidth="1"/>
    <col min="6942" max="6942" width="8.140625" style="2" customWidth="1"/>
    <col min="6943" max="6943" width="11.5703125" style="2" customWidth="1"/>
    <col min="6944" max="6944" width="24.7109375" style="2" customWidth="1"/>
    <col min="6945" max="6945" width="12" style="2" customWidth="1"/>
    <col min="6946" max="6947" width="0.28515625" style="2" customWidth="1"/>
    <col min="6948" max="6948" width="1.42578125" style="2" customWidth="1"/>
    <col min="6949" max="6949" width="0" style="2" hidden="1" customWidth="1"/>
    <col min="6950" max="7168" width="11.42578125" style="2"/>
    <col min="7169" max="7169" width="8" style="2" customWidth="1"/>
    <col min="7170" max="7170" width="13.42578125" style="2" customWidth="1"/>
    <col min="7171" max="7171" width="4.28515625" style="2" customWidth="1"/>
    <col min="7172" max="7172" width="4" style="2" customWidth="1"/>
    <col min="7173" max="7173" width="17" style="2" customWidth="1"/>
    <col min="7174" max="7174" width="4.140625" style="2" customWidth="1"/>
    <col min="7175" max="7175" width="11.28515625" style="2" customWidth="1"/>
    <col min="7176" max="7176" width="11" style="2" customWidth="1"/>
    <col min="7177" max="7178" width="2.140625" style="2" customWidth="1"/>
    <col min="7179" max="7179" width="3.28515625" style="2" customWidth="1"/>
    <col min="7180" max="7181" width="0" style="2" hidden="1" customWidth="1"/>
    <col min="7182" max="7182" width="2.85546875" style="2" customWidth="1"/>
    <col min="7183" max="7183" width="3.28515625" style="2" customWidth="1"/>
    <col min="7184" max="7184" width="1.5703125" style="2" customWidth="1"/>
    <col min="7185" max="7185" width="0" style="2" hidden="1" customWidth="1"/>
    <col min="7186" max="7186" width="6.85546875" style="2" customWidth="1"/>
    <col min="7187" max="7187" width="0" style="2" hidden="1" customWidth="1"/>
    <col min="7188" max="7189" width="6.28515625" style="2" customWidth="1"/>
    <col min="7190" max="7190" width="13.85546875" style="2" customWidth="1"/>
    <col min="7191" max="7191" width="10.85546875" style="2" customWidth="1"/>
    <col min="7192" max="7192" width="14.7109375" style="2" customWidth="1"/>
    <col min="7193" max="7193" width="0" style="2" hidden="1" customWidth="1"/>
    <col min="7194" max="7194" width="13" style="2" customWidth="1"/>
    <col min="7195" max="7195" width="12.7109375" style="2" customWidth="1"/>
    <col min="7196" max="7196" width="13.140625" style="2" customWidth="1"/>
    <col min="7197" max="7197" width="14" style="2" customWidth="1"/>
    <col min="7198" max="7198" width="8.140625" style="2" customWidth="1"/>
    <col min="7199" max="7199" width="11.5703125" style="2" customWidth="1"/>
    <col min="7200" max="7200" width="24.7109375" style="2" customWidth="1"/>
    <col min="7201" max="7201" width="12" style="2" customWidth="1"/>
    <col min="7202" max="7203" width="0.28515625" style="2" customWidth="1"/>
    <col min="7204" max="7204" width="1.42578125" style="2" customWidth="1"/>
    <col min="7205" max="7205" width="0" style="2" hidden="1" customWidth="1"/>
    <col min="7206" max="7424" width="11.42578125" style="2"/>
    <col min="7425" max="7425" width="8" style="2" customWidth="1"/>
    <col min="7426" max="7426" width="13.42578125" style="2" customWidth="1"/>
    <col min="7427" max="7427" width="4.28515625" style="2" customWidth="1"/>
    <col min="7428" max="7428" width="4" style="2" customWidth="1"/>
    <col min="7429" max="7429" width="17" style="2" customWidth="1"/>
    <col min="7430" max="7430" width="4.140625" style="2" customWidth="1"/>
    <col min="7431" max="7431" width="11.28515625" style="2" customWidth="1"/>
    <col min="7432" max="7432" width="11" style="2" customWidth="1"/>
    <col min="7433" max="7434" width="2.140625" style="2" customWidth="1"/>
    <col min="7435" max="7435" width="3.28515625" style="2" customWidth="1"/>
    <col min="7436" max="7437" width="0" style="2" hidden="1" customWidth="1"/>
    <col min="7438" max="7438" width="2.85546875" style="2" customWidth="1"/>
    <col min="7439" max="7439" width="3.28515625" style="2" customWidth="1"/>
    <col min="7440" max="7440" width="1.5703125" style="2" customWidth="1"/>
    <col min="7441" max="7441" width="0" style="2" hidden="1" customWidth="1"/>
    <col min="7442" max="7442" width="6.85546875" style="2" customWidth="1"/>
    <col min="7443" max="7443" width="0" style="2" hidden="1" customWidth="1"/>
    <col min="7444" max="7445" width="6.28515625" style="2" customWidth="1"/>
    <col min="7446" max="7446" width="13.85546875" style="2" customWidth="1"/>
    <col min="7447" max="7447" width="10.85546875" style="2" customWidth="1"/>
    <col min="7448" max="7448" width="14.7109375" style="2" customWidth="1"/>
    <col min="7449" max="7449" width="0" style="2" hidden="1" customWidth="1"/>
    <col min="7450" max="7450" width="13" style="2" customWidth="1"/>
    <col min="7451" max="7451" width="12.7109375" style="2" customWidth="1"/>
    <col min="7452" max="7452" width="13.140625" style="2" customWidth="1"/>
    <col min="7453" max="7453" width="14" style="2" customWidth="1"/>
    <col min="7454" max="7454" width="8.140625" style="2" customWidth="1"/>
    <col min="7455" max="7455" width="11.5703125" style="2" customWidth="1"/>
    <col min="7456" max="7456" width="24.7109375" style="2" customWidth="1"/>
    <col min="7457" max="7457" width="12" style="2" customWidth="1"/>
    <col min="7458" max="7459" width="0.28515625" style="2" customWidth="1"/>
    <col min="7460" max="7460" width="1.42578125" style="2" customWidth="1"/>
    <col min="7461" max="7461" width="0" style="2" hidden="1" customWidth="1"/>
    <col min="7462" max="7680" width="11.42578125" style="2"/>
    <col min="7681" max="7681" width="8" style="2" customWidth="1"/>
    <col min="7682" max="7682" width="13.42578125" style="2" customWidth="1"/>
    <col min="7683" max="7683" width="4.28515625" style="2" customWidth="1"/>
    <col min="7684" max="7684" width="4" style="2" customWidth="1"/>
    <col min="7685" max="7685" width="17" style="2" customWidth="1"/>
    <col min="7686" max="7686" width="4.140625" style="2" customWidth="1"/>
    <col min="7687" max="7687" width="11.28515625" style="2" customWidth="1"/>
    <col min="7688" max="7688" width="11" style="2" customWidth="1"/>
    <col min="7689" max="7690" width="2.140625" style="2" customWidth="1"/>
    <col min="7691" max="7691" width="3.28515625" style="2" customWidth="1"/>
    <col min="7692" max="7693" width="0" style="2" hidden="1" customWidth="1"/>
    <col min="7694" max="7694" width="2.85546875" style="2" customWidth="1"/>
    <col min="7695" max="7695" width="3.28515625" style="2" customWidth="1"/>
    <col min="7696" max="7696" width="1.5703125" style="2" customWidth="1"/>
    <col min="7697" max="7697" width="0" style="2" hidden="1" customWidth="1"/>
    <col min="7698" max="7698" width="6.85546875" style="2" customWidth="1"/>
    <col min="7699" max="7699" width="0" style="2" hidden="1" customWidth="1"/>
    <col min="7700" max="7701" width="6.28515625" style="2" customWidth="1"/>
    <col min="7702" max="7702" width="13.85546875" style="2" customWidth="1"/>
    <col min="7703" max="7703" width="10.85546875" style="2" customWidth="1"/>
    <col min="7704" max="7704" width="14.7109375" style="2" customWidth="1"/>
    <col min="7705" max="7705" width="0" style="2" hidden="1" customWidth="1"/>
    <col min="7706" max="7706" width="13" style="2" customWidth="1"/>
    <col min="7707" max="7707" width="12.7109375" style="2" customWidth="1"/>
    <col min="7708" max="7708" width="13.140625" style="2" customWidth="1"/>
    <col min="7709" max="7709" width="14" style="2" customWidth="1"/>
    <col min="7710" max="7710" width="8.140625" style="2" customWidth="1"/>
    <col min="7711" max="7711" width="11.5703125" style="2" customWidth="1"/>
    <col min="7712" max="7712" width="24.7109375" style="2" customWidth="1"/>
    <col min="7713" max="7713" width="12" style="2" customWidth="1"/>
    <col min="7714" max="7715" width="0.28515625" style="2" customWidth="1"/>
    <col min="7716" max="7716" width="1.42578125" style="2" customWidth="1"/>
    <col min="7717" max="7717" width="0" style="2" hidden="1" customWidth="1"/>
    <col min="7718" max="7936" width="11.42578125" style="2"/>
    <col min="7937" max="7937" width="8" style="2" customWidth="1"/>
    <col min="7938" max="7938" width="13.42578125" style="2" customWidth="1"/>
    <col min="7939" max="7939" width="4.28515625" style="2" customWidth="1"/>
    <col min="7940" max="7940" width="4" style="2" customWidth="1"/>
    <col min="7941" max="7941" width="17" style="2" customWidth="1"/>
    <col min="7942" max="7942" width="4.140625" style="2" customWidth="1"/>
    <col min="7943" max="7943" width="11.28515625" style="2" customWidth="1"/>
    <col min="7944" max="7944" width="11" style="2" customWidth="1"/>
    <col min="7945" max="7946" width="2.140625" style="2" customWidth="1"/>
    <col min="7947" max="7947" width="3.28515625" style="2" customWidth="1"/>
    <col min="7948" max="7949" width="0" style="2" hidden="1" customWidth="1"/>
    <col min="7950" max="7950" width="2.85546875" style="2" customWidth="1"/>
    <col min="7951" max="7951" width="3.28515625" style="2" customWidth="1"/>
    <col min="7952" max="7952" width="1.5703125" style="2" customWidth="1"/>
    <col min="7953" max="7953" width="0" style="2" hidden="1" customWidth="1"/>
    <col min="7954" max="7954" width="6.85546875" style="2" customWidth="1"/>
    <col min="7955" max="7955" width="0" style="2" hidden="1" customWidth="1"/>
    <col min="7956" max="7957" width="6.28515625" style="2" customWidth="1"/>
    <col min="7958" max="7958" width="13.85546875" style="2" customWidth="1"/>
    <col min="7959" max="7959" width="10.85546875" style="2" customWidth="1"/>
    <col min="7960" max="7960" width="14.7109375" style="2" customWidth="1"/>
    <col min="7961" max="7961" width="0" style="2" hidden="1" customWidth="1"/>
    <col min="7962" max="7962" width="13" style="2" customWidth="1"/>
    <col min="7963" max="7963" width="12.7109375" style="2" customWidth="1"/>
    <col min="7964" max="7964" width="13.140625" style="2" customWidth="1"/>
    <col min="7965" max="7965" width="14" style="2" customWidth="1"/>
    <col min="7966" max="7966" width="8.140625" style="2" customWidth="1"/>
    <col min="7967" max="7967" width="11.5703125" style="2" customWidth="1"/>
    <col min="7968" max="7968" width="24.7109375" style="2" customWidth="1"/>
    <col min="7969" max="7969" width="12" style="2" customWidth="1"/>
    <col min="7970" max="7971" width="0.28515625" style="2" customWidth="1"/>
    <col min="7972" max="7972" width="1.42578125" style="2" customWidth="1"/>
    <col min="7973" max="7973" width="0" style="2" hidden="1" customWidth="1"/>
    <col min="7974" max="8192" width="11.42578125" style="2"/>
    <col min="8193" max="8193" width="8" style="2" customWidth="1"/>
    <col min="8194" max="8194" width="13.42578125" style="2" customWidth="1"/>
    <col min="8195" max="8195" width="4.28515625" style="2" customWidth="1"/>
    <col min="8196" max="8196" width="4" style="2" customWidth="1"/>
    <col min="8197" max="8197" width="17" style="2" customWidth="1"/>
    <col min="8198" max="8198" width="4.140625" style="2" customWidth="1"/>
    <col min="8199" max="8199" width="11.28515625" style="2" customWidth="1"/>
    <col min="8200" max="8200" width="11" style="2" customWidth="1"/>
    <col min="8201" max="8202" width="2.140625" style="2" customWidth="1"/>
    <col min="8203" max="8203" width="3.28515625" style="2" customWidth="1"/>
    <col min="8204" max="8205" width="0" style="2" hidden="1" customWidth="1"/>
    <col min="8206" max="8206" width="2.85546875" style="2" customWidth="1"/>
    <col min="8207" max="8207" width="3.28515625" style="2" customWidth="1"/>
    <col min="8208" max="8208" width="1.5703125" style="2" customWidth="1"/>
    <col min="8209" max="8209" width="0" style="2" hidden="1" customWidth="1"/>
    <col min="8210" max="8210" width="6.85546875" style="2" customWidth="1"/>
    <col min="8211" max="8211" width="0" style="2" hidden="1" customWidth="1"/>
    <col min="8212" max="8213" width="6.28515625" style="2" customWidth="1"/>
    <col min="8214" max="8214" width="13.85546875" style="2" customWidth="1"/>
    <col min="8215" max="8215" width="10.85546875" style="2" customWidth="1"/>
    <col min="8216" max="8216" width="14.7109375" style="2" customWidth="1"/>
    <col min="8217" max="8217" width="0" style="2" hidden="1" customWidth="1"/>
    <col min="8218" max="8218" width="13" style="2" customWidth="1"/>
    <col min="8219" max="8219" width="12.7109375" style="2" customWidth="1"/>
    <col min="8220" max="8220" width="13.140625" style="2" customWidth="1"/>
    <col min="8221" max="8221" width="14" style="2" customWidth="1"/>
    <col min="8222" max="8222" width="8.140625" style="2" customWidth="1"/>
    <col min="8223" max="8223" width="11.5703125" style="2" customWidth="1"/>
    <col min="8224" max="8224" width="24.7109375" style="2" customWidth="1"/>
    <col min="8225" max="8225" width="12" style="2" customWidth="1"/>
    <col min="8226" max="8227" width="0.28515625" style="2" customWidth="1"/>
    <col min="8228" max="8228" width="1.42578125" style="2" customWidth="1"/>
    <col min="8229" max="8229" width="0" style="2" hidden="1" customWidth="1"/>
    <col min="8230" max="8448" width="11.42578125" style="2"/>
    <col min="8449" max="8449" width="8" style="2" customWidth="1"/>
    <col min="8450" max="8450" width="13.42578125" style="2" customWidth="1"/>
    <col min="8451" max="8451" width="4.28515625" style="2" customWidth="1"/>
    <col min="8452" max="8452" width="4" style="2" customWidth="1"/>
    <col min="8453" max="8453" width="17" style="2" customWidth="1"/>
    <col min="8454" max="8454" width="4.140625" style="2" customWidth="1"/>
    <col min="8455" max="8455" width="11.28515625" style="2" customWidth="1"/>
    <col min="8456" max="8456" width="11" style="2" customWidth="1"/>
    <col min="8457" max="8458" width="2.140625" style="2" customWidth="1"/>
    <col min="8459" max="8459" width="3.28515625" style="2" customWidth="1"/>
    <col min="8460" max="8461" width="0" style="2" hidden="1" customWidth="1"/>
    <col min="8462" max="8462" width="2.85546875" style="2" customWidth="1"/>
    <col min="8463" max="8463" width="3.28515625" style="2" customWidth="1"/>
    <col min="8464" max="8464" width="1.5703125" style="2" customWidth="1"/>
    <col min="8465" max="8465" width="0" style="2" hidden="1" customWidth="1"/>
    <col min="8466" max="8466" width="6.85546875" style="2" customWidth="1"/>
    <col min="8467" max="8467" width="0" style="2" hidden="1" customWidth="1"/>
    <col min="8468" max="8469" width="6.28515625" style="2" customWidth="1"/>
    <col min="8470" max="8470" width="13.85546875" style="2" customWidth="1"/>
    <col min="8471" max="8471" width="10.85546875" style="2" customWidth="1"/>
    <col min="8472" max="8472" width="14.7109375" style="2" customWidth="1"/>
    <col min="8473" max="8473" width="0" style="2" hidden="1" customWidth="1"/>
    <col min="8474" max="8474" width="13" style="2" customWidth="1"/>
    <col min="8475" max="8475" width="12.7109375" style="2" customWidth="1"/>
    <col min="8476" max="8476" width="13.140625" style="2" customWidth="1"/>
    <col min="8477" max="8477" width="14" style="2" customWidth="1"/>
    <col min="8478" max="8478" width="8.140625" style="2" customWidth="1"/>
    <col min="8479" max="8479" width="11.5703125" style="2" customWidth="1"/>
    <col min="8480" max="8480" width="24.7109375" style="2" customWidth="1"/>
    <col min="8481" max="8481" width="12" style="2" customWidth="1"/>
    <col min="8482" max="8483" width="0.28515625" style="2" customWidth="1"/>
    <col min="8484" max="8484" width="1.42578125" style="2" customWidth="1"/>
    <col min="8485" max="8485" width="0" style="2" hidden="1" customWidth="1"/>
    <col min="8486" max="8704" width="11.42578125" style="2"/>
    <col min="8705" max="8705" width="8" style="2" customWidth="1"/>
    <col min="8706" max="8706" width="13.42578125" style="2" customWidth="1"/>
    <col min="8707" max="8707" width="4.28515625" style="2" customWidth="1"/>
    <col min="8708" max="8708" width="4" style="2" customWidth="1"/>
    <col min="8709" max="8709" width="17" style="2" customWidth="1"/>
    <col min="8710" max="8710" width="4.140625" style="2" customWidth="1"/>
    <col min="8711" max="8711" width="11.28515625" style="2" customWidth="1"/>
    <col min="8712" max="8712" width="11" style="2" customWidth="1"/>
    <col min="8713" max="8714" width="2.140625" style="2" customWidth="1"/>
    <col min="8715" max="8715" width="3.28515625" style="2" customWidth="1"/>
    <col min="8716" max="8717" width="0" style="2" hidden="1" customWidth="1"/>
    <col min="8718" max="8718" width="2.85546875" style="2" customWidth="1"/>
    <col min="8719" max="8719" width="3.28515625" style="2" customWidth="1"/>
    <col min="8720" max="8720" width="1.5703125" style="2" customWidth="1"/>
    <col min="8721" max="8721" width="0" style="2" hidden="1" customWidth="1"/>
    <col min="8722" max="8722" width="6.85546875" style="2" customWidth="1"/>
    <col min="8723" max="8723" width="0" style="2" hidden="1" customWidth="1"/>
    <col min="8724" max="8725" width="6.28515625" style="2" customWidth="1"/>
    <col min="8726" max="8726" width="13.85546875" style="2" customWidth="1"/>
    <col min="8727" max="8727" width="10.85546875" style="2" customWidth="1"/>
    <col min="8728" max="8728" width="14.7109375" style="2" customWidth="1"/>
    <col min="8729" max="8729" width="0" style="2" hidden="1" customWidth="1"/>
    <col min="8730" max="8730" width="13" style="2" customWidth="1"/>
    <col min="8731" max="8731" width="12.7109375" style="2" customWidth="1"/>
    <col min="8732" max="8732" width="13.140625" style="2" customWidth="1"/>
    <col min="8733" max="8733" width="14" style="2" customWidth="1"/>
    <col min="8734" max="8734" width="8.140625" style="2" customWidth="1"/>
    <col min="8735" max="8735" width="11.5703125" style="2" customWidth="1"/>
    <col min="8736" max="8736" width="24.7109375" style="2" customWidth="1"/>
    <col min="8737" max="8737" width="12" style="2" customWidth="1"/>
    <col min="8738" max="8739" width="0.28515625" style="2" customWidth="1"/>
    <col min="8740" max="8740" width="1.42578125" style="2" customWidth="1"/>
    <col min="8741" max="8741" width="0" style="2" hidden="1" customWidth="1"/>
    <col min="8742" max="8960" width="11.42578125" style="2"/>
    <col min="8961" max="8961" width="8" style="2" customWidth="1"/>
    <col min="8962" max="8962" width="13.42578125" style="2" customWidth="1"/>
    <col min="8963" max="8963" width="4.28515625" style="2" customWidth="1"/>
    <col min="8964" max="8964" width="4" style="2" customWidth="1"/>
    <col min="8965" max="8965" width="17" style="2" customWidth="1"/>
    <col min="8966" max="8966" width="4.140625" style="2" customWidth="1"/>
    <col min="8967" max="8967" width="11.28515625" style="2" customWidth="1"/>
    <col min="8968" max="8968" width="11" style="2" customWidth="1"/>
    <col min="8969" max="8970" width="2.140625" style="2" customWidth="1"/>
    <col min="8971" max="8971" width="3.28515625" style="2" customWidth="1"/>
    <col min="8972" max="8973" width="0" style="2" hidden="1" customWidth="1"/>
    <col min="8974" max="8974" width="2.85546875" style="2" customWidth="1"/>
    <col min="8975" max="8975" width="3.28515625" style="2" customWidth="1"/>
    <col min="8976" max="8976" width="1.5703125" style="2" customWidth="1"/>
    <col min="8977" max="8977" width="0" style="2" hidden="1" customWidth="1"/>
    <col min="8978" max="8978" width="6.85546875" style="2" customWidth="1"/>
    <col min="8979" max="8979" width="0" style="2" hidden="1" customWidth="1"/>
    <col min="8980" max="8981" width="6.28515625" style="2" customWidth="1"/>
    <col min="8982" max="8982" width="13.85546875" style="2" customWidth="1"/>
    <col min="8983" max="8983" width="10.85546875" style="2" customWidth="1"/>
    <col min="8984" max="8984" width="14.7109375" style="2" customWidth="1"/>
    <col min="8985" max="8985" width="0" style="2" hidden="1" customWidth="1"/>
    <col min="8986" max="8986" width="13" style="2" customWidth="1"/>
    <col min="8987" max="8987" width="12.7109375" style="2" customWidth="1"/>
    <col min="8988" max="8988" width="13.140625" style="2" customWidth="1"/>
    <col min="8989" max="8989" width="14" style="2" customWidth="1"/>
    <col min="8990" max="8990" width="8.140625" style="2" customWidth="1"/>
    <col min="8991" max="8991" width="11.5703125" style="2" customWidth="1"/>
    <col min="8992" max="8992" width="24.7109375" style="2" customWidth="1"/>
    <col min="8993" max="8993" width="12" style="2" customWidth="1"/>
    <col min="8994" max="8995" width="0.28515625" style="2" customWidth="1"/>
    <col min="8996" max="8996" width="1.42578125" style="2" customWidth="1"/>
    <col min="8997" max="8997" width="0" style="2" hidden="1" customWidth="1"/>
    <col min="8998" max="9216" width="11.42578125" style="2"/>
    <col min="9217" max="9217" width="8" style="2" customWidth="1"/>
    <col min="9218" max="9218" width="13.42578125" style="2" customWidth="1"/>
    <col min="9219" max="9219" width="4.28515625" style="2" customWidth="1"/>
    <col min="9220" max="9220" width="4" style="2" customWidth="1"/>
    <col min="9221" max="9221" width="17" style="2" customWidth="1"/>
    <col min="9222" max="9222" width="4.140625" style="2" customWidth="1"/>
    <col min="9223" max="9223" width="11.28515625" style="2" customWidth="1"/>
    <col min="9224" max="9224" width="11" style="2" customWidth="1"/>
    <col min="9225" max="9226" width="2.140625" style="2" customWidth="1"/>
    <col min="9227" max="9227" width="3.28515625" style="2" customWidth="1"/>
    <col min="9228" max="9229" width="0" style="2" hidden="1" customWidth="1"/>
    <col min="9230" max="9230" width="2.85546875" style="2" customWidth="1"/>
    <col min="9231" max="9231" width="3.28515625" style="2" customWidth="1"/>
    <col min="9232" max="9232" width="1.5703125" style="2" customWidth="1"/>
    <col min="9233" max="9233" width="0" style="2" hidden="1" customWidth="1"/>
    <col min="9234" max="9234" width="6.85546875" style="2" customWidth="1"/>
    <col min="9235" max="9235" width="0" style="2" hidden="1" customWidth="1"/>
    <col min="9236" max="9237" width="6.28515625" style="2" customWidth="1"/>
    <col min="9238" max="9238" width="13.85546875" style="2" customWidth="1"/>
    <col min="9239" max="9239" width="10.85546875" style="2" customWidth="1"/>
    <col min="9240" max="9240" width="14.7109375" style="2" customWidth="1"/>
    <col min="9241" max="9241" width="0" style="2" hidden="1" customWidth="1"/>
    <col min="9242" max="9242" width="13" style="2" customWidth="1"/>
    <col min="9243" max="9243" width="12.7109375" style="2" customWidth="1"/>
    <col min="9244" max="9244" width="13.140625" style="2" customWidth="1"/>
    <col min="9245" max="9245" width="14" style="2" customWidth="1"/>
    <col min="9246" max="9246" width="8.140625" style="2" customWidth="1"/>
    <col min="9247" max="9247" width="11.5703125" style="2" customWidth="1"/>
    <col min="9248" max="9248" width="24.7109375" style="2" customWidth="1"/>
    <col min="9249" max="9249" width="12" style="2" customWidth="1"/>
    <col min="9250" max="9251" width="0.28515625" style="2" customWidth="1"/>
    <col min="9252" max="9252" width="1.42578125" style="2" customWidth="1"/>
    <col min="9253" max="9253" width="0" style="2" hidden="1" customWidth="1"/>
    <col min="9254" max="9472" width="11.42578125" style="2"/>
    <col min="9473" max="9473" width="8" style="2" customWidth="1"/>
    <col min="9474" max="9474" width="13.42578125" style="2" customWidth="1"/>
    <col min="9475" max="9475" width="4.28515625" style="2" customWidth="1"/>
    <col min="9476" max="9476" width="4" style="2" customWidth="1"/>
    <col min="9477" max="9477" width="17" style="2" customWidth="1"/>
    <col min="9478" max="9478" width="4.140625" style="2" customWidth="1"/>
    <col min="9479" max="9479" width="11.28515625" style="2" customWidth="1"/>
    <col min="9480" max="9480" width="11" style="2" customWidth="1"/>
    <col min="9481" max="9482" width="2.140625" style="2" customWidth="1"/>
    <col min="9483" max="9483" width="3.28515625" style="2" customWidth="1"/>
    <col min="9484" max="9485" width="0" style="2" hidden="1" customWidth="1"/>
    <col min="9486" max="9486" width="2.85546875" style="2" customWidth="1"/>
    <col min="9487" max="9487" width="3.28515625" style="2" customWidth="1"/>
    <col min="9488" max="9488" width="1.5703125" style="2" customWidth="1"/>
    <col min="9489" max="9489" width="0" style="2" hidden="1" customWidth="1"/>
    <col min="9490" max="9490" width="6.85546875" style="2" customWidth="1"/>
    <col min="9491" max="9491" width="0" style="2" hidden="1" customWidth="1"/>
    <col min="9492" max="9493" width="6.28515625" style="2" customWidth="1"/>
    <col min="9494" max="9494" width="13.85546875" style="2" customWidth="1"/>
    <col min="9495" max="9495" width="10.85546875" style="2" customWidth="1"/>
    <col min="9496" max="9496" width="14.7109375" style="2" customWidth="1"/>
    <col min="9497" max="9497" width="0" style="2" hidden="1" customWidth="1"/>
    <col min="9498" max="9498" width="13" style="2" customWidth="1"/>
    <col min="9499" max="9499" width="12.7109375" style="2" customWidth="1"/>
    <col min="9500" max="9500" width="13.140625" style="2" customWidth="1"/>
    <col min="9501" max="9501" width="14" style="2" customWidth="1"/>
    <col min="9502" max="9502" width="8.140625" style="2" customWidth="1"/>
    <col min="9503" max="9503" width="11.5703125" style="2" customWidth="1"/>
    <col min="9504" max="9504" width="24.7109375" style="2" customWidth="1"/>
    <col min="9505" max="9505" width="12" style="2" customWidth="1"/>
    <col min="9506" max="9507" width="0.28515625" style="2" customWidth="1"/>
    <col min="9508" max="9508" width="1.42578125" style="2" customWidth="1"/>
    <col min="9509" max="9509" width="0" style="2" hidden="1" customWidth="1"/>
    <col min="9510" max="9728" width="11.42578125" style="2"/>
    <col min="9729" max="9729" width="8" style="2" customWidth="1"/>
    <col min="9730" max="9730" width="13.42578125" style="2" customWidth="1"/>
    <col min="9731" max="9731" width="4.28515625" style="2" customWidth="1"/>
    <col min="9732" max="9732" width="4" style="2" customWidth="1"/>
    <col min="9733" max="9733" width="17" style="2" customWidth="1"/>
    <col min="9734" max="9734" width="4.140625" style="2" customWidth="1"/>
    <col min="9735" max="9735" width="11.28515625" style="2" customWidth="1"/>
    <col min="9736" max="9736" width="11" style="2" customWidth="1"/>
    <col min="9737" max="9738" width="2.140625" style="2" customWidth="1"/>
    <col min="9739" max="9739" width="3.28515625" style="2" customWidth="1"/>
    <col min="9740" max="9741" width="0" style="2" hidden="1" customWidth="1"/>
    <col min="9742" max="9742" width="2.85546875" style="2" customWidth="1"/>
    <col min="9743" max="9743" width="3.28515625" style="2" customWidth="1"/>
    <col min="9744" max="9744" width="1.5703125" style="2" customWidth="1"/>
    <col min="9745" max="9745" width="0" style="2" hidden="1" customWidth="1"/>
    <col min="9746" max="9746" width="6.85546875" style="2" customWidth="1"/>
    <col min="9747" max="9747" width="0" style="2" hidden="1" customWidth="1"/>
    <col min="9748" max="9749" width="6.28515625" style="2" customWidth="1"/>
    <col min="9750" max="9750" width="13.85546875" style="2" customWidth="1"/>
    <col min="9751" max="9751" width="10.85546875" style="2" customWidth="1"/>
    <col min="9752" max="9752" width="14.7109375" style="2" customWidth="1"/>
    <col min="9753" max="9753" width="0" style="2" hidden="1" customWidth="1"/>
    <col min="9754" max="9754" width="13" style="2" customWidth="1"/>
    <col min="9755" max="9755" width="12.7109375" style="2" customWidth="1"/>
    <col min="9756" max="9756" width="13.140625" style="2" customWidth="1"/>
    <col min="9757" max="9757" width="14" style="2" customWidth="1"/>
    <col min="9758" max="9758" width="8.140625" style="2" customWidth="1"/>
    <col min="9759" max="9759" width="11.5703125" style="2" customWidth="1"/>
    <col min="9760" max="9760" width="24.7109375" style="2" customWidth="1"/>
    <col min="9761" max="9761" width="12" style="2" customWidth="1"/>
    <col min="9762" max="9763" width="0.28515625" style="2" customWidth="1"/>
    <col min="9764" max="9764" width="1.42578125" style="2" customWidth="1"/>
    <col min="9765" max="9765" width="0" style="2" hidden="1" customWidth="1"/>
    <col min="9766" max="9984" width="11.42578125" style="2"/>
    <col min="9985" max="9985" width="8" style="2" customWidth="1"/>
    <col min="9986" max="9986" width="13.42578125" style="2" customWidth="1"/>
    <col min="9987" max="9987" width="4.28515625" style="2" customWidth="1"/>
    <col min="9988" max="9988" width="4" style="2" customWidth="1"/>
    <col min="9989" max="9989" width="17" style="2" customWidth="1"/>
    <col min="9990" max="9990" width="4.140625" style="2" customWidth="1"/>
    <col min="9991" max="9991" width="11.28515625" style="2" customWidth="1"/>
    <col min="9992" max="9992" width="11" style="2" customWidth="1"/>
    <col min="9993" max="9994" width="2.140625" style="2" customWidth="1"/>
    <col min="9995" max="9995" width="3.28515625" style="2" customWidth="1"/>
    <col min="9996" max="9997" width="0" style="2" hidden="1" customWidth="1"/>
    <col min="9998" max="9998" width="2.85546875" style="2" customWidth="1"/>
    <col min="9999" max="9999" width="3.28515625" style="2" customWidth="1"/>
    <col min="10000" max="10000" width="1.5703125" style="2" customWidth="1"/>
    <col min="10001" max="10001" width="0" style="2" hidden="1" customWidth="1"/>
    <col min="10002" max="10002" width="6.85546875" style="2" customWidth="1"/>
    <col min="10003" max="10003" width="0" style="2" hidden="1" customWidth="1"/>
    <col min="10004" max="10005" width="6.28515625" style="2" customWidth="1"/>
    <col min="10006" max="10006" width="13.85546875" style="2" customWidth="1"/>
    <col min="10007" max="10007" width="10.85546875" style="2" customWidth="1"/>
    <col min="10008" max="10008" width="14.7109375" style="2" customWidth="1"/>
    <col min="10009" max="10009" width="0" style="2" hidden="1" customWidth="1"/>
    <col min="10010" max="10010" width="13" style="2" customWidth="1"/>
    <col min="10011" max="10011" width="12.7109375" style="2" customWidth="1"/>
    <col min="10012" max="10012" width="13.140625" style="2" customWidth="1"/>
    <col min="10013" max="10013" width="14" style="2" customWidth="1"/>
    <col min="10014" max="10014" width="8.140625" style="2" customWidth="1"/>
    <col min="10015" max="10015" width="11.5703125" style="2" customWidth="1"/>
    <col min="10016" max="10016" width="24.7109375" style="2" customWidth="1"/>
    <col min="10017" max="10017" width="12" style="2" customWidth="1"/>
    <col min="10018" max="10019" width="0.28515625" style="2" customWidth="1"/>
    <col min="10020" max="10020" width="1.42578125" style="2" customWidth="1"/>
    <col min="10021" max="10021" width="0" style="2" hidden="1" customWidth="1"/>
    <col min="10022" max="10240" width="11.42578125" style="2"/>
    <col min="10241" max="10241" width="8" style="2" customWidth="1"/>
    <col min="10242" max="10242" width="13.42578125" style="2" customWidth="1"/>
    <col min="10243" max="10243" width="4.28515625" style="2" customWidth="1"/>
    <col min="10244" max="10244" width="4" style="2" customWidth="1"/>
    <col min="10245" max="10245" width="17" style="2" customWidth="1"/>
    <col min="10246" max="10246" width="4.140625" style="2" customWidth="1"/>
    <col min="10247" max="10247" width="11.28515625" style="2" customWidth="1"/>
    <col min="10248" max="10248" width="11" style="2" customWidth="1"/>
    <col min="10249" max="10250" width="2.140625" style="2" customWidth="1"/>
    <col min="10251" max="10251" width="3.28515625" style="2" customWidth="1"/>
    <col min="10252" max="10253" width="0" style="2" hidden="1" customWidth="1"/>
    <col min="10254" max="10254" width="2.85546875" style="2" customWidth="1"/>
    <col min="10255" max="10255" width="3.28515625" style="2" customWidth="1"/>
    <col min="10256" max="10256" width="1.5703125" style="2" customWidth="1"/>
    <col min="10257" max="10257" width="0" style="2" hidden="1" customWidth="1"/>
    <col min="10258" max="10258" width="6.85546875" style="2" customWidth="1"/>
    <col min="10259" max="10259" width="0" style="2" hidden="1" customWidth="1"/>
    <col min="10260" max="10261" width="6.28515625" style="2" customWidth="1"/>
    <col min="10262" max="10262" width="13.85546875" style="2" customWidth="1"/>
    <col min="10263" max="10263" width="10.85546875" style="2" customWidth="1"/>
    <col min="10264" max="10264" width="14.7109375" style="2" customWidth="1"/>
    <col min="10265" max="10265" width="0" style="2" hidden="1" customWidth="1"/>
    <col min="10266" max="10266" width="13" style="2" customWidth="1"/>
    <col min="10267" max="10267" width="12.7109375" style="2" customWidth="1"/>
    <col min="10268" max="10268" width="13.140625" style="2" customWidth="1"/>
    <col min="10269" max="10269" width="14" style="2" customWidth="1"/>
    <col min="10270" max="10270" width="8.140625" style="2" customWidth="1"/>
    <col min="10271" max="10271" width="11.5703125" style="2" customWidth="1"/>
    <col min="10272" max="10272" width="24.7109375" style="2" customWidth="1"/>
    <col min="10273" max="10273" width="12" style="2" customWidth="1"/>
    <col min="10274" max="10275" width="0.28515625" style="2" customWidth="1"/>
    <col min="10276" max="10276" width="1.42578125" style="2" customWidth="1"/>
    <col min="10277" max="10277" width="0" style="2" hidden="1" customWidth="1"/>
    <col min="10278" max="10496" width="11.42578125" style="2"/>
    <col min="10497" max="10497" width="8" style="2" customWidth="1"/>
    <col min="10498" max="10498" width="13.42578125" style="2" customWidth="1"/>
    <col min="10499" max="10499" width="4.28515625" style="2" customWidth="1"/>
    <col min="10500" max="10500" width="4" style="2" customWidth="1"/>
    <col min="10501" max="10501" width="17" style="2" customWidth="1"/>
    <col min="10502" max="10502" width="4.140625" style="2" customWidth="1"/>
    <col min="10503" max="10503" width="11.28515625" style="2" customWidth="1"/>
    <col min="10504" max="10504" width="11" style="2" customWidth="1"/>
    <col min="10505" max="10506" width="2.140625" style="2" customWidth="1"/>
    <col min="10507" max="10507" width="3.28515625" style="2" customWidth="1"/>
    <col min="10508" max="10509" width="0" style="2" hidden="1" customWidth="1"/>
    <col min="10510" max="10510" width="2.85546875" style="2" customWidth="1"/>
    <col min="10511" max="10511" width="3.28515625" style="2" customWidth="1"/>
    <col min="10512" max="10512" width="1.5703125" style="2" customWidth="1"/>
    <col min="10513" max="10513" width="0" style="2" hidden="1" customWidth="1"/>
    <col min="10514" max="10514" width="6.85546875" style="2" customWidth="1"/>
    <col min="10515" max="10515" width="0" style="2" hidden="1" customWidth="1"/>
    <col min="10516" max="10517" width="6.28515625" style="2" customWidth="1"/>
    <col min="10518" max="10518" width="13.85546875" style="2" customWidth="1"/>
    <col min="10519" max="10519" width="10.85546875" style="2" customWidth="1"/>
    <col min="10520" max="10520" width="14.7109375" style="2" customWidth="1"/>
    <col min="10521" max="10521" width="0" style="2" hidden="1" customWidth="1"/>
    <col min="10522" max="10522" width="13" style="2" customWidth="1"/>
    <col min="10523" max="10523" width="12.7109375" style="2" customWidth="1"/>
    <col min="10524" max="10524" width="13.140625" style="2" customWidth="1"/>
    <col min="10525" max="10525" width="14" style="2" customWidth="1"/>
    <col min="10526" max="10526" width="8.140625" style="2" customWidth="1"/>
    <col min="10527" max="10527" width="11.5703125" style="2" customWidth="1"/>
    <col min="10528" max="10528" width="24.7109375" style="2" customWidth="1"/>
    <col min="10529" max="10529" width="12" style="2" customWidth="1"/>
    <col min="10530" max="10531" width="0.28515625" style="2" customWidth="1"/>
    <col min="10532" max="10532" width="1.42578125" style="2" customWidth="1"/>
    <col min="10533" max="10533" width="0" style="2" hidden="1" customWidth="1"/>
    <col min="10534" max="10752" width="11.42578125" style="2"/>
    <col min="10753" max="10753" width="8" style="2" customWidth="1"/>
    <col min="10754" max="10754" width="13.42578125" style="2" customWidth="1"/>
    <col min="10755" max="10755" width="4.28515625" style="2" customWidth="1"/>
    <col min="10756" max="10756" width="4" style="2" customWidth="1"/>
    <col min="10757" max="10757" width="17" style="2" customWidth="1"/>
    <col min="10758" max="10758" width="4.140625" style="2" customWidth="1"/>
    <col min="10759" max="10759" width="11.28515625" style="2" customWidth="1"/>
    <col min="10760" max="10760" width="11" style="2" customWidth="1"/>
    <col min="10761" max="10762" width="2.140625" style="2" customWidth="1"/>
    <col min="10763" max="10763" width="3.28515625" style="2" customWidth="1"/>
    <col min="10764" max="10765" width="0" style="2" hidden="1" customWidth="1"/>
    <col min="10766" max="10766" width="2.85546875" style="2" customWidth="1"/>
    <col min="10767" max="10767" width="3.28515625" style="2" customWidth="1"/>
    <col min="10768" max="10768" width="1.5703125" style="2" customWidth="1"/>
    <col min="10769" max="10769" width="0" style="2" hidden="1" customWidth="1"/>
    <col min="10770" max="10770" width="6.85546875" style="2" customWidth="1"/>
    <col min="10771" max="10771" width="0" style="2" hidden="1" customWidth="1"/>
    <col min="10772" max="10773" width="6.28515625" style="2" customWidth="1"/>
    <col min="10774" max="10774" width="13.85546875" style="2" customWidth="1"/>
    <col min="10775" max="10775" width="10.85546875" style="2" customWidth="1"/>
    <col min="10776" max="10776" width="14.7109375" style="2" customWidth="1"/>
    <col min="10777" max="10777" width="0" style="2" hidden="1" customWidth="1"/>
    <col min="10778" max="10778" width="13" style="2" customWidth="1"/>
    <col min="10779" max="10779" width="12.7109375" style="2" customWidth="1"/>
    <col min="10780" max="10780" width="13.140625" style="2" customWidth="1"/>
    <col min="10781" max="10781" width="14" style="2" customWidth="1"/>
    <col min="10782" max="10782" width="8.140625" style="2" customWidth="1"/>
    <col min="10783" max="10783" width="11.5703125" style="2" customWidth="1"/>
    <col min="10784" max="10784" width="24.7109375" style="2" customWidth="1"/>
    <col min="10785" max="10785" width="12" style="2" customWidth="1"/>
    <col min="10786" max="10787" width="0.28515625" style="2" customWidth="1"/>
    <col min="10788" max="10788" width="1.42578125" style="2" customWidth="1"/>
    <col min="10789" max="10789" width="0" style="2" hidden="1" customWidth="1"/>
    <col min="10790" max="11008" width="11.42578125" style="2"/>
    <col min="11009" max="11009" width="8" style="2" customWidth="1"/>
    <col min="11010" max="11010" width="13.42578125" style="2" customWidth="1"/>
    <col min="11011" max="11011" width="4.28515625" style="2" customWidth="1"/>
    <col min="11012" max="11012" width="4" style="2" customWidth="1"/>
    <col min="11013" max="11013" width="17" style="2" customWidth="1"/>
    <col min="11014" max="11014" width="4.140625" style="2" customWidth="1"/>
    <col min="11015" max="11015" width="11.28515625" style="2" customWidth="1"/>
    <col min="11016" max="11016" width="11" style="2" customWidth="1"/>
    <col min="11017" max="11018" width="2.140625" style="2" customWidth="1"/>
    <col min="11019" max="11019" width="3.28515625" style="2" customWidth="1"/>
    <col min="11020" max="11021" width="0" style="2" hidden="1" customWidth="1"/>
    <col min="11022" max="11022" width="2.85546875" style="2" customWidth="1"/>
    <col min="11023" max="11023" width="3.28515625" style="2" customWidth="1"/>
    <col min="11024" max="11024" width="1.5703125" style="2" customWidth="1"/>
    <col min="11025" max="11025" width="0" style="2" hidden="1" customWidth="1"/>
    <col min="11026" max="11026" width="6.85546875" style="2" customWidth="1"/>
    <col min="11027" max="11027" width="0" style="2" hidden="1" customWidth="1"/>
    <col min="11028" max="11029" width="6.28515625" style="2" customWidth="1"/>
    <col min="11030" max="11030" width="13.85546875" style="2" customWidth="1"/>
    <col min="11031" max="11031" width="10.85546875" style="2" customWidth="1"/>
    <col min="11032" max="11032" width="14.7109375" style="2" customWidth="1"/>
    <col min="11033" max="11033" width="0" style="2" hidden="1" customWidth="1"/>
    <col min="11034" max="11034" width="13" style="2" customWidth="1"/>
    <col min="11035" max="11035" width="12.7109375" style="2" customWidth="1"/>
    <col min="11036" max="11036" width="13.140625" style="2" customWidth="1"/>
    <col min="11037" max="11037" width="14" style="2" customWidth="1"/>
    <col min="11038" max="11038" width="8.140625" style="2" customWidth="1"/>
    <col min="11039" max="11039" width="11.5703125" style="2" customWidth="1"/>
    <col min="11040" max="11040" width="24.7109375" style="2" customWidth="1"/>
    <col min="11041" max="11041" width="12" style="2" customWidth="1"/>
    <col min="11042" max="11043" width="0.28515625" style="2" customWidth="1"/>
    <col min="11044" max="11044" width="1.42578125" style="2" customWidth="1"/>
    <col min="11045" max="11045" width="0" style="2" hidden="1" customWidth="1"/>
    <col min="11046" max="11264" width="11.42578125" style="2"/>
    <col min="11265" max="11265" width="8" style="2" customWidth="1"/>
    <col min="11266" max="11266" width="13.42578125" style="2" customWidth="1"/>
    <col min="11267" max="11267" width="4.28515625" style="2" customWidth="1"/>
    <col min="11268" max="11268" width="4" style="2" customWidth="1"/>
    <col min="11269" max="11269" width="17" style="2" customWidth="1"/>
    <col min="11270" max="11270" width="4.140625" style="2" customWidth="1"/>
    <col min="11271" max="11271" width="11.28515625" style="2" customWidth="1"/>
    <col min="11272" max="11272" width="11" style="2" customWidth="1"/>
    <col min="11273" max="11274" width="2.140625" style="2" customWidth="1"/>
    <col min="11275" max="11275" width="3.28515625" style="2" customWidth="1"/>
    <col min="11276" max="11277" width="0" style="2" hidden="1" customWidth="1"/>
    <col min="11278" max="11278" width="2.85546875" style="2" customWidth="1"/>
    <col min="11279" max="11279" width="3.28515625" style="2" customWidth="1"/>
    <col min="11280" max="11280" width="1.5703125" style="2" customWidth="1"/>
    <col min="11281" max="11281" width="0" style="2" hidden="1" customWidth="1"/>
    <col min="11282" max="11282" width="6.85546875" style="2" customWidth="1"/>
    <col min="11283" max="11283" width="0" style="2" hidden="1" customWidth="1"/>
    <col min="11284" max="11285" width="6.28515625" style="2" customWidth="1"/>
    <col min="11286" max="11286" width="13.85546875" style="2" customWidth="1"/>
    <col min="11287" max="11287" width="10.85546875" style="2" customWidth="1"/>
    <col min="11288" max="11288" width="14.7109375" style="2" customWidth="1"/>
    <col min="11289" max="11289" width="0" style="2" hidden="1" customWidth="1"/>
    <col min="11290" max="11290" width="13" style="2" customWidth="1"/>
    <col min="11291" max="11291" width="12.7109375" style="2" customWidth="1"/>
    <col min="11292" max="11292" width="13.140625" style="2" customWidth="1"/>
    <col min="11293" max="11293" width="14" style="2" customWidth="1"/>
    <col min="11294" max="11294" width="8.140625" style="2" customWidth="1"/>
    <col min="11295" max="11295" width="11.5703125" style="2" customWidth="1"/>
    <col min="11296" max="11296" width="24.7109375" style="2" customWidth="1"/>
    <col min="11297" max="11297" width="12" style="2" customWidth="1"/>
    <col min="11298" max="11299" width="0.28515625" style="2" customWidth="1"/>
    <col min="11300" max="11300" width="1.42578125" style="2" customWidth="1"/>
    <col min="11301" max="11301" width="0" style="2" hidden="1" customWidth="1"/>
    <col min="11302" max="11520" width="11.42578125" style="2"/>
    <col min="11521" max="11521" width="8" style="2" customWidth="1"/>
    <col min="11522" max="11522" width="13.42578125" style="2" customWidth="1"/>
    <col min="11523" max="11523" width="4.28515625" style="2" customWidth="1"/>
    <col min="11524" max="11524" width="4" style="2" customWidth="1"/>
    <col min="11525" max="11525" width="17" style="2" customWidth="1"/>
    <col min="11526" max="11526" width="4.140625" style="2" customWidth="1"/>
    <col min="11527" max="11527" width="11.28515625" style="2" customWidth="1"/>
    <col min="11528" max="11528" width="11" style="2" customWidth="1"/>
    <col min="11529" max="11530" width="2.140625" style="2" customWidth="1"/>
    <col min="11531" max="11531" width="3.28515625" style="2" customWidth="1"/>
    <col min="11532" max="11533" width="0" style="2" hidden="1" customWidth="1"/>
    <col min="11534" max="11534" width="2.85546875" style="2" customWidth="1"/>
    <col min="11535" max="11535" width="3.28515625" style="2" customWidth="1"/>
    <col min="11536" max="11536" width="1.5703125" style="2" customWidth="1"/>
    <col min="11537" max="11537" width="0" style="2" hidden="1" customWidth="1"/>
    <col min="11538" max="11538" width="6.85546875" style="2" customWidth="1"/>
    <col min="11539" max="11539" width="0" style="2" hidden="1" customWidth="1"/>
    <col min="11540" max="11541" width="6.28515625" style="2" customWidth="1"/>
    <col min="11542" max="11542" width="13.85546875" style="2" customWidth="1"/>
    <col min="11543" max="11543" width="10.85546875" style="2" customWidth="1"/>
    <col min="11544" max="11544" width="14.7109375" style="2" customWidth="1"/>
    <col min="11545" max="11545" width="0" style="2" hidden="1" customWidth="1"/>
    <col min="11546" max="11546" width="13" style="2" customWidth="1"/>
    <col min="11547" max="11547" width="12.7109375" style="2" customWidth="1"/>
    <col min="11548" max="11548" width="13.140625" style="2" customWidth="1"/>
    <col min="11549" max="11549" width="14" style="2" customWidth="1"/>
    <col min="11550" max="11550" width="8.140625" style="2" customWidth="1"/>
    <col min="11551" max="11551" width="11.5703125" style="2" customWidth="1"/>
    <col min="11552" max="11552" width="24.7109375" style="2" customWidth="1"/>
    <col min="11553" max="11553" width="12" style="2" customWidth="1"/>
    <col min="11554" max="11555" width="0.28515625" style="2" customWidth="1"/>
    <col min="11556" max="11556" width="1.42578125" style="2" customWidth="1"/>
    <col min="11557" max="11557" width="0" style="2" hidden="1" customWidth="1"/>
    <col min="11558" max="11776" width="11.42578125" style="2"/>
    <col min="11777" max="11777" width="8" style="2" customWidth="1"/>
    <col min="11778" max="11778" width="13.42578125" style="2" customWidth="1"/>
    <col min="11779" max="11779" width="4.28515625" style="2" customWidth="1"/>
    <col min="11780" max="11780" width="4" style="2" customWidth="1"/>
    <col min="11781" max="11781" width="17" style="2" customWidth="1"/>
    <col min="11782" max="11782" width="4.140625" style="2" customWidth="1"/>
    <col min="11783" max="11783" width="11.28515625" style="2" customWidth="1"/>
    <col min="11784" max="11784" width="11" style="2" customWidth="1"/>
    <col min="11785" max="11786" width="2.140625" style="2" customWidth="1"/>
    <col min="11787" max="11787" width="3.28515625" style="2" customWidth="1"/>
    <col min="11788" max="11789" width="0" style="2" hidden="1" customWidth="1"/>
    <col min="11790" max="11790" width="2.85546875" style="2" customWidth="1"/>
    <col min="11791" max="11791" width="3.28515625" style="2" customWidth="1"/>
    <col min="11792" max="11792" width="1.5703125" style="2" customWidth="1"/>
    <col min="11793" max="11793" width="0" style="2" hidden="1" customWidth="1"/>
    <col min="11794" max="11794" width="6.85546875" style="2" customWidth="1"/>
    <col min="11795" max="11795" width="0" style="2" hidden="1" customWidth="1"/>
    <col min="11796" max="11797" width="6.28515625" style="2" customWidth="1"/>
    <col min="11798" max="11798" width="13.85546875" style="2" customWidth="1"/>
    <col min="11799" max="11799" width="10.85546875" style="2" customWidth="1"/>
    <col min="11800" max="11800" width="14.7109375" style="2" customWidth="1"/>
    <col min="11801" max="11801" width="0" style="2" hidden="1" customWidth="1"/>
    <col min="11802" max="11802" width="13" style="2" customWidth="1"/>
    <col min="11803" max="11803" width="12.7109375" style="2" customWidth="1"/>
    <col min="11804" max="11804" width="13.140625" style="2" customWidth="1"/>
    <col min="11805" max="11805" width="14" style="2" customWidth="1"/>
    <col min="11806" max="11806" width="8.140625" style="2" customWidth="1"/>
    <col min="11807" max="11807" width="11.5703125" style="2" customWidth="1"/>
    <col min="11808" max="11808" width="24.7109375" style="2" customWidth="1"/>
    <col min="11809" max="11809" width="12" style="2" customWidth="1"/>
    <col min="11810" max="11811" width="0.28515625" style="2" customWidth="1"/>
    <col min="11812" max="11812" width="1.42578125" style="2" customWidth="1"/>
    <col min="11813" max="11813" width="0" style="2" hidden="1" customWidth="1"/>
    <col min="11814" max="12032" width="11.42578125" style="2"/>
    <col min="12033" max="12033" width="8" style="2" customWidth="1"/>
    <col min="12034" max="12034" width="13.42578125" style="2" customWidth="1"/>
    <col min="12035" max="12035" width="4.28515625" style="2" customWidth="1"/>
    <col min="12036" max="12036" width="4" style="2" customWidth="1"/>
    <col min="12037" max="12037" width="17" style="2" customWidth="1"/>
    <col min="12038" max="12038" width="4.140625" style="2" customWidth="1"/>
    <col min="12039" max="12039" width="11.28515625" style="2" customWidth="1"/>
    <col min="12040" max="12040" width="11" style="2" customWidth="1"/>
    <col min="12041" max="12042" width="2.140625" style="2" customWidth="1"/>
    <col min="12043" max="12043" width="3.28515625" style="2" customWidth="1"/>
    <col min="12044" max="12045" width="0" style="2" hidden="1" customWidth="1"/>
    <col min="12046" max="12046" width="2.85546875" style="2" customWidth="1"/>
    <col min="12047" max="12047" width="3.28515625" style="2" customWidth="1"/>
    <col min="12048" max="12048" width="1.5703125" style="2" customWidth="1"/>
    <col min="12049" max="12049" width="0" style="2" hidden="1" customWidth="1"/>
    <col min="12050" max="12050" width="6.85546875" style="2" customWidth="1"/>
    <col min="12051" max="12051" width="0" style="2" hidden="1" customWidth="1"/>
    <col min="12052" max="12053" width="6.28515625" style="2" customWidth="1"/>
    <col min="12054" max="12054" width="13.85546875" style="2" customWidth="1"/>
    <col min="12055" max="12055" width="10.85546875" style="2" customWidth="1"/>
    <col min="12056" max="12056" width="14.7109375" style="2" customWidth="1"/>
    <col min="12057" max="12057" width="0" style="2" hidden="1" customWidth="1"/>
    <col min="12058" max="12058" width="13" style="2" customWidth="1"/>
    <col min="12059" max="12059" width="12.7109375" style="2" customWidth="1"/>
    <col min="12060" max="12060" width="13.140625" style="2" customWidth="1"/>
    <col min="12061" max="12061" width="14" style="2" customWidth="1"/>
    <col min="12062" max="12062" width="8.140625" style="2" customWidth="1"/>
    <col min="12063" max="12063" width="11.5703125" style="2" customWidth="1"/>
    <col min="12064" max="12064" width="24.7109375" style="2" customWidth="1"/>
    <col min="12065" max="12065" width="12" style="2" customWidth="1"/>
    <col min="12066" max="12067" width="0.28515625" style="2" customWidth="1"/>
    <col min="12068" max="12068" width="1.42578125" style="2" customWidth="1"/>
    <col min="12069" max="12069" width="0" style="2" hidden="1" customWidth="1"/>
    <col min="12070" max="12288" width="11.42578125" style="2"/>
    <col min="12289" max="12289" width="8" style="2" customWidth="1"/>
    <col min="12290" max="12290" width="13.42578125" style="2" customWidth="1"/>
    <col min="12291" max="12291" width="4.28515625" style="2" customWidth="1"/>
    <col min="12292" max="12292" width="4" style="2" customWidth="1"/>
    <col min="12293" max="12293" width="17" style="2" customWidth="1"/>
    <col min="12294" max="12294" width="4.140625" style="2" customWidth="1"/>
    <col min="12295" max="12295" width="11.28515625" style="2" customWidth="1"/>
    <col min="12296" max="12296" width="11" style="2" customWidth="1"/>
    <col min="12297" max="12298" width="2.140625" style="2" customWidth="1"/>
    <col min="12299" max="12299" width="3.28515625" style="2" customWidth="1"/>
    <col min="12300" max="12301" width="0" style="2" hidden="1" customWidth="1"/>
    <col min="12302" max="12302" width="2.85546875" style="2" customWidth="1"/>
    <col min="12303" max="12303" width="3.28515625" style="2" customWidth="1"/>
    <col min="12304" max="12304" width="1.5703125" style="2" customWidth="1"/>
    <col min="12305" max="12305" width="0" style="2" hidden="1" customWidth="1"/>
    <col min="12306" max="12306" width="6.85546875" style="2" customWidth="1"/>
    <col min="12307" max="12307" width="0" style="2" hidden="1" customWidth="1"/>
    <col min="12308" max="12309" width="6.28515625" style="2" customWidth="1"/>
    <col min="12310" max="12310" width="13.85546875" style="2" customWidth="1"/>
    <col min="12311" max="12311" width="10.85546875" style="2" customWidth="1"/>
    <col min="12312" max="12312" width="14.7109375" style="2" customWidth="1"/>
    <col min="12313" max="12313" width="0" style="2" hidden="1" customWidth="1"/>
    <col min="12314" max="12314" width="13" style="2" customWidth="1"/>
    <col min="12315" max="12315" width="12.7109375" style="2" customWidth="1"/>
    <col min="12316" max="12316" width="13.140625" style="2" customWidth="1"/>
    <col min="12317" max="12317" width="14" style="2" customWidth="1"/>
    <col min="12318" max="12318" width="8.140625" style="2" customWidth="1"/>
    <col min="12319" max="12319" width="11.5703125" style="2" customWidth="1"/>
    <col min="12320" max="12320" width="24.7109375" style="2" customWidth="1"/>
    <col min="12321" max="12321" width="12" style="2" customWidth="1"/>
    <col min="12322" max="12323" width="0.28515625" style="2" customWidth="1"/>
    <col min="12324" max="12324" width="1.42578125" style="2" customWidth="1"/>
    <col min="12325" max="12325" width="0" style="2" hidden="1" customWidth="1"/>
    <col min="12326" max="12544" width="11.42578125" style="2"/>
    <col min="12545" max="12545" width="8" style="2" customWidth="1"/>
    <col min="12546" max="12546" width="13.42578125" style="2" customWidth="1"/>
    <col min="12547" max="12547" width="4.28515625" style="2" customWidth="1"/>
    <col min="12548" max="12548" width="4" style="2" customWidth="1"/>
    <col min="12549" max="12549" width="17" style="2" customWidth="1"/>
    <col min="12550" max="12550" width="4.140625" style="2" customWidth="1"/>
    <col min="12551" max="12551" width="11.28515625" style="2" customWidth="1"/>
    <col min="12552" max="12552" width="11" style="2" customWidth="1"/>
    <col min="12553" max="12554" width="2.140625" style="2" customWidth="1"/>
    <col min="12555" max="12555" width="3.28515625" style="2" customWidth="1"/>
    <col min="12556" max="12557" width="0" style="2" hidden="1" customWidth="1"/>
    <col min="12558" max="12558" width="2.85546875" style="2" customWidth="1"/>
    <col min="12559" max="12559" width="3.28515625" style="2" customWidth="1"/>
    <col min="12560" max="12560" width="1.5703125" style="2" customWidth="1"/>
    <col min="12561" max="12561" width="0" style="2" hidden="1" customWidth="1"/>
    <col min="12562" max="12562" width="6.85546875" style="2" customWidth="1"/>
    <col min="12563" max="12563" width="0" style="2" hidden="1" customWidth="1"/>
    <col min="12564" max="12565" width="6.28515625" style="2" customWidth="1"/>
    <col min="12566" max="12566" width="13.85546875" style="2" customWidth="1"/>
    <col min="12567" max="12567" width="10.85546875" style="2" customWidth="1"/>
    <col min="12568" max="12568" width="14.7109375" style="2" customWidth="1"/>
    <col min="12569" max="12569" width="0" style="2" hidden="1" customWidth="1"/>
    <col min="12570" max="12570" width="13" style="2" customWidth="1"/>
    <col min="12571" max="12571" width="12.7109375" style="2" customWidth="1"/>
    <col min="12572" max="12572" width="13.140625" style="2" customWidth="1"/>
    <col min="12573" max="12573" width="14" style="2" customWidth="1"/>
    <col min="12574" max="12574" width="8.140625" style="2" customWidth="1"/>
    <col min="12575" max="12575" width="11.5703125" style="2" customWidth="1"/>
    <col min="12576" max="12576" width="24.7109375" style="2" customWidth="1"/>
    <col min="12577" max="12577" width="12" style="2" customWidth="1"/>
    <col min="12578" max="12579" width="0.28515625" style="2" customWidth="1"/>
    <col min="12580" max="12580" width="1.42578125" style="2" customWidth="1"/>
    <col min="12581" max="12581" width="0" style="2" hidden="1" customWidth="1"/>
    <col min="12582" max="12800" width="11.42578125" style="2"/>
    <col min="12801" max="12801" width="8" style="2" customWidth="1"/>
    <col min="12802" max="12802" width="13.42578125" style="2" customWidth="1"/>
    <col min="12803" max="12803" width="4.28515625" style="2" customWidth="1"/>
    <col min="12804" max="12804" width="4" style="2" customWidth="1"/>
    <col min="12805" max="12805" width="17" style="2" customWidth="1"/>
    <col min="12806" max="12806" width="4.140625" style="2" customWidth="1"/>
    <col min="12807" max="12807" width="11.28515625" style="2" customWidth="1"/>
    <col min="12808" max="12808" width="11" style="2" customWidth="1"/>
    <col min="12809" max="12810" width="2.140625" style="2" customWidth="1"/>
    <col min="12811" max="12811" width="3.28515625" style="2" customWidth="1"/>
    <col min="12812" max="12813" width="0" style="2" hidden="1" customWidth="1"/>
    <col min="12814" max="12814" width="2.85546875" style="2" customWidth="1"/>
    <col min="12815" max="12815" width="3.28515625" style="2" customWidth="1"/>
    <col min="12816" max="12816" width="1.5703125" style="2" customWidth="1"/>
    <col min="12817" max="12817" width="0" style="2" hidden="1" customWidth="1"/>
    <col min="12818" max="12818" width="6.85546875" style="2" customWidth="1"/>
    <col min="12819" max="12819" width="0" style="2" hidden="1" customWidth="1"/>
    <col min="12820" max="12821" width="6.28515625" style="2" customWidth="1"/>
    <col min="12822" max="12822" width="13.85546875" style="2" customWidth="1"/>
    <col min="12823" max="12823" width="10.85546875" style="2" customWidth="1"/>
    <col min="12824" max="12824" width="14.7109375" style="2" customWidth="1"/>
    <col min="12825" max="12825" width="0" style="2" hidden="1" customWidth="1"/>
    <col min="12826" max="12826" width="13" style="2" customWidth="1"/>
    <col min="12827" max="12827" width="12.7109375" style="2" customWidth="1"/>
    <col min="12828" max="12828" width="13.140625" style="2" customWidth="1"/>
    <col min="12829" max="12829" width="14" style="2" customWidth="1"/>
    <col min="12830" max="12830" width="8.140625" style="2" customWidth="1"/>
    <col min="12831" max="12831" width="11.5703125" style="2" customWidth="1"/>
    <col min="12832" max="12832" width="24.7109375" style="2" customWidth="1"/>
    <col min="12833" max="12833" width="12" style="2" customWidth="1"/>
    <col min="12834" max="12835" width="0.28515625" style="2" customWidth="1"/>
    <col min="12836" max="12836" width="1.42578125" style="2" customWidth="1"/>
    <col min="12837" max="12837" width="0" style="2" hidden="1" customWidth="1"/>
    <col min="12838" max="13056" width="11.42578125" style="2"/>
    <col min="13057" max="13057" width="8" style="2" customWidth="1"/>
    <col min="13058" max="13058" width="13.42578125" style="2" customWidth="1"/>
    <col min="13059" max="13059" width="4.28515625" style="2" customWidth="1"/>
    <col min="13060" max="13060" width="4" style="2" customWidth="1"/>
    <col min="13061" max="13061" width="17" style="2" customWidth="1"/>
    <col min="13062" max="13062" width="4.140625" style="2" customWidth="1"/>
    <col min="13063" max="13063" width="11.28515625" style="2" customWidth="1"/>
    <col min="13064" max="13064" width="11" style="2" customWidth="1"/>
    <col min="13065" max="13066" width="2.140625" style="2" customWidth="1"/>
    <col min="13067" max="13067" width="3.28515625" style="2" customWidth="1"/>
    <col min="13068" max="13069" width="0" style="2" hidden="1" customWidth="1"/>
    <col min="13070" max="13070" width="2.85546875" style="2" customWidth="1"/>
    <col min="13071" max="13071" width="3.28515625" style="2" customWidth="1"/>
    <col min="13072" max="13072" width="1.5703125" style="2" customWidth="1"/>
    <col min="13073" max="13073" width="0" style="2" hidden="1" customWidth="1"/>
    <col min="13074" max="13074" width="6.85546875" style="2" customWidth="1"/>
    <col min="13075" max="13075" width="0" style="2" hidden="1" customWidth="1"/>
    <col min="13076" max="13077" width="6.28515625" style="2" customWidth="1"/>
    <col min="13078" max="13078" width="13.85546875" style="2" customWidth="1"/>
    <col min="13079" max="13079" width="10.85546875" style="2" customWidth="1"/>
    <col min="13080" max="13080" width="14.7109375" style="2" customWidth="1"/>
    <col min="13081" max="13081" width="0" style="2" hidden="1" customWidth="1"/>
    <col min="13082" max="13082" width="13" style="2" customWidth="1"/>
    <col min="13083" max="13083" width="12.7109375" style="2" customWidth="1"/>
    <col min="13084" max="13084" width="13.140625" style="2" customWidth="1"/>
    <col min="13085" max="13085" width="14" style="2" customWidth="1"/>
    <col min="13086" max="13086" width="8.140625" style="2" customWidth="1"/>
    <col min="13087" max="13087" width="11.5703125" style="2" customWidth="1"/>
    <col min="13088" max="13088" width="24.7109375" style="2" customWidth="1"/>
    <col min="13089" max="13089" width="12" style="2" customWidth="1"/>
    <col min="13090" max="13091" width="0.28515625" style="2" customWidth="1"/>
    <col min="13092" max="13092" width="1.42578125" style="2" customWidth="1"/>
    <col min="13093" max="13093" width="0" style="2" hidden="1" customWidth="1"/>
    <col min="13094" max="13312" width="11.42578125" style="2"/>
    <col min="13313" max="13313" width="8" style="2" customWidth="1"/>
    <col min="13314" max="13314" width="13.42578125" style="2" customWidth="1"/>
    <col min="13315" max="13315" width="4.28515625" style="2" customWidth="1"/>
    <col min="13316" max="13316" width="4" style="2" customWidth="1"/>
    <col min="13317" max="13317" width="17" style="2" customWidth="1"/>
    <col min="13318" max="13318" width="4.140625" style="2" customWidth="1"/>
    <col min="13319" max="13319" width="11.28515625" style="2" customWidth="1"/>
    <col min="13320" max="13320" width="11" style="2" customWidth="1"/>
    <col min="13321" max="13322" width="2.140625" style="2" customWidth="1"/>
    <col min="13323" max="13323" width="3.28515625" style="2" customWidth="1"/>
    <col min="13324" max="13325" width="0" style="2" hidden="1" customWidth="1"/>
    <col min="13326" max="13326" width="2.85546875" style="2" customWidth="1"/>
    <col min="13327" max="13327" width="3.28515625" style="2" customWidth="1"/>
    <col min="13328" max="13328" width="1.5703125" style="2" customWidth="1"/>
    <col min="13329" max="13329" width="0" style="2" hidden="1" customWidth="1"/>
    <col min="13330" max="13330" width="6.85546875" style="2" customWidth="1"/>
    <col min="13331" max="13331" width="0" style="2" hidden="1" customWidth="1"/>
    <col min="13332" max="13333" width="6.28515625" style="2" customWidth="1"/>
    <col min="13334" max="13334" width="13.85546875" style="2" customWidth="1"/>
    <col min="13335" max="13335" width="10.85546875" style="2" customWidth="1"/>
    <col min="13336" max="13336" width="14.7109375" style="2" customWidth="1"/>
    <col min="13337" max="13337" width="0" style="2" hidden="1" customWidth="1"/>
    <col min="13338" max="13338" width="13" style="2" customWidth="1"/>
    <col min="13339" max="13339" width="12.7109375" style="2" customWidth="1"/>
    <col min="13340" max="13340" width="13.140625" style="2" customWidth="1"/>
    <col min="13341" max="13341" width="14" style="2" customWidth="1"/>
    <col min="13342" max="13342" width="8.140625" style="2" customWidth="1"/>
    <col min="13343" max="13343" width="11.5703125" style="2" customWidth="1"/>
    <col min="13344" max="13344" width="24.7109375" style="2" customWidth="1"/>
    <col min="13345" max="13345" width="12" style="2" customWidth="1"/>
    <col min="13346" max="13347" width="0.28515625" style="2" customWidth="1"/>
    <col min="13348" max="13348" width="1.42578125" style="2" customWidth="1"/>
    <col min="13349" max="13349" width="0" style="2" hidden="1" customWidth="1"/>
    <col min="13350" max="13568" width="11.42578125" style="2"/>
    <col min="13569" max="13569" width="8" style="2" customWidth="1"/>
    <col min="13570" max="13570" width="13.42578125" style="2" customWidth="1"/>
    <col min="13571" max="13571" width="4.28515625" style="2" customWidth="1"/>
    <col min="13572" max="13572" width="4" style="2" customWidth="1"/>
    <col min="13573" max="13573" width="17" style="2" customWidth="1"/>
    <col min="13574" max="13574" width="4.140625" style="2" customWidth="1"/>
    <col min="13575" max="13575" width="11.28515625" style="2" customWidth="1"/>
    <col min="13576" max="13576" width="11" style="2" customWidth="1"/>
    <col min="13577" max="13578" width="2.140625" style="2" customWidth="1"/>
    <col min="13579" max="13579" width="3.28515625" style="2" customWidth="1"/>
    <col min="13580" max="13581" width="0" style="2" hidden="1" customWidth="1"/>
    <col min="13582" max="13582" width="2.85546875" style="2" customWidth="1"/>
    <col min="13583" max="13583" width="3.28515625" style="2" customWidth="1"/>
    <col min="13584" max="13584" width="1.5703125" style="2" customWidth="1"/>
    <col min="13585" max="13585" width="0" style="2" hidden="1" customWidth="1"/>
    <col min="13586" max="13586" width="6.85546875" style="2" customWidth="1"/>
    <col min="13587" max="13587" width="0" style="2" hidden="1" customWidth="1"/>
    <col min="13588" max="13589" width="6.28515625" style="2" customWidth="1"/>
    <col min="13590" max="13590" width="13.85546875" style="2" customWidth="1"/>
    <col min="13591" max="13591" width="10.85546875" style="2" customWidth="1"/>
    <col min="13592" max="13592" width="14.7109375" style="2" customWidth="1"/>
    <col min="13593" max="13593" width="0" style="2" hidden="1" customWidth="1"/>
    <col min="13594" max="13594" width="13" style="2" customWidth="1"/>
    <col min="13595" max="13595" width="12.7109375" style="2" customWidth="1"/>
    <col min="13596" max="13596" width="13.140625" style="2" customWidth="1"/>
    <col min="13597" max="13597" width="14" style="2" customWidth="1"/>
    <col min="13598" max="13598" width="8.140625" style="2" customWidth="1"/>
    <col min="13599" max="13599" width="11.5703125" style="2" customWidth="1"/>
    <col min="13600" max="13600" width="24.7109375" style="2" customWidth="1"/>
    <col min="13601" max="13601" width="12" style="2" customWidth="1"/>
    <col min="13602" max="13603" width="0.28515625" style="2" customWidth="1"/>
    <col min="13604" max="13604" width="1.42578125" style="2" customWidth="1"/>
    <col min="13605" max="13605" width="0" style="2" hidden="1" customWidth="1"/>
    <col min="13606" max="13824" width="11.42578125" style="2"/>
    <col min="13825" max="13825" width="8" style="2" customWidth="1"/>
    <col min="13826" max="13826" width="13.42578125" style="2" customWidth="1"/>
    <col min="13827" max="13827" width="4.28515625" style="2" customWidth="1"/>
    <col min="13828" max="13828" width="4" style="2" customWidth="1"/>
    <col min="13829" max="13829" width="17" style="2" customWidth="1"/>
    <col min="13830" max="13830" width="4.140625" style="2" customWidth="1"/>
    <col min="13831" max="13831" width="11.28515625" style="2" customWidth="1"/>
    <col min="13832" max="13832" width="11" style="2" customWidth="1"/>
    <col min="13833" max="13834" width="2.140625" style="2" customWidth="1"/>
    <col min="13835" max="13835" width="3.28515625" style="2" customWidth="1"/>
    <col min="13836" max="13837" width="0" style="2" hidden="1" customWidth="1"/>
    <col min="13838" max="13838" width="2.85546875" style="2" customWidth="1"/>
    <col min="13839" max="13839" width="3.28515625" style="2" customWidth="1"/>
    <col min="13840" max="13840" width="1.5703125" style="2" customWidth="1"/>
    <col min="13841" max="13841" width="0" style="2" hidden="1" customWidth="1"/>
    <col min="13842" max="13842" width="6.85546875" style="2" customWidth="1"/>
    <col min="13843" max="13843" width="0" style="2" hidden="1" customWidth="1"/>
    <col min="13844" max="13845" width="6.28515625" style="2" customWidth="1"/>
    <col min="13846" max="13846" width="13.85546875" style="2" customWidth="1"/>
    <col min="13847" max="13847" width="10.85546875" style="2" customWidth="1"/>
    <col min="13848" max="13848" width="14.7109375" style="2" customWidth="1"/>
    <col min="13849" max="13849" width="0" style="2" hidden="1" customWidth="1"/>
    <col min="13850" max="13850" width="13" style="2" customWidth="1"/>
    <col min="13851" max="13851" width="12.7109375" style="2" customWidth="1"/>
    <col min="13852" max="13852" width="13.140625" style="2" customWidth="1"/>
    <col min="13853" max="13853" width="14" style="2" customWidth="1"/>
    <col min="13854" max="13854" width="8.140625" style="2" customWidth="1"/>
    <col min="13855" max="13855" width="11.5703125" style="2" customWidth="1"/>
    <col min="13856" max="13856" width="24.7109375" style="2" customWidth="1"/>
    <col min="13857" max="13857" width="12" style="2" customWidth="1"/>
    <col min="13858" max="13859" width="0.28515625" style="2" customWidth="1"/>
    <col min="13860" max="13860" width="1.42578125" style="2" customWidth="1"/>
    <col min="13861" max="13861" width="0" style="2" hidden="1" customWidth="1"/>
    <col min="13862" max="14080" width="11.42578125" style="2"/>
    <col min="14081" max="14081" width="8" style="2" customWidth="1"/>
    <col min="14082" max="14082" width="13.42578125" style="2" customWidth="1"/>
    <col min="14083" max="14083" width="4.28515625" style="2" customWidth="1"/>
    <col min="14084" max="14084" width="4" style="2" customWidth="1"/>
    <col min="14085" max="14085" width="17" style="2" customWidth="1"/>
    <col min="14086" max="14086" width="4.140625" style="2" customWidth="1"/>
    <col min="14087" max="14087" width="11.28515625" style="2" customWidth="1"/>
    <col min="14088" max="14088" width="11" style="2" customWidth="1"/>
    <col min="14089" max="14090" width="2.140625" style="2" customWidth="1"/>
    <col min="14091" max="14091" width="3.28515625" style="2" customWidth="1"/>
    <col min="14092" max="14093" width="0" style="2" hidden="1" customWidth="1"/>
    <col min="14094" max="14094" width="2.85546875" style="2" customWidth="1"/>
    <col min="14095" max="14095" width="3.28515625" style="2" customWidth="1"/>
    <col min="14096" max="14096" width="1.5703125" style="2" customWidth="1"/>
    <col min="14097" max="14097" width="0" style="2" hidden="1" customWidth="1"/>
    <col min="14098" max="14098" width="6.85546875" style="2" customWidth="1"/>
    <col min="14099" max="14099" width="0" style="2" hidden="1" customWidth="1"/>
    <col min="14100" max="14101" width="6.28515625" style="2" customWidth="1"/>
    <col min="14102" max="14102" width="13.85546875" style="2" customWidth="1"/>
    <col min="14103" max="14103" width="10.85546875" style="2" customWidth="1"/>
    <col min="14104" max="14104" width="14.7109375" style="2" customWidth="1"/>
    <col min="14105" max="14105" width="0" style="2" hidden="1" customWidth="1"/>
    <col min="14106" max="14106" width="13" style="2" customWidth="1"/>
    <col min="14107" max="14107" width="12.7109375" style="2" customWidth="1"/>
    <col min="14108" max="14108" width="13.140625" style="2" customWidth="1"/>
    <col min="14109" max="14109" width="14" style="2" customWidth="1"/>
    <col min="14110" max="14110" width="8.140625" style="2" customWidth="1"/>
    <col min="14111" max="14111" width="11.5703125" style="2" customWidth="1"/>
    <col min="14112" max="14112" width="24.7109375" style="2" customWidth="1"/>
    <col min="14113" max="14113" width="12" style="2" customWidth="1"/>
    <col min="14114" max="14115" width="0.28515625" style="2" customWidth="1"/>
    <col min="14116" max="14116" width="1.42578125" style="2" customWidth="1"/>
    <col min="14117" max="14117" width="0" style="2" hidden="1" customWidth="1"/>
    <col min="14118" max="14336" width="11.42578125" style="2"/>
    <col min="14337" max="14337" width="8" style="2" customWidth="1"/>
    <col min="14338" max="14338" width="13.42578125" style="2" customWidth="1"/>
    <col min="14339" max="14339" width="4.28515625" style="2" customWidth="1"/>
    <col min="14340" max="14340" width="4" style="2" customWidth="1"/>
    <col min="14341" max="14341" width="17" style="2" customWidth="1"/>
    <col min="14342" max="14342" width="4.140625" style="2" customWidth="1"/>
    <col min="14343" max="14343" width="11.28515625" style="2" customWidth="1"/>
    <col min="14344" max="14344" width="11" style="2" customWidth="1"/>
    <col min="14345" max="14346" width="2.140625" style="2" customWidth="1"/>
    <col min="14347" max="14347" width="3.28515625" style="2" customWidth="1"/>
    <col min="14348" max="14349" width="0" style="2" hidden="1" customWidth="1"/>
    <col min="14350" max="14350" width="2.85546875" style="2" customWidth="1"/>
    <col min="14351" max="14351" width="3.28515625" style="2" customWidth="1"/>
    <col min="14352" max="14352" width="1.5703125" style="2" customWidth="1"/>
    <col min="14353" max="14353" width="0" style="2" hidden="1" customWidth="1"/>
    <col min="14354" max="14354" width="6.85546875" style="2" customWidth="1"/>
    <col min="14355" max="14355" width="0" style="2" hidden="1" customWidth="1"/>
    <col min="14356" max="14357" width="6.28515625" style="2" customWidth="1"/>
    <col min="14358" max="14358" width="13.85546875" style="2" customWidth="1"/>
    <col min="14359" max="14359" width="10.85546875" style="2" customWidth="1"/>
    <col min="14360" max="14360" width="14.7109375" style="2" customWidth="1"/>
    <col min="14361" max="14361" width="0" style="2" hidden="1" customWidth="1"/>
    <col min="14362" max="14362" width="13" style="2" customWidth="1"/>
    <col min="14363" max="14363" width="12.7109375" style="2" customWidth="1"/>
    <col min="14364" max="14364" width="13.140625" style="2" customWidth="1"/>
    <col min="14365" max="14365" width="14" style="2" customWidth="1"/>
    <col min="14366" max="14366" width="8.140625" style="2" customWidth="1"/>
    <col min="14367" max="14367" width="11.5703125" style="2" customWidth="1"/>
    <col min="14368" max="14368" width="24.7109375" style="2" customWidth="1"/>
    <col min="14369" max="14369" width="12" style="2" customWidth="1"/>
    <col min="14370" max="14371" width="0.28515625" style="2" customWidth="1"/>
    <col min="14372" max="14372" width="1.42578125" style="2" customWidth="1"/>
    <col min="14373" max="14373" width="0" style="2" hidden="1" customWidth="1"/>
    <col min="14374" max="14592" width="11.42578125" style="2"/>
    <col min="14593" max="14593" width="8" style="2" customWidth="1"/>
    <col min="14594" max="14594" width="13.42578125" style="2" customWidth="1"/>
    <col min="14595" max="14595" width="4.28515625" style="2" customWidth="1"/>
    <col min="14596" max="14596" width="4" style="2" customWidth="1"/>
    <col min="14597" max="14597" width="17" style="2" customWidth="1"/>
    <col min="14598" max="14598" width="4.140625" style="2" customWidth="1"/>
    <col min="14599" max="14599" width="11.28515625" style="2" customWidth="1"/>
    <col min="14600" max="14600" width="11" style="2" customWidth="1"/>
    <col min="14601" max="14602" width="2.140625" style="2" customWidth="1"/>
    <col min="14603" max="14603" width="3.28515625" style="2" customWidth="1"/>
    <col min="14604" max="14605" width="0" style="2" hidden="1" customWidth="1"/>
    <col min="14606" max="14606" width="2.85546875" style="2" customWidth="1"/>
    <col min="14607" max="14607" width="3.28515625" style="2" customWidth="1"/>
    <col min="14608" max="14608" width="1.5703125" style="2" customWidth="1"/>
    <col min="14609" max="14609" width="0" style="2" hidden="1" customWidth="1"/>
    <col min="14610" max="14610" width="6.85546875" style="2" customWidth="1"/>
    <col min="14611" max="14611" width="0" style="2" hidden="1" customWidth="1"/>
    <col min="14612" max="14613" width="6.28515625" style="2" customWidth="1"/>
    <col min="14614" max="14614" width="13.85546875" style="2" customWidth="1"/>
    <col min="14615" max="14615" width="10.85546875" style="2" customWidth="1"/>
    <col min="14616" max="14616" width="14.7109375" style="2" customWidth="1"/>
    <col min="14617" max="14617" width="0" style="2" hidden="1" customWidth="1"/>
    <col min="14618" max="14618" width="13" style="2" customWidth="1"/>
    <col min="14619" max="14619" width="12.7109375" style="2" customWidth="1"/>
    <col min="14620" max="14620" width="13.140625" style="2" customWidth="1"/>
    <col min="14621" max="14621" width="14" style="2" customWidth="1"/>
    <col min="14622" max="14622" width="8.140625" style="2" customWidth="1"/>
    <col min="14623" max="14623" width="11.5703125" style="2" customWidth="1"/>
    <col min="14624" max="14624" width="24.7109375" style="2" customWidth="1"/>
    <col min="14625" max="14625" width="12" style="2" customWidth="1"/>
    <col min="14626" max="14627" width="0.28515625" style="2" customWidth="1"/>
    <col min="14628" max="14628" width="1.42578125" style="2" customWidth="1"/>
    <col min="14629" max="14629" width="0" style="2" hidden="1" customWidth="1"/>
    <col min="14630" max="14848" width="11.42578125" style="2"/>
    <col min="14849" max="14849" width="8" style="2" customWidth="1"/>
    <col min="14850" max="14850" width="13.42578125" style="2" customWidth="1"/>
    <col min="14851" max="14851" width="4.28515625" style="2" customWidth="1"/>
    <col min="14852" max="14852" width="4" style="2" customWidth="1"/>
    <col min="14853" max="14853" width="17" style="2" customWidth="1"/>
    <col min="14854" max="14854" width="4.140625" style="2" customWidth="1"/>
    <col min="14855" max="14855" width="11.28515625" style="2" customWidth="1"/>
    <col min="14856" max="14856" width="11" style="2" customWidth="1"/>
    <col min="14857" max="14858" width="2.140625" style="2" customWidth="1"/>
    <col min="14859" max="14859" width="3.28515625" style="2" customWidth="1"/>
    <col min="14860" max="14861" width="0" style="2" hidden="1" customWidth="1"/>
    <col min="14862" max="14862" width="2.85546875" style="2" customWidth="1"/>
    <col min="14863" max="14863" width="3.28515625" style="2" customWidth="1"/>
    <col min="14864" max="14864" width="1.5703125" style="2" customWidth="1"/>
    <col min="14865" max="14865" width="0" style="2" hidden="1" customWidth="1"/>
    <col min="14866" max="14866" width="6.85546875" style="2" customWidth="1"/>
    <col min="14867" max="14867" width="0" style="2" hidden="1" customWidth="1"/>
    <col min="14868" max="14869" width="6.28515625" style="2" customWidth="1"/>
    <col min="14870" max="14870" width="13.85546875" style="2" customWidth="1"/>
    <col min="14871" max="14871" width="10.85546875" style="2" customWidth="1"/>
    <col min="14872" max="14872" width="14.7109375" style="2" customWidth="1"/>
    <col min="14873" max="14873" width="0" style="2" hidden="1" customWidth="1"/>
    <col min="14874" max="14874" width="13" style="2" customWidth="1"/>
    <col min="14875" max="14875" width="12.7109375" style="2" customWidth="1"/>
    <col min="14876" max="14876" width="13.140625" style="2" customWidth="1"/>
    <col min="14877" max="14877" width="14" style="2" customWidth="1"/>
    <col min="14878" max="14878" width="8.140625" style="2" customWidth="1"/>
    <col min="14879" max="14879" width="11.5703125" style="2" customWidth="1"/>
    <col min="14880" max="14880" width="24.7109375" style="2" customWidth="1"/>
    <col min="14881" max="14881" width="12" style="2" customWidth="1"/>
    <col min="14882" max="14883" width="0.28515625" style="2" customWidth="1"/>
    <col min="14884" max="14884" width="1.42578125" style="2" customWidth="1"/>
    <col min="14885" max="14885" width="0" style="2" hidden="1" customWidth="1"/>
    <col min="14886" max="15104" width="11.42578125" style="2"/>
    <col min="15105" max="15105" width="8" style="2" customWidth="1"/>
    <col min="15106" max="15106" width="13.42578125" style="2" customWidth="1"/>
    <col min="15107" max="15107" width="4.28515625" style="2" customWidth="1"/>
    <col min="15108" max="15108" width="4" style="2" customWidth="1"/>
    <col min="15109" max="15109" width="17" style="2" customWidth="1"/>
    <col min="15110" max="15110" width="4.140625" style="2" customWidth="1"/>
    <col min="15111" max="15111" width="11.28515625" style="2" customWidth="1"/>
    <col min="15112" max="15112" width="11" style="2" customWidth="1"/>
    <col min="15113" max="15114" width="2.140625" style="2" customWidth="1"/>
    <col min="15115" max="15115" width="3.28515625" style="2" customWidth="1"/>
    <col min="15116" max="15117" width="0" style="2" hidden="1" customWidth="1"/>
    <col min="15118" max="15118" width="2.85546875" style="2" customWidth="1"/>
    <col min="15119" max="15119" width="3.28515625" style="2" customWidth="1"/>
    <col min="15120" max="15120" width="1.5703125" style="2" customWidth="1"/>
    <col min="15121" max="15121" width="0" style="2" hidden="1" customWidth="1"/>
    <col min="15122" max="15122" width="6.85546875" style="2" customWidth="1"/>
    <col min="15123" max="15123" width="0" style="2" hidden="1" customWidth="1"/>
    <col min="15124" max="15125" width="6.28515625" style="2" customWidth="1"/>
    <col min="15126" max="15126" width="13.85546875" style="2" customWidth="1"/>
    <col min="15127" max="15127" width="10.85546875" style="2" customWidth="1"/>
    <col min="15128" max="15128" width="14.7109375" style="2" customWidth="1"/>
    <col min="15129" max="15129" width="0" style="2" hidden="1" customWidth="1"/>
    <col min="15130" max="15130" width="13" style="2" customWidth="1"/>
    <col min="15131" max="15131" width="12.7109375" style="2" customWidth="1"/>
    <col min="15132" max="15132" width="13.140625" style="2" customWidth="1"/>
    <col min="15133" max="15133" width="14" style="2" customWidth="1"/>
    <col min="15134" max="15134" width="8.140625" style="2" customWidth="1"/>
    <col min="15135" max="15135" width="11.5703125" style="2" customWidth="1"/>
    <col min="15136" max="15136" width="24.7109375" style="2" customWidth="1"/>
    <col min="15137" max="15137" width="12" style="2" customWidth="1"/>
    <col min="15138" max="15139" width="0.28515625" style="2" customWidth="1"/>
    <col min="15140" max="15140" width="1.42578125" style="2" customWidth="1"/>
    <col min="15141" max="15141" width="0" style="2" hidden="1" customWidth="1"/>
    <col min="15142" max="15360" width="11.42578125" style="2"/>
    <col min="15361" max="15361" width="8" style="2" customWidth="1"/>
    <col min="15362" max="15362" width="13.42578125" style="2" customWidth="1"/>
    <col min="15363" max="15363" width="4.28515625" style="2" customWidth="1"/>
    <col min="15364" max="15364" width="4" style="2" customWidth="1"/>
    <col min="15365" max="15365" width="17" style="2" customWidth="1"/>
    <col min="15366" max="15366" width="4.140625" style="2" customWidth="1"/>
    <col min="15367" max="15367" width="11.28515625" style="2" customWidth="1"/>
    <col min="15368" max="15368" width="11" style="2" customWidth="1"/>
    <col min="15369" max="15370" width="2.140625" style="2" customWidth="1"/>
    <col min="15371" max="15371" width="3.28515625" style="2" customWidth="1"/>
    <col min="15372" max="15373" width="0" style="2" hidden="1" customWidth="1"/>
    <col min="15374" max="15374" width="2.85546875" style="2" customWidth="1"/>
    <col min="15375" max="15375" width="3.28515625" style="2" customWidth="1"/>
    <col min="15376" max="15376" width="1.5703125" style="2" customWidth="1"/>
    <col min="15377" max="15377" width="0" style="2" hidden="1" customWidth="1"/>
    <col min="15378" max="15378" width="6.85546875" style="2" customWidth="1"/>
    <col min="15379" max="15379" width="0" style="2" hidden="1" customWidth="1"/>
    <col min="15380" max="15381" width="6.28515625" style="2" customWidth="1"/>
    <col min="15382" max="15382" width="13.85546875" style="2" customWidth="1"/>
    <col min="15383" max="15383" width="10.85546875" style="2" customWidth="1"/>
    <col min="15384" max="15384" width="14.7109375" style="2" customWidth="1"/>
    <col min="15385" max="15385" width="0" style="2" hidden="1" customWidth="1"/>
    <col min="15386" max="15386" width="13" style="2" customWidth="1"/>
    <col min="15387" max="15387" width="12.7109375" style="2" customWidth="1"/>
    <col min="15388" max="15388" width="13.140625" style="2" customWidth="1"/>
    <col min="15389" max="15389" width="14" style="2" customWidth="1"/>
    <col min="15390" max="15390" width="8.140625" style="2" customWidth="1"/>
    <col min="15391" max="15391" width="11.5703125" style="2" customWidth="1"/>
    <col min="15392" max="15392" width="24.7109375" style="2" customWidth="1"/>
    <col min="15393" max="15393" width="12" style="2" customWidth="1"/>
    <col min="15394" max="15395" width="0.28515625" style="2" customWidth="1"/>
    <col min="15396" max="15396" width="1.42578125" style="2" customWidth="1"/>
    <col min="15397" max="15397" width="0" style="2" hidden="1" customWidth="1"/>
    <col min="15398" max="15616" width="11.42578125" style="2"/>
    <col min="15617" max="15617" width="8" style="2" customWidth="1"/>
    <col min="15618" max="15618" width="13.42578125" style="2" customWidth="1"/>
    <col min="15619" max="15619" width="4.28515625" style="2" customWidth="1"/>
    <col min="15620" max="15620" width="4" style="2" customWidth="1"/>
    <col min="15621" max="15621" width="17" style="2" customWidth="1"/>
    <col min="15622" max="15622" width="4.140625" style="2" customWidth="1"/>
    <col min="15623" max="15623" width="11.28515625" style="2" customWidth="1"/>
    <col min="15624" max="15624" width="11" style="2" customWidth="1"/>
    <col min="15625" max="15626" width="2.140625" style="2" customWidth="1"/>
    <col min="15627" max="15627" width="3.28515625" style="2" customWidth="1"/>
    <col min="15628" max="15629" width="0" style="2" hidden="1" customWidth="1"/>
    <col min="15630" max="15630" width="2.85546875" style="2" customWidth="1"/>
    <col min="15631" max="15631" width="3.28515625" style="2" customWidth="1"/>
    <col min="15632" max="15632" width="1.5703125" style="2" customWidth="1"/>
    <col min="15633" max="15633" width="0" style="2" hidden="1" customWidth="1"/>
    <col min="15634" max="15634" width="6.85546875" style="2" customWidth="1"/>
    <col min="15635" max="15635" width="0" style="2" hidden="1" customWidth="1"/>
    <col min="15636" max="15637" width="6.28515625" style="2" customWidth="1"/>
    <col min="15638" max="15638" width="13.85546875" style="2" customWidth="1"/>
    <col min="15639" max="15639" width="10.85546875" style="2" customWidth="1"/>
    <col min="15640" max="15640" width="14.7109375" style="2" customWidth="1"/>
    <col min="15641" max="15641" width="0" style="2" hidden="1" customWidth="1"/>
    <col min="15642" max="15642" width="13" style="2" customWidth="1"/>
    <col min="15643" max="15643" width="12.7109375" style="2" customWidth="1"/>
    <col min="15644" max="15644" width="13.140625" style="2" customWidth="1"/>
    <col min="15645" max="15645" width="14" style="2" customWidth="1"/>
    <col min="15646" max="15646" width="8.140625" style="2" customWidth="1"/>
    <col min="15647" max="15647" width="11.5703125" style="2" customWidth="1"/>
    <col min="15648" max="15648" width="24.7109375" style="2" customWidth="1"/>
    <col min="15649" max="15649" width="12" style="2" customWidth="1"/>
    <col min="15650" max="15651" width="0.28515625" style="2" customWidth="1"/>
    <col min="15652" max="15652" width="1.42578125" style="2" customWidth="1"/>
    <col min="15653" max="15653" width="0" style="2" hidden="1" customWidth="1"/>
    <col min="15654" max="15872" width="11.42578125" style="2"/>
    <col min="15873" max="15873" width="8" style="2" customWidth="1"/>
    <col min="15874" max="15874" width="13.42578125" style="2" customWidth="1"/>
    <col min="15875" max="15875" width="4.28515625" style="2" customWidth="1"/>
    <col min="15876" max="15876" width="4" style="2" customWidth="1"/>
    <col min="15877" max="15877" width="17" style="2" customWidth="1"/>
    <col min="15878" max="15878" width="4.140625" style="2" customWidth="1"/>
    <col min="15879" max="15879" width="11.28515625" style="2" customWidth="1"/>
    <col min="15880" max="15880" width="11" style="2" customWidth="1"/>
    <col min="15881" max="15882" width="2.140625" style="2" customWidth="1"/>
    <col min="15883" max="15883" width="3.28515625" style="2" customWidth="1"/>
    <col min="15884" max="15885" width="0" style="2" hidden="1" customWidth="1"/>
    <col min="15886" max="15886" width="2.85546875" style="2" customWidth="1"/>
    <col min="15887" max="15887" width="3.28515625" style="2" customWidth="1"/>
    <col min="15888" max="15888" width="1.5703125" style="2" customWidth="1"/>
    <col min="15889" max="15889" width="0" style="2" hidden="1" customWidth="1"/>
    <col min="15890" max="15890" width="6.85546875" style="2" customWidth="1"/>
    <col min="15891" max="15891" width="0" style="2" hidden="1" customWidth="1"/>
    <col min="15892" max="15893" width="6.28515625" style="2" customWidth="1"/>
    <col min="15894" max="15894" width="13.85546875" style="2" customWidth="1"/>
    <col min="15895" max="15895" width="10.85546875" style="2" customWidth="1"/>
    <col min="15896" max="15896" width="14.7109375" style="2" customWidth="1"/>
    <col min="15897" max="15897" width="0" style="2" hidden="1" customWidth="1"/>
    <col min="15898" max="15898" width="13" style="2" customWidth="1"/>
    <col min="15899" max="15899" width="12.7109375" style="2" customWidth="1"/>
    <col min="15900" max="15900" width="13.140625" style="2" customWidth="1"/>
    <col min="15901" max="15901" width="14" style="2" customWidth="1"/>
    <col min="15902" max="15902" width="8.140625" style="2" customWidth="1"/>
    <col min="15903" max="15903" width="11.5703125" style="2" customWidth="1"/>
    <col min="15904" max="15904" width="24.7109375" style="2" customWidth="1"/>
    <col min="15905" max="15905" width="12" style="2" customWidth="1"/>
    <col min="15906" max="15907" width="0.28515625" style="2" customWidth="1"/>
    <col min="15908" max="15908" width="1.42578125" style="2" customWidth="1"/>
    <col min="15909" max="15909" width="0" style="2" hidden="1" customWidth="1"/>
    <col min="15910" max="16128" width="11.42578125" style="2"/>
    <col min="16129" max="16129" width="8" style="2" customWidth="1"/>
    <col min="16130" max="16130" width="13.42578125" style="2" customWidth="1"/>
    <col min="16131" max="16131" width="4.28515625" style="2" customWidth="1"/>
    <col min="16132" max="16132" width="4" style="2" customWidth="1"/>
    <col min="16133" max="16133" width="17" style="2" customWidth="1"/>
    <col min="16134" max="16134" width="4.140625" style="2" customWidth="1"/>
    <col min="16135" max="16135" width="11.28515625" style="2" customWidth="1"/>
    <col min="16136" max="16136" width="11" style="2" customWidth="1"/>
    <col min="16137" max="16138" width="2.140625" style="2" customWidth="1"/>
    <col min="16139" max="16139" width="3.28515625" style="2" customWidth="1"/>
    <col min="16140" max="16141" width="0" style="2" hidden="1" customWidth="1"/>
    <col min="16142" max="16142" width="2.85546875" style="2" customWidth="1"/>
    <col min="16143" max="16143" width="3.28515625" style="2" customWidth="1"/>
    <col min="16144" max="16144" width="1.5703125" style="2" customWidth="1"/>
    <col min="16145" max="16145" width="0" style="2" hidden="1" customWidth="1"/>
    <col min="16146" max="16146" width="6.85546875" style="2" customWidth="1"/>
    <col min="16147" max="16147" width="0" style="2" hidden="1" customWidth="1"/>
    <col min="16148" max="16149" width="6.28515625" style="2" customWidth="1"/>
    <col min="16150" max="16150" width="13.85546875" style="2" customWidth="1"/>
    <col min="16151" max="16151" width="10.85546875" style="2" customWidth="1"/>
    <col min="16152" max="16152" width="14.7109375" style="2" customWidth="1"/>
    <col min="16153" max="16153" width="0" style="2" hidden="1" customWidth="1"/>
    <col min="16154" max="16154" width="13" style="2" customWidth="1"/>
    <col min="16155" max="16155" width="12.7109375" style="2" customWidth="1"/>
    <col min="16156" max="16156" width="13.140625" style="2" customWidth="1"/>
    <col min="16157" max="16157" width="14" style="2" customWidth="1"/>
    <col min="16158" max="16158" width="8.140625" style="2" customWidth="1"/>
    <col min="16159" max="16159" width="11.5703125" style="2" customWidth="1"/>
    <col min="16160" max="16160" width="24.7109375" style="2" customWidth="1"/>
    <col min="16161" max="16161" width="12" style="2" customWidth="1"/>
    <col min="16162" max="16163" width="0.28515625" style="2" customWidth="1"/>
    <col min="16164" max="16164" width="1.42578125" style="2" customWidth="1"/>
    <col min="16165" max="16165" width="0" style="2" hidden="1" customWidth="1"/>
    <col min="16166" max="16384" width="11.42578125" style="2"/>
  </cols>
  <sheetData>
    <row r="1" spans="1:38" ht="45" customHeight="1">
      <c r="A1" s="763"/>
      <c r="B1" s="763"/>
      <c r="C1" s="601" t="s">
        <v>0</v>
      </c>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2" t="s">
        <v>95</v>
      </c>
      <c r="AH1" s="3" t="s">
        <v>17</v>
      </c>
      <c r="AI1" s="6" t="s">
        <v>23</v>
      </c>
    </row>
    <row r="2" spans="1:38" ht="45" customHeight="1">
      <c r="A2" s="763"/>
      <c r="B2" s="763"/>
      <c r="C2" s="603" t="s">
        <v>37</v>
      </c>
      <c r="D2" s="603"/>
      <c r="E2" s="603"/>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2"/>
      <c r="AH2" s="2" t="s">
        <v>18</v>
      </c>
      <c r="AI2" s="7" t="s">
        <v>24</v>
      </c>
    </row>
    <row r="3" spans="1:38"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H3" s="3" t="s">
        <v>16</v>
      </c>
      <c r="AI3" s="6" t="s">
        <v>25</v>
      </c>
    </row>
    <row r="4" spans="1:38" ht="30.75" customHeight="1">
      <c r="A4" s="597" t="s">
        <v>5</v>
      </c>
      <c r="B4" s="597"/>
      <c r="C4" s="597"/>
      <c r="D4" s="597"/>
      <c r="E4" s="598" t="s">
        <v>158</v>
      </c>
      <c r="F4" s="598"/>
      <c r="G4" s="598"/>
      <c r="H4" s="598"/>
      <c r="I4" s="598"/>
      <c r="J4" s="598"/>
      <c r="K4" s="598"/>
      <c r="L4" s="598"/>
      <c r="M4" s="598"/>
      <c r="N4" s="598"/>
      <c r="O4" s="598"/>
      <c r="P4" s="598"/>
      <c r="Q4" s="598"/>
      <c r="R4" s="598"/>
      <c r="S4" s="598"/>
      <c r="T4" s="598"/>
      <c r="U4" s="598"/>
      <c r="V4" s="599" t="s">
        <v>20</v>
      </c>
      <c r="W4" s="599"/>
      <c r="X4" s="598" t="s">
        <v>159</v>
      </c>
      <c r="Y4" s="598"/>
      <c r="Z4" s="598"/>
      <c r="AA4" s="598"/>
      <c r="AB4" s="598"/>
      <c r="AC4" s="598"/>
      <c r="AD4" s="599" t="s">
        <v>98</v>
      </c>
      <c r="AE4" s="599"/>
      <c r="AF4" s="134" t="s">
        <v>99</v>
      </c>
      <c r="AH4" s="6" t="s">
        <v>19</v>
      </c>
    </row>
    <row r="5" spans="1:38" ht="4.5" customHeight="1" thickBo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row>
    <row r="6" spans="1:38" ht="57" customHeight="1">
      <c r="A6" s="605" t="s">
        <v>39</v>
      </c>
      <c r="B6" s="606"/>
      <c r="C6" s="599" t="s">
        <v>1</v>
      </c>
      <c r="D6" s="599" t="s">
        <v>100</v>
      </c>
      <c r="E6" s="599"/>
      <c r="F6" s="608" t="s">
        <v>6</v>
      </c>
      <c r="G6" s="599" t="s">
        <v>9</v>
      </c>
      <c r="H6" s="599" t="s">
        <v>2</v>
      </c>
      <c r="I6" s="599" t="s">
        <v>21</v>
      </c>
      <c r="J6" s="599"/>
      <c r="K6" s="599"/>
      <c r="L6" s="599"/>
      <c r="M6" s="599"/>
      <c r="N6" s="599"/>
      <c r="O6" s="599"/>
      <c r="P6" s="599"/>
      <c r="Q6" s="599"/>
      <c r="R6" s="599"/>
      <c r="S6" s="599"/>
      <c r="T6" s="599"/>
      <c r="U6" s="599"/>
      <c r="V6" s="599" t="s">
        <v>101</v>
      </c>
      <c r="W6" s="599" t="s">
        <v>3</v>
      </c>
      <c r="X6" s="599"/>
      <c r="Y6" s="599"/>
      <c r="Z6" s="610" t="s">
        <v>102</v>
      </c>
      <c r="AA6" s="610" t="s">
        <v>103</v>
      </c>
      <c r="AB6" s="610" t="s">
        <v>4</v>
      </c>
      <c r="AC6" s="610"/>
      <c r="AD6" s="599" t="s">
        <v>104</v>
      </c>
      <c r="AE6" s="599" t="s">
        <v>105</v>
      </c>
      <c r="AF6" s="599" t="s">
        <v>106</v>
      </c>
    </row>
    <row r="7" spans="1:38" ht="24" customHeight="1" thickBot="1">
      <c r="A7" s="97" t="s">
        <v>40</v>
      </c>
      <c r="B7" s="98" t="s">
        <v>41</v>
      </c>
      <c r="C7" s="607"/>
      <c r="D7" s="607"/>
      <c r="E7" s="607"/>
      <c r="F7" s="609"/>
      <c r="G7" s="607"/>
      <c r="H7" s="607"/>
      <c r="I7" s="607" t="s">
        <v>11</v>
      </c>
      <c r="J7" s="607"/>
      <c r="K7" s="607"/>
      <c r="L7" s="607"/>
      <c r="M7" s="607"/>
      <c r="N7" s="607"/>
      <c r="O7" s="615" t="s">
        <v>12</v>
      </c>
      <c r="P7" s="615"/>
      <c r="Q7" s="615"/>
      <c r="R7" s="615"/>
      <c r="S7" s="615"/>
      <c r="T7" s="615" t="s">
        <v>13</v>
      </c>
      <c r="U7" s="615"/>
      <c r="V7" s="607"/>
      <c r="W7" s="607"/>
      <c r="X7" s="607"/>
      <c r="Y7" s="607"/>
      <c r="Z7" s="611"/>
      <c r="AA7" s="611"/>
      <c r="AB7" s="57" t="s">
        <v>14</v>
      </c>
      <c r="AC7" s="55" t="s">
        <v>15</v>
      </c>
      <c r="AD7" s="607"/>
      <c r="AE7" s="607"/>
      <c r="AF7" s="607"/>
    </row>
    <row r="8" spans="1:38" ht="78.75" customHeight="1">
      <c r="A8" s="719"/>
      <c r="B8" s="632"/>
      <c r="C8" s="632">
        <v>1</v>
      </c>
      <c r="D8" s="722" t="s">
        <v>160</v>
      </c>
      <c r="E8" s="723"/>
      <c r="F8" s="728" t="s">
        <v>161</v>
      </c>
      <c r="G8" s="731" t="s">
        <v>10</v>
      </c>
      <c r="H8" s="632" t="s">
        <v>25</v>
      </c>
      <c r="I8" s="736" t="s">
        <v>162</v>
      </c>
      <c r="J8" s="737"/>
      <c r="K8" s="737"/>
      <c r="L8" s="737"/>
      <c r="M8" s="737"/>
      <c r="N8" s="738"/>
      <c r="O8" s="722" t="s">
        <v>162</v>
      </c>
      <c r="P8" s="745"/>
      <c r="Q8" s="745"/>
      <c r="R8" s="723"/>
      <c r="S8" s="176"/>
      <c r="T8" s="722" t="s">
        <v>162</v>
      </c>
      <c r="U8" s="723"/>
      <c r="V8" s="712" t="s">
        <v>162</v>
      </c>
      <c r="W8" s="754" t="s">
        <v>163</v>
      </c>
      <c r="X8" s="755"/>
      <c r="Y8" s="756"/>
      <c r="Z8" s="135" t="s">
        <v>164</v>
      </c>
      <c r="AA8" s="136" t="s">
        <v>165</v>
      </c>
      <c r="AB8" s="137" t="s">
        <v>166</v>
      </c>
      <c r="AC8" s="137" t="s">
        <v>167</v>
      </c>
      <c r="AD8" s="102">
        <v>1</v>
      </c>
      <c r="AE8" s="103" t="s">
        <v>17</v>
      </c>
      <c r="AF8" s="138" t="s">
        <v>168</v>
      </c>
      <c r="AG8" s="105"/>
      <c r="AH8" s="105"/>
      <c r="AI8" s="92"/>
      <c r="AJ8" s="92"/>
      <c r="AK8" s="92"/>
      <c r="AL8" s="92"/>
    </row>
    <row r="9" spans="1:38" ht="81" customHeight="1">
      <c r="A9" s="720"/>
      <c r="B9" s="633"/>
      <c r="C9" s="633"/>
      <c r="D9" s="724"/>
      <c r="E9" s="725"/>
      <c r="F9" s="729"/>
      <c r="G9" s="732"/>
      <c r="H9" s="633"/>
      <c r="I9" s="739"/>
      <c r="J9" s="740"/>
      <c r="K9" s="740"/>
      <c r="L9" s="740"/>
      <c r="M9" s="740"/>
      <c r="N9" s="741"/>
      <c r="O9" s="724"/>
      <c r="P9" s="746"/>
      <c r="Q9" s="746"/>
      <c r="R9" s="725"/>
      <c r="S9" s="160"/>
      <c r="T9" s="724"/>
      <c r="U9" s="725"/>
      <c r="V9" s="713"/>
      <c r="W9" s="757" t="s">
        <v>169</v>
      </c>
      <c r="X9" s="758"/>
      <c r="Y9" s="759"/>
      <c r="Z9" s="139" t="s">
        <v>164</v>
      </c>
      <c r="AA9" s="140" t="s">
        <v>165</v>
      </c>
      <c r="AB9" s="141" t="s">
        <v>170</v>
      </c>
      <c r="AC9" s="141" t="s">
        <v>170</v>
      </c>
      <c r="AD9" s="5">
        <v>1</v>
      </c>
      <c r="AE9" s="53" t="s">
        <v>17</v>
      </c>
      <c r="AF9" s="142" t="s">
        <v>171</v>
      </c>
      <c r="AG9" s="105"/>
      <c r="AH9" s="105"/>
      <c r="AI9" s="92"/>
      <c r="AJ9" s="92"/>
      <c r="AK9" s="92"/>
      <c r="AL9" s="92"/>
    </row>
    <row r="10" spans="1:38" ht="79.5" customHeight="1">
      <c r="A10" s="720"/>
      <c r="B10" s="633"/>
      <c r="C10" s="633"/>
      <c r="D10" s="724"/>
      <c r="E10" s="725"/>
      <c r="F10" s="729"/>
      <c r="G10" s="732"/>
      <c r="H10" s="633"/>
      <c r="I10" s="739"/>
      <c r="J10" s="740"/>
      <c r="K10" s="740"/>
      <c r="L10" s="740"/>
      <c r="M10" s="740"/>
      <c r="N10" s="741"/>
      <c r="O10" s="724"/>
      <c r="P10" s="746"/>
      <c r="Q10" s="746"/>
      <c r="R10" s="725"/>
      <c r="S10" s="160"/>
      <c r="T10" s="724"/>
      <c r="U10" s="725"/>
      <c r="V10" s="713"/>
      <c r="W10" s="757" t="s">
        <v>172</v>
      </c>
      <c r="X10" s="758"/>
      <c r="Y10" s="759"/>
      <c r="Z10" s="139" t="s">
        <v>173</v>
      </c>
      <c r="AA10" s="143" t="s">
        <v>174</v>
      </c>
      <c r="AB10" s="141" t="s">
        <v>175</v>
      </c>
      <c r="AC10" s="141" t="s">
        <v>176</v>
      </c>
      <c r="AD10" s="5">
        <v>1</v>
      </c>
      <c r="AE10" s="53" t="s">
        <v>17</v>
      </c>
      <c r="AF10" s="142" t="s">
        <v>177</v>
      </c>
      <c r="AG10" s="105"/>
      <c r="AH10" s="105"/>
      <c r="AI10" s="92"/>
      <c r="AJ10" s="92"/>
      <c r="AK10" s="92"/>
      <c r="AL10" s="92"/>
    </row>
    <row r="11" spans="1:38" ht="141.75" customHeight="1" thickBot="1">
      <c r="A11" s="721"/>
      <c r="B11" s="634"/>
      <c r="C11" s="634"/>
      <c r="D11" s="726"/>
      <c r="E11" s="727"/>
      <c r="F11" s="730"/>
      <c r="G11" s="733"/>
      <c r="H11" s="634"/>
      <c r="I11" s="742"/>
      <c r="J11" s="743"/>
      <c r="K11" s="743"/>
      <c r="L11" s="743"/>
      <c r="M11" s="743"/>
      <c r="N11" s="744"/>
      <c r="O11" s="726"/>
      <c r="P11" s="747"/>
      <c r="Q11" s="747"/>
      <c r="R11" s="727"/>
      <c r="S11" s="177"/>
      <c r="T11" s="726"/>
      <c r="U11" s="727"/>
      <c r="V11" s="714"/>
      <c r="W11" s="760" t="s">
        <v>178</v>
      </c>
      <c r="X11" s="761"/>
      <c r="Y11" s="762"/>
      <c r="Z11" s="144" t="s">
        <v>173</v>
      </c>
      <c r="AA11" s="145" t="s">
        <v>174</v>
      </c>
      <c r="AB11" s="146" t="s">
        <v>179</v>
      </c>
      <c r="AC11" s="146" t="s">
        <v>909</v>
      </c>
      <c r="AD11" s="5">
        <v>0.63</v>
      </c>
      <c r="AE11" s="53" t="s">
        <v>16</v>
      </c>
      <c r="AF11" s="142" t="s">
        <v>180</v>
      </c>
      <c r="AG11" s="105"/>
      <c r="AH11" s="105"/>
      <c r="AI11" s="92"/>
      <c r="AJ11" s="92"/>
      <c r="AK11" s="92"/>
      <c r="AL11" s="92"/>
    </row>
    <row r="12" spans="1:38" ht="109.5" customHeight="1" thickBot="1">
      <c r="A12" s="147"/>
      <c r="B12" s="148"/>
      <c r="C12" s="148">
        <v>2</v>
      </c>
      <c r="D12" s="734" t="s">
        <v>181</v>
      </c>
      <c r="E12" s="734"/>
      <c r="F12" s="149">
        <v>43510</v>
      </c>
      <c r="G12" s="150" t="s">
        <v>10</v>
      </c>
      <c r="H12" s="148" t="s">
        <v>25</v>
      </c>
      <c r="I12" s="735" t="s">
        <v>162</v>
      </c>
      <c r="J12" s="735"/>
      <c r="K12" s="735"/>
      <c r="L12" s="735"/>
      <c r="M12" s="735"/>
      <c r="N12" s="735"/>
      <c r="O12" s="734" t="s">
        <v>162</v>
      </c>
      <c r="P12" s="734"/>
      <c r="Q12" s="734"/>
      <c r="R12" s="734"/>
      <c r="S12" s="178"/>
      <c r="T12" s="734" t="s">
        <v>162</v>
      </c>
      <c r="U12" s="734"/>
      <c r="V12" s="178" t="s">
        <v>162</v>
      </c>
      <c r="W12" s="748" t="s">
        <v>182</v>
      </c>
      <c r="X12" s="749"/>
      <c r="Y12" s="750"/>
      <c r="Z12" s="151">
        <v>1</v>
      </c>
      <c r="AA12" s="152" t="s">
        <v>183</v>
      </c>
      <c r="AB12" s="153" t="s">
        <v>184</v>
      </c>
      <c r="AC12" s="153" t="s">
        <v>910</v>
      </c>
      <c r="AD12" s="154">
        <v>0.9</v>
      </c>
      <c r="AE12" s="148" t="s">
        <v>16</v>
      </c>
      <c r="AF12" s="155" t="s">
        <v>185</v>
      </c>
      <c r="AG12" s="105"/>
      <c r="AH12" s="105"/>
      <c r="AI12" s="92"/>
      <c r="AJ12" s="92"/>
      <c r="AK12" s="92"/>
      <c r="AL12" s="92"/>
    </row>
    <row r="13" spans="1:38" ht="140.25" customHeight="1" thickBot="1">
      <c r="A13" s="156"/>
      <c r="B13" s="50"/>
      <c r="C13" s="50">
        <v>3</v>
      </c>
      <c r="D13" s="724" t="s">
        <v>186</v>
      </c>
      <c r="E13" s="725"/>
      <c r="F13" s="157" t="s">
        <v>161</v>
      </c>
      <c r="G13" s="158" t="s">
        <v>10</v>
      </c>
      <c r="H13" s="50" t="s">
        <v>25</v>
      </c>
      <c r="I13" s="739" t="s">
        <v>162</v>
      </c>
      <c r="J13" s="740"/>
      <c r="K13" s="740"/>
      <c r="L13" s="740"/>
      <c r="M13" s="740"/>
      <c r="N13" s="741"/>
      <c r="O13" s="724" t="s">
        <v>162</v>
      </c>
      <c r="P13" s="746"/>
      <c r="Q13" s="746"/>
      <c r="R13" s="725"/>
      <c r="S13" s="160"/>
      <c r="T13" s="724" t="s">
        <v>162</v>
      </c>
      <c r="U13" s="725"/>
      <c r="V13" s="160" t="s">
        <v>162</v>
      </c>
      <c r="W13" s="751" t="s">
        <v>187</v>
      </c>
      <c r="X13" s="752"/>
      <c r="Y13" s="753"/>
      <c r="Z13" s="159" t="s">
        <v>188</v>
      </c>
      <c r="AA13" s="160" t="s">
        <v>189</v>
      </c>
      <c r="AB13" s="161" t="s">
        <v>190</v>
      </c>
      <c r="AC13" s="161" t="s">
        <v>909</v>
      </c>
      <c r="AD13" s="162">
        <v>0.54</v>
      </c>
      <c r="AE13" s="50" t="s">
        <v>16</v>
      </c>
      <c r="AF13" s="163" t="s">
        <v>191</v>
      </c>
      <c r="AG13" s="105"/>
      <c r="AH13" s="105"/>
      <c r="AI13" s="92"/>
      <c r="AJ13" s="92"/>
      <c r="AK13" s="92"/>
      <c r="AL13" s="92"/>
    </row>
    <row r="14" spans="1:38" ht="105.75" customHeight="1" thickBot="1">
      <c r="A14" s="719"/>
      <c r="B14" s="632"/>
      <c r="C14" s="632">
        <v>4</v>
      </c>
      <c r="D14" s="722" t="s">
        <v>192</v>
      </c>
      <c r="E14" s="723"/>
      <c r="F14" s="728" t="s">
        <v>161</v>
      </c>
      <c r="G14" s="731" t="s">
        <v>10</v>
      </c>
      <c r="H14" s="632" t="s">
        <v>25</v>
      </c>
      <c r="I14" s="736" t="s">
        <v>162</v>
      </c>
      <c r="J14" s="737"/>
      <c r="K14" s="737"/>
      <c r="L14" s="737"/>
      <c r="M14" s="737"/>
      <c r="N14" s="738"/>
      <c r="O14" s="722" t="s">
        <v>162</v>
      </c>
      <c r="P14" s="745"/>
      <c r="Q14" s="745"/>
      <c r="R14" s="723"/>
      <c r="S14" s="178"/>
      <c r="T14" s="722" t="s">
        <v>162</v>
      </c>
      <c r="U14" s="723"/>
      <c r="V14" s="712" t="s">
        <v>162</v>
      </c>
      <c r="W14" s="716" t="s">
        <v>193</v>
      </c>
      <c r="X14" s="716"/>
      <c r="Y14" s="716"/>
      <c r="Z14" s="135" t="s">
        <v>194</v>
      </c>
      <c r="AA14" s="136" t="s">
        <v>195</v>
      </c>
      <c r="AB14" s="137" t="s">
        <v>196</v>
      </c>
      <c r="AC14" s="137" t="s">
        <v>197</v>
      </c>
      <c r="AD14" s="102">
        <f>3/3</f>
        <v>1</v>
      </c>
      <c r="AE14" s="103" t="s">
        <v>17</v>
      </c>
      <c r="AF14" s="164" t="s">
        <v>198</v>
      </c>
      <c r="AG14" s="105"/>
      <c r="AH14" s="105"/>
      <c r="AI14" s="92"/>
      <c r="AJ14" s="92"/>
      <c r="AK14" s="92"/>
      <c r="AL14" s="92"/>
    </row>
    <row r="15" spans="1:38" ht="87" customHeight="1">
      <c r="A15" s="720"/>
      <c r="B15" s="633"/>
      <c r="C15" s="633"/>
      <c r="D15" s="724"/>
      <c r="E15" s="725"/>
      <c r="F15" s="729"/>
      <c r="G15" s="732"/>
      <c r="H15" s="633"/>
      <c r="I15" s="739"/>
      <c r="J15" s="740"/>
      <c r="K15" s="740"/>
      <c r="L15" s="740"/>
      <c r="M15" s="740"/>
      <c r="N15" s="741"/>
      <c r="O15" s="724"/>
      <c r="P15" s="746"/>
      <c r="Q15" s="746"/>
      <c r="R15" s="725"/>
      <c r="S15" s="160"/>
      <c r="T15" s="724"/>
      <c r="U15" s="725"/>
      <c r="V15" s="713"/>
      <c r="W15" s="717" t="s">
        <v>199</v>
      </c>
      <c r="X15" s="717"/>
      <c r="Y15" s="717"/>
      <c r="Z15" s="139" t="s">
        <v>200</v>
      </c>
      <c r="AA15" s="140" t="s">
        <v>201</v>
      </c>
      <c r="AB15" s="141" t="s">
        <v>202</v>
      </c>
      <c r="AC15" s="141" t="s">
        <v>203</v>
      </c>
      <c r="AD15" s="5">
        <f>3/3</f>
        <v>1</v>
      </c>
      <c r="AE15" s="53" t="s">
        <v>17</v>
      </c>
      <c r="AF15" s="165" t="s">
        <v>204</v>
      </c>
      <c r="AG15" s="105"/>
      <c r="AH15" s="105"/>
      <c r="AI15" s="92"/>
      <c r="AJ15" s="92"/>
      <c r="AK15" s="92"/>
      <c r="AL15" s="92"/>
    </row>
    <row r="16" spans="1:38" ht="90" customHeight="1">
      <c r="A16" s="720"/>
      <c r="B16" s="633"/>
      <c r="C16" s="633"/>
      <c r="D16" s="724"/>
      <c r="E16" s="725"/>
      <c r="F16" s="729"/>
      <c r="G16" s="732"/>
      <c r="H16" s="633"/>
      <c r="I16" s="739"/>
      <c r="J16" s="740"/>
      <c r="K16" s="740"/>
      <c r="L16" s="740"/>
      <c r="M16" s="740"/>
      <c r="N16" s="741"/>
      <c r="O16" s="724"/>
      <c r="P16" s="746"/>
      <c r="Q16" s="746"/>
      <c r="R16" s="725"/>
      <c r="S16" s="160"/>
      <c r="T16" s="724"/>
      <c r="U16" s="725"/>
      <c r="V16" s="713"/>
      <c r="W16" s="717" t="s">
        <v>205</v>
      </c>
      <c r="X16" s="717"/>
      <c r="Y16" s="717"/>
      <c r="Z16" s="139" t="s">
        <v>206</v>
      </c>
      <c r="AA16" s="140" t="s">
        <v>207</v>
      </c>
      <c r="AB16" s="141" t="s">
        <v>208</v>
      </c>
      <c r="AC16" s="141" t="s">
        <v>208</v>
      </c>
      <c r="AD16" s="5">
        <v>1</v>
      </c>
      <c r="AE16" s="53" t="s">
        <v>17</v>
      </c>
      <c r="AF16" s="165" t="s">
        <v>209</v>
      </c>
      <c r="AG16" s="105"/>
      <c r="AH16" s="105"/>
      <c r="AI16" s="92"/>
      <c r="AJ16" s="92"/>
      <c r="AK16" s="92"/>
      <c r="AL16" s="92"/>
    </row>
    <row r="17" spans="1:38" ht="48" customHeight="1" thickBot="1">
      <c r="A17" s="720"/>
      <c r="B17" s="633"/>
      <c r="C17" s="633"/>
      <c r="D17" s="724"/>
      <c r="E17" s="725"/>
      <c r="F17" s="729"/>
      <c r="G17" s="732"/>
      <c r="H17" s="633"/>
      <c r="I17" s="739"/>
      <c r="J17" s="740"/>
      <c r="K17" s="740"/>
      <c r="L17" s="740"/>
      <c r="M17" s="740"/>
      <c r="N17" s="741"/>
      <c r="O17" s="724"/>
      <c r="P17" s="746"/>
      <c r="Q17" s="746"/>
      <c r="R17" s="725"/>
      <c r="S17" s="160"/>
      <c r="T17" s="724"/>
      <c r="U17" s="725"/>
      <c r="V17" s="713"/>
      <c r="W17" s="717" t="s">
        <v>210</v>
      </c>
      <c r="X17" s="717"/>
      <c r="Y17" s="717"/>
      <c r="Z17" s="139" t="s">
        <v>211</v>
      </c>
      <c r="AA17" s="140" t="s">
        <v>212</v>
      </c>
      <c r="AB17" s="141" t="s">
        <v>213</v>
      </c>
      <c r="AC17" s="141" t="s">
        <v>213</v>
      </c>
      <c r="AD17" s="5">
        <v>1</v>
      </c>
      <c r="AE17" s="53" t="s">
        <v>17</v>
      </c>
      <c r="AF17" s="166" t="s">
        <v>214</v>
      </c>
      <c r="AG17" s="105"/>
      <c r="AH17" s="105"/>
      <c r="AI17" s="92"/>
      <c r="AJ17" s="92"/>
      <c r="AK17" s="92"/>
      <c r="AL17" s="92"/>
    </row>
    <row r="18" spans="1:38" ht="87.75" customHeight="1" thickBot="1">
      <c r="A18" s="721"/>
      <c r="B18" s="634"/>
      <c r="C18" s="634"/>
      <c r="D18" s="726"/>
      <c r="E18" s="727"/>
      <c r="F18" s="730"/>
      <c r="G18" s="733"/>
      <c r="H18" s="634"/>
      <c r="I18" s="742"/>
      <c r="J18" s="743"/>
      <c r="K18" s="743"/>
      <c r="L18" s="743"/>
      <c r="M18" s="743"/>
      <c r="N18" s="744"/>
      <c r="O18" s="726"/>
      <c r="P18" s="747"/>
      <c r="Q18" s="747"/>
      <c r="R18" s="727"/>
      <c r="S18" s="177"/>
      <c r="T18" s="726"/>
      <c r="U18" s="727"/>
      <c r="V18" s="714"/>
      <c r="W18" s="718" t="s">
        <v>215</v>
      </c>
      <c r="X18" s="718"/>
      <c r="Y18" s="718"/>
      <c r="Z18" s="144" t="s">
        <v>216</v>
      </c>
      <c r="AA18" s="145" t="s">
        <v>217</v>
      </c>
      <c r="AB18" s="146" t="s">
        <v>218</v>
      </c>
      <c r="AC18" s="146" t="s">
        <v>911</v>
      </c>
      <c r="AD18" s="114">
        <f>1/2</f>
        <v>0.5</v>
      </c>
      <c r="AE18" s="115" t="s">
        <v>16</v>
      </c>
      <c r="AF18" s="167" t="s">
        <v>219</v>
      </c>
      <c r="AG18" s="105"/>
      <c r="AH18" s="105"/>
      <c r="AI18" s="92"/>
      <c r="AJ18" s="92"/>
      <c r="AK18" s="92"/>
      <c r="AL18" s="92"/>
    </row>
    <row r="19" spans="1:38" ht="6" customHeight="1">
      <c r="A19" s="643"/>
      <c r="B19" s="643"/>
      <c r="C19" s="643"/>
      <c r="D19" s="643"/>
      <c r="E19" s="643"/>
      <c r="F19" s="643"/>
      <c r="G19" s="643"/>
      <c r="H19" s="643"/>
      <c r="I19" s="643"/>
      <c r="J19" s="643"/>
      <c r="K19" s="643"/>
      <c r="L19" s="643"/>
      <c r="M19" s="643"/>
      <c r="N19" s="643"/>
      <c r="O19" s="643"/>
      <c r="P19" s="643"/>
      <c r="Q19" s="643"/>
      <c r="R19" s="643"/>
      <c r="S19" s="643"/>
      <c r="T19" s="643"/>
      <c r="U19" s="643"/>
      <c r="V19" s="643"/>
      <c r="W19" s="643"/>
      <c r="X19" s="643"/>
      <c r="Y19" s="643"/>
      <c r="Z19" s="643"/>
      <c r="AA19" s="643"/>
      <c r="AB19" s="643"/>
      <c r="AC19" s="643"/>
      <c r="AD19" s="643"/>
      <c r="AE19" s="643"/>
      <c r="AF19" s="643"/>
    </row>
    <row r="20" spans="1:38" ht="12.75" customHeight="1">
      <c r="A20" s="644" t="s">
        <v>22</v>
      </c>
      <c r="B20" s="644"/>
      <c r="C20" s="644"/>
      <c r="D20" s="644"/>
      <c r="E20" s="644"/>
      <c r="F20" s="644"/>
      <c r="G20" s="644"/>
      <c r="H20" s="644"/>
      <c r="I20" s="644"/>
      <c r="J20" s="644"/>
      <c r="K20" s="644"/>
      <c r="L20" s="4"/>
      <c r="M20" s="4"/>
      <c r="N20" s="645" t="s">
        <v>34</v>
      </c>
      <c r="O20" s="645"/>
      <c r="P20" s="645"/>
      <c r="Q20" s="645"/>
      <c r="R20" s="645"/>
      <c r="S20" s="645"/>
      <c r="T20" s="645"/>
      <c r="U20" s="645"/>
      <c r="V20" s="645"/>
      <c r="W20" s="645"/>
      <c r="X20" s="645"/>
      <c r="Y20" s="645"/>
      <c r="Z20" s="645"/>
      <c r="AA20" s="645"/>
      <c r="AB20" s="645"/>
      <c r="AC20" s="646" t="s">
        <v>35</v>
      </c>
      <c r="AD20" s="646"/>
      <c r="AE20" s="646"/>
      <c r="AF20" s="646"/>
    </row>
    <row r="21" spans="1:38">
      <c r="A21" s="644"/>
      <c r="B21" s="644"/>
      <c r="C21" s="644"/>
      <c r="D21" s="644"/>
      <c r="E21" s="644"/>
      <c r="F21" s="644"/>
      <c r="G21" s="644"/>
      <c r="H21" s="644"/>
      <c r="I21" s="644"/>
      <c r="J21" s="644"/>
      <c r="K21" s="644"/>
      <c r="L21" s="4"/>
      <c r="M21" s="4"/>
      <c r="N21" s="645"/>
      <c r="O21" s="645"/>
      <c r="P21" s="645"/>
      <c r="Q21" s="645"/>
      <c r="R21" s="645"/>
      <c r="S21" s="645"/>
      <c r="T21" s="645"/>
      <c r="U21" s="645"/>
      <c r="V21" s="645"/>
      <c r="W21" s="645"/>
      <c r="X21" s="645"/>
      <c r="Y21" s="645"/>
      <c r="Z21" s="645"/>
      <c r="AA21" s="645"/>
      <c r="AB21" s="645"/>
      <c r="AC21" s="646"/>
      <c r="AD21" s="646"/>
      <c r="AE21" s="646"/>
      <c r="AF21" s="646"/>
    </row>
    <row r="22" spans="1:38" ht="38.25" customHeight="1">
      <c r="A22" s="715" t="s">
        <v>287</v>
      </c>
      <c r="B22" s="648"/>
      <c r="C22" s="648"/>
      <c r="D22" s="648"/>
      <c r="E22" s="648"/>
      <c r="F22" s="648"/>
      <c r="G22" s="648"/>
      <c r="H22" s="648"/>
      <c r="I22" s="648"/>
      <c r="J22" s="648"/>
      <c r="K22" s="648"/>
      <c r="L22" s="4"/>
      <c r="M22" s="4"/>
      <c r="N22" s="650" t="s">
        <v>283</v>
      </c>
      <c r="O22" s="650"/>
      <c r="P22" s="650"/>
      <c r="Q22" s="650"/>
      <c r="R22" s="650"/>
      <c r="S22" s="650"/>
      <c r="T22" s="650"/>
      <c r="U22" s="650"/>
      <c r="V22" s="650"/>
      <c r="W22" s="650"/>
      <c r="X22" s="650"/>
      <c r="Y22" s="650"/>
      <c r="Z22" s="650"/>
      <c r="AA22" s="650"/>
      <c r="AB22" s="650"/>
      <c r="AC22" s="651" t="s">
        <v>94</v>
      </c>
      <c r="AD22" s="651"/>
      <c r="AE22" s="651"/>
      <c r="AF22" s="651"/>
    </row>
    <row r="23" spans="1:38" ht="15" customHeight="1">
      <c r="A23" s="641" t="s">
        <v>36</v>
      </c>
      <c r="B23" s="641"/>
      <c r="C23" s="641"/>
      <c r="D23" s="641"/>
      <c r="E23" s="641"/>
      <c r="F23" s="641"/>
      <c r="G23" s="641"/>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8" ht="15.75" customHeight="1">
      <c r="A24" s="642"/>
      <c r="B24" s="642"/>
      <c r="C24" s="642"/>
      <c r="D24" s="642"/>
      <c r="E24" s="642"/>
      <c r="F24" s="642"/>
      <c r="G24" s="642"/>
      <c r="H24" s="642"/>
      <c r="I24" s="642"/>
      <c r="J24" s="642"/>
      <c r="K24" s="642"/>
      <c r="L24" s="642"/>
      <c r="M24" s="642"/>
      <c r="N24" s="642"/>
      <c r="O24" s="642"/>
      <c r="P24" s="642"/>
      <c r="Q24" s="642"/>
      <c r="R24" s="642"/>
      <c r="S24" s="642"/>
      <c r="T24" s="642"/>
      <c r="U24" s="642"/>
      <c r="V24" s="642"/>
      <c r="W24" s="642"/>
      <c r="X24" s="642"/>
      <c r="Y24" s="642"/>
      <c r="Z24" s="642"/>
      <c r="AA24" s="642"/>
      <c r="AB24" s="642"/>
      <c r="AC24" s="642"/>
      <c r="AD24" s="642"/>
      <c r="AE24" s="642"/>
      <c r="AF24" s="642"/>
      <c r="AG24" s="642"/>
    </row>
    <row r="25" spans="1:38" ht="22.5" customHeight="1">
      <c r="A25" s="642"/>
      <c r="B25" s="642"/>
      <c r="C25" s="642"/>
      <c r="D25" s="642"/>
      <c r="E25" s="642"/>
      <c r="F25" s="642"/>
      <c r="G25" s="642"/>
      <c r="H25" s="642"/>
      <c r="I25" s="642"/>
      <c r="J25" s="642"/>
      <c r="K25" s="642"/>
      <c r="L25" s="642"/>
      <c r="M25" s="642"/>
      <c r="N25" s="642"/>
      <c r="O25" s="642"/>
      <c r="P25" s="642"/>
      <c r="Q25" s="642"/>
      <c r="R25" s="642"/>
      <c r="S25" s="642"/>
      <c r="T25" s="642"/>
      <c r="U25" s="642"/>
      <c r="V25" s="642"/>
      <c r="W25" s="642"/>
      <c r="X25" s="642"/>
      <c r="Y25" s="642"/>
      <c r="Z25" s="642"/>
      <c r="AA25" s="642"/>
      <c r="AB25" s="642"/>
      <c r="AC25" s="642"/>
      <c r="AD25" s="642"/>
      <c r="AE25" s="642"/>
      <c r="AF25" s="642"/>
      <c r="AG25" s="8"/>
      <c r="AH25" s="8"/>
    </row>
    <row r="28" spans="1:38" ht="24.75" customHeight="1">
      <c r="AI28" s="6" t="s">
        <v>38</v>
      </c>
    </row>
    <row r="29" spans="1:38" ht="24.75" customHeight="1">
      <c r="AI29" s="6" t="s">
        <v>10</v>
      </c>
    </row>
    <row r="30" spans="1:38" ht="24.75" customHeight="1">
      <c r="AI30" s="6" t="s">
        <v>42</v>
      </c>
    </row>
    <row r="31" spans="1:38" ht="24.75" customHeight="1">
      <c r="AI31" s="6" t="s">
        <v>43</v>
      </c>
    </row>
    <row r="32" spans="1:38" ht="24.75" customHeight="1">
      <c r="AI32" s="6" t="s">
        <v>44</v>
      </c>
    </row>
    <row r="33" spans="35:35" ht="24.75" customHeight="1">
      <c r="AI33" s="6" t="s">
        <v>26</v>
      </c>
    </row>
    <row r="34" spans="35:35" ht="24.75" customHeight="1">
      <c r="AI34" s="6" t="s">
        <v>27</v>
      </c>
    </row>
    <row r="35" spans="35:35" ht="24.75" customHeight="1">
      <c r="AI35" s="6" t="s">
        <v>28</v>
      </c>
    </row>
    <row r="36" spans="35:35" ht="24.75" customHeight="1">
      <c r="AI36" s="6" t="s">
        <v>30</v>
      </c>
    </row>
    <row r="37" spans="35:35" ht="24.75" customHeight="1">
      <c r="AI37" s="6" t="s">
        <v>29</v>
      </c>
    </row>
    <row r="38" spans="35:35" ht="24.75" customHeight="1">
      <c r="AI38" s="6" t="s">
        <v>31</v>
      </c>
    </row>
    <row r="39" spans="35:35" ht="24.75" customHeight="1">
      <c r="AI39" s="6" t="s">
        <v>32</v>
      </c>
    </row>
    <row r="40" spans="35:35" ht="51">
      <c r="AI40" s="6" t="s">
        <v>33</v>
      </c>
    </row>
  </sheetData>
  <mergeCells count="80">
    <mergeCell ref="A4:D4"/>
    <mergeCell ref="E4:U4"/>
    <mergeCell ref="V4:W4"/>
    <mergeCell ref="X4:AC4"/>
    <mergeCell ref="AD4:AE4"/>
    <mergeCell ref="A1:B2"/>
    <mergeCell ref="C1:AE1"/>
    <mergeCell ref="AF1:AF2"/>
    <mergeCell ref="C2:AE2"/>
    <mergeCell ref="A3:AF3"/>
    <mergeCell ref="AF6:AF7"/>
    <mergeCell ref="A5:AF5"/>
    <mergeCell ref="A6:B6"/>
    <mergeCell ref="C6:C7"/>
    <mergeCell ref="D6:E7"/>
    <mergeCell ref="F6:F7"/>
    <mergeCell ref="G6:G7"/>
    <mergeCell ref="H6:H7"/>
    <mergeCell ref="I6:U6"/>
    <mergeCell ref="V6:V7"/>
    <mergeCell ref="W6:Y7"/>
    <mergeCell ref="Z6:Z7"/>
    <mergeCell ref="AA6:AA7"/>
    <mergeCell ref="AB6:AC6"/>
    <mergeCell ref="AD6:AD7"/>
    <mergeCell ref="AE6:AE7"/>
    <mergeCell ref="I7:N7"/>
    <mergeCell ref="O7:S7"/>
    <mergeCell ref="T7:U7"/>
    <mergeCell ref="A8:A11"/>
    <mergeCell ref="B8:B11"/>
    <mergeCell ref="C8:C11"/>
    <mergeCell ref="D8:E11"/>
    <mergeCell ref="F8:F11"/>
    <mergeCell ref="G8:G11"/>
    <mergeCell ref="H8:H11"/>
    <mergeCell ref="I8:N11"/>
    <mergeCell ref="O8:R11"/>
    <mergeCell ref="T8:U11"/>
    <mergeCell ref="V8:V11"/>
    <mergeCell ref="W8:Y8"/>
    <mergeCell ref="W9:Y9"/>
    <mergeCell ref="W10:Y10"/>
    <mergeCell ref="W11:Y11"/>
    <mergeCell ref="W12:Y12"/>
    <mergeCell ref="D13:E13"/>
    <mergeCell ref="I13:N13"/>
    <mergeCell ref="O13:R13"/>
    <mergeCell ref="T13:U13"/>
    <mergeCell ref="W13:Y13"/>
    <mergeCell ref="G14:G18"/>
    <mergeCell ref="D12:E12"/>
    <mergeCell ref="I12:N12"/>
    <mergeCell ref="O12:R12"/>
    <mergeCell ref="T12:U12"/>
    <mergeCell ref="H14:H18"/>
    <mergeCell ref="I14:N18"/>
    <mergeCell ref="O14:R18"/>
    <mergeCell ref="T14:U18"/>
    <mergeCell ref="A14:A18"/>
    <mergeCell ref="B14:B18"/>
    <mergeCell ref="C14:C18"/>
    <mergeCell ref="D14:E18"/>
    <mergeCell ref="F14:F18"/>
    <mergeCell ref="V14:V18"/>
    <mergeCell ref="A23:AF23"/>
    <mergeCell ref="A24:AG24"/>
    <mergeCell ref="A25:AF25"/>
    <mergeCell ref="A19:AF19"/>
    <mergeCell ref="A20:K21"/>
    <mergeCell ref="N20:AB21"/>
    <mergeCell ref="AC20:AF21"/>
    <mergeCell ref="A22:K22"/>
    <mergeCell ref="N22:AB22"/>
    <mergeCell ref="AC22:AF22"/>
    <mergeCell ref="W14:Y14"/>
    <mergeCell ref="W15:Y15"/>
    <mergeCell ref="W16:Y16"/>
    <mergeCell ref="W17:Y17"/>
    <mergeCell ref="W18:Y18"/>
  </mergeCells>
  <conditionalFormatting sqref="AD8:AD9">
    <cfRule type="cellIs" dxfId="457" priority="93" operator="between">
      <formula>0.001</formula>
      <formula>0.99</formula>
    </cfRule>
    <cfRule type="cellIs" dxfId="456" priority="94" operator="equal">
      <formula>1</formula>
    </cfRule>
    <cfRule type="cellIs" dxfId="455" priority="95" operator="equal">
      <formula>0</formula>
    </cfRule>
  </conditionalFormatting>
  <conditionalFormatting sqref="AD8:AD9">
    <cfRule type="cellIs" dxfId="454" priority="96" operator="between">
      <formula>0.01</formula>
      <formula>0.99</formula>
    </cfRule>
    <cfRule type="cellIs" dxfId="453" priority="97" operator="equal">
      <formula>1</formula>
    </cfRule>
    <cfRule type="cellIs" dxfId="452" priority="98" operator="equal">
      <formula>0</formula>
    </cfRule>
  </conditionalFormatting>
  <conditionalFormatting sqref="AA8:AA11">
    <cfRule type="cellIs" dxfId="451" priority="91" stopIfTrue="1" operator="greaterThan">
      <formula>#REF!</formula>
    </cfRule>
    <cfRule type="cellIs" dxfId="450" priority="92" stopIfTrue="1" operator="lessThan">
      <formula>#REF!</formula>
    </cfRule>
  </conditionalFormatting>
  <conditionalFormatting sqref="AD12:AD13">
    <cfRule type="cellIs" dxfId="449" priority="85" operator="between">
      <formula>0.001</formula>
      <formula>0.99</formula>
    </cfRule>
    <cfRule type="cellIs" dxfId="448" priority="86" operator="equal">
      <formula>1</formula>
    </cfRule>
    <cfRule type="cellIs" dxfId="447" priority="87" operator="equal">
      <formula>0</formula>
    </cfRule>
  </conditionalFormatting>
  <conditionalFormatting sqref="AD12:AD13">
    <cfRule type="cellIs" dxfId="446" priority="88" operator="between">
      <formula>0.01</formula>
      <formula>0.99</formula>
    </cfRule>
    <cfRule type="cellIs" dxfId="445" priority="89" operator="equal">
      <formula>1</formula>
    </cfRule>
    <cfRule type="cellIs" dxfId="444" priority="90" operator="equal">
      <formula>0</formula>
    </cfRule>
  </conditionalFormatting>
  <conditionalFormatting sqref="AA12:AA13">
    <cfRule type="cellIs" dxfId="443" priority="83" stopIfTrue="1" operator="greaterThan">
      <formula>#REF!</formula>
    </cfRule>
    <cfRule type="cellIs" dxfId="442" priority="84" stopIfTrue="1" operator="lessThan">
      <formula>#REF!</formula>
    </cfRule>
  </conditionalFormatting>
  <conditionalFormatting sqref="AD14:AD16">
    <cfRule type="cellIs" dxfId="441" priority="77" operator="between">
      <formula>0.001</formula>
      <formula>0.99</formula>
    </cfRule>
    <cfRule type="cellIs" dxfId="440" priority="78" operator="equal">
      <formula>1</formula>
    </cfRule>
    <cfRule type="cellIs" dxfId="439" priority="79" operator="equal">
      <formula>0</formula>
    </cfRule>
  </conditionalFormatting>
  <conditionalFormatting sqref="AD14:AD16">
    <cfRule type="cellIs" dxfId="438" priority="80" operator="between">
      <formula>0.01</formula>
      <formula>0.99</formula>
    </cfRule>
    <cfRule type="cellIs" dxfId="437" priority="81" operator="equal">
      <formula>1</formula>
    </cfRule>
    <cfRule type="cellIs" dxfId="436" priority="82" operator="equal">
      <formula>0</formula>
    </cfRule>
  </conditionalFormatting>
  <conditionalFormatting sqref="AA14:AA18">
    <cfRule type="cellIs" dxfId="435" priority="75" stopIfTrue="1" operator="greaterThan">
      <formula>#REF!</formula>
    </cfRule>
    <cfRule type="cellIs" dxfId="434" priority="76" stopIfTrue="1" operator="lessThan">
      <formula>#REF!</formula>
    </cfRule>
  </conditionalFormatting>
  <conditionalFormatting sqref="AD10:AD11">
    <cfRule type="cellIs" dxfId="433" priority="43" operator="between">
      <formula>0.001</formula>
      <formula>0.99</formula>
    </cfRule>
    <cfRule type="cellIs" dxfId="432" priority="44" operator="equal">
      <formula>1</formula>
    </cfRule>
    <cfRule type="cellIs" dxfId="431" priority="45" operator="equal">
      <formula>0</formula>
    </cfRule>
  </conditionalFormatting>
  <conditionalFormatting sqref="AD10:AD11">
    <cfRule type="cellIs" dxfId="430" priority="46" operator="between">
      <formula>0.01</formula>
      <formula>0.99</formula>
    </cfRule>
    <cfRule type="cellIs" dxfId="429" priority="47" operator="equal">
      <formula>1</formula>
    </cfRule>
    <cfRule type="cellIs" dxfId="428" priority="48" operator="equal">
      <formula>0</formula>
    </cfRule>
  </conditionalFormatting>
  <conditionalFormatting sqref="AD17">
    <cfRule type="cellIs" dxfId="427" priority="37" operator="between">
      <formula>0.001</formula>
      <formula>0.99</formula>
    </cfRule>
    <cfRule type="cellIs" dxfId="426" priority="38" operator="equal">
      <formula>1</formula>
    </cfRule>
    <cfRule type="cellIs" dxfId="425" priority="39" operator="equal">
      <formula>0</formula>
    </cfRule>
  </conditionalFormatting>
  <conditionalFormatting sqref="AD17">
    <cfRule type="cellIs" dxfId="424" priority="40" operator="between">
      <formula>0.01</formula>
      <formula>0.99</formula>
    </cfRule>
    <cfRule type="cellIs" dxfId="423" priority="41" operator="equal">
      <formula>1</formula>
    </cfRule>
    <cfRule type="cellIs" dxfId="422" priority="42" operator="equal">
      <formula>0</formula>
    </cfRule>
  </conditionalFormatting>
  <conditionalFormatting sqref="AD18">
    <cfRule type="cellIs" dxfId="421" priority="31" operator="between">
      <formula>0.001</formula>
      <formula>0.99</formula>
    </cfRule>
    <cfRule type="cellIs" dxfId="420" priority="32" operator="equal">
      <formula>1</formula>
    </cfRule>
    <cfRule type="cellIs" dxfId="419" priority="33" operator="equal">
      <formula>0</formula>
    </cfRule>
  </conditionalFormatting>
  <conditionalFormatting sqref="AD18">
    <cfRule type="cellIs" dxfId="418" priority="34" operator="between">
      <formula>0.01</formula>
      <formula>0.99</formula>
    </cfRule>
    <cfRule type="cellIs" dxfId="417" priority="35" operator="equal">
      <formula>1</formula>
    </cfRule>
    <cfRule type="cellIs" dxfId="416" priority="36" operator="equal">
      <formula>0</formula>
    </cfRule>
  </conditionalFormatting>
  <dataValidations count="4">
    <dataValidation type="date" showInputMessage="1" showErrorMessage="1" error="Debe Digitar una Fecha Valida o Verificar la Fecha Inicial" sqref="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AC65550:AC65554 JY65550:JY65554 TU65550:TU65554 ADQ65550:ADQ65554 ANM65550:ANM65554 AXI65550:AXI65554 BHE65550:BHE65554 BRA65550:BRA65554 CAW65550:CAW65554 CKS65550:CKS65554 CUO65550:CUO65554 DEK65550:DEK65554 DOG65550:DOG65554 DYC65550:DYC65554 EHY65550:EHY65554 ERU65550:ERU65554 FBQ65550:FBQ65554 FLM65550:FLM65554 FVI65550:FVI65554 GFE65550:GFE65554 GPA65550:GPA65554 GYW65550:GYW65554 HIS65550:HIS65554 HSO65550:HSO65554 ICK65550:ICK65554 IMG65550:IMG65554 IWC65550:IWC65554 JFY65550:JFY65554 JPU65550:JPU65554 JZQ65550:JZQ65554 KJM65550:KJM65554 KTI65550:KTI65554 LDE65550:LDE65554 LNA65550:LNA65554 LWW65550:LWW65554 MGS65550:MGS65554 MQO65550:MQO65554 NAK65550:NAK65554 NKG65550:NKG65554 NUC65550:NUC65554 ODY65550:ODY65554 ONU65550:ONU65554 OXQ65550:OXQ65554 PHM65550:PHM65554 PRI65550:PRI65554 QBE65550:QBE65554 QLA65550:QLA65554 QUW65550:QUW65554 RES65550:RES65554 ROO65550:ROO65554 RYK65550:RYK65554 SIG65550:SIG65554 SSC65550:SSC65554 TBY65550:TBY65554 TLU65550:TLU65554 TVQ65550:TVQ65554 UFM65550:UFM65554 UPI65550:UPI65554 UZE65550:UZE65554 VJA65550:VJA65554 VSW65550:VSW65554 WCS65550:WCS65554 WMO65550:WMO65554 WWK65550:WWK65554 AC131086:AC131090 JY131086:JY131090 TU131086:TU131090 ADQ131086:ADQ131090 ANM131086:ANM131090 AXI131086:AXI131090 BHE131086:BHE131090 BRA131086:BRA131090 CAW131086:CAW131090 CKS131086:CKS131090 CUO131086:CUO131090 DEK131086:DEK131090 DOG131086:DOG131090 DYC131086:DYC131090 EHY131086:EHY131090 ERU131086:ERU131090 FBQ131086:FBQ131090 FLM131086:FLM131090 FVI131086:FVI131090 GFE131086:GFE131090 GPA131086:GPA131090 GYW131086:GYW131090 HIS131086:HIS131090 HSO131086:HSO131090 ICK131086:ICK131090 IMG131086:IMG131090 IWC131086:IWC131090 JFY131086:JFY131090 JPU131086:JPU131090 JZQ131086:JZQ131090 KJM131086:KJM131090 KTI131086:KTI131090 LDE131086:LDE131090 LNA131086:LNA131090 LWW131086:LWW131090 MGS131086:MGS131090 MQO131086:MQO131090 NAK131086:NAK131090 NKG131086:NKG131090 NUC131086:NUC131090 ODY131086:ODY131090 ONU131086:ONU131090 OXQ131086:OXQ131090 PHM131086:PHM131090 PRI131086:PRI131090 QBE131086:QBE131090 QLA131086:QLA131090 QUW131086:QUW131090 RES131086:RES131090 ROO131086:ROO131090 RYK131086:RYK131090 SIG131086:SIG131090 SSC131086:SSC131090 TBY131086:TBY131090 TLU131086:TLU131090 TVQ131086:TVQ131090 UFM131086:UFM131090 UPI131086:UPI131090 UZE131086:UZE131090 VJA131086:VJA131090 VSW131086:VSW131090 WCS131086:WCS131090 WMO131086:WMO131090 WWK131086:WWK131090 AC196622:AC196626 JY196622:JY196626 TU196622:TU196626 ADQ196622:ADQ196626 ANM196622:ANM196626 AXI196622:AXI196626 BHE196622:BHE196626 BRA196622:BRA196626 CAW196622:CAW196626 CKS196622:CKS196626 CUO196622:CUO196626 DEK196622:DEK196626 DOG196622:DOG196626 DYC196622:DYC196626 EHY196622:EHY196626 ERU196622:ERU196626 FBQ196622:FBQ196626 FLM196622:FLM196626 FVI196622:FVI196626 GFE196622:GFE196626 GPA196622:GPA196626 GYW196622:GYW196626 HIS196622:HIS196626 HSO196622:HSO196626 ICK196622:ICK196626 IMG196622:IMG196626 IWC196622:IWC196626 JFY196622:JFY196626 JPU196622:JPU196626 JZQ196622:JZQ196626 KJM196622:KJM196626 KTI196622:KTI196626 LDE196622:LDE196626 LNA196622:LNA196626 LWW196622:LWW196626 MGS196622:MGS196626 MQO196622:MQO196626 NAK196622:NAK196626 NKG196622:NKG196626 NUC196622:NUC196626 ODY196622:ODY196626 ONU196622:ONU196626 OXQ196622:OXQ196626 PHM196622:PHM196626 PRI196622:PRI196626 QBE196622:QBE196626 QLA196622:QLA196626 QUW196622:QUW196626 RES196622:RES196626 ROO196622:ROO196626 RYK196622:RYK196626 SIG196622:SIG196626 SSC196622:SSC196626 TBY196622:TBY196626 TLU196622:TLU196626 TVQ196622:TVQ196626 UFM196622:UFM196626 UPI196622:UPI196626 UZE196622:UZE196626 VJA196622:VJA196626 VSW196622:VSW196626 WCS196622:WCS196626 WMO196622:WMO196626 WWK196622:WWK196626 AC262158:AC262162 JY262158:JY262162 TU262158:TU262162 ADQ262158:ADQ262162 ANM262158:ANM262162 AXI262158:AXI262162 BHE262158:BHE262162 BRA262158:BRA262162 CAW262158:CAW262162 CKS262158:CKS262162 CUO262158:CUO262162 DEK262158:DEK262162 DOG262158:DOG262162 DYC262158:DYC262162 EHY262158:EHY262162 ERU262158:ERU262162 FBQ262158:FBQ262162 FLM262158:FLM262162 FVI262158:FVI262162 GFE262158:GFE262162 GPA262158:GPA262162 GYW262158:GYW262162 HIS262158:HIS262162 HSO262158:HSO262162 ICK262158:ICK262162 IMG262158:IMG262162 IWC262158:IWC262162 JFY262158:JFY262162 JPU262158:JPU262162 JZQ262158:JZQ262162 KJM262158:KJM262162 KTI262158:KTI262162 LDE262158:LDE262162 LNA262158:LNA262162 LWW262158:LWW262162 MGS262158:MGS262162 MQO262158:MQO262162 NAK262158:NAK262162 NKG262158:NKG262162 NUC262158:NUC262162 ODY262158:ODY262162 ONU262158:ONU262162 OXQ262158:OXQ262162 PHM262158:PHM262162 PRI262158:PRI262162 QBE262158:QBE262162 QLA262158:QLA262162 QUW262158:QUW262162 RES262158:RES262162 ROO262158:ROO262162 RYK262158:RYK262162 SIG262158:SIG262162 SSC262158:SSC262162 TBY262158:TBY262162 TLU262158:TLU262162 TVQ262158:TVQ262162 UFM262158:UFM262162 UPI262158:UPI262162 UZE262158:UZE262162 VJA262158:VJA262162 VSW262158:VSW262162 WCS262158:WCS262162 WMO262158:WMO262162 WWK262158:WWK262162 AC327694:AC327698 JY327694:JY327698 TU327694:TU327698 ADQ327694:ADQ327698 ANM327694:ANM327698 AXI327694:AXI327698 BHE327694:BHE327698 BRA327694:BRA327698 CAW327694:CAW327698 CKS327694:CKS327698 CUO327694:CUO327698 DEK327694:DEK327698 DOG327694:DOG327698 DYC327694:DYC327698 EHY327694:EHY327698 ERU327694:ERU327698 FBQ327694:FBQ327698 FLM327694:FLM327698 FVI327694:FVI327698 GFE327694:GFE327698 GPA327694:GPA327698 GYW327694:GYW327698 HIS327694:HIS327698 HSO327694:HSO327698 ICK327694:ICK327698 IMG327694:IMG327698 IWC327694:IWC327698 JFY327694:JFY327698 JPU327694:JPU327698 JZQ327694:JZQ327698 KJM327694:KJM327698 KTI327694:KTI327698 LDE327694:LDE327698 LNA327694:LNA327698 LWW327694:LWW327698 MGS327694:MGS327698 MQO327694:MQO327698 NAK327694:NAK327698 NKG327694:NKG327698 NUC327694:NUC327698 ODY327694:ODY327698 ONU327694:ONU327698 OXQ327694:OXQ327698 PHM327694:PHM327698 PRI327694:PRI327698 QBE327694:QBE327698 QLA327694:QLA327698 QUW327694:QUW327698 RES327694:RES327698 ROO327694:ROO327698 RYK327694:RYK327698 SIG327694:SIG327698 SSC327694:SSC327698 TBY327694:TBY327698 TLU327694:TLU327698 TVQ327694:TVQ327698 UFM327694:UFM327698 UPI327694:UPI327698 UZE327694:UZE327698 VJA327694:VJA327698 VSW327694:VSW327698 WCS327694:WCS327698 WMO327694:WMO327698 WWK327694:WWK327698 AC393230:AC393234 JY393230:JY393234 TU393230:TU393234 ADQ393230:ADQ393234 ANM393230:ANM393234 AXI393230:AXI393234 BHE393230:BHE393234 BRA393230:BRA393234 CAW393230:CAW393234 CKS393230:CKS393234 CUO393230:CUO393234 DEK393230:DEK393234 DOG393230:DOG393234 DYC393230:DYC393234 EHY393230:EHY393234 ERU393230:ERU393234 FBQ393230:FBQ393234 FLM393230:FLM393234 FVI393230:FVI393234 GFE393230:GFE393234 GPA393230:GPA393234 GYW393230:GYW393234 HIS393230:HIS393234 HSO393230:HSO393234 ICK393230:ICK393234 IMG393230:IMG393234 IWC393230:IWC393234 JFY393230:JFY393234 JPU393230:JPU393234 JZQ393230:JZQ393234 KJM393230:KJM393234 KTI393230:KTI393234 LDE393230:LDE393234 LNA393230:LNA393234 LWW393230:LWW393234 MGS393230:MGS393234 MQO393230:MQO393234 NAK393230:NAK393234 NKG393230:NKG393234 NUC393230:NUC393234 ODY393230:ODY393234 ONU393230:ONU393234 OXQ393230:OXQ393234 PHM393230:PHM393234 PRI393230:PRI393234 QBE393230:QBE393234 QLA393230:QLA393234 QUW393230:QUW393234 RES393230:RES393234 ROO393230:ROO393234 RYK393230:RYK393234 SIG393230:SIG393234 SSC393230:SSC393234 TBY393230:TBY393234 TLU393230:TLU393234 TVQ393230:TVQ393234 UFM393230:UFM393234 UPI393230:UPI393234 UZE393230:UZE393234 VJA393230:VJA393234 VSW393230:VSW393234 WCS393230:WCS393234 WMO393230:WMO393234 WWK393230:WWK393234 AC458766:AC458770 JY458766:JY458770 TU458766:TU458770 ADQ458766:ADQ458770 ANM458766:ANM458770 AXI458766:AXI458770 BHE458766:BHE458770 BRA458766:BRA458770 CAW458766:CAW458770 CKS458766:CKS458770 CUO458766:CUO458770 DEK458766:DEK458770 DOG458766:DOG458770 DYC458766:DYC458770 EHY458766:EHY458770 ERU458766:ERU458770 FBQ458766:FBQ458770 FLM458766:FLM458770 FVI458766:FVI458770 GFE458766:GFE458770 GPA458766:GPA458770 GYW458766:GYW458770 HIS458766:HIS458770 HSO458766:HSO458770 ICK458766:ICK458770 IMG458766:IMG458770 IWC458766:IWC458770 JFY458766:JFY458770 JPU458766:JPU458770 JZQ458766:JZQ458770 KJM458766:KJM458770 KTI458766:KTI458770 LDE458766:LDE458770 LNA458766:LNA458770 LWW458766:LWW458770 MGS458766:MGS458770 MQO458766:MQO458770 NAK458766:NAK458770 NKG458766:NKG458770 NUC458766:NUC458770 ODY458766:ODY458770 ONU458766:ONU458770 OXQ458766:OXQ458770 PHM458766:PHM458770 PRI458766:PRI458770 QBE458766:QBE458770 QLA458766:QLA458770 QUW458766:QUW458770 RES458766:RES458770 ROO458766:ROO458770 RYK458766:RYK458770 SIG458766:SIG458770 SSC458766:SSC458770 TBY458766:TBY458770 TLU458766:TLU458770 TVQ458766:TVQ458770 UFM458766:UFM458770 UPI458766:UPI458770 UZE458766:UZE458770 VJA458766:VJA458770 VSW458766:VSW458770 WCS458766:WCS458770 WMO458766:WMO458770 WWK458766:WWK458770 AC524302:AC524306 JY524302:JY524306 TU524302:TU524306 ADQ524302:ADQ524306 ANM524302:ANM524306 AXI524302:AXI524306 BHE524302:BHE524306 BRA524302:BRA524306 CAW524302:CAW524306 CKS524302:CKS524306 CUO524302:CUO524306 DEK524302:DEK524306 DOG524302:DOG524306 DYC524302:DYC524306 EHY524302:EHY524306 ERU524302:ERU524306 FBQ524302:FBQ524306 FLM524302:FLM524306 FVI524302:FVI524306 GFE524302:GFE524306 GPA524302:GPA524306 GYW524302:GYW524306 HIS524302:HIS524306 HSO524302:HSO524306 ICK524302:ICK524306 IMG524302:IMG524306 IWC524302:IWC524306 JFY524302:JFY524306 JPU524302:JPU524306 JZQ524302:JZQ524306 KJM524302:KJM524306 KTI524302:KTI524306 LDE524302:LDE524306 LNA524302:LNA524306 LWW524302:LWW524306 MGS524302:MGS524306 MQO524302:MQO524306 NAK524302:NAK524306 NKG524302:NKG524306 NUC524302:NUC524306 ODY524302:ODY524306 ONU524302:ONU524306 OXQ524302:OXQ524306 PHM524302:PHM524306 PRI524302:PRI524306 QBE524302:QBE524306 QLA524302:QLA524306 QUW524302:QUW524306 RES524302:RES524306 ROO524302:ROO524306 RYK524302:RYK524306 SIG524302:SIG524306 SSC524302:SSC524306 TBY524302:TBY524306 TLU524302:TLU524306 TVQ524302:TVQ524306 UFM524302:UFM524306 UPI524302:UPI524306 UZE524302:UZE524306 VJA524302:VJA524306 VSW524302:VSW524306 WCS524302:WCS524306 WMO524302:WMO524306 WWK524302:WWK524306 AC589838:AC589842 JY589838:JY589842 TU589838:TU589842 ADQ589838:ADQ589842 ANM589838:ANM589842 AXI589838:AXI589842 BHE589838:BHE589842 BRA589838:BRA589842 CAW589838:CAW589842 CKS589838:CKS589842 CUO589838:CUO589842 DEK589838:DEK589842 DOG589838:DOG589842 DYC589838:DYC589842 EHY589838:EHY589842 ERU589838:ERU589842 FBQ589838:FBQ589842 FLM589838:FLM589842 FVI589838:FVI589842 GFE589838:GFE589842 GPA589838:GPA589842 GYW589838:GYW589842 HIS589838:HIS589842 HSO589838:HSO589842 ICK589838:ICK589842 IMG589838:IMG589842 IWC589838:IWC589842 JFY589838:JFY589842 JPU589838:JPU589842 JZQ589838:JZQ589842 KJM589838:KJM589842 KTI589838:KTI589842 LDE589838:LDE589842 LNA589838:LNA589842 LWW589838:LWW589842 MGS589838:MGS589842 MQO589838:MQO589842 NAK589838:NAK589842 NKG589838:NKG589842 NUC589838:NUC589842 ODY589838:ODY589842 ONU589838:ONU589842 OXQ589838:OXQ589842 PHM589838:PHM589842 PRI589838:PRI589842 QBE589838:QBE589842 QLA589838:QLA589842 QUW589838:QUW589842 RES589838:RES589842 ROO589838:ROO589842 RYK589838:RYK589842 SIG589838:SIG589842 SSC589838:SSC589842 TBY589838:TBY589842 TLU589838:TLU589842 TVQ589838:TVQ589842 UFM589838:UFM589842 UPI589838:UPI589842 UZE589838:UZE589842 VJA589838:VJA589842 VSW589838:VSW589842 WCS589838:WCS589842 WMO589838:WMO589842 WWK589838:WWK589842 AC655374:AC655378 JY655374:JY655378 TU655374:TU655378 ADQ655374:ADQ655378 ANM655374:ANM655378 AXI655374:AXI655378 BHE655374:BHE655378 BRA655374:BRA655378 CAW655374:CAW655378 CKS655374:CKS655378 CUO655374:CUO655378 DEK655374:DEK655378 DOG655374:DOG655378 DYC655374:DYC655378 EHY655374:EHY655378 ERU655374:ERU655378 FBQ655374:FBQ655378 FLM655374:FLM655378 FVI655374:FVI655378 GFE655374:GFE655378 GPA655374:GPA655378 GYW655374:GYW655378 HIS655374:HIS655378 HSO655374:HSO655378 ICK655374:ICK655378 IMG655374:IMG655378 IWC655374:IWC655378 JFY655374:JFY655378 JPU655374:JPU655378 JZQ655374:JZQ655378 KJM655374:KJM655378 KTI655374:KTI655378 LDE655374:LDE655378 LNA655374:LNA655378 LWW655374:LWW655378 MGS655374:MGS655378 MQO655374:MQO655378 NAK655374:NAK655378 NKG655374:NKG655378 NUC655374:NUC655378 ODY655374:ODY655378 ONU655374:ONU655378 OXQ655374:OXQ655378 PHM655374:PHM655378 PRI655374:PRI655378 QBE655374:QBE655378 QLA655374:QLA655378 QUW655374:QUW655378 RES655374:RES655378 ROO655374:ROO655378 RYK655374:RYK655378 SIG655374:SIG655378 SSC655374:SSC655378 TBY655374:TBY655378 TLU655374:TLU655378 TVQ655374:TVQ655378 UFM655374:UFM655378 UPI655374:UPI655378 UZE655374:UZE655378 VJA655374:VJA655378 VSW655374:VSW655378 WCS655374:WCS655378 WMO655374:WMO655378 WWK655374:WWK655378 AC720910:AC720914 JY720910:JY720914 TU720910:TU720914 ADQ720910:ADQ720914 ANM720910:ANM720914 AXI720910:AXI720914 BHE720910:BHE720914 BRA720910:BRA720914 CAW720910:CAW720914 CKS720910:CKS720914 CUO720910:CUO720914 DEK720910:DEK720914 DOG720910:DOG720914 DYC720910:DYC720914 EHY720910:EHY720914 ERU720910:ERU720914 FBQ720910:FBQ720914 FLM720910:FLM720914 FVI720910:FVI720914 GFE720910:GFE720914 GPA720910:GPA720914 GYW720910:GYW720914 HIS720910:HIS720914 HSO720910:HSO720914 ICK720910:ICK720914 IMG720910:IMG720914 IWC720910:IWC720914 JFY720910:JFY720914 JPU720910:JPU720914 JZQ720910:JZQ720914 KJM720910:KJM720914 KTI720910:KTI720914 LDE720910:LDE720914 LNA720910:LNA720914 LWW720910:LWW720914 MGS720910:MGS720914 MQO720910:MQO720914 NAK720910:NAK720914 NKG720910:NKG720914 NUC720910:NUC720914 ODY720910:ODY720914 ONU720910:ONU720914 OXQ720910:OXQ720914 PHM720910:PHM720914 PRI720910:PRI720914 QBE720910:QBE720914 QLA720910:QLA720914 QUW720910:QUW720914 RES720910:RES720914 ROO720910:ROO720914 RYK720910:RYK720914 SIG720910:SIG720914 SSC720910:SSC720914 TBY720910:TBY720914 TLU720910:TLU720914 TVQ720910:TVQ720914 UFM720910:UFM720914 UPI720910:UPI720914 UZE720910:UZE720914 VJA720910:VJA720914 VSW720910:VSW720914 WCS720910:WCS720914 WMO720910:WMO720914 WWK720910:WWK720914 AC786446:AC786450 JY786446:JY786450 TU786446:TU786450 ADQ786446:ADQ786450 ANM786446:ANM786450 AXI786446:AXI786450 BHE786446:BHE786450 BRA786446:BRA786450 CAW786446:CAW786450 CKS786446:CKS786450 CUO786446:CUO786450 DEK786446:DEK786450 DOG786446:DOG786450 DYC786446:DYC786450 EHY786446:EHY786450 ERU786446:ERU786450 FBQ786446:FBQ786450 FLM786446:FLM786450 FVI786446:FVI786450 GFE786446:GFE786450 GPA786446:GPA786450 GYW786446:GYW786450 HIS786446:HIS786450 HSO786446:HSO786450 ICK786446:ICK786450 IMG786446:IMG786450 IWC786446:IWC786450 JFY786446:JFY786450 JPU786446:JPU786450 JZQ786446:JZQ786450 KJM786446:KJM786450 KTI786446:KTI786450 LDE786446:LDE786450 LNA786446:LNA786450 LWW786446:LWW786450 MGS786446:MGS786450 MQO786446:MQO786450 NAK786446:NAK786450 NKG786446:NKG786450 NUC786446:NUC786450 ODY786446:ODY786450 ONU786446:ONU786450 OXQ786446:OXQ786450 PHM786446:PHM786450 PRI786446:PRI786450 QBE786446:QBE786450 QLA786446:QLA786450 QUW786446:QUW786450 RES786446:RES786450 ROO786446:ROO786450 RYK786446:RYK786450 SIG786446:SIG786450 SSC786446:SSC786450 TBY786446:TBY786450 TLU786446:TLU786450 TVQ786446:TVQ786450 UFM786446:UFM786450 UPI786446:UPI786450 UZE786446:UZE786450 VJA786446:VJA786450 VSW786446:VSW786450 WCS786446:WCS786450 WMO786446:WMO786450 WWK786446:WWK786450 AC851982:AC851986 JY851982:JY851986 TU851982:TU851986 ADQ851982:ADQ851986 ANM851982:ANM851986 AXI851982:AXI851986 BHE851982:BHE851986 BRA851982:BRA851986 CAW851982:CAW851986 CKS851982:CKS851986 CUO851982:CUO851986 DEK851982:DEK851986 DOG851982:DOG851986 DYC851982:DYC851986 EHY851982:EHY851986 ERU851982:ERU851986 FBQ851982:FBQ851986 FLM851982:FLM851986 FVI851982:FVI851986 GFE851982:GFE851986 GPA851982:GPA851986 GYW851982:GYW851986 HIS851982:HIS851986 HSO851982:HSO851986 ICK851982:ICK851986 IMG851982:IMG851986 IWC851982:IWC851986 JFY851982:JFY851986 JPU851982:JPU851986 JZQ851982:JZQ851986 KJM851982:KJM851986 KTI851982:KTI851986 LDE851982:LDE851986 LNA851982:LNA851986 LWW851982:LWW851986 MGS851982:MGS851986 MQO851982:MQO851986 NAK851982:NAK851986 NKG851982:NKG851986 NUC851982:NUC851986 ODY851982:ODY851986 ONU851982:ONU851986 OXQ851982:OXQ851986 PHM851982:PHM851986 PRI851982:PRI851986 QBE851982:QBE851986 QLA851982:QLA851986 QUW851982:QUW851986 RES851982:RES851986 ROO851982:ROO851986 RYK851982:RYK851986 SIG851982:SIG851986 SSC851982:SSC851986 TBY851982:TBY851986 TLU851982:TLU851986 TVQ851982:TVQ851986 UFM851982:UFM851986 UPI851982:UPI851986 UZE851982:UZE851986 VJA851982:VJA851986 VSW851982:VSW851986 WCS851982:WCS851986 WMO851982:WMO851986 WWK851982:WWK851986 AC917518:AC917522 JY917518:JY917522 TU917518:TU917522 ADQ917518:ADQ917522 ANM917518:ANM917522 AXI917518:AXI917522 BHE917518:BHE917522 BRA917518:BRA917522 CAW917518:CAW917522 CKS917518:CKS917522 CUO917518:CUO917522 DEK917518:DEK917522 DOG917518:DOG917522 DYC917518:DYC917522 EHY917518:EHY917522 ERU917518:ERU917522 FBQ917518:FBQ917522 FLM917518:FLM917522 FVI917518:FVI917522 GFE917518:GFE917522 GPA917518:GPA917522 GYW917518:GYW917522 HIS917518:HIS917522 HSO917518:HSO917522 ICK917518:ICK917522 IMG917518:IMG917522 IWC917518:IWC917522 JFY917518:JFY917522 JPU917518:JPU917522 JZQ917518:JZQ917522 KJM917518:KJM917522 KTI917518:KTI917522 LDE917518:LDE917522 LNA917518:LNA917522 LWW917518:LWW917522 MGS917518:MGS917522 MQO917518:MQO917522 NAK917518:NAK917522 NKG917518:NKG917522 NUC917518:NUC917522 ODY917518:ODY917522 ONU917518:ONU917522 OXQ917518:OXQ917522 PHM917518:PHM917522 PRI917518:PRI917522 QBE917518:QBE917522 QLA917518:QLA917522 QUW917518:QUW917522 RES917518:RES917522 ROO917518:ROO917522 RYK917518:RYK917522 SIG917518:SIG917522 SSC917518:SSC917522 TBY917518:TBY917522 TLU917518:TLU917522 TVQ917518:TVQ917522 UFM917518:UFM917522 UPI917518:UPI917522 UZE917518:UZE917522 VJA917518:VJA917522 VSW917518:VSW917522 WCS917518:WCS917522 WMO917518:WMO917522 WWK917518:WWK917522 AC983054:AC983058 JY983054:JY983058 TU983054:TU983058 ADQ983054:ADQ983058 ANM983054:ANM983058 AXI983054:AXI983058 BHE983054:BHE983058 BRA983054:BRA983058 CAW983054:CAW983058 CKS983054:CKS983058 CUO983054:CUO983058 DEK983054:DEK983058 DOG983054:DOG983058 DYC983054:DYC983058 EHY983054:EHY983058 ERU983054:ERU983058 FBQ983054:FBQ983058 FLM983054:FLM983058 FVI983054:FVI983058 GFE983054:GFE983058 GPA983054:GPA983058 GYW983054:GYW983058 HIS983054:HIS983058 HSO983054:HSO983058 ICK983054:ICK983058 IMG983054:IMG983058 IWC983054:IWC983058 JFY983054:JFY983058 JPU983054:JPU983058 JZQ983054:JZQ983058 KJM983054:KJM983058 KTI983054:KTI983058 LDE983054:LDE983058 LNA983054:LNA983058 LWW983054:LWW983058 MGS983054:MGS983058 MQO983054:MQO983058 NAK983054:NAK983058 NKG983054:NKG983058 NUC983054:NUC983058 ODY983054:ODY983058 ONU983054:ONU983058 OXQ983054:OXQ983058 PHM983054:PHM983058 PRI983054:PRI983058 QBE983054:QBE983058 QLA983054:QLA983058 QUW983054:QUW983058 RES983054:RES983058 ROO983054:ROO983058 RYK983054:RYK983058 SIG983054:SIG983058 SSC983054:SSC983058 TBY983054:TBY983058 TLU983054:TLU983058 TVQ983054:TVQ983058 UFM983054:UFM983058 UPI983054:UPI983058 UZE983054:UZE983058 VJA983054:VJA983058 VSW983054:VSW983058 WCS983054:WCS983058 WMO983054:WMO983058 WWK983054:WWK983058 WMO8:WMO18 WCS8:WCS18 VSW8:VSW18 VJA8:VJA18 UZE8:UZE18 UPI8:UPI18 UFM8:UFM18 TVQ8:TVQ18 TLU8:TLU18 TBY8:TBY18 SSC8:SSC18 SIG8:SIG18 RYK8:RYK18 ROO8:ROO18 RES8:RES18 QUW8:QUW18 QLA8:QLA18 QBE8:QBE18 PRI8:PRI18 PHM8:PHM18 OXQ8:OXQ18 ONU8:ONU18 ODY8:ODY18 NUC8:NUC18 NKG8:NKG18 NAK8:NAK18 MQO8:MQO18 MGS8:MGS18 LWW8:LWW18 LNA8:LNA18 LDE8:LDE18 KTI8:KTI18 KJM8:KJM18 JZQ8:JZQ18 JPU8:JPU18 JFY8:JFY18 IWC8:IWC18 IMG8:IMG18 ICK8:ICK18 HSO8:HSO18 HIS8:HIS18 GYW8:GYW18 GPA8:GPA18 GFE8:GFE18 FVI8:FVI18 FLM8:FLM18 FBQ8:FBQ18 ERU8:ERU18 EHY8:EHY18 DYC8:DYC18 DOG8:DOG18 DEK8:DEK18 CUO8:CUO18 CKS8:CKS18 CAW8:CAW18 BRA8:BRA18 BHE8:BHE18 AXI8:AXI18 ANM8:ANM18 ADQ8:ADQ18 TU8:TU18 JY8:JY18 WWK8:WWK18">
      <formula1>AB8</formula1>
      <formula2>IF(AB8&lt;&gt;0,IF(AC8-AB8&gt;=0,AC8,),)</formula2>
    </dataValidation>
    <dataValidation type="list" allowBlank="1" showInputMessage="1" showErrorMessage="1" sqref="AE65548:AE65554 KA65548:KA65554 TW65548:TW65554 ADS65548:ADS65554 ANO65548:ANO65554 AXK65548:AXK65554 BHG65548:BHG65554 BRC65548:BRC65554 CAY65548:CAY65554 CKU65548:CKU65554 CUQ65548:CUQ65554 DEM65548:DEM65554 DOI65548:DOI65554 DYE65548:DYE65554 EIA65548:EIA65554 ERW65548:ERW65554 FBS65548:FBS65554 FLO65548:FLO65554 FVK65548:FVK65554 GFG65548:GFG65554 GPC65548:GPC65554 GYY65548:GYY65554 HIU65548:HIU65554 HSQ65548:HSQ65554 ICM65548:ICM65554 IMI65548:IMI65554 IWE65548:IWE65554 JGA65548:JGA65554 JPW65548:JPW65554 JZS65548:JZS65554 KJO65548:KJO65554 KTK65548:KTK65554 LDG65548:LDG65554 LNC65548:LNC65554 LWY65548:LWY65554 MGU65548:MGU65554 MQQ65548:MQQ65554 NAM65548:NAM65554 NKI65548:NKI65554 NUE65548:NUE65554 OEA65548:OEA65554 ONW65548:ONW65554 OXS65548:OXS65554 PHO65548:PHO65554 PRK65548:PRK65554 QBG65548:QBG65554 QLC65548:QLC65554 QUY65548:QUY65554 REU65548:REU65554 ROQ65548:ROQ65554 RYM65548:RYM65554 SII65548:SII65554 SSE65548:SSE65554 TCA65548:TCA65554 TLW65548:TLW65554 TVS65548:TVS65554 UFO65548:UFO65554 UPK65548:UPK65554 UZG65548:UZG65554 VJC65548:VJC65554 VSY65548:VSY65554 WCU65548:WCU65554 WMQ65548:WMQ65554 WWM65548:WWM65554 AE131084:AE131090 KA131084:KA131090 TW131084:TW131090 ADS131084:ADS131090 ANO131084:ANO131090 AXK131084:AXK131090 BHG131084:BHG131090 BRC131084:BRC131090 CAY131084:CAY131090 CKU131084:CKU131090 CUQ131084:CUQ131090 DEM131084:DEM131090 DOI131084:DOI131090 DYE131084:DYE131090 EIA131084:EIA131090 ERW131084:ERW131090 FBS131084:FBS131090 FLO131084:FLO131090 FVK131084:FVK131090 GFG131084:GFG131090 GPC131084:GPC131090 GYY131084:GYY131090 HIU131084:HIU131090 HSQ131084:HSQ131090 ICM131084:ICM131090 IMI131084:IMI131090 IWE131084:IWE131090 JGA131084:JGA131090 JPW131084:JPW131090 JZS131084:JZS131090 KJO131084:KJO131090 KTK131084:KTK131090 LDG131084:LDG131090 LNC131084:LNC131090 LWY131084:LWY131090 MGU131084:MGU131090 MQQ131084:MQQ131090 NAM131084:NAM131090 NKI131084:NKI131090 NUE131084:NUE131090 OEA131084:OEA131090 ONW131084:ONW131090 OXS131084:OXS131090 PHO131084:PHO131090 PRK131084:PRK131090 QBG131084:QBG131090 QLC131084:QLC131090 QUY131084:QUY131090 REU131084:REU131090 ROQ131084:ROQ131090 RYM131084:RYM131090 SII131084:SII131090 SSE131084:SSE131090 TCA131084:TCA131090 TLW131084:TLW131090 TVS131084:TVS131090 UFO131084:UFO131090 UPK131084:UPK131090 UZG131084:UZG131090 VJC131084:VJC131090 VSY131084:VSY131090 WCU131084:WCU131090 WMQ131084:WMQ131090 WWM131084:WWM131090 AE196620:AE196626 KA196620:KA196626 TW196620:TW196626 ADS196620:ADS196626 ANO196620:ANO196626 AXK196620:AXK196626 BHG196620:BHG196626 BRC196620:BRC196626 CAY196620:CAY196626 CKU196620:CKU196626 CUQ196620:CUQ196626 DEM196620:DEM196626 DOI196620:DOI196626 DYE196620:DYE196626 EIA196620:EIA196626 ERW196620:ERW196626 FBS196620:FBS196626 FLO196620:FLO196626 FVK196620:FVK196626 GFG196620:GFG196626 GPC196620:GPC196626 GYY196620:GYY196626 HIU196620:HIU196626 HSQ196620:HSQ196626 ICM196620:ICM196626 IMI196620:IMI196626 IWE196620:IWE196626 JGA196620:JGA196626 JPW196620:JPW196626 JZS196620:JZS196626 KJO196620:KJO196626 KTK196620:KTK196626 LDG196620:LDG196626 LNC196620:LNC196626 LWY196620:LWY196626 MGU196620:MGU196626 MQQ196620:MQQ196626 NAM196620:NAM196626 NKI196620:NKI196626 NUE196620:NUE196626 OEA196620:OEA196626 ONW196620:ONW196626 OXS196620:OXS196626 PHO196620:PHO196626 PRK196620:PRK196626 QBG196620:QBG196626 QLC196620:QLC196626 QUY196620:QUY196626 REU196620:REU196626 ROQ196620:ROQ196626 RYM196620:RYM196626 SII196620:SII196626 SSE196620:SSE196626 TCA196620:TCA196626 TLW196620:TLW196626 TVS196620:TVS196626 UFO196620:UFO196626 UPK196620:UPK196626 UZG196620:UZG196626 VJC196620:VJC196626 VSY196620:VSY196626 WCU196620:WCU196626 WMQ196620:WMQ196626 WWM196620:WWM196626 AE262156:AE262162 KA262156:KA262162 TW262156:TW262162 ADS262156:ADS262162 ANO262156:ANO262162 AXK262156:AXK262162 BHG262156:BHG262162 BRC262156:BRC262162 CAY262156:CAY262162 CKU262156:CKU262162 CUQ262156:CUQ262162 DEM262156:DEM262162 DOI262156:DOI262162 DYE262156:DYE262162 EIA262156:EIA262162 ERW262156:ERW262162 FBS262156:FBS262162 FLO262156:FLO262162 FVK262156:FVK262162 GFG262156:GFG262162 GPC262156:GPC262162 GYY262156:GYY262162 HIU262156:HIU262162 HSQ262156:HSQ262162 ICM262156:ICM262162 IMI262156:IMI262162 IWE262156:IWE262162 JGA262156:JGA262162 JPW262156:JPW262162 JZS262156:JZS262162 KJO262156:KJO262162 KTK262156:KTK262162 LDG262156:LDG262162 LNC262156:LNC262162 LWY262156:LWY262162 MGU262156:MGU262162 MQQ262156:MQQ262162 NAM262156:NAM262162 NKI262156:NKI262162 NUE262156:NUE262162 OEA262156:OEA262162 ONW262156:ONW262162 OXS262156:OXS262162 PHO262156:PHO262162 PRK262156:PRK262162 QBG262156:QBG262162 QLC262156:QLC262162 QUY262156:QUY262162 REU262156:REU262162 ROQ262156:ROQ262162 RYM262156:RYM262162 SII262156:SII262162 SSE262156:SSE262162 TCA262156:TCA262162 TLW262156:TLW262162 TVS262156:TVS262162 UFO262156:UFO262162 UPK262156:UPK262162 UZG262156:UZG262162 VJC262156:VJC262162 VSY262156:VSY262162 WCU262156:WCU262162 WMQ262156:WMQ262162 WWM262156:WWM262162 AE327692:AE327698 KA327692:KA327698 TW327692:TW327698 ADS327692:ADS327698 ANO327692:ANO327698 AXK327692:AXK327698 BHG327692:BHG327698 BRC327692:BRC327698 CAY327692:CAY327698 CKU327692:CKU327698 CUQ327692:CUQ327698 DEM327692:DEM327698 DOI327692:DOI327698 DYE327692:DYE327698 EIA327692:EIA327698 ERW327692:ERW327698 FBS327692:FBS327698 FLO327692:FLO327698 FVK327692:FVK327698 GFG327692:GFG327698 GPC327692:GPC327698 GYY327692:GYY327698 HIU327692:HIU327698 HSQ327692:HSQ327698 ICM327692:ICM327698 IMI327692:IMI327698 IWE327692:IWE327698 JGA327692:JGA327698 JPW327692:JPW327698 JZS327692:JZS327698 KJO327692:KJO327698 KTK327692:KTK327698 LDG327692:LDG327698 LNC327692:LNC327698 LWY327692:LWY327698 MGU327692:MGU327698 MQQ327692:MQQ327698 NAM327692:NAM327698 NKI327692:NKI327698 NUE327692:NUE327698 OEA327692:OEA327698 ONW327692:ONW327698 OXS327692:OXS327698 PHO327692:PHO327698 PRK327692:PRK327698 QBG327692:QBG327698 QLC327692:QLC327698 QUY327692:QUY327698 REU327692:REU327698 ROQ327692:ROQ327698 RYM327692:RYM327698 SII327692:SII327698 SSE327692:SSE327698 TCA327692:TCA327698 TLW327692:TLW327698 TVS327692:TVS327698 UFO327692:UFO327698 UPK327692:UPK327698 UZG327692:UZG327698 VJC327692:VJC327698 VSY327692:VSY327698 WCU327692:WCU327698 WMQ327692:WMQ327698 WWM327692:WWM327698 AE393228:AE393234 KA393228:KA393234 TW393228:TW393234 ADS393228:ADS393234 ANO393228:ANO393234 AXK393228:AXK393234 BHG393228:BHG393234 BRC393228:BRC393234 CAY393228:CAY393234 CKU393228:CKU393234 CUQ393228:CUQ393234 DEM393228:DEM393234 DOI393228:DOI393234 DYE393228:DYE393234 EIA393228:EIA393234 ERW393228:ERW393234 FBS393228:FBS393234 FLO393228:FLO393234 FVK393228:FVK393234 GFG393228:GFG393234 GPC393228:GPC393234 GYY393228:GYY393234 HIU393228:HIU393234 HSQ393228:HSQ393234 ICM393228:ICM393234 IMI393228:IMI393234 IWE393228:IWE393234 JGA393228:JGA393234 JPW393228:JPW393234 JZS393228:JZS393234 KJO393228:KJO393234 KTK393228:KTK393234 LDG393228:LDG393234 LNC393228:LNC393234 LWY393228:LWY393234 MGU393228:MGU393234 MQQ393228:MQQ393234 NAM393228:NAM393234 NKI393228:NKI393234 NUE393228:NUE393234 OEA393228:OEA393234 ONW393228:ONW393234 OXS393228:OXS393234 PHO393228:PHO393234 PRK393228:PRK393234 QBG393228:QBG393234 QLC393228:QLC393234 QUY393228:QUY393234 REU393228:REU393234 ROQ393228:ROQ393234 RYM393228:RYM393234 SII393228:SII393234 SSE393228:SSE393234 TCA393228:TCA393234 TLW393228:TLW393234 TVS393228:TVS393234 UFO393228:UFO393234 UPK393228:UPK393234 UZG393228:UZG393234 VJC393228:VJC393234 VSY393228:VSY393234 WCU393228:WCU393234 WMQ393228:WMQ393234 WWM393228:WWM393234 AE458764:AE458770 KA458764:KA458770 TW458764:TW458770 ADS458764:ADS458770 ANO458764:ANO458770 AXK458764:AXK458770 BHG458764:BHG458770 BRC458764:BRC458770 CAY458764:CAY458770 CKU458764:CKU458770 CUQ458764:CUQ458770 DEM458764:DEM458770 DOI458764:DOI458770 DYE458764:DYE458770 EIA458764:EIA458770 ERW458764:ERW458770 FBS458764:FBS458770 FLO458764:FLO458770 FVK458764:FVK458770 GFG458764:GFG458770 GPC458764:GPC458770 GYY458764:GYY458770 HIU458764:HIU458770 HSQ458764:HSQ458770 ICM458764:ICM458770 IMI458764:IMI458770 IWE458764:IWE458770 JGA458764:JGA458770 JPW458764:JPW458770 JZS458764:JZS458770 KJO458764:KJO458770 KTK458764:KTK458770 LDG458764:LDG458770 LNC458764:LNC458770 LWY458764:LWY458770 MGU458764:MGU458770 MQQ458764:MQQ458770 NAM458764:NAM458770 NKI458764:NKI458770 NUE458764:NUE458770 OEA458764:OEA458770 ONW458764:ONW458770 OXS458764:OXS458770 PHO458764:PHO458770 PRK458764:PRK458770 QBG458764:QBG458770 QLC458764:QLC458770 QUY458764:QUY458770 REU458764:REU458770 ROQ458764:ROQ458770 RYM458764:RYM458770 SII458764:SII458770 SSE458764:SSE458770 TCA458764:TCA458770 TLW458764:TLW458770 TVS458764:TVS458770 UFO458764:UFO458770 UPK458764:UPK458770 UZG458764:UZG458770 VJC458764:VJC458770 VSY458764:VSY458770 WCU458764:WCU458770 WMQ458764:WMQ458770 WWM458764:WWM458770 AE524300:AE524306 KA524300:KA524306 TW524300:TW524306 ADS524300:ADS524306 ANO524300:ANO524306 AXK524300:AXK524306 BHG524300:BHG524306 BRC524300:BRC524306 CAY524300:CAY524306 CKU524300:CKU524306 CUQ524300:CUQ524306 DEM524300:DEM524306 DOI524300:DOI524306 DYE524300:DYE524306 EIA524300:EIA524306 ERW524300:ERW524306 FBS524300:FBS524306 FLO524300:FLO524306 FVK524300:FVK524306 GFG524300:GFG524306 GPC524300:GPC524306 GYY524300:GYY524306 HIU524300:HIU524306 HSQ524300:HSQ524306 ICM524300:ICM524306 IMI524300:IMI524306 IWE524300:IWE524306 JGA524300:JGA524306 JPW524300:JPW524306 JZS524300:JZS524306 KJO524300:KJO524306 KTK524300:KTK524306 LDG524300:LDG524306 LNC524300:LNC524306 LWY524300:LWY524306 MGU524300:MGU524306 MQQ524300:MQQ524306 NAM524300:NAM524306 NKI524300:NKI524306 NUE524300:NUE524306 OEA524300:OEA524306 ONW524300:ONW524306 OXS524300:OXS524306 PHO524300:PHO524306 PRK524300:PRK524306 QBG524300:QBG524306 QLC524300:QLC524306 QUY524300:QUY524306 REU524300:REU524306 ROQ524300:ROQ524306 RYM524300:RYM524306 SII524300:SII524306 SSE524300:SSE524306 TCA524300:TCA524306 TLW524300:TLW524306 TVS524300:TVS524306 UFO524300:UFO524306 UPK524300:UPK524306 UZG524300:UZG524306 VJC524300:VJC524306 VSY524300:VSY524306 WCU524300:WCU524306 WMQ524300:WMQ524306 WWM524300:WWM524306 AE589836:AE589842 KA589836:KA589842 TW589836:TW589842 ADS589836:ADS589842 ANO589836:ANO589842 AXK589836:AXK589842 BHG589836:BHG589842 BRC589836:BRC589842 CAY589836:CAY589842 CKU589836:CKU589842 CUQ589836:CUQ589842 DEM589836:DEM589842 DOI589836:DOI589842 DYE589836:DYE589842 EIA589836:EIA589842 ERW589836:ERW589842 FBS589836:FBS589842 FLO589836:FLO589842 FVK589836:FVK589842 GFG589836:GFG589842 GPC589836:GPC589842 GYY589836:GYY589842 HIU589836:HIU589842 HSQ589836:HSQ589842 ICM589836:ICM589842 IMI589836:IMI589842 IWE589836:IWE589842 JGA589836:JGA589842 JPW589836:JPW589842 JZS589836:JZS589842 KJO589836:KJO589842 KTK589836:KTK589842 LDG589836:LDG589842 LNC589836:LNC589842 LWY589836:LWY589842 MGU589836:MGU589842 MQQ589836:MQQ589842 NAM589836:NAM589842 NKI589836:NKI589842 NUE589836:NUE589842 OEA589836:OEA589842 ONW589836:ONW589842 OXS589836:OXS589842 PHO589836:PHO589842 PRK589836:PRK589842 QBG589836:QBG589842 QLC589836:QLC589842 QUY589836:QUY589842 REU589836:REU589842 ROQ589836:ROQ589842 RYM589836:RYM589842 SII589836:SII589842 SSE589836:SSE589842 TCA589836:TCA589842 TLW589836:TLW589842 TVS589836:TVS589842 UFO589836:UFO589842 UPK589836:UPK589842 UZG589836:UZG589842 VJC589836:VJC589842 VSY589836:VSY589842 WCU589836:WCU589842 WMQ589836:WMQ589842 WWM589836:WWM589842 AE655372:AE655378 KA655372:KA655378 TW655372:TW655378 ADS655372:ADS655378 ANO655372:ANO655378 AXK655372:AXK655378 BHG655372:BHG655378 BRC655372:BRC655378 CAY655372:CAY655378 CKU655372:CKU655378 CUQ655372:CUQ655378 DEM655372:DEM655378 DOI655372:DOI655378 DYE655372:DYE655378 EIA655372:EIA655378 ERW655372:ERW655378 FBS655372:FBS655378 FLO655372:FLO655378 FVK655372:FVK655378 GFG655372:GFG655378 GPC655372:GPC655378 GYY655372:GYY655378 HIU655372:HIU655378 HSQ655372:HSQ655378 ICM655372:ICM655378 IMI655372:IMI655378 IWE655372:IWE655378 JGA655372:JGA655378 JPW655372:JPW655378 JZS655372:JZS655378 KJO655372:KJO655378 KTK655372:KTK655378 LDG655372:LDG655378 LNC655372:LNC655378 LWY655372:LWY655378 MGU655372:MGU655378 MQQ655372:MQQ655378 NAM655372:NAM655378 NKI655372:NKI655378 NUE655372:NUE655378 OEA655372:OEA655378 ONW655372:ONW655378 OXS655372:OXS655378 PHO655372:PHO655378 PRK655372:PRK655378 QBG655372:QBG655378 QLC655372:QLC655378 QUY655372:QUY655378 REU655372:REU655378 ROQ655372:ROQ655378 RYM655372:RYM655378 SII655372:SII655378 SSE655372:SSE655378 TCA655372:TCA655378 TLW655372:TLW655378 TVS655372:TVS655378 UFO655372:UFO655378 UPK655372:UPK655378 UZG655372:UZG655378 VJC655372:VJC655378 VSY655372:VSY655378 WCU655372:WCU655378 WMQ655372:WMQ655378 WWM655372:WWM655378 AE720908:AE720914 KA720908:KA720914 TW720908:TW720914 ADS720908:ADS720914 ANO720908:ANO720914 AXK720908:AXK720914 BHG720908:BHG720914 BRC720908:BRC720914 CAY720908:CAY720914 CKU720908:CKU720914 CUQ720908:CUQ720914 DEM720908:DEM720914 DOI720908:DOI720914 DYE720908:DYE720914 EIA720908:EIA720914 ERW720908:ERW720914 FBS720908:FBS720914 FLO720908:FLO720914 FVK720908:FVK720914 GFG720908:GFG720914 GPC720908:GPC720914 GYY720908:GYY720914 HIU720908:HIU720914 HSQ720908:HSQ720914 ICM720908:ICM720914 IMI720908:IMI720914 IWE720908:IWE720914 JGA720908:JGA720914 JPW720908:JPW720914 JZS720908:JZS720914 KJO720908:KJO720914 KTK720908:KTK720914 LDG720908:LDG720914 LNC720908:LNC720914 LWY720908:LWY720914 MGU720908:MGU720914 MQQ720908:MQQ720914 NAM720908:NAM720914 NKI720908:NKI720914 NUE720908:NUE720914 OEA720908:OEA720914 ONW720908:ONW720914 OXS720908:OXS720914 PHO720908:PHO720914 PRK720908:PRK720914 QBG720908:QBG720914 QLC720908:QLC720914 QUY720908:QUY720914 REU720908:REU720914 ROQ720908:ROQ720914 RYM720908:RYM720914 SII720908:SII720914 SSE720908:SSE720914 TCA720908:TCA720914 TLW720908:TLW720914 TVS720908:TVS720914 UFO720908:UFO720914 UPK720908:UPK720914 UZG720908:UZG720914 VJC720908:VJC720914 VSY720908:VSY720914 WCU720908:WCU720914 WMQ720908:WMQ720914 WWM720908:WWM720914 AE786444:AE786450 KA786444:KA786450 TW786444:TW786450 ADS786444:ADS786450 ANO786444:ANO786450 AXK786444:AXK786450 BHG786444:BHG786450 BRC786444:BRC786450 CAY786444:CAY786450 CKU786444:CKU786450 CUQ786444:CUQ786450 DEM786444:DEM786450 DOI786444:DOI786450 DYE786444:DYE786450 EIA786444:EIA786450 ERW786444:ERW786450 FBS786444:FBS786450 FLO786444:FLO786450 FVK786444:FVK786450 GFG786444:GFG786450 GPC786444:GPC786450 GYY786444:GYY786450 HIU786444:HIU786450 HSQ786444:HSQ786450 ICM786444:ICM786450 IMI786444:IMI786450 IWE786444:IWE786450 JGA786444:JGA786450 JPW786444:JPW786450 JZS786444:JZS786450 KJO786444:KJO786450 KTK786444:KTK786450 LDG786444:LDG786450 LNC786444:LNC786450 LWY786444:LWY786450 MGU786444:MGU786450 MQQ786444:MQQ786450 NAM786444:NAM786450 NKI786444:NKI786450 NUE786444:NUE786450 OEA786444:OEA786450 ONW786444:ONW786450 OXS786444:OXS786450 PHO786444:PHO786450 PRK786444:PRK786450 QBG786444:QBG786450 QLC786444:QLC786450 QUY786444:QUY786450 REU786444:REU786450 ROQ786444:ROQ786450 RYM786444:RYM786450 SII786444:SII786450 SSE786444:SSE786450 TCA786444:TCA786450 TLW786444:TLW786450 TVS786444:TVS786450 UFO786444:UFO786450 UPK786444:UPK786450 UZG786444:UZG786450 VJC786444:VJC786450 VSY786444:VSY786450 WCU786444:WCU786450 WMQ786444:WMQ786450 WWM786444:WWM786450 AE851980:AE851986 KA851980:KA851986 TW851980:TW851986 ADS851980:ADS851986 ANO851980:ANO851986 AXK851980:AXK851986 BHG851980:BHG851986 BRC851980:BRC851986 CAY851980:CAY851986 CKU851980:CKU851986 CUQ851980:CUQ851986 DEM851980:DEM851986 DOI851980:DOI851986 DYE851980:DYE851986 EIA851980:EIA851986 ERW851980:ERW851986 FBS851980:FBS851986 FLO851980:FLO851986 FVK851980:FVK851986 GFG851980:GFG851986 GPC851980:GPC851986 GYY851980:GYY851986 HIU851980:HIU851986 HSQ851980:HSQ851986 ICM851980:ICM851986 IMI851980:IMI851986 IWE851980:IWE851986 JGA851980:JGA851986 JPW851980:JPW851986 JZS851980:JZS851986 KJO851980:KJO851986 KTK851980:KTK851986 LDG851980:LDG851986 LNC851980:LNC851986 LWY851980:LWY851986 MGU851980:MGU851986 MQQ851980:MQQ851986 NAM851980:NAM851986 NKI851980:NKI851986 NUE851980:NUE851986 OEA851980:OEA851986 ONW851980:ONW851986 OXS851980:OXS851986 PHO851980:PHO851986 PRK851980:PRK851986 QBG851980:QBG851986 QLC851980:QLC851986 QUY851980:QUY851986 REU851980:REU851986 ROQ851980:ROQ851986 RYM851980:RYM851986 SII851980:SII851986 SSE851980:SSE851986 TCA851980:TCA851986 TLW851980:TLW851986 TVS851980:TVS851986 UFO851980:UFO851986 UPK851980:UPK851986 UZG851980:UZG851986 VJC851980:VJC851986 VSY851980:VSY851986 WCU851980:WCU851986 WMQ851980:WMQ851986 WWM851980:WWM851986 AE917516:AE917522 KA917516:KA917522 TW917516:TW917522 ADS917516:ADS917522 ANO917516:ANO917522 AXK917516:AXK917522 BHG917516:BHG917522 BRC917516:BRC917522 CAY917516:CAY917522 CKU917516:CKU917522 CUQ917516:CUQ917522 DEM917516:DEM917522 DOI917516:DOI917522 DYE917516:DYE917522 EIA917516:EIA917522 ERW917516:ERW917522 FBS917516:FBS917522 FLO917516:FLO917522 FVK917516:FVK917522 GFG917516:GFG917522 GPC917516:GPC917522 GYY917516:GYY917522 HIU917516:HIU917522 HSQ917516:HSQ917522 ICM917516:ICM917522 IMI917516:IMI917522 IWE917516:IWE917522 JGA917516:JGA917522 JPW917516:JPW917522 JZS917516:JZS917522 KJO917516:KJO917522 KTK917516:KTK917522 LDG917516:LDG917522 LNC917516:LNC917522 LWY917516:LWY917522 MGU917516:MGU917522 MQQ917516:MQQ917522 NAM917516:NAM917522 NKI917516:NKI917522 NUE917516:NUE917522 OEA917516:OEA917522 ONW917516:ONW917522 OXS917516:OXS917522 PHO917516:PHO917522 PRK917516:PRK917522 QBG917516:QBG917522 QLC917516:QLC917522 QUY917516:QUY917522 REU917516:REU917522 ROQ917516:ROQ917522 RYM917516:RYM917522 SII917516:SII917522 SSE917516:SSE917522 TCA917516:TCA917522 TLW917516:TLW917522 TVS917516:TVS917522 UFO917516:UFO917522 UPK917516:UPK917522 UZG917516:UZG917522 VJC917516:VJC917522 VSY917516:VSY917522 WCU917516:WCU917522 WMQ917516:WMQ917522 WWM917516:WWM917522 AE983052:AE983058 KA983052:KA983058 TW983052:TW983058 ADS983052:ADS983058 ANO983052:ANO983058 AXK983052:AXK983058 BHG983052:BHG983058 BRC983052:BRC983058 CAY983052:CAY983058 CKU983052:CKU983058 CUQ983052:CUQ983058 DEM983052:DEM983058 DOI983052:DOI983058 DYE983052:DYE983058 EIA983052:EIA983058 ERW983052:ERW983058 FBS983052:FBS983058 FLO983052:FLO983058 FVK983052:FVK983058 GFG983052:GFG983058 GPC983052:GPC983058 GYY983052:GYY983058 HIU983052:HIU983058 HSQ983052:HSQ983058 ICM983052:ICM983058 IMI983052:IMI983058 IWE983052:IWE983058 JGA983052:JGA983058 JPW983052:JPW983058 JZS983052:JZS983058 KJO983052:KJO983058 KTK983052:KTK983058 LDG983052:LDG983058 LNC983052:LNC983058 LWY983052:LWY983058 MGU983052:MGU983058 MQQ983052:MQQ983058 NAM983052:NAM983058 NKI983052:NKI983058 NUE983052:NUE983058 OEA983052:OEA983058 ONW983052:ONW983058 OXS983052:OXS983058 PHO983052:PHO983058 PRK983052:PRK983058 QBG983052:QBG983058 QLC983052:QLC983058 QUY983052:QUY983058 REU983052:REU983058 ROQ983052:ROQ983058 RYM983052:RYM983058 SII983052:SII983058 SSE983052:SSE983058 TCA983052:TCA983058 TLW983052:TLW983058 TVS983052:TVS983058 UFO983052:UFO983058 UPK983052:UPK983058 UZG983052:UZG983058 VJC983052:VJC983058 VSY983052:VSY983058 WCU983052:WCU983058 WMQ983052:WMQ983058 WWM983052:WWM983058 AE8:AE18 BHG8:BHG18 AXK8:AXK18 ANO8:ANO18 BRC8:BRC18 TW8:TW18 KA8:KA18 ADS8:ADS18 WWM8:WWM18 WMQ8:WMQ18 WCU8:WCU18 VSY8:VSY18 VJC8:VJC18 UZG8:UZG18 UPK8:UPK18 UFO8:UFO18 TVS8:TVS18 TLW8:TLW18 TCA8:TCA18 SSE8:SSE18 SII8:SII18 RYM8:RYM18 ROQ8:ROQ18 REU8:REU18 QUY8:QUY18 QLC8:QLC18 QBG8:QBG18 PRK8:PRK18 PHO8:PHO18 OXS8:OXS18 ONW8:ONW18 OEA8:OEA18 NUE8:NUE18 NKI8:NKI18 NAM8:NAM18 MQQ8:MQQ18 MGU8:MGU18 LWY8:LWY18 LNC8:LNC18 LDG8:LDG18 KTK8:KTK18 KJO8:KJO18 JZS8:JZS18 JPW8:JPW18 JGA8:JGA18 IWE8:IWE18 IMI8:IMI18 ICM8:ICM18 HSQ8:HSQ18 HIU8:HIU18 GYY8:GYY18 GPC8:GPC18 GFG8:GFG18 FVK8:FVK18 FLO8:FLO18 FBS8:FBS18 ERW8:ERW18 EIA8:EIA18 DYE8:DYE18 DOI8:DOI18 DEM8:DEM18 CUQ8:CUQ18 CKU8:CKU18 CAY8:CAY18">
      <formula1>$AH$1:$AH$4</formula1>
    </dataValidation>
    <dataValidation type="list" allowBlank="1" showInputMessage="1" showErrorMessage="1" sqref="H65548:H65554 JD65548:JD65554 SZ65548:SZ65554 ACV65548:ACV65554 AMR65548:AMR65554 AWN65548:AWN65554 BGJ65548:BGJ65554 BQF65548:BQF65554 CAB65548:CAB65554 CJX65548:CJX65554 CTT65548:CTT65554 DDP65548:DDP65554 DNL65548:DNL65554 DXH65548:DXH65554 EHD65548:EHD65554 EQZ65548:EQZ65554 FAV65548:FAV65554 FKR65548:FKR65554 FUN65548:FUN65554 GEJ65548:GEJ65554 GOF65548:GOF65554 GYB65548:GYB65554 HHX65548:HHX65554 HRT65548:HRT65554 IBP65548:IBP65554 ILL65548:ILL65554 IVH65548:IVH65554 JFD65548:JFD65554 JOZ65548:JOZ65554 JYV65548:JYV65554 KIR65548:KIR65554 KSN65548:KSN65554 LCJ65548:LCJ65554 LMF65548:LMF65554 LWB65548:LWB65554 MFX65548:MFX65554 MPT65548:MPT65554 MZP65548:MZP65554 NJL65548:NJL65554 NTH65548:NTH65554 ODD65548:ODD65554 OMZ65548:OMZ65554 OWV65548:OWV65554 PGR65548:PGR65554 PQN65548:PQN65554 QAJ65548:QAJ65554 QKF65548:QKF65554 QUB65548:QUB65554 RDX65548:RDX65554 RNT65548:RNT65554 RXP65548:RXP65554 SHL65548:SHL65554 SRH65548:SRH65554 TBD65548:TBD65554 TKZ65548:TKZ65554 TUV65548:TUV65554 UER65548:UER65554 UON65548:UON65554 UYJ65548:UYJ65554 VIF65548:VIF65554 VSB65548:VSB65554 WBX65548:WBX65554 WLT65548:WLT65554 WVP65548:WVP65554 H131084:H131090 JD131084:JD131090 SZ131084:SZ131090 ACV131084:ACV131090 AMR131084:AMR131090 AWN131084:AWN131090 BGJ131084:BGJ131090 BQF131084:BQF131090 CAB131084:CAB131090 CJX131084:CJX131090 CTT131084:CTT131090 DDP131084:DDP131090 DNL131084:DNL131090 DXH131084:DXH131090 EHD131084:EHD131090 EQZ131084:EQZ131090 FAV131084:FAV131090 FKR131084:FKR131090 FUN131084:FUN131090 GEJ131084:GEJ131090 GOF131084:GOF131090 GYB131084:GYB131090 HHX131084:HHX131090 HRT131084:HRT131090 IBP131084:IBP131090 ILL131084:ILL131090 IVH131084:IVH131090 JFD131084:JFD131090 JOZ131084:JOZ131090 JYV131084:JYV131090 KIR131084:KIR131090 KSN131084:KSN131090 LCJ131084:LCJ131090 LMF131084:LMF131090 LWB131084:LWB131090 MFX131084:MFX131090 MPT131084:MPT131090 MZP131084:MZP131090 NJL131084:NJL131090 NTH131084:NTH131090 ODD131084:ODD131090 OMZ131084:OMZ131090 OWV131084:OWV131090 PGR131084:PGR131090 PQN131084:PQN131090 QAJ131084:QAJ131090 QKF131084:QKF131090 QUB131084:QUB131090 RDX131084:RDX131090 RNT131084:RNT131090 RXP131084:RXP131090 SHL131084:SHL131090 SRH131084:SRH131090 TBD131084:TBD131090 TKZ131084:TKZ131090 TUV131084:TUV131090 UER131084:UER131090 UON131084:UON131090 UYJ131084:UYJ131090 VIF131084:VIF131090 VSB131084:VSB131090 WBX131084:WBX131090 WLT131084:WLT131090 WVP131084:WVP131090 H196620:H196626 JD196620:JD196626 SZ196620:SZ196626 ACV196620:ACV196626 AMR196620:AMR196626 AWN196620:AWN196626 BGJ196620:BGJ196626 BQF196620:BQF196626 CAB196620:CAB196626 CJX196620:CJX196626 CTT196620:CTT196626 DDP196620:DDP196626 DNL196620:DNL196626 DXH196620:DXH196626 EHD196620:EHD196626 EQZ196620:EQZ196626 FAV196620:FAV196626 FKR196620:FKR196626 FUN196620:FUN196626 GEJ196620:GEJ196626 GOF196620:GOF196626 GYB196620:GYB196626 HHX196620:HHX196626 HRT196620:HRT196626 IBP196620:IBP196626 ILL196620:ILL196626 IVH196620:IVH196626 JFD196620:JFD196626 JOZ196620:JOZ196626 JYV196620:JYV196626 KIR196620:KIR196626 KSN196620:KSN196626 LCJ196620:LCJ196626 LMF196620:LMF196626 LWB196620:LWB196626 MFX196620:MFX196626 MPT196620:MPT196626 MZP196620:MZP196626 NJL196620:NJL196626 NTH196620:NTH196626 ODD196620:ODD196626 OMZ196620:OMZ196626 OWV196620:OWV196626 PGR196620:PGR196626 PQN196620:PQN196626 QAJ196620:QAJ196626 QKF196620:QKF196626 QUB196620:QUB196626 RDX196620:RDX196626 RNT196620:RNT196626 RXP196620:RXP196626 SHL196620:SHL196626 SRH196620:SRH196626 TBD196620:TBD196626 TKZ196620:TKZ196626 TUV196620:TUV196626 UER196620:UER196626 UON196620:UON196626 UYJ196620:UYJ196626 VIF196620:VIF196626 VSB196620:VSB196626 WBX196620:WBX196626 WLT196620:WLT196626 WVP196620:WVP196626 H262156:H262162 JD262156:JD262162 SZ262156:SZ262162 ACV262156:ACV262162 AMR262156:AMR262162 AWN262156:AWN262162 BGJ262156:BGJ262162 BQF262156:BQF262162 CAB262156:CAB262162 CJX262156:CJX262162 CTT262156:CTT262162 DDP262156:DDP262162 DNL262156:DNL262162 DXH262156:DXH262162 EHD262156:EHD262162 EQZ262156:EQZ262162 FAV262156:FAV262162 FKR262156:FKR262162 FUN262156:FUN262162 GEJ262156:GEJ262162 GOF262156:GOF262162 GYB262156:GYB262162 HHX262156:HHX262162 HRT262156:HRT262162 IBP262156:IBP262162 ILL262156:ILL262162 IVH262156:IVH262162 JFD262156:JFD262162 JOZ262156:JOZ262162 JYV262156:JYV262162 KIR262156:KIR262162 KSN262156:KSN262162 LCJ262156:LCJ262162 LMF262156:LMF262162 LWB262156:LWB262162 MFX262156:MFX262162 MPT262156:MPT262162 MZP262156:MZP262162 NJL262156:NJL262162 NTH262156:NTH262162 ODD262156:ODD262162 OMZ262156:OMZ262162 OWV262156:OWV262162 PGR262156:PGR262162 PQN262156:PQN262162 QAJ262156:QAJ262162 QKF262156:QKF262162 QUB262156:QUB262162 RDX262156:RDX262162 RNT262156:RNT262162 RXP262156:RXP262162 SHL262156:SHL262162 SRH262156:SRH262162 TBD262156:TBD262162 TKZ262156:TKZ262162 TUV262156:TUV262162 UER262156:UER262162 UON262156:UON262162 UYJ262156:UYJ262162 VIF262156:VIF262162 VSB262156:VSB262162 WBX262156:WBX262162 WLT262156:WLT262162 WVP262156:WVP262162 H327692:H327698 JD327692:JD327698 SZ327692:SZ327698 ACV327692:ACV327698 AMR327692:AMR327698 AWN327692:AWN327698 BGJ327692:BGJ327698 BQF327692:BQF327698 CAB327692:CAB327698 CJX327692:CJX327698 CTT327692:CTT327698 DDP327692:DDP327698 DNL327692:DNL327698 DXH327692:DXH327698 EHD327692:EHD327698 EQZ327692:EQZ327698 FAV327692:FAV327698 FKR327692:FKR327698 FUN327692:FUN327698 GEJ327692:GEJ327698 GOF327692:GOF327698 GYB327692:GYB327698 HHX327692:HHX327698 HRT327692:HRT327698 IBP327692:IBP327698 ILL327692:ILL327698 IVH327692:IVH327698 JFD327692:JFD327698 JOZ327692:JOZ327698 JYV327692:JYV327698 KIR327692:KIR327698 KSN327692:KSN327698 LCJ327692:LCJ327698 LMF327692:LMF327698 LWB327692:LWB327698 MFX327692:MFX327698 MPT327692:MPT327698 MZP327692:MZP327698 NJL327692:NJL327698 NTH327692:NTH327698 ODD327692:ODD327698 OMZ327692:OMZ327698 OWV327692:OWV327698 PGR327692:PGR327698 PQN327692:PQN327698 QAJ327692:QAJ327698 QKF327692:QKF327698 QUB327692:QUB327698 RDX327692:RDX327698 RNT327692:RNT327698 RXP327692:RXP327698 SHL327692:SHL327698 SRH327692:SRH327698 TBD327692:TBD327698 TKZ327692:TKZ327698 TUV327692:TUV327698 UER327692:UER327698 UON327692:UON327698 UYJ327692:UYJ327698 VIF327692:VIF327698 VSB327692:VSB327698 WBX327692:WBX327698 WLT327692:WLT327698 WVP327692:WVP327698 H393228:H393234 JD393228:JD393234 SZ393228:SZ393234 ACV393228:ACV393234 AMR393228:AMR393234 AWN393228:AWN393234 BGJ393228:BGJ393234 BQF393228:BQF393234 CAB393228:CAB393234 CJX393228:CJX393234 CTT393228:CTT393234 DDP393228:DDP393234 DNL393228:DNL393234 DXH393228:DXH393234 EHD393228:EHD393234 EQZ393228:EQZ393234 FAV393228:FAV393234 FKR393228:FKR393234 FUN393228:FUN393234 GEJ393228:GEJ393234 GOF393228:GOF393234 GYB393228:GYB393234 HHX393228:HHX393234 HRT393228:HRT393234 IBP393228:IBP393234 ILL393228:ILL393234 IVH393228:IVH393234 JFD393228:JFD393234 JOZ393228:JOZ393234 JYV393228:JYV393234 KIR393228:KIR393234 KSN393228:KSN393234 LCJ393228:LCJ393234 LMF393228:LMF393234 LWB393228:LWB393234 MFX393228:MFX393234 MPT393228:MPT393234 MZP393228:MZP393234 NJL393228:NJL393234 NTH393228:NTH393234 ODD393228:ODD393234 OMZ393228:OMZ393234 OWV393228:OWV393234 PGR393228:PGR393234 PQN393228:PQN393234 QAJ393228:QAJ393234 QKF393228:QKF393234 QUB393228:QUB393234 RDX393228:RDX393234 RNT393228:RNT393234 RXP393228:RXP393234 SHL393228:SHL393234 SRH393228:SRH393234 TBD393228:TBD393234 TKZ393228:TKZ393234 TUV393228:TUV393234 UER393228:UER393234 UON393228:UON393234 UYJ393228:UYJ393234 VIF393228:VIF393234 VSB393228:VSB393234 WBX393228:WBX393234 WLT393228:WLT393234 WVP393228:WVP393234 H458764:H458770 JD458764:JD458770 SZ458764:SZ458770 ACV458764:ACV458770 AMR458764:AMR458770 AWN458764:AWN458770 BGJ458764:BGJ458770 BQF458764:BQF458770 CAB458764:CAB458770 CJX458764:CJX458770 CTT458764:CTT458770 DDP458764:DDP458770 DNL458764:DNL458770 DXH458764:DXH458770 EHD458764:EHD458770 EQZ458764:EQZ458770 FAV458764:FAV458770 FKR458764:FKR458770 FUN458764:FUN458770 GEJ458764:GEJ458770 GOF458764:GOF458770 GYB458764:GYB458770 HHX458764:HHX458770 HRT458764:HRT458770 IBP458764:IBP458770 ILL458764:ILL458770 IVH458764:IVH458770 JFD458764:JFD458770 JOZ458764:JOZ458770 JYV458764:JYV458770 KIR458764:KIR458770 KSN458764:KSN458770 LCJ458764:LCJ458770 LMF458764:LMF458770 LWB458764:LWB458770 MFX458764:MFX458770 MPT458764:MPT458770 MZP458764:MZP458770 NJL458764:NJL458770 NTH458764:NTH458770 ODD458764:ODD458770 OMZ458764:OMZ458770 OWV458764:OWV458770 PGR458764:PGR458770 PQN458764:PQN458770 QAJ458764:QAJ458770 QKF458764:QKF458770 QUB458764:QUB458770 RDX458764:RDX458770 RNT458764:RNT458770 RXP458764:RXP458770 SHL458764:SHL458770 SRH458764:SRH458770 TBD458764:TBD458770 TKZ458764:TKZ458770 TUV458764:TUV458770 UER458764:UER458770 UON458764:UON458770 UYJ458764:UYJ458770 VIF458764:VIF458770 VSB458764:VSB458770 WBX458764:WBX458770 WLT458764:WLT458770 WVP458764:WVP458770 H524300:H524306 JD524300:JD524306 SZ524300:SZ524306 ACV524300:ACV524306 AMR524300:AMR524306 AWN524300:AWN524306 BGJ524300:BGJ524306 BQF524300:BQF524306 CAB524300:CAB524306 CJX524300:CJX524306 CTT524300:CTT524306 DDP524300:DDP524306 DNL524300:DNL524306 DXH524300:DXH524306 EHD524300:EHD524306 EQZ524300:EQZ524306 FAV524300:FAV524306 FKR524300:FKR524306 FUN524300:FUN524306 GEJ524300:GEJ524306 GOF524300:GOF524306 GYB524300:GYB524306 HHX524300:HHX524306 HRT524300:HRT524306 IBP524300:IBP524306 ILL524300:ILL524306 IVH524300:IVH524306 JFD524300:JFD524306 JOZ524300:JOZ524306 JYV524300:JYV524306 KIR524300:KIR524306 KSN524300:KSN524306 LCJ524300:LCJ524306 LMF524300:LMF524306 LWB524300:LWB524306 MFX524300:MFX524306 MPT524300:MPT524306 MZP524300:MZP524306 NJL524300:NJL524306 NTH524300:NTH524306 ODD524300:ODD524306 OMZ524300:OMZ524306 OWV524300:OWV524306 PGR524300:PGR524306 PQN524300:PQN524306 QAJ524300:QAJ524306 QKF524300:QKF524306 QUB524300:QUB524306 RDX524300:RDX524306 RNT524300:RNT524306 RXP524300:RXP524306 SHL524300:SHL524306 SRH524300:SRH524306 TBD524300:TBD524306 TKZ524300:TKZ524306 TUV524300:TUV524306 UER524300:UER524306 UON524300:UON524306 UYJ524300:UYJ524306 VIF524300:VIF524306 VSB524300:VSB524306 WBX524300:WBX524306 WLT524300:WLT524306 WVP524300:WVP524306 H589836:H589842 JD589836:JD589842 SZ589836:SZ589842 ACV589836:ACV589842 AMR589836:AMR589842 AWN589836:AWN589842 BGJ589836:BGJ589842 BQF589836:BQF589842 CAB589836:CAB589842 CJX589836:CJX589842 CTT589836:CTT589842 DDP589836:DDP589842 DNL589836:DNL589842 DXH589836:DXH589842 EHD589836:EHD589842 EQZ589836:EQZ589842 FAV589836:FAV589842 FKR589836:FKR589842 FUN589836:FUN589842 GEJ589836:GEJ589842 GOF589836:GOF589842 GYB589836:GYB589842 HHX589836:HHX589842 HRT589836:HRT589842 IBP589836:IBP589842 ILL589836:ILL589842 IVH589836:IVH589842 JFD589836:JFD589842 JOZ589836:JOZ589842 JYV589836:JYV589842 KIR589836:KIR589842 KSN589836:KSN589842 LCJ589836:LCJ589842 LMF589836:LMF589842 LWB589836:LWB589842 MFX589836:MFX589842 MPT589836:MPT589842 MZP589836:MZP589842 NJL589836:NJL589842 NTH589836:NTH589842 ODD589836:ODD589842 OMZ589836:OMZ589842 OWV589836:OWV589842 PGR589836:PGR589842 PQN589836:PQN589842 QAJ589836:QAJ589842 QKF589836:QKF589842 QUB589836:QUB589842 RDX589836:RDX589842 RNT589836:RNT589842 RXP589836:RXP589842 SHL589836:SHL589842 SRH589836:SRH589842 TBD589836:TBD589842 TKZ589836:TKZ589842 TUV589836:TUV589842 UER589836:UER589842 UON589836:UON589842 UYJ589836:UYJ589842 VIF589836:VIF589842 VSB589836:VSB589842 WBX589836:WBX589842 WLT589836:WLT589842 WVP589836:WVP589842 H655372:H655378 JD655372:JD655378 SZ655372:SZ655378 ACV655372:ACV655378 AMR655372:AMR655378 AWN655372:AWN655378 BGJ655372:BGJ655378 BQF655372:BQF655378 CAB655372:CAB655378 CJX655372:CJX655378 CTT655372:CTT655378 DDP655372:DDP655378 DNL655372:DNL655378 DXH655372:DXH655378 EHD655372:EHD655378 EQZ655372:EQZ655378 FAV655372:FAV655378 FKR655372:FKR655378 FUN655372:FUN655378 GEJ655372:GEJ655378 GOF655372:GOF655378 GYB655372:GYB655378 HHX655372:HHX655378 HRT655372:HRT655378 IBP655372:IBP655378 ILL655372:ILL655378 IVH655372:IVH655378 JFD655372:JFD655378 JOZ655372:JOZ655378 JYV655372:JYV655378 KIR655372:KIR655378 KSN655372:KSN655378 LCJ655372:LCJ655378 LMF655372:LMF655378 LWB655372:LWB655378 MFX655372:MFX655378 MPT655372:MPT655378 MZP655372:MZP655378 NJL655372:NJL655378 NTH655372:NTH655378 ODD655372:ODD655378 OMZ655372:OMZ655378 OWV655372:OWV655378 PGR655372:PGR655378 PQN655372:PQN655378 QAJ655372:QAJ655378 QKF655372:QKF655378 QUB655372:QUB655378 RDX655372:RDX655378 RNT655372:RNT655378 RXP655372:RXP655378 SHL655372:SHL655378 SRH655372:SRH655378 TBD655372:TBD655378 TKZ655372:TKZ655378 TUV655372:TUV655378 UER655372:UER655378 UON655372:UON655378 UYJ655372:UYJ655378 VIF655372:VIF655378 VSB655372:VSB655378 WBX655372:WBX655378 WLT655372:WLT655378 WVP655372:WVP655378 H720908:H720914 JD720908:JD720914 SZ720908:SZ720914 ACV720908:ACV720914 AMR720908:AMR720914 AWN720908:AWN720914 BGJ720908:BGJ720914 BQF720908:BQF720914 CAB720908:CAB720914 CJX720908:CJX720914 CTT720908:CTT720914 DDP720908:DDP720914 DNL720908:DNL720914 DXH720908:DXH720914 EHD720908:EHD720914 EQZ720908:EQZ720914 FAV720908:FAV720914 FKR720908:FKR720914 FUN720908:FUN720914 GEJ720908:GEJ720914 GOF720908:GOF720914 GYB720908:GYB720914 HHX720908:HHX720914 HRT720908:HRT720914 IBP720908:IBP720914 ILL720908:ILL720914 IVH720908:IVH720914 JFD720908:JFD720914 JOZ720908:JOZ720914 JYV720908:JYV720914 KIR720908:KIR720914 KSN720908:KSN720914 LCJ720908:LCJ720914 LMF720908:LMF720914 LWB720908:LWB720914 MFX720908:MFX720914 MPT720908:MPT720914 MZP720908:MZP720914 NJL720908:NJL720914 NTH720908:NTH720914 ODD720908:ODD720914 OMZ720908:OMZ720914 OWV720908:OWV720914 PGR720908:PGR720914 PQN720908:PQN720914 QAJ720908:QAJ720914 QKF720908:QKF720914 QUB720908:QUB720914 RDX720908:RDX720914 RNT720908:RNT720914 RXP720908:RXP720914 SHL720908:SHL720914 SRH720908:SRH720914 TBD720908:TBD720914 TKZ720908:TKZ720914 TUV720908:TUV720914 UER720908:UER720914 UON720908:UON720914 UYJ720908:UYJ720914 VIF720908:VIF720914 VSB720908:VSB720914 WBX720908:WBX720914 WLT720908:WLT720914 WVP720908:WVP720914 H786444:H786450 JD786444:JD786450 SZ786444:SZ786450 ACV786444:ACV786450 AMR786444:AMR786450 AWN786444:AWN786450 BGJ786444:BGJ786450 BQF786444:BQF786450 CAB786444:CAB786450 CJX786444:CJX786450 CTT786444:CTT786450 DDP786444:DDP786450 DNL786444:DNL786450 DXH786444:DXH786450 EHD786444:EHD786450 EQZ786444:EQZ786450 FAV786444:FAV786450 FKR786444:FKR786450 FUN786444:FUN786450 GEJ786444:GEJ786450 GOF786444:GOF786450 GYB786444:GYB786450 HHX786444:HHX786450 HRT786444:HRT786450 IBP786444:IBP786450 ILL786444:ILL786450 IVH786444:IVH786450 JFD786444:JFD786450 JOZ786444:JOZ786450 JYV786444:JYV786450 KIR786444:KIR786450 KSN786444:KSN786450 LCJ786444:LCJ786450 LMF786444:LMF786450 LWB786444:LWB786450 MFX786444:MFX786450 MPT786444:MPT786450 MZP786444:MZP786450 NJL786444:NJL786450 NTH786444:NTH786450 ODD786444:ODD786450 OMZ786444:OMZ786450 OWV786444:OWV786450 PGR786444:PGR786450 PQN786444:PQN786450 QAJ786444:QAJ786450 QKF786444:QKF786450 QUB786444:QUB786450 RDX786444:RDX786450 RNT786444:RNT786450 RXP786444:RXP786450 SHL786444:SHL786450 SRH786444:SRH786450 TBD786444:TBD786450 TKZ786444:TKZ786450 TUV786444:TUV786450 UER786444:UER786450 UON786444:UON786450 UYJ786444:UYJ786450 VIF786444:VIF786450 VSB786444:VSB786450 WBX786444:WBX786450 WLT786444:WLT786450 WVP786444:WVP786450 H851980:H851986 JD851980:JD851986 SZ851980:SZ851986 ACV851980:ACV851986 AMR851980:AMR851986 AWN851980:AWN851986 BGJ851980:BGJ851986 BQF851980:BQF851986 CAB851980:CAB851986 CJX851980:CJX851986 CTT851980:CTT851986 DDP851980:DDP851986 DNL851980:DNL851986 DXH851980:DXH851986 EHD851980:EHD851986 EQZ851980:EQZ851986 FAV851980:FAV851986 FKR851980:FKR851986 FUN851980:FUN851986 GEJ851980:GEJ851986 GOF851980:GOF851986 GYB851980:GYB851986 HHX851980:HHX851986 HRT851980:HRT851986 IBP851980:IBP851986 ILL851980:ILL851986 IVH851980:IVH851986 JFD851980:JFD851986 JOZ851980:JOZ851986 JYV851980:JYV851986 KIR851980:KIR851986 KSN851980:KSN851986 LCJ851980:LCJ851986 LMF851980:LMF851986 LWB851980:LWB851986 MFX851980:MFX851986 MPT851980:MPT851986 MZP851980:MZP851986 NJL851980:NJL851986 NTH851980:NTH851986 ODD851980:ODD851986 OMZ851980:OMZ851986 OWV851980:OWV851986 PGR851980:PGR851986 PQN851980:PQN851986 QAJ851980:QAJ851986 QKF851980:QKF851986 QUB851980:QUB851986 RDX851980:RDX851986 RNT851980:RNT851986 RXP851980:RXP851986 SHL851980:SHL851986 SRH851980:SRH851986 TBD851980:TBD851986 TKZ851980:TKZ851986 TUV851980:TUV851986 UER851980:UER851986 UON851980:UON851986 UYJ851980:UYJ851986 VIF851980:VIF851986 VSB851980:VSB851986 WBX851980:WBX851986 WLT851980:WLT851986 WVP851980:WVP851986 H917516:H917522 JD917516:JD917522 SZ917516:SZ917522 ACV917516:ACV917522 AMR917516:AMR917522 AWN917516:AWN917522 BGJ917516:BGJ917522 BQF917516:BQF917522 CAB917516:CAB917522 CJX917516:CJX917522 CTT917516:CTT917522 DDP917516:DDP917522 DNL917516:DNL917522 DXH917516:DXH917522 EHD917516:EHD917522 EQZ917516:EQZ917522 FAV917516:FAV917522 FKR917516:FKR917522 FUN917516:FUN917522 GEJ917516:GEJ917522 GOF917516:GOF917522 GYB917516:GYB917522 HHX917516:HHX917522 HRT917516:HRT917522 IBP917516:IBP917522 ILL917516:ILL917522 IVH917516:IVH917522 JFD917516:JFD917522 JOZ917516:JOZ917522 JYV917516:JYV917522 KIR917516:KIR917522 KSN917516:KSN917522 LCJ917516:LCJ917522 LMF917516:LMF917522 LWB917516:LWB917522 MFX917516:MFX917522 MPT917516:MPT917522 MZP917516:MZP917522 NJL917516:NJL917522 NTH917516:NTH917522 ODD917516:ODD917522 OMZ917516:OMZ917522 OWV917516:OWV917522 PGR917516:PGR917522 PQN917516:PQN917522 QAJ917516:QAJ917522 QKF917516:QKF917522 QUB917516:QUB917522 RDX917516:RDX917522 RNT917516:RNT917522 RXP917516:RXP917522 SHL917516:SHL917522 SRH917516:SRH917522 TBD917516:TBD917522 TKZ917516:TKZ917522 TUV917516:TUV917522 UER917516:UER917522 UON917516:UON917522 UYJ917516:UYJ917522 VIF917516:VIF917522 VSB917516:VSB917522 WBX917516:WBX917522 WLT917516:WLT917522 WVP917516:WVP917522 H983052:H983058 JD983052:JD983058 SZ983052:SZ983058 ACV983052:ACV983058 AMR983052:AMR983058 AWN983052:AWN983058 BGJ983052:BGJ983058 BQF983052:BQF983058 CAB983052:CAB983058 CJX983052:CJX983058 CTT983052:CTT983058 DDP983052:DDP983058 DNL983052:DNL983058 DXH983052:DXH983058 EHD983052:EHD983058 EQZ983052:EQZ983058 FAV983052:FAV983058 FKR983052:FKR983058 FUN983052:FUN983058 GEJ983052:GEJ983058 GOF983052:GOF983058 GYB983052:GYB983058 HHX983052:HHX983058 HRT983052:HRT983058 IBP983052:IBP983058 ILL983052:ILL983058 IVH983052:IVH983058 JFD983052:JFD983058 JOZ983052:JOZ983058 JYV983052:JYV983058 KIR983052:KIR983058 KSN983052:KSN983058 LCJ983052:LCJ983058 LMF983052:LMF983058 LWB983052:LWB983058 MFX983052:MFX983058 MPT983052:MPT983058 MZP983052:MZP983058 NJL983052:NJL983058 NTH983052:NTH983058 ODD983052:ODD983058 OMZ983052:OMZ983058 OWV983052:OWV983058 PGR983052:PGR983058 PQN983052:PQN983058 QAJ983052:QAJ983058 QKF983052:QKF983058 QUB983052:QUB983058 RDX983052:RDX983058 RNT983052:RNT983058 RXP983052:RXP983058 SHL983052:SHL983058 SRH983052:SRH983058 TBD983052:TBD983058 TKZ983052:TKZ983058 TUV983052:TUV983058 UER983052:UER983058 UON983052:UON983058 UYJ983052:UYJ983058 VIF983052:VIF983058 VSB983052:VSB983058 WBX983052:WBX983058 WLT983052:WLT983058 WVP983052:WVP983058 H12:H14 H8 BQF8:BQF18 BGJ8:BGJ18 AWN8:AWN18 AMR8:AMR18 SZ8:SZ18 JD8:JD18 ACV8:ACV18 WVP8:WVP18 WLT8:WLT18 WBX8:WBX18 VSB8:VSB18 VIF8:VIF18 UYJ8:UYJ18 UON8:UON18 UER8:UER18 TUV8:TUV18 TKZ8:TKZ18 TBD8:TBD18 SRH8:SRH18 SHL8:SHL18 RXP8:RXP18 RNT8:RNT18 RDX8:RDX18 QUB8:QUB18 QKF8:QKF18 QAJ8:QAJ18 PQN8:PQN18 PGR8:PGR18 OWV8:OWV18 OMZ8:OMZ18 ODD8:ODD18 NTH8:NTH18 NJL8:NJL18 MZP8:MZP18 MPT8:MPT18 MFX8:MFX18 LWB8:LWB18 LMF8:LMF18 LCJ8:LCJ18 KSN8:KSN18 KIR8:KIR18 JYV8:JYV18 JOZ8:JOZ18 JFD8:JFD18 IVH8:IVH18 ILL8:ILL18 IBP8:IBP18 HRT8:HRT18 HHX8:HHX18 GYB8:GYB18 GOF8:GOF18 GEJ8:GEJ18 FUN8:FUN18 FKR8:FKR18 FAV8:FAV18 EQZ8:EQZ18 EHD8:EHD18 DXH8:DXH18 DNL8:DNL18 DDP8:DDP18 CTT8:CTT18 CJX8:CJX18 CAB8:CAB18">
      <formula1>$AI$1:$AI$3</formula1>
    </dataValidation>
    <dataValidation type="list" allowBlank="1" showInputMessage="1" showErrorMessage="1" sqref="G65548:G65554 G8 G12:G14 SY8:SY18 ACU8:ACU18 AMQ8:AMQ18 AWM8:AWM18 BGI8:BGI18 BQE8:BQE18 CAA8:CAA18 CJW8:CJW18 CTS8:CTS18 DDO8:DDO18 DNK8:DNK18 DXG8:DXG18 EHC8:EHC18 EQY8:EQY18 FAU8:FAU18 FKQ8:FKQ18 FUM8:FUM18 GEI8:GEI18 GOE8:GOE18 GYA8:GYA18 HHW8:HHW18 HRS8:HRS18 IBO8:IBO18 ILK8:ILK18 IVG8:IVG18 JFC8:JFC18 JOY8:JOY18 JYU8:JYU18 KIQ8:KIQ18 KSM8:KSM18 LCI8:LCI18 LME8:LME18 LWA8:LWA18 MFW8:MFW18 MPS8:MPS18 MZO8:MZO18 NJK8:NJK18 NTG8:NTG18 ODC8:ODC18 OMY8:OMY18 OWU8:OWU18 PGQ8:PGQ18 PQM8:PQM18 QAI8:QAI18 QKE8:QKE18 QUA8:QUA18 RDW8:RDW18 RNS8:RNS18 RXO8:RXO18 SHK8:SHK18 SRG8:SRG18 TBC8:TBC18 TKY8:TKY18 TUU8:TUU18 UEQ8:UEQ18 UOM8:UOM18 UYI8:UYI18 VIE8:VIE18 VSA8:VSA18 WBW8:WBW18 WLS8:WLS18 WVO983052:WVO983058 JC65548:JC65554 SY65548:SY65554 ACU65548:ACU65554 AMQ65548:AMQ65554 AWM65548:AWM65554 BGI65548:BGI65554 BQE65548:BQE65554 CAA65548:CAA65554 CJW65548:CJW65554 CTS65548:CTS65554 DDO65548:DDO65554 DNK65548:DNK65554 DXG65548:DXG65554 EHC65548:EHC65554 EQY65548:EQY65554 FAU65548:FAU65554 FKQ65548:FKQ65554 FUM65548:FUM65554 GEI65548:GEI65554 GOE65548:GOE65554 GYA65548:GYA65554 HHW65548:HHW65554 HRS65548:HRS65554 IBO65548:IBO65554 ILK65548:ILK65554 IVG65548:IVG65554 JFC65548:JFC65554 JOY65548:JOY65554 JYU65548:JYU65554 KIQ65548:KIQ65554 KSM65548:KSM65554 LCI65548:LCI65554 LME65548:LME65554 LWA65548:LWA65554 MFW65548:MFW65554 MPS65548:MPS65554 MZO65548:MZO65554 NJK65548:NJK65554 NTG65548:NTG65554 ODC65548:ODC65554 OMY65548:OMY65554 OWU65548:OWU65554 PGQ65548:PGQ65554 PQM65548:PQM65554 QAI65548:QAI65554 QKE65548:QKE65554 QUA65548:QUA65554 RDW65548:RDW65554 RNS65548:RNS65554 RXO65548:RXO65554 SHK65548:SHK65554 SRG65548:SRG65554 TBC65548:TBC65554 TKY65548:TKY65554 TUU65548:TUU65554 UEQ65548:UEQ65554 UOM65548:UOM65554 UYI65548:UYI65554 VIE65548:VIE65554 VSA65548:VSA65554 WBW65548:WBW65554 WLS65548:WLS65554 WVO65548:WVO65554 G131084:G131090 JC131084:JC131090 SY131084:SY131090 ACU131084:ACU131090 AMQ131084:AMQ131090 AWM131084:AWM131090 BGI131084:BGI131090 BQE131084:BQE131090 CAA131084:CAA131090 CJW131084:CJW131090 CTS131084:CTS131090 DDO131084:DDO131090 DNK131084:DNK131090 DXG131084:DXG131090 EHC131084:EHC131090 EQY131084:EQY131090 FAU131084:FAU131090 FKQ131084:FKQ131090 FUM131084:FUM131090 GEI131084:GEI131090 GOE131084:GOE131090 GYA131084:GYA131090 HHW131084:HHW131090 HRS131084:HRS131090 IBO131084:IBO131090 ILK131084:ILK131090 IVG131084:IVG131090 JFC131084:JFC131090 JOY131084:JOY131090 JYU131084:JYU131090 KIQ131084:KIQ131090 KSM131084:KSM131090 LCI131084:LCI131090 LME131084:LME131090 LWA131084:LWA131090 MFW131084:MFW131090 MPS131084:MPS131090 MZO131084:MZO131090 NJK131084:NJK131090 NTG131084:NTG131090 ODC131084:ODC131090 OMY131084:OMY131090 OWU131084:OWU131090 PGQ131084:PGQ131090 PQM131084:PQM131090 QAI131084:QAI131090 QKE131084:QKE131090 QUA131084:QUA131090 RDW131084:RDW131090 RNS131084:RNS131090 RXO131084:RXO131090 SHK131084:SHK131090 SRG131084:SRG131090 TBC131084:TBC131090 TKY131084:TKY131090 TUU131084:TUU131090 UEQ131084:UEQ131090 UOM131084:UOM131090 UYI131084:UYI131090 VIE131084:VIE131090 VSA131084:VSA131090 WBW131084:WBW131090 WLS131084:WLS131090 WVO131084:WVO131090 G196620:G196626 JC196620:JC196626 SY196620:SY196626 ACU196620:ACU196626 AMQ196620:AMQ196626 AWM196620:AWM196626 BGI196620:BGI196626 BQE196620:BQE196626 CAA196620:CAA196626 CJW196620:CJW196626 CTS196620:CTS196626 DDO196620:DDO196626 DNK196620:DNK196626 DXG196620:DXG196626 EHC196620:EHC196626 EQY196620:EQY196626 FAU196620:FAU196626 FKQ196620:FKQ196626 FUM196620:FUM196626 GEI196620:GEI196626 GOE196620:GOE196626 GYA196620:GYA196626 HHW196620:HHW196626 HRS196620:HRS196626 IBO196620:IBO196626 ILK196620:ILK196626 IVG196620:IVG196626 JFC196620:JFC196626 JOY196620:JOY196626 JYU196620:JYU196626 KIQ196620:KIQ196626 KSM196620:KSM196626 LCI196620:LCI196626 LME196620:LME196626 LWA196620:LWA196626 MFW196620:MFW196626 MPS196620:MPS196626 MZO196620:MZO196626 NJK196620:NJK196626 NTG196620:NTG196626 ODC196620:ODC196626 OMY196620:OMY196626 OWU196620:OWU196626 PGQ196620:PGQ196626 PQM196620:PQM196626 QAI196620:QAI196626 QKE196620:QKE196626 QUA196620:QUA196626 RDW196620:RDW196626 RNS196620:RNS196626 RXO196620:RXO196626 SHK196620:SHK196626 SRG196620:SRG196626 TBC196620:TBC196626 TKY196620:TKY196626 TUU196620:TUU196626 UEQ196620:UEQ196626 UOM196620:UOM196626 UYI196620:UYI196626 VIE196620:VIE196626 VSA196620:VSA196626 WBW196620:WBW196626 WLS196620:WLS196626 WVO196620:WVO196626 G262156:G262162 JC262156:JC262162 SY262156:SY262162 ACU262156:ACU262162 AMQ262156:AMQ262162 AWM262156:AWM262162 BGI262156:BGI262162 BQE262156:BQE262162 CAA262156:CAA262162 CJW262156:CJW262162 CTS262156:CTS262162 DDO262156:DDO262162 DNK262156:DNK262162 DXG262156:DXG262162 EHC262156:EHC262162 EQY262156:EQY262162 FAU262156:FAU262162 FKQ262156:FKQ262162 FUM262156:FUM262162 GEI262156:GEI262162 GOE262156:GOE262162 GYA262156:GYA262162 HHW262156:HHW262162 HRS262156:HRS262162 IBO262156:IBO262162 ILK262156:ILK262162 IVG262156:IVG262162 JFC262156:JFC262162 JOY262156:JOY262162 JYU262156:JYU262162 KIQ262156:KIQ262162 KSM262156:KSM262162 LCI262156:LCI262162 LME262156:LME262162 LWA262156:LWA262162 MFW262156:MFW262162 MPS262156:MPS262162 MZO262156:MZO262162 NJK262156:NJK262162 NTG262156:NTG262162 ODC262156:ODC262162 OMY262156:OMY262162 OWU262156:OWU262162 PGQ262156:PGQ262162 PQM262156:PQM262162 QAI262156:QAI262162 QKE262156:QKE262162 QUA262156:QUA262162 RDW262156:RDW262162 RNS262156:RNS262162 RXO262156:RXO262162 SHK262156:SHK262162 SRG262156:SRG262162 TBC262156:TBC262162 TKY262156:TKY262162 TUU262156:TUU262162 UEQ262156:UEQ262162 UOM262156:UOM262162 UYI262156:UYI262162 VIE262156:VIE262162 VSA262156:VSA262162 WBW262156:WBW262162 WLS262156:WLS262162 WVO262156:WVO262162 G327692:G327698 JC327692:JC327698 SY327692:SY327698 ACU327692:ACU327698 AMQ327692:AMQ327698 AWM327692:AWM327698 BGI327692:BGI327698 BQE327692:BQE327698 CAA327692:CAA327698 CJW327692:CJW327698 CTS327692:CTS327698 DDO327692:DDO327698 DNK327692:DNK327698 DXG327692:DXG327698 EHC327692:EHC327698 EQY327692:EQY327698 FAU327692:FAU327698 FKQ327692:FKQ327698 FUM327692:FUM327698 GEI327692:GEI327698 GOE327692:GOE327698 GYA327692:GYA327698 HHW327692:HHW327698 HRS327692:HRS327698 IBO327692:IBO327698 ILK327692:ILK327698 IVG327692:IVG327698 JFC327692:JFC327698 JOY327692:JOY327698 JYU327692:JYU327698 KIQ327692:KIQ327698 KSM327692:KSM327698 LCI327692:LCI327698 LME327692:LME327698 LWA327692:LWA327698 MFW327692:MFW327698 MPS327692:MPS327698 MZO327692:MZO327698 NJK327692:NJK327698 NTG327692:NTG327698 ODC327692:ODC327698 OMY327692:OMY327698 OWU327692:OWU327698 PGQ327692:PGQ327698 PQM327692:PQM327698 QAI327692:QAI327698 QKE327692:QKE327698 QUA327692:QUA327698 RDW327692:RDW327698 RNS327692:RNS327698 RXO327692:RXO327698 SHK327692:SHK327698 SRG327692:SRG327698 TBC327692:TBC327698 TKY327692:TKY327698 TUU327692:TUU327698 UEQ327692:UEQ327698 UOM327692:UOM327698 UYI327692:UYI327698 VIE327692:VIE327698 VSA327692:VSA327698 WBW327692:WBW327698 WLS327692:WLS327698 WVO327692:WVO327698 G393228:G393234 JC393228:JC393234 SY393228:SY393234 ACU393228:ACU393234 AMQ393228:AMQ393234 AWM393228:AWM393234 BGI393228:BGI393234 BQE393228:BQE393234 CAA393228:CAA393234 CJW393228:CJW393234 CTS393228:CTS393234 DDO393228:DDO393234 DNK393228:DNK393234 DXG393228:DXG393234 EHC393228:EHC393234 EQY393228:EQY393234 FAU393228:FAU393234 FKQ393228:FKQ393234 FUM393228:FUM393234 GEI393228:GEI393234 GOE393228:GOE393234 GYA393228:GYA393234 HHW393228:HHW393234 HRS393228:HRS393234 IBO393228:IBO393234 ILK393228:ILK393234 IVG393228:IVG393234 JFC393228:JFC393234 JOY393228:JOY393234 JYU393228:JYU393234 KIQ393228:KIQ393234 KSM393228:KSM393234 LCI393228:LCI393234 LME393228:LME393234 LWA393228:LWA393234 MFW393228:MFW393234 MPS393228:MPS393234 MZO393228:MZO393234 NJK393228:NJK393234 NTG393228:NTG393234 ODC393228:ODC393234 OMY393228:OMY393234 OWU393228:OWU393234 PGQ393228:PGQ393234 PQM393228:PQM393234 QAI393228:QAI393234 QKE393228:QKE393234 QUA393228:QUA393234 RDW393228:RDW393234 RNS393228:RNS393234 RXO393228:RXO393234 SHK393228:SHK393234 SRG393228:SRG393234 TBC393228:TBC393234 TKY393228:TKY393234 TUU393228:TUU393234 UEQ393228:UEQ393234 UOM393228:UOM393234 UYI393228:UYI393234 VIE393228:VIE393234 VSA393228:VSA393234 WBW393228:WBW393234 WLS393228:WLS393234 WVO393228:WVO393234 G458764:G458770 JC458764:JC458770 SY458764:SY458770 ACU458764:ACU458770 AMQ458764:AMQ458770 AWM458764:AWM458770 BGI458764:BGI458770 BQE458764:BQE458770 CAA458764:CAA458770 CJW458764:CJW458770 CTS458764:CTS458770 DDO458764:DDO458770 DNK458764:DNK458770 DXG458764:DXG458770 EHC458764:EHC458770 EQY458764:EQY458770 FAU458764:FAU458770 FKQ458764:FKQ458770 FUM458764:FUM458770 GEI458764:GEI458770 GOE458764:GOE458770 GYA458764:GYA458770 HHW458764:HHW458770 HRS458764:HRS458770 IBO458764:IBO458770 ILK458764:ILK458770 IVG458764:IVG458770 JFC458764:JFC458770 JOY458764:JOY458770 JYU458764:JYU458770 KIQ458764:KIQ458770 KSM458764:KSM458770 LCI458764:LCI458770 LME458764:LME458770 LWA458764:LWA458770 MFW458764:MFW458770 MPS458764:MPS458770 MZO458764:MZO458770 NJK458764:NJK458770 NTG458764:NTG458770 ODC458764:ODC458770 OMY458764:OMY458770 OWU458764:OWU458770 PGQ458764:PGQ458770 PQM458764:PQM458770 QAI458764:QAI458770 QKE458764:QKE458770 QUA458764:QUA458770 RDW458764:RDW458770 RNS458764:RNS458770 RXO458764:RXO458770 SHK458764:SHK458770 SRG458764:SRG458770 TBC458764:TBC458770 TKY458764:TKY458770 TUU458764:TUU458770 UEQ458764:UEQ458770 UOM458764:UOM458770 UYI458764:UYI458770 VIE458764:VIE458770 VSA458764:VSA458770 WBW458764:WBW458770 WLS458764:WLS458770 WVO458764:WVO458770 G524300:G524306 JC524300:JC524306 SY524300:SY524306 ACU524300:ACU524306 AMQ524300:AMQ524306 AWM524300:AWM524306 BGI524300:BGI524306 BQE524300:BQE524306 CAA524300:CAA524306 CJW524300:CJW524306 CTS524300:CTS524306 DDO524300:DDO524306 DNK524300:DNK524306 DXG524300:DXG524306 EHC524300:EHC524306 EQY524300:EQY524306 FAU524300:FAU524306 FKQ524300:FKQ524306 FUM524300:FUM524306 GEI524300:GEI524306 GOE524300:GOE524306 GYA524300:GYA524306 HHW524300:HHW524306 HRS524300:HRS524306 IBO524300:IBO524306 ILK524300:ILK524306 IVG524300:IVG524306 JFC524300:JFC524306 JOY524300:JOY524306 JYU524300:JYU524306 KIQ524300:KIQ524306 KSM524300:KSM524306 LCI524300:LCI524306 LME524300:LME524306 LWA524300:LWA524306 MFW524300:MFW524306 MPS524300:MPS524306 MZO524300:MZO524306 NJK524300:NJK524306 NTG524300:NTG524306 ODC524300:ODC524306 OMY524300:OMY524306 OWU524300:OWU524306 PGQ524300:PGQ524306 PQM524300:PQM524306 QAI524300:QAI524306 QKE524300:QKE524306 QUA524300:QUA524306 RDW524300:RDW524306 RNS524300:RNS524306 RXO524300:RXO524306 SHK524300:SHK524306 SRG524300:SRG524306 TBC524300:TBC524306 TKY524300:TKY524306 TUU524300:TUU524306 UEQ524300:UEQ524306 UOM524300:UOM524306 UYI524300:UYI524306 VIE524300:VIE524306 VSA524300:VSA524306 WBW524300:WBW524306 WLS524300:WLS524306 WVO524300:WVO524306 G589836:G589842 JC589836:JC589842 SY589836:SY589842 ACU589836:ACU589842 AMQ589836:AMQ589842 AWM589836:AWM589842 BGI589836:BGI589842 BQE589836:BQE589842 CAA589836:CAA589842 CJW589836:CJW589842 CTS589836:CTS589842 DDO589836:DDO589842 DNK589836:DNK589842 DXG589836:DXG589842 EHC589836:EHC589842 EQY589836:EQY589842 FAU589836:FAU589842 FKQ589836:FKQ589842 FUM589836:FUM589842 GEI589836:GEI589842 GOE589836:GOE589842 GYA589836:GYA589842 HHW589836:HHW589842 HRS589836:HRS589842 IBO589836:IBO589842 ILK589836:ILK589842 IVG589836:IVG589842 JFC589836:JFC589842 JOY589836:JOY589842 JYU589836:JYU589842 KIQ589836:KIQ589842 KSM589836:KSM589842 LCI589836:LCI589842 LME589836:LME589842 LWA589836:LWA589842 MFW589836:MFW589842 MPS589836:MPS589842 MZO589836:MZO589842 NJK589836:NJK589842 NTG589836:NTG589842 ODC589836:ODC589842 OMY589836:OMY589842 OWU589836:OWU589842 PGQ589836:PGQ589842 PQM589836:PQM589842 QAI589836:QAI589842 QKE589836:QKE589842 QUA589836:QUA589842 RDW589836:RDW589842 RNS589836:RNS589842 RXO589836:RXO589842 SHK589836:SHK589842 SRG589836:SRG589842 TBC589836:TBC589842 TKY589836:TKY589842 TUU589836:TUU589842 UEQ589836:UEQ589842 UOM589836:UOM589842 UYI589836:UYI589842 VIE589836:VIE589842 VSA589836:VSA589842 WBW589836:WBW589842 WLS589836:WLS589842 WVO589836:WVO589842 G655372:G655378 JC655372:JC655378 SY655372:SY655378 ACU655372:ACU655378 AMQ655372:AMQ655378 AWM655372:AWM655378 BGI655372:BGI655378 BQE655372:BQE655378 CAA655372:CAA655378 CJW655372:CJW655378 CTS655372:CTS655378 DDO655372:DDO655378 DNK655372:DNK655378 DXG655372:DXG655378 EHC655372:EHC655378 EQY655372:EQY655378 FAU655372:FAU655378 FKQ655372:FKQ655378 FUM655372:FUM655378 GEI655372:GEI655378 GOE655372:GOE655378 GYA655372:GYA655378 HHW655372:HHW655378 HRS655372:HRS655378 IBO655372:IBO655378 ILK655372:ILK655378 IVG655372:IVG655378 JFC655372:JFC655378 JOY655372:JOY655378 JYU655372:JYU655378 KIQ655372:KIQ655378 KSM655372:KSM655378 LCI655372:LCI655378 LME655372:LME655378 LWA655372:LWA655378 MFW655372:MFW655378 MPS655372:MPS655378 MZO655372:MZO655378 NJK655372:NJK655378 NTG655372:NTG655378 ODC655372:ODC655378 OMY655372:OMY655378 OWU655372:OWU655378 PGQ655372:PGQ655378 PQM655372:PQM655378 QAI655372:QAI655378 QKE655372:QKE655378 QUA655372:QUA655378 RDW655372:RDW655378 RNS655372:RNS655378 RXO655372:RXO655378 SHK655372:SHK655378 SRG655372:SRG655378 TBC655372:TBC655378 TKY655372:TKY655378 TUU655372:TUU655378 UEQ655372:UEQ655378 UOM655372:UOM655378 UYI655372:UYI655378 VIE655372:VIE655378 VSA655372:VSA655378 WBW655372:WBW655378 WLS655372:WLS655378 WVO655372:WVO655378 G720908:G720914 JC720908:JC720914 SY720908:SY720914 ACU720908:ACU720914 AMQ720908:AMQ720914 AWM720908:AWM720914 BGI720908:BGI720914 BQE720908:BQE720914 CAA720908:CAA720914 CJW720908:CJW720914 CTS720908:CTS720914 DDO720908:DDO720914 DNK720908:DNK720914 DXG720908:DXG720914 EHC720908:EHC720914 EQY720908:EQY720914 FAU720908:FAU720914 FKQ720908:FKQ720914 FUM720908:FUM720914 GEI720908:GEI720914 GOE720908:GOE720914 GYA720908:GYA720914 HHW720908:HHW720914 HRS720908:HRS720914 IBO720908:IBO720914 ILK720908:ILK720914 IVG720908:IVG720914 JFC720908:JFC720914 JOY720908:JOY720914 JYU720908:JYU720914 KIQ720908:KIQ720914 KSM720908:KSM720914 LCI720908:LCI720914 LME720908:LME720914 LWA720908:LWA720914 MFW720908:MFW720914 MPS720908:MPS720914 MZO720908:MZO720914 NJK720908:NJK720914 NTG720908:NTG720914 ODC720908:ODC720914 OMY720908:OMY720914 OWU720908:OWU720914 PGQ720908:PGQ720914 PQM720908:PQM720914 QAI720908:QAI720914 QKE720908:QKE720914 QUA720908:QUA720914 RDW720908:RDW720914 RNS720908:RNS720914 RXO720908:RXO720914 SHK720908:SHK720914 SRG720908:SRG720914 TBC720908:TBC720914 TKY720908:TKY720914 TUU720908:TUU720914 UEQ720908:UEQ720914 UOM720908:UOM720914 UYI720908:UYI720914 VIE720908:VIE720914 VSA720908:VSA720914 WBW720908:WBW720914 WLS720908:WLS720914 WVO720908:WVO720914 G786444:G786450 JC786444:JC786450 SY786444:SY786450 ACU786444:ACU786450 AMQ786444:AMQ786450 AWM786444:AWM786450 BGI786444:BGI786450 BQE786444:BQE786450 CAA786444:CAA786450 CJW786444:CJW786450 CTS786444:CTS786450 DDO786444:DDO786450 DNK786444:DNK786450 DXG786444:DXG786450 EHC786444:EHC786450 EQY786444:EQY786450 FAU786444:FAU786450 FKQ786444:FKQ786450 FUM786444:FUM786450 GEI786444:GEI786450 GOE786444:GOE786450 GYA786444:GYA786450 HHW786444:HHW786450 HRS786444:HRS786450 IBO786444:IBO786450 ILK786444:ILK786450 IVG786444:IVG786450 JFC786444:JFC786450 JOY786444:JOY786450 JYU786444:JYU786450 KIQ786444:KIQ786450 KSM786444:KSM786450 LCI786444:LCI786450 LME786444:LME786450 LWA786444:LWA786450 MFW786444:MFW786450 MPS786444:MPS786450 MZO786444:MZO786450 NJK786444:NJK786450 NTG786444:NTG786450 ODC786444:ODC786450 OMY786444:OMY786450 OWU786444:OWU786450 PGQ786444:PGQ786450 PQM786444:PQM786450 QAI786444:QAI786450 QKE786444:QKE786450 QUA786444:QUA786450 RDW786444:RDW786450 RNS786444:RNS786450 RXO786444:RXO786450 SHK786444:SHK786450 SRG786444:SRG786450 TBC786444:TBC786450 TKY786444:TKY786450 TUU786444:TUU786450 UEQ786444:UEQ786450 UOM786444:UOM786450 UYI786444:UYI786450 VIE786444:VIE786450 VSA786444:VSA786450 WBW786444:WBW786450 WLS786444:WLS786450 WVO786444:WVO786450 G851980:G851986 JC851980:JC851986 SY851980:SY851986 ACU851980:ACU851986 AMQ851980:AMQ851986 AWM851980:AWM851986 BGI851980:BGI851986 BQE851980:BQE851986 CAA851980:CAA851986 CJW851980:CJW851986 CTS851980:CTS851986 DDO851980:DDO851986 DNK851980:DNK851986 DXG851980:DXG851986 EHC851980:EHC851986 EQY851980:EQY851986 FAU851980:FAU851986 FKQ851980:FKQ851986 FUM851980:FUM851986 GEI851980:GEI851986 GOE851980:GOE851986 GYA851980:GYA851986 HHW851980:HHW851986 HRS851980:HRS851986 IBO851980:IBO851986 ILK851980:ILK851986 IVG851980:IVG851986 JFC851980:JFC851986 JOY851980:JOY851986 JYU851980:JYU851986 KIQ851980:KIQ851986 KSM851980:KSM851986 LCI851980:LCI851986 LME851980:LME851986 LWA851980:LWA851986 MFW851980:MFW851986 MPS851980:MPS851986 MZO851980:MZO851986 NJK851980:NJK851986 NTG851980:NTG851986 ODC851980:ODC851986 OMY851980:OMY851986 OWU851980:OWU851986 PGQ851980:PGQ851986 PQM851980:PQM851986 QAI851980:QAI851986 QKE851980:QKE851986 QUA851980:QUA851986 RDW851980:RDW851986 RNS851980:RNS851986 RXO851980:RXO851986 SHK851980:SHK851986 SRG851980:SRG851986 TBC851980:TBC851986 TKY851980:TKY851986 TUU851980:TUU851986 UEQ851980:UEQ851986 UOM851980:UOM851986 UYI851980:UYI851986 VIE851980:VIE851986 VSA851980:VSA851986 WBW851980:WBW851986 WLS851980:WLS851986 WVO851980:WVO851986 G917516:G917522 JC917516:JC917522 SY917516:SY917522 ACU917516:ACU917522 AMQ917516:AMQ917522 AWM917516:AWM917522 BGI917516:BGI917522 BQE917516:BQE917522 CAA917516:CAA917522 CJW917516:CJW917522 CTS917516:CTS917522 DDO917516:DDO917522 DNK917516:DNK917522 DXG917516:DXG917522 EHC917516:EHC917522 EQY917516:EQY917522 FAU917516:FAU917522 FKQ917516:FKQ917522 FUM917516:FUM917522 GEI917516:GEI917522 GOE917516:GOE917522 GYA917516:GYA917522 HHW917516:HHW917522 HRS917516:HRS917522 IBO917516:IBO917522 ILK917516:ILK917522 IVG917516:IVG917522 JFC917516:JFC917522 JOY917516:JOY917522 JYU917516:JYU917522 KIQ917516:KIQ917522 KSM917516:KSM917522 LCI917516:LCI917522 LME917516:LME917522 LWA917516:LWA917522 MFW917516:MFW917522 MPS917516:MPS917522 MZO917516:MZO917522 NJK917516:NJK917522 NTG917516:NTG917522 ODC917516:ODC917522 OMY917516:OMY917522 OWU917516:OWU917522 PGQ917516:PGQ917522 PQM917516:PQM917522 QAI917516:QAI917522 QKE917516:QKE917522 QUA917516:QUA917522 RDW917516:RDW917522 RNS917516:RNS917522 RXO917516:RXO917522 SHK917516:SHK917522 SRG917516:SRG917522 TBC917516:TBC917522 TKY917516:TKY917522 TUU917516:TUU917522 UEQ917516:UEQ917522 UOM917516:UOM917522 UYI917516:UYI917522 VIE917516:VIE917522 VSA917516:VSA917522 WBW917516:WBW917522 WLS917516:WLS917522 WVO917516:WVO917522 G983052:G983058 JC983052:JC983058 SY983052:SY983058 ACU983052:ACU983058 AMQ983052:AMQ983058 AWM983052:AWM983058 BGI983052:BGI983058 BQE983052:BQE983058 CAA983052:CAA983058 CJW983052:CJW983058 CTS983052:CTS983058 DDO983052:DDO983058 DNK983052:DNK983058 DXG983052:DXG983058 EHC983052:EHC983058 EQY983052:EQY983058 FAU983052:FAU983058 FKQ983052:FKQ983058 FUM983052:FUM983058 GEI983052:GEI983058 GOE983052:GOE983058 GYA983052:GYA983058 HHW983052:HHW983058 HRS983052:HRS983058 IBO983052:IBO983058 ILK983052:ILK983058 IVG983052:IVG983058 JFC983052:JFC983058 JOY983052:JOY983058 JYU983052:JYU983058 KIQ983052:KIQ983058 KSM983052:KSM983058 LCI983052:LCI983058 LME983052:LME983058 LWA983052:LWA983058 MFW983052:MFW983058 MPS983052:MPS983058 MZO983052:MZO983058 NJK983052:NJK983058 NTG983052:NTG983058 ODC983052:ODC983058 OMY983052:OMY983058 OWU983052:OWU983058 PGQ983052:PGQ983058 PQM983052:PQM983058 QAI983052:QAI983058 QKE983052:QKE983058 QUA983052:QUA983058 RDW983052:RDW983058 RNS983052:RNS983058 RXO983052:RXO983058 SHK983052:SHK983058 SRG983052:SRG983058 TBC983052:TBC983058 TKY983052:TKY983058 TUU983052:TUU983058 UEQ983052:UEQ983058 UOM983052:UOM983058 UYI983052:UYI983058 VIE983052:VIE983058 VSA983052:VSA983058 WBW983052:WBW983058 WLS983052:WLS983058 WVO8:WVO18 JC8:JC18">
      <formula1>$AI$28:$AI$40</formula1>
    </dataValidation>
  </dataValidations>
  <printOptions horizontalCentered="1"/>
  <pageMargins left="0.39370078740157483" right="0.19685039370078741" top="0.59055118110236227" bottom="0.59055118110236227" header="0.31496062992125984" footer="0.31496062992125984"/>
  <pageSetup paperSize="345" scale="43" orientation="landscape" horizontalDpi="4294967293" r:id="rId1"/>
  <headerFooter>
    <oddFooter>&amp;C&amp;"Tahoma,Cursiva"&amp;K365F91Si usted ha accedido a este formato a través de un medio diferente al sitio http://www.unicordoba.edu.co/index.php/documentossigec/documentos-calidad asegúrese que ésta es la versión vigente</oddFooter>
  </headerFooter>
  <rowBreaks count="2" manualBreakCount="2">
    <brk id="12" max="31" man="1"/>
    <brk id="24" max="3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46"/>
  <sheetViews>
    <sheetView topLeftCell="C13" zoomScale="90" zoomScaleNormal="90" zoomScaleSheetLayoutView="100" zoomScalePageLayoutView="60" workbookViewId="0">
      <selection activeCell="C13" sqref="C13:C20"/>
    </sheetView>
  </sheetViews>
  <sheetFormatPr baseColWidth="10" defaultRowHeight="12.75"/>
  <cols>
    <col min="1" max="1" width="10.28515625" style="2" customWidth="1"/>
    <col min="2" max="2" width="13.42578125" style="2" customWidth="1"/>
    <col min="3" max="3" width="4.28515625" style="2" customWidth="1"/>
    <col min="4" max="4" width="4" style="2" customWidth="1"/>
    <col min="5" max="5" width="16.7109375" style="2" customWidth="1"/>
    <col min="6" max="6" width="4.140625" style="2" customWidth="1"/>
    <col min="7" max="7" width="11.28515625" style="2" customWidth="1"/>
    <col min="8" max="8" width="16.140625" style="2" customWidth="1"/>
    <col min="9" max="9" width="11" style="2" customWidth="1"/>
    <col min="10" max="11" width="2.140625" style="2" customWidth="1"/>
    <col min="12" max="12" width="3.28515625" style="2" customWidth="1"/>
    <col min="13" max="13" width="0.28515625" style="2" hidden="1" customWidth="1"/>
    <col min="14" max="14" width="0.42578125" style="2" hidden="1" customWidth="1"/>
    <col min="15" max="15" width="2.85546875" style="2" customWidth="1"/>
    <col min="16" max="16" width="3.28515625" style="2" customWidth="1"/>
    <col min="17" max="17" width="1.42578125" style="2" customWidth="1"/>
    <col min="18" max="18" width="1.85546875" style="2" hidden="1" customWidth="1"/>
    <col min="19" max="19" width="6.85546875" style="2" customWidth="1"/>
    <col min="20" max="20" width="3" style="2" hidden="1" customWidth="1"/>
    <col min="21" max="22" width="6.28515625" style="2" customWidth="1"/>
    <col min="23" max="24" width="13.85546875" style="2" customWidth="1"/>
    <col min="25" max="25" width="10.85546875" style="2" customWidth="1"/>
    <col min="26" max="26" width="14.140625" style="2" customWidth="1"/>
    <col min="27" max="27" width="0.42578125" style="2" hidden="1" customWidth="1"/>
    <col min="28" max="28" width="13" style="2" customWidth="1"/>
    <col min="29" max="29" width="13.140625" style="2" customWidth="1"/>
    <col min="30" max="31" width="14" style="2" customWidth="1"/>
    <col min="32" max="32" width="11.42578125" style="2" customWidth="1"/>
    <col min="33" max="33" width="15.85546875" style="2" customWidth="1"/>
    <col min="34" max="34" width="23.7109375" style="2" customWidth="1"/>
    <col min="35" max="35" width="12" style="2" customWidth="1"/>
    <col min="36" max="37" width="0.28515625" style="2" customWidth="1"/>
    <col min="38" max="38" width="1.42578125" style="2" customWidth="1"/>
    <col min="39" max="39" width="1.28515625" style="2" hidden="1" customWidth="1"/>
    <col min="40" max="256" width="11.42578125" style="2"/>
    <col min="257" max="257" width="10.28515625" style="2" customWidth="1"/>
    <col min="258" max="258" width="13.42578125" style="2" customWidth="1"/>
    <col min="259" max="259" width="4.28515625" style="2" customWidth="1"/>
    <col min="260" max="260" width="4" style="2" customWidth="1"/>
    <col min="261" max="261" width="16.7109375" style="2" customWidth="1"/>
    <col min="262" max="262" width="4.140625" style="2" customWidth="1"/>
    <col min="263" max="263" width="11.28515625" style="2" customWidth="1"/>
    <col min="264" max="264" width="16.140625" style="2" customWidth="1"/>
    <col min="265" max="265" width="11" style="2" customWidth="1"/>
    <col min="266" max="267" width="2.140625" style="2" customWidth="1"/>
    <col min="268" max="268" width="3.28515625" style="2" customWidth="1"/>
    <col min="269" max="270" width="0" style="2" hidden="1" customWidth="1"/>
    <col min="271" max="271" width="2.85546875" style="2" customWidth="1"/>
    <col min="272" max="272" width="3.28515625" style="2" customWidth="1"/>
    <col min="273" max="273" width="1.42578125" style="2" customWidth="1"/>
    <col min="274" max="274" width="0" style="2" hidden="1" customWidth="1"/>
    <col min="275" max="275" width="6.85546875" style="2" customWidth="1"/>
    <col min="276" max="276" width="0" style="2" hidden="1" customWidth="1"/>
    <col min="277" max="278" width="6.28515625" style="2" customWidth="1"/>
    <col min="279" max="280" width="13.85546875" style="2" customWidth="1"/>
    <col min="281" max="281" width="10.85546875" style="2" customWidth="1"/>
    <col min="282" max="282" width="14.140625" style="2" customWidth="1"/>
    <col min="283" max="283" width="0" style="2" hidden="1" customWidth="1"/>
    <col min="284" max="284" width="13" style="2" customWidth="1"/>
    <col min="285" max="285" width="13.140625" style="2" customWidth="1"/>
    <col min="286" max="287" width="14" style="2" customWidth="1"/>
    <col min="288" max="288" width="11.42578125" style="2" customWidth="1"/>
    <col min="289" max="289" width="15.85546875" style="2" customWidth="1"/>
    <col min="290" max="290" width="23.7109375" style="2" customWidth="1"/>
    <col min="291" max="291" width="12" style="2" customWidth="1"/>
    <col min="292" max="293" width="0.28515625" style="2" customWidth="1"/>
    <col min="294" max="294" width="1.42578125" style="2" customWidth="1"/>
    <col min="295" max="295" width="0" style="2" hidden="1" customWidth="1"/>
    <col min="296" max="512" width="11.42578125" style="2"/>
    <col min="513" max="513" width="10.28515625" style="2" customWidth="1"/>
    <col min="514" max="514" width="13.42578125" style="2" customWidth="1"/>
    <col min="515" max="515" width="4.28515625" style="2" customWidth="1"/>
    <col min="516" max="516" width="4" style="2" customWidth="1"/>
    <col min="517" max="517" width="16.7109375" style="2" customWidth="1"/>
    <col min="518" max="518" width="4.140625" style="2" customWidth="1"/>
    <col min="519" max="519" width="11.28515625" style="2" customWidth="1"/>
    <col min="520" max="520" width="16.140625" style="2" customWidth="1"/>
    <col min="521" max="521" width="11" style="2" customWidth="1"/>
    <col min="522" max="523" width="2.140625" style="2" customWidth="1"/>
    <col min="524" max="524" width="3.28515625" style="2" customWidth="1"/>
    <col min="525" max="526" width="0" style="2" hidden="1" customWidth="1"/>
    <col min="527" max="527" width="2.85546875" style="2" customWidth="1"/>
    <col min="528" max="528" width="3.28515625" style="2" customWidth="1"/>
    <col min="529" max="529" width="1.42578125" style="2" customWidth="1"/>
    <col min="530" max="530" width="0" style="2" hidden="1" customWidth="1"/>
    <col min="531" max="531" width="6.85546875" style="2" customWidth="1"/>
    <col min="532" max="532" width="0" style="2" hidden="1" customWidth="1"/>
    <col min="533" max="534" width="6.28515625" style="2" customWidth="1"/>
    <col min="535" max="536" width="13.85546875" style="2" customWidth="1"/>
    <col min="537" max="537" width="10.85546875" style="2" customWidth="1"/>
    <col min="538" max="538" width="14.140625" style="2" customWidth="1"/>
    <col min="539" max="539" width="0" style="2" hidden="1" customWidth="1"/>
    <col min="540" max="540" width="13" style="2" customWidth="1"/>
    <col min="541" max="541" width="13.140625" style="2" customWidth="1"/>
    <col min="542" max="543" width="14" style="2" customWidth="1"/>
    <col min="544" max="544" width="11.42578125" style="2" customWidth="1"/>
    <col min="545" max="545" width="15.85546875" style="2" customWidth="1"/>
    <col min="546" max="546" width="23.7109375" style="2" customWidth="1"/>
    <col min="547" max="547" width="12" style="2" customWidth="1"/>
    <col min="548" max="549" width="0.28515625" style="2" customWidth="1"/>
    <col min="550" max="550" width="1.42578125" style="2" customWidth="1"/>
    <col min="551" max="551" width="0" style="2" hidden="1" customWidth="1"/>
    <col min="552" max="768" width="11.42578125" style="2"/>
    <col min="769" max="769" width="10.28515625" style="2" customWidth="1"/>
    <col min="770" max="770" width="13.42578125" style="2" customWidth="1"/>
    <col min="771" max="771" width="4.28515625" style="2" customWidth="1"/>
    <col min="772" max="772" width="4" style="2" customWidth="1"/>
    <col min="773" max="773" width="16.7109375" style="2" customWidth="1"/>
    <col min="774" max="774" width="4.140625" style="2" customWidth="1"/>
    <col min="775" max="775" width="11.28515625" style="2" customWidth="1"/>
    <col min="776" max="776" width="16.140625" style="2" customWidth="1"/>
    <col min="777" max="777" width="11" style="2" customWidth="1"/>
    <col min="778" max="779" width="2.140625" style="2" customWidth="1"/>
    <col min="780" max="780" width="3.28515625" style="2" customWidth="1"/>
    <col min="781" max="782" width="0" style="2" hidden="1" customWidth="1"/>
    <col min="783" max="783" width="2.85546875" style="2" customWidth="1"/>
    <col min="784" max="784" width="3.28515625" style="2" customWidth="1"/>
    <col min="785" max="785" width="1.42578125" style="2" customWidth="1"/>
    <col min="786" max="786" width="0" style="2" hidden="1" customWidth="1"/>
    <col min="787" max="787" width="6.85546875" style="2" customWidth="1"/>
    <col min="788" max="788" width="0" style="2" hidden="1" customWidth="1"/>
    <col min="789" max="790" width="6.28515625" style="2" customWidth="1"/>
    <col min="791" max="792" width="13.85546875" style="2" customWidth="1"/>
    <col min="793" max="793" width="10.85546875" style="2" customWidth="1"/>
    <col min="794" max="794" width="14.140625" style="2" customWidth="1"/>
    <col min="795" max="795" width="0" style="2" hidden="1" customWidth="1"/>
    <col min="796" max="796" width="13" style="2" customWidth="1"/>
    <col min="797" max="797" width="13.140625" style="2" customWidth="1"/>
    <col min="798" max="799" width="14" style="2" customWidth="1"/>
    <col min="800" max="800" width="11.42578125" style="2" customWidth="1"/>
    <col min="801" max="801" width="15.85546875" style="2" customWidth="1"/>
    <col min="802" max="802" width="23.7109375" style="2" customWidth="1"/>
    <col min="803" max="803" width="12" style="2" customWidth="1"/>
    <col min="804" max="805" width="0.28515625" style="2" customWidth="1"/>
    <col min="806" max="806" width="1.42578125" style="2" customWidth="1"/>
    <col min="807" max="807" width="0" style="2" hidden="1" customWidth="1"/>
    <col min="808" max="1024" width="11.42578125" style="2"/>
    <col min="1025" max="1025" width="10.28515625" style="2" customWidth="1"/>
    <col min="1026" max="1026" width="13.42578125" style="2" customWidth="1"/>
    <col min="1027" max="1027" width="4.28515625" style="2" customWidth="1"/>
    <col min="1028" max="1028" width="4" style="2" customWidth="1"/>
    <col min="1029" max="1029" width="16.7109375" style="2" customWidth="1"/>
    <col min="1030" max="1030" width="4.140625" style="2" customWidth="1"/>
    <col min="1031" max="1031" width="11.28515625" style="2" customWidth="1"/>
    <col min="1032" max="1032" width="16.140625" style="2" customWidth="1"/>
    <col min="1033" max="1033" width="11" style="2" customWidth="1"/>
    <col min="1034" max="1035" width="2.140625" style="2" customWidth="1"/>
    <col min="1036" max="1036" width="3.28515625" style="2" customWidth="1"/>
    <col min="1037" max="1038" width="0" style="2" hidden="1" customWidth="1"/>
    <col min="1039" max="1039" width="2.85546875" style="2" customWidth="1"/>
    <col min="1040" max="1040" width="3.28515625" style="2" customWidth="1"/>
    <col min="1041" max="1041" width="1.42578125" style="2" customWidth="1"/>
    <col min="1042" max="1042" width="0" style="2" hidden="1" customWidth="1"/>
    <col min="1043" max="1043" width="6.85546875" style="2" customWidth="1"/>
    <col min="1044" max="1044" width="0" style="2" hidden="1" customWidth="1"/>
    <col min="1045" max="1046" width="6.28515625" style="2" customWidth="1"/>
    <col min="1047" max="1048" width="13.85546875" style="2" customWidth="1"/>
    <col min="1049" max="1049" width="10.85546875" style="2" customWidth="1"/>
    <col min="1050" max="1050" width="14.140625" style="2" customWidth="1"/>
    <col min="1051" max="1051" width="0" style="2" hidden="1" customWidth="1"/>
    <col min="1052" max="1052" width="13" style="2" customWidth="1"/>
    <col min="1053" max="1053" width="13.140625" style="2" customWidth="1"/>
    <col min="1054" max="1055" width="14" style="2" customWidth="1"/>
    <col min="1056" max="1056" width="11.42578125" style="2" customWidth="1"/>
    <col min="1057" max="1057" width="15.85546875" style="2" customWidth="1"/>
    <col min="1058" max="1058" width="23.7109375" style="2" customWidth="1"/>
    <col min="1059" max="1059" width="12" style="2" customWidth="1"/>
    <col min="1060" max="1061" width="0.28515625" style="2" customWidth="1"/>
    <col min="1062" max="1062" width="1.42578125" style="2" customWidth="1"/>
    <col min="1063" max="1063" width="0" style="2" hidden="1" customWidth="1"/>
    <col min="1064" max="1280" width="11.42578125" style="2"/>
    <col min="1281" max="1281" width="10.28515625" style="2" customWidth="1"/>
    <col min="1282" max="1282" width="13.42578125" style="2" customWidth="1"/>
    <col min="1283" max="1283" width="4.28515625" style="2" customWidth="1"/>
    <col min="1284" max="1284" width="4" style="2" customWidth="1"/>
    <col min="1285" max="1285" width="16.7109375" style="2" customWidth="1"/>
    <col min="1286" max="1286" width="4.140625" style="2" customWidth="1"/>
    <col min="1287" max="1287" width="11.28515625" style="2" customWidth="1"/>
    <col min="1288" max="1288" width="16.140625" style="2" customWidth="1"/>
    <col min="1289" max="1289" width="11" style="2" customWidth="1"/>
    <col min="1290" max="1291" width="2.140625" style="2" customWidth="1"/>
    <col min="1292" max="1292" width="3.28515625" style="2" customWidth="1"/>
    <col min="1293" max="1294" width="0" style="2" hidden="1" customWidth="1"/>
    <col min="1295" max="1295" width="2.85546875" style="2" customWidth="1"/>
    <col min="1296" max="1296" width="3.28515625" style="2" customWidth="1"/>
    <col min="1297" max="1297" width="1.42578125" style="2" customWidth="1"/>
    <col min="1298" max="1298" width="0" style="2" hidden="1" customWidth="1"/>
    <col min="1299" max="1299" width="6.85546875" style="2" customWidth="1"/>
    <col min="1300" max="1300" width="0" style="2" hidden="1" customWidth="1"/>
    <col min="1301" max="1302" width="6.28515625" style="2" customWidth="1"/>
    <col min="1303" max="1304" width="13.85546875" style="2" customWidth="1"/>
    <col min="1305" max="1305" width="10.85546875" style="2" customWidth="1"/>
    <col min="1306" max="1306" width="14.140625" style="2" customWidth="1"/>
    <col min="1307" max="1307" width="0" style="2" hidden="1" customWidth="1"/>
    <col min="1308" max="1308" width="13" style="2" customWidth="1"/>
    <col min="1309" max="1309" width="13.140625" style="2" customWidth="1"/>
    <col min="1310" max="1311" width="14" style="2" customWidth="1"/>
    <col min="1312" max="1312" width="11.42578125" style="2" customWidth="1"/>
    <col min="1313" max="1313" width="15.85546875" style="2" customWidth="1"/>
    <col min="1314" max="1314" width="23.7109375" style="2" customWidth="1"/>
    <col min="1315" max="1315" width="12" style="2" customWidth="1"/>
    <col min="1316" max="1317" width="0.28515625" style="2" customWidth="1"/>
    <col min="1318" max="1318" width="1.42578125" style="2" customWidth="1"/>
    <col min="1319" max="1319" width="0" style="2" hidden="1" customWidth="1"/>
    <col min="1320" max="1536" width="11.42578125" style="2"/>
    <col min="1537" max="1537" width="10.28515625" style="2" customWidth="1"/>
    <col min="1538" max="1538" width="13.42578125" style="2" customWidth="1"/>
    <col min="1539" max="1539" width="4.28515625" style="2" customWidth="1"/>
    <col min="1540" max="1540" width="4" style="2" customWidth="1"/>
    <col min="1541" max="1541" width="16.7109375" style="2" customWidth="1"/>
    <col min="1542" max="1542" width="4.140625" style="2" customWidth="1"/>
    <col min="1543" max="1543" width="11.28515625" style="2" customWidth="1"/>
    <col min="1544" max="1544" width="16.140625" style="2" customWidth="1"/>
    <col min="1545" max="1545" width="11" style="2" customWidth="1"/>
    <col min="1546" max="1547" width="2.140625" style="2" customWidth="1"/>
    <col min="1548" max="1548" width="3.28515625" style="2" customWidth="1"/>
    <col min="1549" max="1550" width="0" style="2" hidden="1" customWidth="1"/>
    <col min="1551" max="1551" width="2.85546875" style="2" customWidth="1"/>
    <col min="1552" max="1552" width="3.28515625" style="2" customWidth="1"/>
    <col min="1553" max="1553" width="1.42578125" style="2" customWidth="1"/>
    <col min="1554" max="1554" width="0" style="2" hidden="1" customWidth="1"/>
    <col min="1555" max="1555" width="6.85546875" style="2" customWidth="1"/>
    <col min="1556" max="1556" width="0" style="2" hidden="1" customWidth="1"/>
    <col min="1557" max="1558" width="6.28515625" style="2" customWidth="1"/>
    <col min="1559" max="1560" width="13.85546875" style="2" customWidth="1"/>
    <col min="1561" max="1561" width="10.85546875" style="2" customWidth="1"/>
    <col min="1562" max="1562" width="14.140625" style="2" customWidth="1"/>
    <col min="1563" max="1563" width="0" style="2" hidden="1" customWidth="1"/>
    <col min="1564" max="1564" width="13" style="2" customWidth="1"/>
    <col min="1565" max="1565" width="13.140625" style="2" customWidth="1"/>
    <col min="1566" max="1567" width="14" style="2" customWidth="1"/>
    <col min="1568" max="1568" width="11.42578125" style="2" customWidth="1"/>
    <col min="1569" max="1569" width="15.85546875" style="2" customWidth="1"/>
    <col min="1570" max="1570" width="23.7109375" style="2" customWidth="1"/>
    <col min="1571" max="1571" width="12" style="2" customWidth="1"/>
    <col min="1572" max="1573" width="0.28515625" style="2" customWidth="1"/>
    <col min="1574" max="1574" width="1.42578125" style="2" customWidth="1"/>
    <col min="1575" max="1575" width="0" style="2" hidden="1" customWidth="1"/>
    <col min="1576" max="1792" width="11.42578125" style="2"/>
    <col min="1793" max="1793" width="10.28515625" style="2" customWidth="1"/>
    <col min="1794" max="1794" width="13.42578125" style="2" customWidth="1"/>
    <col min="1795" max="1795" width="4.28515625" style="2" customWidth="1"/>
    <col min="1796" max="1796" width="4" style="2" customWidth="1"/>
    <col min="1797" max="1797" width="16.7109375" style="2" customWidth="1"/>
    <col min="1798" max="1798" width="4.140625" style="2" customWidth="1"/>
    <col min="1799" max="1799" width="11.28515625" style="2" customWidth="1"/>
    <col min="1800" max="1800" width="16.140625" style="2" customWidth="1"/>
    <col min="1801" max="1801" width="11" style="2" customWidth="1"/>
    <col min="1802" max="1803" width="2.140625" style="2" customWidth="1"/>
    <col min="1804" max="1804" width="3.28515625" style="2" customWidth="1"/>
    <col min="1805" max="1806" width="0" style="2" hidden="1" customWidth="1"/>
    <col min="1807" max="1807" width="2.85546875" style="2" customWidth="1"/>
    <col min="1808" max="1808" width="3.28515625" style="2" customWidth="1"/>
    <col min="1809" max="1809" width="1.42578125" style="2" customWidth="1"/>
    <col min="1810" max="1810" width="0" style="2" hidden="1" customWidth="1"/>
    <col min="1811" max="1811" width="6.85546875" style="2" customWidth="1"/>
    <col min="1812" max="1812" width="0" style="2" hidden="1" customWidth="1"/>
    <col min="1813" max="1814" width="6.28515625" style="2" customWidth="1"/>
    <col min="1815" max="1816" width="13.85546875" style="2" customWidth="1"/>
    <col min="1817" max="1817" width="10.85546875" style="2" customWidth="1"/>
    <col min="1818" max="1818" width="14.140625" style="2" customWidth="1"/>
    <col min="1819" max="1819" width="0" style="2" hidden="1" customWidth="1"/>
    <col min="1820" max="1820" width="13" style="2" customWidth="1"/>
    <col min="1821" max="1821" width="13.140625" style="2" customWidth="1"/>
    <col min="1822" max="1823" width="14" style="2" customWidth="1"/>
    <col min="1824" max="1824" width="11.42578125" style="2" customWidth="1"/>
    <col min="1825" max="1825" width="15.85546875" style="2" customWidth="1"/>
    <col min="1826" max="1826" width="23.7109375" style="2" customWidth="1"/>
    <col min="1827" max="1827" width="12" style="2" customWidth="1"/>
    <col min="1828" max="1829" width="0.28515625" style="2" customWidth="1"/>
    <col min="1830" max="1830" width="1.42578125" style="2" customWidth="1"/>
    <col min="1831" max="1831" width="0" style="2" hidden="1" customWidth="1"/>
    <col min="1832" max="2048" width="11.42578125" style="2"/>
    <col min="2049" max="2049" width="10.28515625" style="2" customWidth="1"/>
    <col min="2050" max="2050" width="13.42578125" style="2" customWidth="1"/>
    <col min="2051" max="2051" width="4.28515625" style="2" customWidth="1"/>
    <col min="2052" max="2052" width="4" style="2" customWidth="1"/>
    <col min="2053" max="2053" width="16.7109375" style="2" customWidth="1"/>
    <col min="2054" max="2054" width="4.140625" style="2" customWidth="1"/>
    <col min="2055" max="2055" width="11.28515625" style="2" customWidth="1"/>
    <col min="2056" max="2056" width="16.140625" style="2" customWidth="1"/>
    <col min="2057" max="2057" width="11" style="2" customWidth="1"/>
    <col min="2058" max="2059" width="2.140625" style="2" customWidth="1"/>
    <col min="2060" max="2060" width="3.28515625" style="2" customWidth="1"/>
    <col min="2061" max="2062" width="0" style="2" hidden="1" customWidth="1"/>
    <col min="2063" max="2063" width="2.85546875" style="2" customWidth="1"/>
    <col min="2064" max="2064" width="3.28515625" style="2" customWidth="1"/>
    <col min="2065" max="2065" width="1.42578125" style="2" customWidth="1"/>
    <col min="2066" max="2066" width="0" style="2" hidden="1" customWidth="1"/>
    <col min="2067" max="2067" width="6.85546875" style="2" customWidth="1"/>
    <col min="2068" max="2068" width="0" style="2" hidden="1" customWidth="1"/>
    <col min="2069" max="2070" width="6.28515625" style="2" customWidth="1"/>
    <col min="2071" max="2072" width="13.85546875" style="2" customWidth="1"/>
    <col min="2073" max="2073" width="10.85546875" style="2" customWidth="1"/>
    <col min="2074" max="2074" width="14.140625" style="2" customWidth="1"/>
    <col min="2075" max="2075" width="0" style="2" hidden="1" customWidth="1"/>
    <col min="2076" max="2076" width="13" style="2" customWidth="1"/>
    <col min="2077" max="2077" width="13.140625" style="2" customWidth="1"/>
    <col min="2078" max="2079" width="14" style="2" customWidth="1"/>
    <col min="2080" max="2080" width="11.42578125" style="2" customWidth="1"/>
    <col min="2081" max="2081" width="15.85546875" style="2" customWidth="1"/>
    <col min="2082" max="2082" width="23.7109375" style="2" customWidth="1"/>
    <col min="2083" max="2083" width="12" style="2" customWidth="1"/>
    <col min="2084" max="2085" width="0.28515625" style="2" customWidth="1"/>
    <col min="2086" max="2086" width="1.42578125" style="2" customWidth="1"/>
    <col min="2087" max="2087" width="0" style="2" hidden="1" customWidth="1"/>
    <col min="2088" max="2304" width="11.42578125" style="2"/>
    <col min="2305" max="2305" width="10.28515625" style="2" customWidth="1"/>
    <col min="2306" max="2306" width="13.42578125" style="2" customWidth="1"/>
    <col min="2307" max="2307" width="4.28515625" style="2" customWidth="1"/>
    <col min="2308" max="2308" width="4" style="2" customWidth="1"/>
    <col min="2309" max="2309" width="16.7109375" style="2" customWidth="1"/>
    <col min="2310" max="2310" width="4.140625" style="2" customWidth="1"/>
    <col min="2311" max="2311" width="11.28515625" style="2" customWidth="1"/>
    <col min="2312" max="2312" width="16.140625" style="2" customWidth="1"/>
    <col min="2313" max="2313" width="11" style="2" customWidth="1"/>
    <col min="2314" max="2315" width="2.140625" style="2" customWidth="1"/>
    <col min="2316" max="2316" width="3.28515625" style="2" customWidth="1"/>
    <col min="2317" max="2318" width="0" style="2" hidden="1" customWidth="1"/>
    <col min="2319" max="2319" width="2.85546875" style="2" customWidth="1"/>
    <col min="2320" max="2320" width="3.28515625" style="2" customWidth="1"/>
    <col min="2321" max="2321" width="1.42578125" style="2" customWidth="1"/>
    <col min="2322" max="2322" width="0" style="2" hidden="1" customWidth="1"/>
    <col min="2323" max="2323" width="6.85546875" style="2" customWidth="1"/>
    <col min="2324" max="2324" width="0" style="2" hidden="1" customWidth="1"/>
    <col min="2325" max="2326" width="6.28515625" style="2" customWidth="1"/>
    <col min="2327" max="2328" width="13.85546875" style="2" customWidth="1"/>
    <col min="2329" max="2329" width="10.85546875" style="2" customWidth="1"/>
    <col min="2330" max="2330" width="14.140625" style="2" customWidth="1"/>
    <col min="2331" max="2331" width="0" style="2" hidden="1" customWidth="1"/>
    <col min="2332" max="2332" width="13" style="2" customWidth="1"/>
    <col min="2333" max="2333" width="13.140625" style="2" customWidth="1"/>
    <col min="2334" max="2335" width="14" style="2" customWidth="1"/>
    <col min="2336" max="2336" width="11.42578125" style="2" customWidth="1"/>
    <col min="2337" max="2337" width="15.85546875" style="2" customWidth="1"/>
    <col min="2338" max="2338" width="23.7109375" style="2" customWidth="1"/>
    <col min="2339" max="2339" width="12" style="2" customWidth="1"/>
    <col min="2340" max="2341" width="0.28515625" style="2" customWidth="1"/>
    <col min="2342" max="2342" width="1.42578125" style="2" customWidth="1"/>
    <col min="2343" max="2343" width="0" style="2" hidden="1" customWidth="1"/>
    <col min="2344" max="2560" width="11.42578125" style="2"/>
    <col min="2561" max="2561" width="10.28515625" style="2" customWidth="1"/>
    <col min="2562" max="2562" width="13.42578125" style="2" customWidth="1"/>
    <col min="2563" max="2563" width="4.28515625" style="2" customWidth="1"/>
    <col min="2564" max="2564" width="4" style="2" customWidth="1"/>
    <col min="2565" max="2565" width="16.7109375" style="2" customWidth="1"/>
    <col min="2566" max="2566" width="4.140625" style="2" customWidth="1"/>
    <col min="2567" max="2567" width="11.28515625" style="2" customWidth="1"/>
    <col min="2568" max="2568" width="16.140625" style="2" customWidth="1"/>
    <col min="2569" max="2569" width="11" style="2" customWidth="1"/>
    <col min="2570" max="2571" width="2.140625" style="2" customWidth="1"/>
    <col min="2572" max="2572" width="3.28515625" style="2" customWidth="1"/>
    <col min="2573" max="2574" width="0" style="2" hidden="1" customWidth="1"/>
    <col min="2575" max="2575" width="2.85546875" style="2" customWidth="1"/>
    <col min="2576" max="2576" width="3.28515625" style="2" customWidth="1"/>
    <col min="2577" max="2577" width="1.42578125" style="2" customWidth="1"/>
    <col min="2578" max="2578" width="0" style="2" hidden="1" customWidth="1"/>
    <col min="2579" max="2579" width="6.85546875" style="2" customWidth="1"/>
    <col min="2580" max="2580" width="0" style="2" hidden="1" customWidth="1"/>
    <col min="2581" max="2582" width="6.28515625" style="2" customWidth="1"/>
    <col min="2583" max="2584" width="13.85546875" style="2" customWidth="1"/>
    <col min="2585" max="2585" width="10.85546875" style="2" customWidth="1"/>
    <col min="2586" max="2586" width="14.140625" style="2" customWidth="1"/>
    <col min="2587" max="2587" width="0" style="2" hidden="1" customWidth="1"/>
    <col min="2588" max="2588" width="13" style="2" customWidth="1"/>
    <col min="2589" max="2589" width="13.140625" style="2" customWidth="1"/>
    <col min="2590" max="2591" width="14" style="2" customWidth="1"/>
    <col min="2592" max="2592" width="11.42578125" style="2" customWidth="1"/>
    <col min="2593" max="2593" width="15.85546875" style="2" customWidth="1"/>
    <col min="2594" max="2594" width="23.7109375" style="2" customWidth="1"/>
    <col min="2595" max="2595" width="12" style="2" customWidth="1"/>
    <col min="2596" max="2597" width="0.28515625" style="2" customWidth="1"/>
    <col min="2598" max="2598" width="1.42578125" style="2" customWidth="1"/>
    <col min="2599" max="2599" width="0" style="2" hidden="1" customWidth="1"/>
    <col min="2600" max="2816" width="11.42578125" style="2"/>
    <col min="2817" max="2817" width="10.28515625" style="2" customWidth="1"/>
    <col min="2818" max="2818" width="13.42578125" style="2" customWidth="1"/>
    <col min="2819" max="2819" width="4.28515625" style="2" customWidth="1"/>
    <col min="2820" max="2820" width="4" style="2" customWidth="1"/>
    <col min="2821" max="2821" width="16.7109375" style="2" customWidth="1"/>
    <col min="2822" max="2822" width="4.140625" style="2" customWidth="1"/>
    <col min="2823" max="2823" width="11.28515625" style="2" customWidth="1"/>
    <col min="2824" max="2824" width="16.140625" style="2" customWidth="1"/>
    <col min="2825" max="2825" width="11" style="2" customWidth="1"/>
    <col min="2826" max="2827" width="2.140625" style="2" customWidth="1"/>
    <col min="2828" max="2828" width="3.28515625" style="2" customWidth="1"/>
    <col min="2829" max="2830" width="0" style="2" hidden="1" customWidth="1"/>
    <col min="2831" max="2831" width="2.85546875" style="2" customWidth="1"/>
    <col min="2832" max="2832" width="3.28515625" style="2" customWidth="1"/>
    <col min="2833" max="2833" width="1.42578125" style="2" customWidth="1"/>
    <col min="2834" max="2834" width="0" style="2" hidden="1" customWidth="1"/>
    <col min="2835" max="2835" width="6.85546875" style="2" customWidth="1"/>
    <col min="2836" max="2836" width="0" style="2" hidden="1" customWidth="1"/>
    <col min="2837" max="2838" width="6.28515625" style="2" customWidth="1"/>
    <col min="2839" max="2840" width="13.85546875" style="2" customWidth="1"/>
    <col min="2841" max="2841" width="10.85546875" style="2" customWidth="1"/>
    <col min="2842" max="2842" width="14.140625" style="2" customWidth="1"/>
    <col min="2843" max="2843" width="0" style="2" hidden="1" customWidth="1"/>
    <col min="2844" max="2844" width="13" style="2" customWidth="1"/>
    <col min="2845" max="2845" width="13.140625" style="2" customWidth="1"/>
    <col min="2846" max="2847" width="14" style="2" customWidth="1"/>
    <col min="2848" max="2848" width="11.42578125" style="2" customWidth="1"/>
    <col min="2849" max="2849" width="15.85546875" style="2" customWidth="1"/>
    <col min="2850" max="2850" width="23.7109375" style="2" customWidth="1"/>
    <col min="2851" max="2851" width="12" style="2" customWidth="1"/>
    <col min="2852" max="2853" width="0.28515625" style="2" customWidth="1"/>
    <col min="2854" max="2854" width="1.42578125" style="2" customWidth="1"/>
    <col min="2855" max="2855" width="0" style="2" hidden="1" customWidth="1"/>
    <col min="2856" max="3072" width="11.42578125" style="2"/>
    <col min="3073" max="3073" width="10.28515625" style="2" customWidth="1"/>
    <col min="3074" max="3074" width="13.42578125" style="2" customWidth="1"/>
    <col min="3075" max="3075" width="4.28515625" style="2" customWidth="1"/>
    <col min="3076" max="3076" width="4" style="2" customWidth="1"/>
    <col min="3077" max="3077" width="16.7109375" style="2" customWidth="1"/>
    <col min="3078" max="3078" width="4.140625" style="2" customWidth="1"/>
    <col min="3079" max="3079" width="11.28515625" style="2" customWidth="1"/>
    <col min="3080" max="3080" width="16.140625" style="2" customWidth="1"/>
    <col min="3081" max="3081" width="11" style="2" customWidth="1"/>
    <col min="3082" max="3083" width="2.140625" style="2" customWidth="1"/>
    <col min="3084" max="3084" width="3.28515625" style="2" customWidth="1"/>
    <col min="3085" max="3086" width="0" style="2" hidden="1" customWidth="1"/>
    <col min="3087" max="3087" width="2.85546875" style="2" customWidth="1"/>
    <col min="3088" max="3088" width="3.28515625" style="2" customWidth="1"/>
    <col min="3089" max="3089" width="1.42578125" style="2" customWidth="1"/>
    <col min="3090" max="3090" width="0" style="2" hidden="1" customWidth="1"/>
    <col min="3091" max="3091" width="6.85546875" style="2" customWidth="1"/>
    <col min="3092" max="3092" width="0" style="2" hidden="1" customWidth="1"/>
    <col min="3093" max="3094" width="6.28515625" style="2" customWidth="1"/>
    <col min="3095" max="3096" width="13.85546875" style="2" customWidth="1"/>
    <col min="3097" max="3097" width="10.85546875" style="2" customWidth="1"/>
    <col min="3098" max="3098" width="14.140625" style="2" customWidth="1"/>
    <col min="3099" max="3099" width="0" style="2" hidden="1" customWidth="1"/>
    <col min="3100" max="3100" width="13" style="2" customWidth="1"/>
    <col min="3101" max="3101" width="13.140625" style="2" customWidth="1"/>
    <col min="3102" max="3103" width="14" style="2" customWidth="1"/>
    <col min="3104" max="3104" width="11.42578125" style="2" customWidth="1"/>
    <col min="3105" max="3105" width="15.85546875" style="2" customWidth="1"/>
    <col min="3106" max="3106" width="23.7109375" style="2" customWidth="1"/>
    <col min="3107" max="3107" width="12" style="2" customWidth="1"/>
    <col min="3108" max="3109" width="0.28515625" style="2" customWidth="1"/>
    <col min="3110" max="3110" width="1.42578125" style="2" customWidth="1"/>
    <col min="3111" max="3111" width="0" style="2" hidden="1" customWidth="1"/>
    <col min="3112" max="3328" width="11.42578125" style="2"/>
    <col min="3329" max="3329" width="10.28515625" style="2" customWidth="1"/>
    <col min="3330" max="3330" width="13.42578125" style="2" customWidth="1"/>
    <col min="3331" max="3331" width="4.28515625" style="2" customWidth="1"/>
    <col min="3332" max="3332" width="4" style="2" customWidth="1"/>
    <col min="3333" max="3333" width="16.7109375" style="2" customWidth="1"/>
    <col min="3334" max="3334" width="4.140625" style="2" customWidth="1"/>
    <col min="3335" max="3335" width="11.28515625" style="2" customWidth="1"/>
    <col min="3336" max="3336" width="16.140625" style="2" customWidth="1"/>
    <col min="3337" max="3337" width="11" style="2" customWidth="1"/>
    <col min="3338" max="3339" width="2.140625" style="2" customWidth="1"/>
    <col min="3340" max="3340" width="3.28515625" style="2" customWidth="1"/>
    <col min="3341" max="3342" width="0" style="2" hidden="1" customWidth="1"/>
    <col min="3343" max="3343" width="2.85546875" style="2" customWidth="1"/>
    <col min="3344" max="3344" width="3.28515625" style="2" customWidth="1"/>
    <col min="3345" max="3345" width="1.42578125" style="2" customWidth="1"/>
    <col min="3346" max="3346" width="0" style="2" hidden="1" customWidth="1"/>
    <col min="3347" max="3347" width="6.85546875" style="2" customWidth="1"/>
    <col min="3348" max="3348" width="0" style="2" hidden="1" customWidth="1"/>
    <col min="3349" max="3350" width="6.28515625" style="2" customWidth="1"/>
    <col min="3351" max="3352" width="13.85546875" style="2" customWidth="1"/>
    <col min="3353" max="3353" width="10.85546875" style="2" customWidth="1"/>
    <col min="3354" max="3354" width="14.140625" style="2" customWidth="1"/>
    <col min="3355" max="3355" width="0" style="2" hidden="1" customWidth="1"/>
    <col min="3356" max="3356" width="13" style="2" customWidth="1"/>
    <col min="3357" max="3357" width="13.140625" style="2" customWidth="1"/>
    <col min="3358" max="3359" width="14" style="2" customWidth="1"/>
    <col min="3360" max="3360" width="11.42578125" style="2" customWidth="1"/>
    <col min="3361" max="3361" width="15.85546875" style="2" customWidth="1"/>
    <col min="3362" max="3362" width="23.7109375" style="2" customWidth="1"/>
    <col min="3363" max="3363" width="12" style="2" customWidth="1"/>
    <col min="3364" max="3365" width="0.28515625" style="2" customWidth="1"/>
    <col min="3366" max="3366" width="1.42578125" style="2" customWidth="1"/>
    <col min="3367" max="3367" width="0" style="2" hidden="1" customWidth="1"/>
    <col min="3368" max="3584" width="11.42578125" style="2"/>
    <col min="3585" max="3585" width="10.28515625" style="2" customWidth="1"/>
    <col min="3586" max="3586" width="13.42578125" style="2" customWidth="1"/>
    <col min="3587" max="3587" width="4.28515625" style="2" customWidth="1"/>
    <col min="3588" max="3588" width="4" style="2" customWidth="1"/>
    <col min="3589" max="3589" width="16.7109375" style="2" customWidth="1"/>
    <col min="3590" max="3590" width="4.140625" style="2" customWidth="1"/>
    <col min="3591" max="3591" width="11.28515625" style="2" customWidth="1"/>
    <col min="3592" max="3592" width="16.140625" style="2" customWidth="1"/>
    <col min="3593" max="3593" width="11" style="2" customWidth="1"/>
    <col min="3594" max="3595" width="2.140625" style="2" customWidth="1"/>
    <col min="3596" max="3596" width="3.28515625" style="2" customWidth="1"/>
    <col min="3597" max="3598" width="0" style="2" hidden="1" customWidth="1"/>
    <col min="3599" max="3599" width="2.85546875" style="2" customWidth="1"/>
    <col min="3600" max="3600" width="3.28515625" style="2" customWidth="1"/>
    <col min="3601" max="3601" width="1.42578125" style="2" customWidth="1"/>
    <col min="3602" max="3602" width="0" style="2" hidden="1" customWidth="1"/>
    <col min="3603" max="3603" width="6.85546875" style="2" customWidth="1"/>
    <col min="3604" max="3604" width="0" style="2" hidden="1" customWidth="1"/>
    <col min="3605" max="3606" width="6.28515625" style="2" customWidth="1"/>
    <col min="3607" max="3608" width="13.85546875" style="2" customWidth="1"/>
    <col min="3609" max="3609" width="10.85546875" style="2" customWidth="1"/>
    <col min="3610" max="3610" width="14.140625" style="2" customWidth="1"/>
    <col min="3611" max="3611" width="0" style="2" hidden="1" customWidth="1"/>
    <col min="3612" max="3612" width="13" style="2" customWidth="1"/>
    <col min="3613" max="3613" width="13.140625" style="2" customWidth="1"/>
    <col min="3614" max="3615" width="14" style="2" customWidth="1"/>
    <col min="3616" max="3616" width="11.42578125" style="2" customWidth="1"/>
    <col min="3617" max="3617" width="15.85546875" style="2" customWidth="1"/>
    <col min="3618" max="3618" width="23.7109375" style="2" customWidth="1"/>
    <col min="3619" max="3619" width="12" style="2" customWidth="1"/>
    <col min="3620" max="3621" width="0.28515625" style="2" customWidth="1"/>
    <col min="3622" max="3622" width="1.42578125" style="2" customWidth="1"/>
    <col min="3623" max="3623" width="0" style="2" hidden="1" customWidth="1"/>
    <col min="3624" max="3840" width="11.42578125" style="2"/>
    <col min="3841" max="3841" width="10.28515625" style="2" customWidth="1"/>
    <col min="3842" max="3842" width="13.42578125" style="2" customWidth="1"/>
    <col min="3843" max="3843" width="4.28515625" style="2" customWidth="1"/>
    <col min="3844" max="3844" width="4" style="2" customWidth="1"/>
    <col min="3845" max="3845" width="16.7109375" style="2" customWidth="1"/>
    <col min="3846" max="3846" width="4.140625" style="2" customWidth="1"/>
    <col min="3847" max="3847" width="11.28515625" style="2" customWidth="1"/>
    <col min="3848" max="3848" width="16.140625" style="2" customWidth="1"/>
    <col min="3849" max="3849" width="11" style="2" customWidth="1"/>
    <col min="3850" max="3851" width="2.140625" style="2" customWidth="1"/>
    <col min="3852" max="3852" width="3.28515625" style="2" customWidth="1"/>
    <col min="3853" max="3854" width="0" style="2" hidden="1" customWidth="1"/>
    <col min="3855" max="3855" width="2.85546875" style="2" customWidth="1"/>
    <col min="3856" max="3856" width="3.28515625" style="2" customWidth="1"/>
    <col min="3857" max="3857" width="1.42578125" style="2" customWidth="1"/>
    <col min="3858" max="3858" width="0" style="2" hidden="1" customWidth="1"/>
    <col min="3859" max="3859" width="6.85546875" style="2" customWidth="1"/>
    <col min="3860" max="3860" width="0" style="2" hidden="1" customWidth="1"/>
    <col min="3861" max="3862" width="6.28515625" style="2" customWidth="1"/>
    <col min="3863" max="3864" width="13.85546875" style="2" customWidth="1"/>
    <col min="3865" max="3865" width="10.85546875" style="2" customWidth="1"/>
    <col min="3866" max="3866" width="14.140625" style="2" customWidth="1"/>
    <col min="3867" max="3867" width="0" style="2" hidden="1" customWidth="1"/>
    <col min="3868" max="3868" width="13" style="2" customWidth="1"/>
    <col min="3869" max="3869" width="13.140625" style="2" customWidth="1"/>
    <col min="3870" max="3871" width="14" style="2" customWidth="1"/>
    <col min="3872" max="3872" width="11.42578125" style="2" customWidth="1"/>
    <col min="3873" max="3873" width="15.85546875" style="2" customWidth="1"/>
    <col min="3874" max="3874" width="23.7109375" style="2" customWidth="1"/>
    <col min="3875" max="3875" width="12" style="2" customWidth="1"/>
    <col min="3876" max="3877" width="0.28515625" style="2" customWidth="1"/>
    <col min="3878" max="3878" width="1.42578125" style="2" customWidth="1"/>
    <col min="3879" max="3879" width="0" style="2" hidden="1" customWidth="1"/>
    <col min="3880" max="4096" width="11.42578125" style="2"/>
    <col min="4097" max="4097" width="10.28515625" style="2" customWidth="1"/>
    <col min="4098" max="4098" width="13.42578125" style="2" customWidth="1"/>
    <col min="4099" max="4099" width="4.28515625" style="2" customWidth="1"/>
    <col min="4100" max="4100" width="4" style="2" customWidth="1"/>
    <col min="4101" max="4101" width="16.7109375" style="2" customWidth="1"/>
    <col min="4102" max="4102" width="4.140625" style="2" customWidth="1"/>
    <col min="4103" max="4103" width="11.28515625" style="2" customWidth="1"/>
    <col min="4104" max="4104" width="16.140625" style="2" customWidth="1"/>
    <col min="4105" max="4105" width="11" style="2" customWidth="1"/>
    <col min="4106" max="4107" width="2.140625" style="2" customWidth="1"/>
    <col min="4108" max="4108" width="3.28515625" style="2" customWidth="1"/>
    <col min="4109" max="4110" width="0" style="2" hidden="1" customWidth="1"/>
    <col min="4111" max="4111" width="2.85546875" style="2" customWidth="1"/>
    <col min="4112" max="4112" width="3.28515625" style="2" customWidth="1"/>
    <col min="4113" max="4113" width="1.42578125" style="2" customWidth="1"/>
    <col min="4114" max="4114" width="0" style="2" hidden="1" customWidth="1"/>
    <col min="4115" max="4115" width="6.85546875" style="2" customWidth="1"/>
    <col min="4116" max="4116" width="0" style="2" hidden="1" customWidth="1"/>
    <col min="4117" max="4118" width="6.28515625" style="2" customWidth="1"/>
    <col min="4119" max="4120" width="13.85546875" style="2" customWidth="1"/>
    <col min="4121" max="4121" width="10.85546875" style="2" customWidth="1"/>
    <col min="4122" max="4122" width="14.140625" style="2" customWidth="1"/>
    <col min="4123" max="4123" width="0" style="2" hidden="1" customWidth="1"/>
    <col min="4124" max="4124" width="13" style="2" customWidth="1"/>
    <col min="4125" max="4125" width="13.140625" style="2" customWidth="1"/>
    <col min="4126" max="4127" width="14" style="2" customWidth="1"/>
    <col min="4128" max="4128" width="11.42578125" style="2" customWidth="1"/>
    <col min="4129" max="4129" width="15.85546875" style="2" customWidth="1"/>
    <col min="4130" max="4130" width="23.7109375" style="2" customWidth="1"/>
    <col min="4131" max="4131" width="12" style="2" customWidth="1"/>
    <col min="4132" max="4133" width="0.28515625" style="2" customWidth="1"/>
    <col min="4134" max="4134" width="1.42578125" style="2" customWidth="1"/>
    <col min="4135" max="4135" width="0" style="2" hidden="1" customWidth="1"/>
    <col min="4136" max="4352" width="11.42578125" style="2"/>
    <col min="4353" max="4353" width="10.28515625" style="2" customWidth="1"/>
    <col min="4354" max="4354" width="13.42578125" style="2" customWidth="1"/>
    <col min="4355" max="4355" width="4.28515625" style="2" customWidth="1"/>
    <col min="4356" max="4356" width="4" style="2" customWidth="1"/>
    <col min="4357" max="4357" width="16.7109375" style="2" customWidth="1"/>
    <col min="4358" max="4358" width="4.140625" style="2" customWidth="1"/>
    <col min="4359" max="4359" width="11.28515625" style="2" customWidth="1"/>
    <col min="4360" max="4360" width="16.140625" style="2" customWidth="1"/>
    <col min="4361" max="4361" width="11" style="2" customWidth="1"/>
    <col min="4362" max="4363" width="2.140625" style="2" customWidth="1"/>
    <col min="4364" max="4364" width="3.28515625" style="2" customWidth="1"/>
    <col min="4365" max="4366" width="0" style="2" hidden="1" customWidth="1"/>
    <col min="4367" max="4367" width="2.85546875" style="2" customWidth="1"/>
    <col min="4368" max="4368" width="3.28515625" style="2" customWidth="1"/>
    <col min="4369" max="4369" width="1.42578125" style="2" customWidth="1"/>
    <col min="4370" max="4370" width="0" style="2" hidden="1" customWidth="1"/>
    <col min="4371" max="4371" width="6.85546875" style="2" customWidth="1"/>
    <col min="4372" max="4372" width="0" style="2" hidden="1" customWidth="1"/>
    <col min="4373" max="4374" width="6.28515625" style="2" customWidth="1"/>
    <col min="4375" max="4376" width="13.85546875" style="2" customWidth="1"/>
    <col min="4377" max="4377" width="10.85546875" style="2" customWidth="1"/>
    <col min="4378" max="4378" width="14.140625" style="2" customWidth="1"/>
    <col min="4379" max="4379" width="0" style="2" hidden="1" customWidth="1"/>
    <col min="4380" max="4380" width="13" style="2" customWidth="1"/>
    <col min="4381" max="4381" width="13.140625" style="2" customWidth="1"/>
    <col min="4382" max="4383" width="14" style="2" customWidth="1"/>
    <col min="4384" max="4384" width="11.42578125" style="2" customWidth="1"/>
    <col min="4385" max="4385" width="15.85546875" style="2" customWidth="1"/>
    <col min="4386" max="4386" width="23.7109375" style="2" customWidth="1"/>
    <col min="4387" max="4387" width="12" style="2" customWidth="1"/>
    <col min="4388" max="4389" width="0.28515625" style="2" customWidth="1"/>
    <col min="4390" max="4390" width="1.42578125" style="2" customWidth="1"/>
    <col min="4391" max="4391" width="0" style="2" hidden="1" customWidth="1"/>
    <col min="4392" max="4608" width="11.42578125" style="2"/>
    <col min="4609" max="4609" width="10.28515625" style="2" customWidth="1"/>
    <col min="4610" max="4610" width="13.42578125" style="2" customWidth="1"/>
    <col min="4611" max="4611" width="4.28515625" style="2" customWidth="1"/>
    <col min="4612" max="4612" width="4" style="2" customWidth="1"/>
    <col min="4613" max="4613" width="16.7109375" style="2" customWidth="1"/>
    <col min="4614" max="4614" width="4.140625" style="2" customWidth="1"/>
    <col min="4615" max="4615" width="11.28515625" style="2" customWidth="1"/>
    <col min="4616" max="4616" width="16.140625" style="2" customWidth="1"/>
    <col min="4617" max="4617" width="11" style="2" customWidth="1"/>
    <col min="4618" max="4619" width="2.140625" style="2" customWidth="1"/>
    <col min="4620" max="4620" width="3.28515625" style="2" customWidth="1"/>
    <col min="4621" max="4622" width="0" style="2" hidden="1" customWidth="1"/>
    <col min="4623" max="4623" width="2.85546875" style="2" customWidth="1"/>
    <col min="4624" max="4624" width="3.28515625" style="2" customWidth="1"/>
    <col min="4625" max="4625" width="1.42578125" style="2" customWidth="1"/>
    <col min="4626" max="4626" width="0" style="2" hidden="1" customWidth="1"/>
    <col min="4627" max="4627" width="6.85546875" style="2" customWidth="1"/>
    <col min="4628" max="4628" width="0" style="2" hidden="1" customWidth="1"/>
    <col min="4629" max="4630" width="6.28515625" style="2" customWidth="1"/>
    <col min="4631" max="4632" width="13.85546875" style="2" customWidth="1"/>
    <col min="4633" max="4633" width="10.85546875" style="2" customWidth="1"/>
    <col min="4634" max="4634" width="14.140625" style="2" customWidth="1"/>
    <col min="4635" max="4635" width="0" style="2" hidden="1" customWidth="1"/>
    <col min="4636" max="4636" width="13" style="2" customWidth="1"/>
    <col min="4637" max="4637" width="13.140625" style="2" customWidth="1"/>
    <col min="4638" max="4639" width="14" style="2" customWidth="1"/>
    <col min="4640" max="4640" width="11.42578125" style="2" customWidth="1"/>
    <col min="4641" max="4641" width="15.85546875" style="2" customWidth="1"/>
    <col min="4642" max="4642" width="23.7109375" style="2" customWidth="1"/>
    <col min="4643" max="4643" width="12" style="2" customWidth="1"/>
    <col min="4644" max="4645" width="0.28515625" style="2" customWidth="1"/>
    <col min="4646" max="4646" width="1.42578125" style="2" customWidth="1"/>
    <col min="4647" max="4647" width="0" style="2" hidden="1" customWidth="1"/>
    <col min="4648" max="4864" width="11.42578125" style="2"/>
    <col min="4865" max="4865" width="10.28515625" style="2" customWidth="1"/>
    <col min="4866" max="4866" width="13.42578125" style="2" customWidth="1"/>
    <col min="4867" max="4867" width="4.28515625" style="2" customWidth="1"/>
    <col min="4868" max="4868" width="4" style="2" customWidth="1"/>
    <col min="4869" max="4869" width="16.7109375" style="2" customWidth="1"/>
    <col min="4870" max="4870" width="4.140625" style="2" customWidth="1"/>
    <col min="4871" max="4871" width="11.28515625" style="2" customWidth="1"/>
    <col min="4872" max="4872" width="16.140625" style="2" customWidth="1"/>
    <col min="4873" max="4873" width="11" style="2" customWidth="1"/>
    <col min="4874" max="4875" width="2.140625" style="2" customWidth="1"/>
    <col min="4876" max="4876" width="3.28515625" style="2" customWidth="1"/>
    <col min="4877" max="4878" width="0" style="2" hidden="1" customWidth="1"/>
    <col min="4879" max="4879" width="2.85546875" style="2" customWidth="1"/>
    <col min="4880" max="4880" width="3.28515625" style="2" customWidth="1"/>
    <col min="4881" max="4881" width="1.42578125" style="2" customWidth="1"/>
    <col min="4882" max="4882" width="0" style="2" hidden="1" customWidth="1"/>
    <col min="4883" max="4883" width="6.85546875" style="2" customWidth="1"/>
    <col min="4884" max="4884" width="0" style="2" hidden="1" customWidth="1"/>
    <col min="4885" max="4886" width="6.28515625" style="2" customWidth="1"/>
    <col min="4887" max="4888" width="13.85546875" style="2" customWidth="1"/>
    <col min="4889" max="4889" width="10.85546875" style="2" customWidth="1"/>
    <col min="4890" max="4890" width="14.140625" style="2" customWidth="1"/>
    <col min="4891" max="4891" width="0" style="2" hidden="1" customWidth="1"/>
    <col min="4892" max="4892" width="13" style="2" customWidth="1"/>
    <col min="4893" max="4893" width="13.140625" style="2" customWidth="1"/>
    <col min="4894" max="4895" width="14" style="2" customWidth="1"/>
    <col min="4896" max="4896" width="11.42578125" style="2" customWidth="1"/>
    <col min="4897" max="4897" width="15.85546875" style="2" customWidth="1"/>
    <col min="4898" max="4898" width="23.7109375" style="2" customWidth="1"/>
    <col min="4899" max="4899" width="12" style="2" customWidth="1"/>
    <col min="4900" max="4901" width="0.28515625" style="2" customWidth="1"/>
    <col min="4902" max="4902" width="1.42578125" style="2" customWidth="1"/>
    <col min="4903" max="4903" width="0" style="2" hidden="1" customWidth="1"/>
    <col min="4904" max="5120" width="11.42578125" style="2"/>
    <col min="5121" max="5121" width="10.28515625" style="2" customWidth="1"/>
    <col min="5122" max="5122" width="13.42578125" style="2" customWidth="1"/>
    <col min="5123" max="5123" width="4.28515625" style="2" customWidth="1"/>
    <col min="5124" max="5124" width="4" style="2" customWidth="1"/>
    <col min="5125" max="5125" width="16.7109375" style="2" customWidth="1"/>
    <col min="5126" max="5126" width="4.140625" style="2" customWidth="1"/>
    <col min="5127" max="5127" width="11.28515625" style="2" customWidth="1"/>
    <col min="5128" max="5128" width="16.140625" style="2" customWidth="1"/>
    <col min="5129" max="5129" width="11" style="2" customWidth="1"/>
    <col min="5130" max="5131" width="2.140625" style="2" customWidth="1"/>
    <col min="5132" max="5132" width="3.28515625" style="2" customWidth="1"/>
    <col min="5133" max="5134" width="0" style="2" hidden="1" customWidth="1"/>
    <col min="5135" max="5135" width="2.85546875" style="2" customWidth="1"/>
    <col min="5136" max="5136" width="3.28515625" style="2" customWidth="1"/>
    <col min="5137" max="5137" width="1.42578125" style="2" customWidth="1"/>
    <col min="5138" max="5138" width="0" style="2" hidden="1" customWidth="1"/>
    <col min="5139" max="5139" width="6.85546875" style="2" customWidth="1"/>
    <col min="5140" max="5140" width="0" style="2" hidden="1" customWidth="1"/>
    <col min="5141" max="5142" width="6.28515625" style="2" customWidth="1"/>
    <col min="5143" max="5144" width="13.85546875" style="2" customWidth="1"/>
    <col min="5145" max="5145" width="10.85546875" style="2" customWidth="1"/>
    <col min="5146" max="5146" width="14.140625" style="2" customWidth="1"/>
    <col min="5147" max="5147" width="0" style="2" hidden="1" customWidth="1"/>
    <col min="5148" max="5148" width="13" style="2" customWidth="1"/>
    <col min="5149" max="5149" width="13.140625" style="2" customWidth="1"/>
    <col min="5150" max="5151" width="14" style="2" customWidth="1"/>
    <col min="5152" max="5152" width="11.42578125" style="2" customWidth="1"/>
    <col min="5153" max="5153" width="15.85546875" style="2" customWidth="1"/>
    <col min="5154" max="5154" width="23.7109375" style="2" customWidth="1"/>
    <col min="5155" max="5155" width="12" style="2" customWidth="1"/>
    <col min="5156" max="5157" width="0.28515625" style="2" customWidth="1"/>
    <col min="5158" max="5158" width="1.42578125" style="2" customWidth="1"/>
    <col min="5159" max="5159" width="0" style="2" hidden="1" customWidth="1"/>
    <col min="5160" max="5376" width="11.42578125" style="2"/>
    <col min="5377" max="5377" width="10.28515625" style="2" customWidth="1"/>
    <col min="5378" max="5378" width="13.42578125" style="2" customWidth="1"/>
    <col min="5379" max="5379" width="4.28515625" style="2" customWidth="1"/>
    <col min="5380" max="5380" width="4" style="2" customWidth="1"/>
    <col min="5381" max="5381" width="16.7109375" style="2" customWidth="1"/>
    <col min="5382" max="5382" width="4.140625" style="2" customWidth="1"/>
    <col min="5383" max="5383" width="11.28515625" style="2" customWidth="1"/>
    <col min="5384" max="5384" width="16.140625" style="2" customWidth="1"/>
    <col min="5385" max="5385" width="11" style="2" customWidth="1"/>
    <col min="5386" max="5387" width="2.140625" style="2" customWidth="1"/>
    <col min="5388" max="5388" width="3.28515625" style="2" customWidth="1"/>
    <col min="5389" max="5390" width="0" style="2" hidden="1" customWidth="1"/>
    <col min="5391" max="5391" width="2.85546875" style="2" customWidth="1"/>
    <col min="5392" max="5392" width="3.28515625" style="2" customWidth="1"/>
    <col min="5393" max="5393" width="1.42578125" style="2" customWidth="1"/>
    <col min="5394" max="5394" width="0" style="2" hidden="1" customWidth="1"/>
    <col min="5395" max="5395" width="6.85546875" style="2" customWidth="1"/>
    <col min="5396" max="5396" width="0" style="2" hidden="1" customWidth="1"/>
    <col min="5397" max="5398" width="6.28515625" style="2" customWidth="1"/>
    <col min="5399" max="5400" width="13.85546875" style="2" customWidth="1"/>
    <col min="5401" max="5401" width="10.85546875" style="2" customWidth="1"/>
    <col min="5402" max="5402" width="14.140625" style="2" customWidth="1"/>
    <col min="5403" max="5403" width="0" style="2" hidden="1" customWidth="1"/>
    <col min="5404" max="5404" width="13" style="2" customWidth="1"/>
    <col min="5405" max="5405" width="13.140625" style="2" customWidth="1"/>
    <col min="5406" max="5407" width="14" style="2" customWidth="1"/>
    <col min="5408" max="5408" width="11.42578125" style="2" customWidth="1"/>
    <col min="5409" max="5409" width="15.85546875" style="2" customWidth="1"/>
    <col min="5410" max="5410" width="23.7109375" style="2" customWidth="1"/>
    <col min="5411" max="5411" width="12" style="2" customWidth="1"/>
    <col min="5412" max="5413" width="0.28515625" style="2" customWidth="1"/>
    <col min="5414" max="5414" width="1.42578125" style="2" customWidth="1"/>
    <col min="5415" max="5415" width="0" style="2" hidden="1" customWidth="1"/>
    <col min="5416" max="5632" width="11.42578125" style="2"/>
    <col min="5633" max="5633" width="10.28515625" style="2" customWidth="1"/>
    <col min="5634" max="5634" width="13.42578125" style="2" customWidth="1"/>
    <col min="5635" max="5635" width="4.28515625" style="2" customWidth="1"/>
    <col min="5636" max="5636" width="4" style="2" customWidth="1"/>
    <col min="5637" max="5637" width="16.7109375" style="2" customWidth="1"/>
    <col min="5638" max="5638" width="4.140625" style="2" customWidth="1"/>
    <col min="5639" max="5639" width="11.28515625" style="2" customWidth="1"/>
    <col min="5640" max="5640" width="16.140625" style="2" customWidth="1"/>
    <col min="5641" max="5641" width="11" style="2" customWidth="1"/>
    <col min="5642" max="5643" width="2.140625" style="2" customWidth="1"/>
    <col min="5644" max="5644" width="3.28515625" style="2" customWidth="1"/>
    <col min="5645" max="5646" width="0" style="2" hidden="1" customWidth="1"/>
    <col min="5647" max="5647" width="2.85546875" style="2" customWidth="1"/>
    <col min="5648" max="5648" width="3.28515625" style="2" customWidth="1"/>
    <col min="5649" max="5649" width="1.42578125" style="2" customWidth="1"/>
    <col min="5650" max="5650" width="0" style="2" hidden="1" customWidth="1"/>
    <col min="5651" max="5651" width="6.85546875" style="2" customWidth="1"/>
    <col min="5652" max="5652" width="0" style="2" hidden="1" customWidth="1"/>
    <col min="5653" max="5654" width="6.28515625" style="2" customWidth="1"/>
    <col min="5655" max="5656" width="13.85546875" style="2" customWidth="1"/>
    <col min="5657" max="5657" width="10.85546875" style="2" customWidth="1"/>
    <col min="5658" max="5658" width="14.140625" style="2" customWidth="1"/>
    <col min="5659" max="5659" width="0" style="2" hidden="1" customWidth="1"/>
    <col min="5660" max="5660" width="13" style="2" customWidth="1"/>
    <col min="5661" max="5661" width="13.140625" style="2" customWidth="1"/>
    <col min="5662" max="5663" width="14" style="2" customWidth="1"/>
    <col min="5664" max="5664" width="11.42578125" style="2" customWidth="1"/>
    <col min="5665" max="5665" width="15.85546875" style="2" customWidth="1"/>
    <col min="5666" max="5666" width="23.7109375" style="2" customWidth="1"/>
    <col min="5667" max="5667" width="12" style="2" customWidth="1"/>
    <col min="5668" max="5669" width="0.28515625" style="2" customWidth="1"/>
    <col min="5670" max="5670" width="1.42578125" style="2" customWidth="1"/>
    <col min="5671" max="5671" width="0" style="2" hidden="1" customWidth="1"/>
    <col min="5672" max="5888" width="11.42578125" style="2"/>
    <col min="5889" max="5889" width="10.28515625" style="2" customWidth="1"/>
    <col min="5890" max="5890" width="13.42578125" style="2" customWidth="1"/>
    <col min="5891" max="5891" width="4.28515625" style="2" customWidth="1"/>
    <col min="5892" max="5892" width="4" style="2" customWidth="1"/>
    <col min="5893" max="5893" width="16.7109375" style="2" customWidth="1"/>
    <col min="5894" max="5894" width="4.140625" style="2" customWidth="1"/>
    <col min="5895" max="5895" width="11.28515625" style="2" customWidth="1"/>
    <col min="5896" max="5896" width="16.140625" style="2" customWidth="1"/>
    <col min="5897" max="5897" width="11" style="2" customWidth="1"/>
    <col min="5898" max="5899" width="2.140625" style="2" customWidth="1"/>
    <col min="5900" max="5900" width="3.28515625" style="2" customWidth="1"/>
    <col min="5901" max="5902" width="0" style="2" hidden="1" customWidth="1"/>
    <col min="5903" max="5903" width="2.85546875" style="2" customWidth="1"/>
    <col min="5904" max="5904" width="3.28515625" style="2" customWidth="1"/>
    <col min="5905" max="5905" width="1.42578125" style="2" customWidth="1"/>
    <col min="5906" max="5906" width="0" style="2" hidden="1" customWidth="1"/>
    <col min="5907" max="5907" width="6.85546875" style="2" customWidth="1"/>
    <col min="5908" max="5908" width="0" style="2" hidden="1" customWidth="1"/>
    <col min="5909" max="5910" width="6.28515625" style="2" customWidth="1"/>
    <col min="5911" max="5912" width="13.85546875" style="2" customWidth="1"/>
    <col min="5913" max="5913" width="10.85546875" style="2" customWidth="1"/>
    <col min="5914" max="5914" width="14.140625" style="2" customWidth="1"/>
    <col min="5915" max="5915" width="0" style="2" hidden="1" customWidth="1"/>
    <col min="5916" max="5916" width="13" style="2" customWidth="1"/>
    <col min="5917" max="5917" width="13.140625" style="2" customWidth="1"/>
    <col min="5918" max="5919" width="14" style="2" customWidth="1"/>
    <col min="5920" max="5920" width="11.42578125" style="2" customWidth="1"/>
    <col min="5921" max="5921" width="15.85546875" style="2" customWidth="1"/>
    <col min="5922" max="5922" width="23.7109375" style="2" customWidth="1"/>
    <col min="5923" max="5923" width="12" style="2" customWidth="1"/>
    <col min="5924" max="5925" width="0.28515625" style="2" customWidth="1"/>
    <col min="5926" max="5926" width="1.42578125" style="2" customWidth="1"/>
    <col min="5927" max="5927" width="0" style="2" hidden="1" customWidth="1"/>
    <col min="5928" max="6144" width="11.42578125" style="2"/>
    <col min="6145" max="6145" width="10.28515625" style="2" customWidth="1"/>
    <col min="6146" max="6146" width="13.42578125" style="2" customWidth="1"/>
    <col min="6147" max="6147" width="4.28515625" style="2" customWidth="1"/>
    <col min="6148" max="6148" width="4" style="2" customWidth="1"/>
    <col min="6149" max="6149" width="16.7109375" style="2" customWidth="1"/>
    <col min="6150" max="6150" width="4.140625" style="2" customWidth="1"/>
    <col min="6151" max="6151" width="11.28515625" style="2" customWidth="1"/>
    <col min="6152" max="6152" width="16.140625" style="2" customWidth="1"/>
    <col min="6153" max="6153" width="11" style="2" customWidth="1"/>
    <col min="6154" max="6155" width="2.140625" style="2" customWidth="1"/>
    <col min="6156" max="6156" width="3.28515625" style="2" customWidth="1"/>
    <col min="6157" max="6158" width="0" style="2" hidden="1" customWidth="1"/>
    <col min="6159" max="6159" width="2.85546875" style="2" customWidth="1"/>
    <col min="6160" max="6160" width="3.28515625" style="2" customWidth="1"/>
    <col min="6161" max="6161" width="1.42578125" style="2" customWidth="1"/>
    <col min="6162" max="6162" width="0" style="2" hidden="1" customWidth="1"/>
    <col min="6163" max="6163" width="6.85546875" style="2" customWidth="1"/>
    <col min="6164" max="6164" width="0" style="2" hidden="1" customWidth="1"/>
    <col min="6165" max="6166" width="6.28515625" style="2" customWidth="1"/>
    <col min="6167" max="6168" width="13.85546875" style="2" customWidth="1"/>
    <col min="6169" max="6169" width="10.85546875" style="2" customWidth="1"/>
    <col min="6170" max="6170" width="14.140625" style="2" customWidth="1"/>
    <col min="6171" max="6171" width="0" style="2" hidden="1" customWidth="1"/>
    <col min="6172" max="6172" width="13" style="2" customWidth="1"/>
    <col min="6173" max="6173" width="13.140625" style="2" customWidth="1"/>
    <col min="6174" max="6175" width="14" style="2" customWidth="1"/>
    <col min="6176" max="6176" width="11.42578125" style="2" customWidth="1"/>
    <col min="6177" max="6177" width="15.85546875" style="2" customWidth="1"/>
    <col min="6178" max="6178" width="23.7109375" style="2" customWidth="1"/>
    <col min="6179" max="6179" width="12" style="2" customWidth="1"/>
    <col min="6180" max="6181" width="0.28515625" style="2" customWidth="1"/>
    <col min="6182" max="6182" width="1.42578125" style="2" customWidth="1"/>
    <col min="6183" max="6183" width="0" style="2" hidden="1" customWidth="1"/>
    <col min="6184" max="6400" width="11.42578125" style="2"/>
    <col min="6401" max="6401" width="10.28515625" style="2" customWidth="1"/>
    <col min="6402" max="6402" width="13.42578125" style="2" customWidth="1"/>
    <col min="6403" max="6403" width="4.28515625" style="2" customWidth="1"/>
    <col min="6404" max="6404" width="4" style="2" customWidth="1"/>
    <col min="6405" max="6405" width="16.7109375" style="2" customWidth="1"/>
    <col min="6406" max="6406" width="4.140625" style="2" customWidth="1"/>
    <col min="6407" max="6407" width="11.28515625" style="2" customWidth="1"/>
    <col min="6408" max="6408" width="16.140625" style="2" customWidth="1"/>
    <col min="6409" max="6409" width="11" style="2" customWidth="1"/>
    <col min="6410" max="6411" width="2.140625" style="2" customWidth="1"/>
    <col min="6412" max="6412" width="3.28515625" style="2" customWidth="1"/>
    <col min="6413" max="6414" width="0" style="2" hidden="1" customWidth="1"/>
    <col min="6415" max="6415" width="2.85546875" style="2" customWidth="1"/>
    <col min="6416" max="6416" width="3.28515625" style="2" customWidth="1"/>
    <col min="6417" max="6417" width="1.42578125" style="2" customWidth="1"/>
    <col min="6418" max="6418" width="0" style="2" hidden="1" customWidth="1"/>
    <col min="6419" max="6419" width="6.85546875" style="2" customWidth="1"/>
    <col min="6420" max="6420" width="0" style="2" hidden="1" customWidth="1"/>
    <col min="6421" max="6422" width="6.28515625" style="2" customWidth="1"/>
    <col min="6423" max="6424" width="13.85546875" style="2" customWidth="1"/>
    <col min="6425" max="6425" width="10.85546875" style="2" customWidth="1"/>
    <col min="6426" max="6426" width="14.140625" style="2" customWidth="1"/>
    <col min="6427" max="6427" width="0" style="2" hidden="1" customWidth="1"/>
    <col min="6428" max="6428" width="13" style="2" customWidth="1"/>
    <col min="6429" max="6429" width="13.140625" style="2" customWidth="1"/>
    <col min="6430" max="6431" width="14" style="2" customWidth="1"/>
    <col min="6432" max="6432" width="11.42578125" style="2" customWidth="1"/>
    <col min="6433" max="6433" width="15.85546875" style="2" customWidth="1"/>
    <col min="6434" max="6434" width="23.7109375" style="2" customWidth="1"/>
    <col min="6435" max="6435" width="12" style="2" customWidth="1"/>
    <col min="6436" max="6437" width="0.28515625" style="2" customWidth="1"/>
    <col min="6438" max="6438" width="1.42578125" style="2" customWidth="1"/>
    <col min="6439" max="6439" width="0" style="2" hidden="1" customWidth="1"/>
    <col min="6440" max="6656" width="11.42578125" style="2"/>
    <col min="6657" max="6657" width="10.28515625" style="2" customWidth="1"/>
    <col min="6658" max="6658" width="13.42578125" style="2" customWidth="1"/>
    <col min="6659" max="6659" width="4.28515625" style="2" customWidth="1"/>
    <col min="6660" max="6660" width="4" style="2" customWidth="1"/>
    <col min="6661" max="6661" width="16.7109375" style="2" customWidth="1"/>
    <col min="6662" max="6662" width="4.140625" style="2" customWidth="1"/>
    <col min="6663" max="6663" width="11.28515625" style="2" customWidth="1"/>
    <col min="6664" max="6664" width="16.140625" style="2" customWidth="1"/>
    <col min="6665" max="6665" width="11" style="2" customWidth="1"/>
    <col min="6666" max="6667" width="2.140625" style="2" customWidth="1"/>
    <col min="6668" max="6668" width="3.28515625" style="2" customWidth="1"/>
    <col min="6669" max="6670" width="0" style="2" hidden="1" customWidth="1"/>
    <col min="6671" max="6671" width="2.85546875" style="2" customWidth="1"/>
    <col min="6672" max="6672" width="3.28515625" style="2" customWidth="1"/>
    <col min="6673" max="6673" width="1.42578125" style="2" customWidth="1"/>
    <col min="6674" max="6674" width="0" style="2" hidden="1" customWidth="1"/>
    <col min="6675" max="6675" width="6.85546875" style="2" customWidth="1"/>
    <col min="6676" max="6676" width="0" style="2" hidden="1" customWidth="1"/>
    <col min="6677" max="6678" width="6.28515625" style="2" customWidth="1"/>
    <col min="6679" max="6680" width="13.85546875" style="2" customWidth="1"/>
    <col min="6681" max="6681" width="10.85546875" style="2" customWidth="1"/>
    <col min="6682" max="6682" width="14.140625" style="2" customWidth="1"/>
    <col min="6683" max="6683" width="0" style="2" hidden="1" customWidth="1"/>
    <col min="6684" max="6684" width="13" style="2" customWidth="1"/>
    <col min="6685" max="6685" width="13.140625" style="2" customWidth="1"/>
    <col min="6686" max="6687" width="14" style="2" customWidth="1"/>
    <col min="6688" max="6688" width="11.42578125" style="2" customWidth="1"/>
    <col min="6689" max="6689" width="15.85546875" style="2" customWidth="1"/>
    <col min="6690" max="6690" width="23.7109375" style="2" customWidth="1"/>
    <col min="6691" max="6691" width="12" style="2" customWidth="1"/>
    <col min="6692" max="6693" width="0.28515625" style="2" customWidth="1"/>
    <col min="6694" max="6694" width="1.42578125" style="2" customWidth="1"/>
    <col min="6695" max="6695" width="0" style="2" hidden="1" customWidth="1"/>
    <col min="6696" max="6912" width="11.42578125" style="2"/>
    <col min="6913" max="6913" width="10.28515625" style="2" customWidth="1"/>
    <col min="6914" max="6914" width="13.42578125" style="2" customWidth="1"/>
    <col min="6915" max="6915" width="4.28515625" style="2" customWidth="1"/>
    <col min="6916" max="6916" width="4" style="2" customWidth="1"/>
    <col min="6917" max="6917" width="16.7109375" style="2" customWidth="1"/>
    <col min="6918" max="6918" width="4.140625" style="2" customWidth="1"/>
    <col min="6919" max="6919" width="11.28515625" style="2" customWidth="1"/>
    <col min="6920" max="6920" width="16.140625" style="2" customWidth="1"/>
    <col min="6921" max="6921" width="11" style="2" customWidth="1"/>
    <col min="6922" max="6923" width="2.140625" style="2" customWidth="1"/>
    <col min="6924" max="6924" width="3.28515625" style="2" customWidth="1"/>
    <col min="6925" max="6926" width="0" style="2" hidden="1" customWidth="1"/>
    <col min="6927" max="6927" width="2.85546875" style="2" customWidth="1"/>
    <col min="6928" max="6928" width="3.28515625" style="2" customWidth="1"/>
    <col min="6929" max="6929" width="1.42578125" style="2" customWidth="1"/>
    <col min="6930" max="6930" width="0" style="2" hidden="1" customWidth="1"/>
    <col min="6931" max="6931" width="6.85546875" style="2" customWidth="1"/>
    <col min="6932" max="6932" width="0" style="2" hidden="1" customWidth="1"/>
    <col min="6933" max="6934" width="6.28515625" style="2" customWidth="1"/>
    <col min="6935" max="6936" width="13.85546875" style="2" customWidth="1"/>
    <col min="6937" max="6937" width="10.85546875" style="2" customWidth="1"/>
    <col min="6938" max="6938" width="14.140625" style="2" customWidth="1"/>
    <col min="6939" max="6939" width="0" style="2" hidden="1" customWidth="1"/>
    <col min="6940" max="6940" width="13" style="2" customWidth="1"/>
    <col min="6941" max="6941" width="13.140625" style="2" customWidth="1"/>
    <col min="6942" max="6943" width="14" style="2" customWidth="1"/>
    <col min="6944" max="6944" width="11.42578125" style="2" customWidth="1"/>
    <col min="6945" max="6945" width="15.85546875" style="2" customWidth="1"/>
    <col min="6946" max="6946" width="23.7109375" style="2" customWidth="1"/>
    <col min="6947" max="6947" width="12" style="2" customWidth="1"/>
    <col min="6948" max="6949" width="0.28515625" style="2" customWidth="1"/>
    <col min="6950" max="6950" width="1.42578125" style="2" customWidth="1"/>
    <col min="6951" max="6951" width="0" style="2" hidden="1" customWidth="1"/>
    <col min="6952" max="7168" width="11.42578125" style="2"/>
    <col min="7169" max="7169" width="10.28515625" style="2" customWidth="1"/>
    <col min="7170" max="7170" width="13.42578125" style="2" customWidth="1"/>
    <col min="7171" max="7171" width="4.28515625" style="2" customWidth="1"/>
    <col min="7172" max="7172" width="4" style="2" customWidth="1"/>
    <col min="7173" max="7173" width="16.7109375" style="2" customWidth="1"/>
    <col min="7174" max="7174" width="4.140625" style="2" customWidth="1"/>
    <col min="7175" max="7175" width="11.28515625" style="2" customWidth="1"/>
    <col min="7176" max="7176" width="16.140625" style="2" customWidth="1"/>
    <col min="7177" max="7177" width="11" style="2" customWidth="1"/>
    <col min="7178" max="7179" width="2.140625" style="2" customWidth="1"/>
    <col min="7180" max="7180" width="3.28515625" style="2" customWidth="1"/>
    <col min="7181" max="7182" width="0" style="2" hidden="1" customWidth="1"/>
    <col min="7183" max="7183" width="2.85546875" style="2" customWidth="1"/>
    <col min="7184" max="7184" width="3.28515625" style="2" customWidth="1"/>
    <col min="7185" max="7185" width="1.42578125" style="2" customWidth="1"/>
    <col min="7186" max="7186" width="0" style="2" hidden="1" customWidth="1"/>
    <col min="7187" max="7187" width="6.85546875" style="2" customWidth="1"/>
    <col min="7188" max="7188" width="0" style="2" hidden="1" customWidth="1"/>
    <col min="7189" max="7190" width="6.28515625" style="2" customWidth="1"/>
    <col min="7191" max="7192" width="13.85546875" style="2" customWidth="1"/>
    <col min="7193" max="7193" width="10.85546875" style="2" customWidth="1"/>
    <col min="7194" max="7194" width="14.140625" style="2" customWidth="1"/>
    <col min="7195" max="7195" width="0" style="2" hidden="1" customWidth="1"/>
    <col min="7196" max="7196" width="13" style="2" customWidth="1"/>
    <col min="7197" max="7197" width="13.140625" style="2" customWidth="1"/>
    <col min="7198" max="7199" width="14" style="2" customWidth="1"/>
    <col min="7200" max="7200" width="11.42578125" style="2" customWidth="1"/>
    <col min="7201" max="7201" width="15.85546875" style="2" customWidth="1"/>
    <col min="7202" max="7202" width="23.7109375" style="2" customWidth="1"/>
    <col min="7203" max="7203" width="12" style="2" customWidth="1"/>
    <col min="7204" max="7205" width="0.28515625" style="2" customWidth="1"/>
    <col min="7206" max="7206" width="1.42578125" style="2" customWidth="1"/>
    <col min="7207" max="7207" width="0" style="2" hidden="1" customWidth="1"/>
    <col min="7208" max="7424" width="11.42578125" style="2"/>
    <col min="7425" max="7425" width="10.28515625" style="2" customWidth="1"/>
    <col min="7426" max="7426" width="13.42578125" style="2" customWidth="1"/>
    <col min="7427" max="7427" width="4.28515625" style="2" customWidth="1"/>
    <col min="7428" max="7428" width="4" style="2" customWidth="1"/>
    <col min="7429" max="7429" width="16.7109375" style="2" customWidth="1"/>
    <col min="7430" max="7430" width="4.140625" style="2" customWidth="1"/>
    <col min="7431" max="7431" width="11.28515625" style="2" customWidth="1"/>
    <col min="7432" max="7432" width="16.140625" style="2" customWidth="1"/>
    <col min="7433" max="7433" width="11" style="2" customWidth="1"/>
    <col min="7434" max="7435" width="2.140625" style="2" customWidth="1"/>
    <col min="7436" max="7436" width="3.28515625" style="2" customWidth="1"/>
    <col min="7437" max="7438" width="0" style="2" hidden="1" customWidth="1"/>
    <col min="7439" max="7439" width="2.85546875" style="2" customWidth="1"/>
    <col min="7440" max="7440" width="3.28515625" style="2" customWidth="1"/>
    <col min="7441" max="7441" width="1.42578125" style="2" customWidth="1"/>
    <col min="7442" max="7442" width="0" style="2" hidden="1" customWidth="1"/>
    <col min="7443" max="7443" width="6.85546875" style="2" customWidth="1"/>
    <col min="7444" max="7444" width="0" style="2" hidden="1" customWidth="1"/>
    <col min="7445" max="7446" width="6.28515625" style="2" customWidth="1"/>
    <col min="7447" max="7448" width="13.85546875" style="2" customWidth="1"/>
    <col min="7449" max="7449" width="10.85546875" style="2" customWidth="1"/>
    <col min="7450" max="7450" width="14.140625" style="2" customWidth="1"/>
    <col min="7451" max="7451" width="0" style="2" hidden="1" customWidth="1"/>
    <col min="7452" max="7452" width="13" style="2" customWidth="1"/>
    <col min="7453" max="7453" width="13.140625" style="2" customWidth="1"/>
    <col min="7454" max="7455" width="14" style="2" customWidth="1"/>
    <col min="7456" max="7456" width="11.42578125" style="2" customWidth="1"/>
    <col min="7457" max="7457" width="15.85546875" style="2" customWidth="1"/>
    <col min="7458" max="7458" width="23.7109375" style="2" customWidth="1"/>
    <col min="7459" max="7459" width="12" style="2" customWidth="1"/>
    <col min="7460" max="7461" width="0.28515625" style="2" customWidth="1"/>
    <col min="7462" max="7462" width="1.42578125" style="2" customWidth="1"/>
    <col min="7463" max="7463" width="0" style="2" hidden="1" customWidth="1"/>
    <col min="7464" max="7680" width="11.42578125" style="2"/>
    <col min="7681" max="7681" width="10.28515625" style="2" customWidth="1"/>
    <col min="7682" max="7682" width="13.42578125" style="2" customWidth="1"/>
    <col min="7683" max="7683" width="4.28515625" style="2" customWidth="1"/>
    <col min="7684" max="7684" width="4" style="2" customWidth="1"/>
    <col min="7685" max="7685" width="16.7109375" style="2" customWidth="1"/>
    <col min="7686" max="7686" width="4.140625" style="2" customWidth="1"/>
    <col min="7687" max="7687" width="11.28515625" style="2" customWidth="1"/>
    <col min="7688" max="7688" width="16.140625" style="2" customWidth="1"/>
    <col min="7689" max="7689" width="11" style="2" customWidth="1"/>
    <col min="7690" max="7691" width="2.140625" style="2" customWidth="1"/>
    <col min="7692" max="7692" width="3.28515625" style="2" customWidth="1"/>
    <col min="7693" max="7694" width="0" style="2" hidden="1" customWidth="1"/>
    <col min="7695" max="7695" width="2.85546875" style="2" customWidth="1"/>
    <col min="7696" max="7696" width="3.28515625" style="2" customWidth="1"/>
    <col min="7697" max="7697" width="1.42578125" style="2" customWidth="1"/>
    <col min="7698" max="7698" width="0" style="2" hidden="1" customWidth="1"/>
    <col min="7699" max="7699" width="6.85546875" style="2" customWidth="1"/>
    <col min="7700" max="7700" width="0" style="2" hidden="1" customWidth="1"/>
    <col min="7701" max="7702" width="6.28515625" style="2" customWidth="1"/>
    <col min="7703" max="7704" width="13.85546875" style="2" customWidth="1"/>
    <col min="7705" max="7705" width="10.85546875" style="2" customWidth="1"/>
    <col min="7706" max="7706" width="14.140625" style="2" customWidth="1"/>
    <col min="7707" max="7707" width="0" style="2" hidden="1" customWidth="1"/>
    <col min="7708" max="7708" width="13" style="2" customWidth="1"/>
    <col min="7709" max="7709" width="13.140625" style="2" customWidth="1"/>
    <col min="7710" max="7711" width="14" style="2" customWidth="1"/>
    <col min="7712" max="7712" width="11.42578125" style="2" customWidth="1"/>
    <col min="7713" max="7713" width="15.85546875" style="2" customWidth="1"/>
    <col min="7714" max="7714" width="23.7109375" style="2" customWidth="1"/>
    <col min="7715" max="7715" width="12" style="2" customWidth="1"/>
    <col min="7716" max="7717" width="0.28515625" style="2" customWidth="1"/>
    <col min="7718" max="7718" width="1.42578125" style="2" customWidth="1"/>
    <col min="7719" max="7719" width="0" style="2" hidden="1" customWidth="1"/>
    <col min="7720" max="7936" width="11.42578125" style="2"/>
    <col min="7937" max="7937" width="10.28515625" style="2" customWidth="1"/>
    <col min="7938" max="7938" width="13.42578125" style="2" customWidth="1"/>
    <col min="7939" max="7939" width="4.28515625" style="2" customWidth="1"/>
    <col min="7940" max="7940" width="4" style="2" customWidth="1"/>
    <col min="7941" max="7941" width="16.7109375" style="2" customWidth="1"/>
    <col min="7942" max="7942" width="4.140625" style="2" customWidth="1"/>
    <col min="7943" max="7943" width="11.28515625" style="2" customWidth="1"/>
    <col min="7944" max="7944" width="16.140625" style="2" customWidth="1"/>
    <col min="7945" max="7945" width="11" style="2" customWidth="1"/>
    <col min="7946" max="7947" width="2.140625" style="2" customWidth="1"/>
    <col min="7948" max="7948" width="3.28515625" style="2" customWidth="1"/>
    <col min="7949" max="7950" width="0" style="2" hidden="1" customWidth="1"/>
    <col min="7951" max="7951" width="2.85546875" style="2" customWidth="1"/>
    <col min="7952" max="7952" width="3.28515625" style="2" customWidth="1"/>
    <col min="7953" max="7953" width="1.42578125" style="2" customWidth="1"/>
    <col min="7954" max="7954" width="0" style="2" hidden="1" customWidth="1"/>
    <col min="7955" max="7955" width="6.85546875" style="2" customWidth="1"/>
    <col min="7956" max="7956" width="0" style="2" hidden="1" customWidth="1"/>
    <col min="7957" max="7958" width="6.28515625" style="2" customWidth="1"/>
    <col min="7959" max="7960" width="13.85546875" style="2" customWidth="1"/>
    <col min="7961" max="7961" width="10.85546875" style="2" customWidth="1"/>
    <col min="7962" max="7962" width="14.140625" style="2" customWidth="1"/>
    <col min="7963" max="7963" width="0" style="2" hidden="1" customWidth="1"/>
    <col min="7964" max="7964" width="13" style="2" customWidth="1"/>
    <col min="7965" max="7965" width="13.140625" style="2" customWidth="1"/>
    <col min="7966" max="7967" width="14" style="2" customWidth="1"/>
    <col min="7968" max="7968" width="11.42578125" style="2" customWidth="1"/>
    <col min="7969" max="7969" width="15.85546875" style="2" customWidth="1"/>
    <col min="7970" max="7970" width="23.7109375" style="2" customWidth="1"/>
    <col min="7971" max="7971" width="12" style="2" customWidth="1"/>
    <col min="7972" max="7973" width="0.28515625" style="2" customWidth="1"/>
    <col min="7974" max="7974" width="1.42578125" style="2" customWidth="1"/>
    <col min="7975" max="7975" width="0" style="2" hidden="1" customWidth="1"/>
    <col min="7976" max="8192" width="11.42578125" style="2"/>
    <col min="8193" max="8193" width="10.28515625" style="2" customWidth="1"/>
    <col min="8194" max="8194" width="13.42578125" style="2" customWidth="1"/>
    <col min="8195" max="8195" width="4.28515625" style="2" customWidth="1"/>
    <col min="8196" max="8196" width="4" style="2" customWidth="1"/>
    <col min="8197" max="8197" width="16.7109375" style="2" customWidth="1"/>
    <col min="8198" max="8198" width="4.140625" style="2" customWidth="1"/>
    <col min="8199" max="8199" width="11.28515625" style="2" customWidth="1"/>
    <col min="8200" max="8200" width="16.140625" style="2" customWidth="1"/>
    <col min="8201" max="8201" width="11" style="2" customWidth="1"/>
    <col min="8202" max="8203" width="2.140625" style="2" customWidth="1"/>
    <col min="8204" max="8204" width="3.28515625" style="2" customWidth="1"/>
    <col min="8205" max="8206" width="0" style="2" hidden="1" customWidth="1"/>
    <col min="8207" max="8207" width="2.85546875" style="2" customWidth="1"/>
    <col min="8208" max="8208" width="3.28515625" style="2" customWidth="1"/>
    <col min="8209" max="8209" width="1.42578125" style="2" customWidth="1"/>
    <col min="8210" max="8210" width="0" style="2" hidden="1" customWidth="1"/>
    <col min="8211" max="8211" width="6.85546875" style="2" customWidth="1"/>
    <col min="8212" max="8212" width="0" style="2" hidden="1" customWidth="1"/>
    <col min="8213" max="8214" width="6.28515625" style="2" customWidth="1"/>
    <col min="8215" max="8216" width="13.85546875" style="2" customWidth="1"/>
    <col min="8217" max="8217" width="10.85546875" style="2" customWidth="1"/>
    <col min="8218" max="8218" width="14.140625" style="2" customWidth="1"/>
    <col min="8219" max="8219" width="0" style="2" hidden="1" customWidth="1"/>
    <col min="8220" max="8220" width="13" style="2" customWidth="1"/>
    <col min="8221" max="8221" width="13.140625" style="2" customWidth="1"/>
    <col min="8222" max="8223" width="14" style="2" customWidth="1"/>
    <col min="8224" max="8224" width="11.42578125" style="2" customWidth="1"/>
    <col min="8225" max="8225" width="15.85546875" style="2" customWidth="1"/>
    <col min="8226" max="8226" width="23.7109375" style="2" customWidth="1"/>
    <col min="8227" max="8227" width="12" style="2" customWidth="1"/>
    <col min="8228" max="8229" width="0.28515625" style="2" customWidth="1"/>
    <col min="8230" max="8230" width="1.42578125" style="2" customWidth="1"/>
    <col min="8231" max="8231" width="0" style="2" hidden="1" customWidth="1"/>
    <col min="8232" max="8448" width="11.42578125" style="2"/>
    <col min="8449" max="8449" width="10.28515625" style="2" customWidth="1"/>
    <col min="8450" max="8450" width="13.42578125" style="2" customWidth="1"/>
    <col min="8451" max="8451" width="4.28515625" style="2" customWidth="1"/>
    <col min="8452" max="8452" width="4" style="2" customWidth="1"/>
    <col min="8453" max="8453" width="16.7109375" style="2" customWidth="1"/>
    <col min="8454" max="8454" width="4.140625" style="2" customWidth="1"/>
    <col min="8455" max="8455" width="11.28515625" style="2" customWidth="1"/>
    <col min="8456" max="8456" width="16.140625" style="2" customWidth="1"/>
    <col min="8457" max="8457" width="11" style="2" customWidth="1"/>
    <col min="8458" max="8459" width="2.140625" style="2" customWidth="1"/>
    <col min="8460" max="8460" width="3.28515625" style="2" customWidth="1"/>
    <col min="8461" max="8462" width="0" style="2" hidden="1" customWidth="1"/>
    <col min="8463" max="8463" width="2.85546875" style="2" customWidth="1"/>
    <col min="8464" max="8464" width="3.28515625" style="2" customWidth="1"/>
    <col min="8465" max="8465" width="1.42578125" style="2" customWidth="1"/>
    <col min="8466" max="8466" width="0" style="2" hidden="1" customWidth="1"/>
    <col min="8467" max="8467" width="6.85546875" style="2" customWidth="1"/>
    <col min="8468" max="8468" width="0" style="2" hidden="1" customWidth="1"/>
    <col min="8469" max="8470" width="6.28515625" style="2" customWidth="1"/>
    <col min="8471" max="8472" width="13.85546875" style="2" customWidth="1"/>
    <col min="8473" max="8473" width="10.85546875" style="2" customWidth="1"/>
    <col min="8474" max="8474" width="14.140625" style="2" customWidth="1"/>
    <col min="8475" max="8475" width="0" style="2" hidden="1" customWidth="1"/>
    <col min="8476" max="8476" width="13" style="2" customWidth="1"/>
    <col min="8477" max="8477" width="13.140625" style="2" customWidth="1"/>
    <col min="8478" max="8479" width="14" style="2" customWidth="1"/>
    <col min="8480" max="8480" width="11.42578125" style="2" customWidth="1"/>
    <col min="8481" max="8481" width="15.85546875" style="2" customWidth="1"/>
    <col min="8482" max="8482" width="23.7109375" style="2" customWidth="1"/>
    <col min="8483" max="8483" width="12" style="2" customWidth="1"/>
    <col min="8484" max="8485" width="0.28515625" style="2" customWidth="1"/>
    <col min="8486" max="8486" width="1.42578125" style="2" customWidth="1"/>
    <col min="8487" max="8487" width="0" style="2" hidden="1" customWidth="1"/>
    <col min="8488" max="8704" width="11.42578125" style="2"/>
    <col min="8705" max="8705" width="10.28515625" style="2" customWidth="1"/>
    <col min="8706" max="8706" width="13.42578125" style="2" customWidth="1"/>
    <col min="8707" max="8707" width="4.28515625" style="2" customWidth="1"/>
    <col min="8708" max="8708" width="4" style="2" customWidth="1"/>
    <col min="8709" max="8709" width="16.7109375" style="2" customWidth="1"/>
    <col min="8710" max="8710" width="4.140625" style="2" customWidth="1"/>
    <col min="8711" max="8711" width="11.28515625" style="2" customWidth="1"/>
    <col min="8712" max="8712" width="16.140625" style="2" customWidth="1"/>
    <col min="8713" max="8713" width="11" style="2" customWidth="1"/>
    <col min="8714" max="8715" width="2.140625" style="2" customWidth="1"/>
    <col min="8716" max="8716" width="3.28515625" style="2" customWidth="1"/>
    <col min="8717" max="8718" width="0" style="2" hidden="1" customWidth="1"/>
    <col min="8719" max="8719" width="2.85546875" style="2" customWidth="1"/>
    <col min="8720" max="8720" width="3.28515625" style="2" customWidth="1"/>
    <col min="8721" max="8721" width="1.42578125" style="2" customWidth="1"/>
    <col min="8722" max="8722" width="0" style="2" hidden="1" customWidth="1"/>
    <col min="8723" max="8723" width="6.85546875" style="2" customWidth="1"/>
    <col min="8724" max="8724" width="0" style="2" hidden="1" customWidth="1"/>
    <col min="8725" max="8726" width="6.28515625" style="2" customWidth="1"/>
    <col min="8727" max="8728" width="13.85546875" style="2" customWidth="1"/>
    <col min="8729" max="8729" width="10.85546875" style="2" customWidth="1"/>
    <col min="8730" max="8730" width="14.140625" style="2" customWidth="1"/>
    <col min="8731" max="8731" width="0" style="2" hidden="1" customWidth="1"/>
    <col min="8732" max="8732" width="13" style="2" customWidth="1"/>
    <col min="8733" max="8733" width="13.140625" style="2" customWidth="1"/>
    <col min="8734" max="8735" width="14" style="2" customWidth="1"/>
    <col min="8736" max="8736" width="11.42578125" style="2" customWidth="1"/>
    <col min="8737" max="8737" width="15.85546875" style="2" customWidth="1"/>
    <col min="8738" max="8738" width="23.7109375" style="2" customWidth="1"/>
    <col min="8739" max="8739" width="12" style="2" customWidth="1"/>
    <col min="8740" max="8741" width="0.28515625" style="2" customWidth="1"/>
    <col min="8742" max="8742" width="1.42578125" style="2" customWidth="1"/>
    <col min="8743" max="8743" width="0" style="2" hidden="1" customWidth="1"/>
    <col min="8744" max="8960" width="11.42578125" style="2"/>
    <col min="8961" max="8961" width="10.28515625" style="2" customWidth="1"/>
    <col min="8962" max="8962" width="13.42578125" style="2" customWidth="1"/>
    <col min="8963" max="8963" width="4.28515625" style="2" customWidth="1"/>
    <col min="8964" max="8964" width="4" style="2" customWidth="1"/>
    <col min="8965" max="8965" width="16.7109375" style="2" customWidth="1"/>
    <col min="8966" max="8966" width="4.140625" style="2" customWidth="1"/>
    <col min="8967" max="8967" width="11.28515625" style="2" customWidth="1"/>
    <col min="8968" max="8968" width="16.140625" style="2" customWidth="1"/>
    <col min="8969" max="8969" width="11" style="2" customWidth="1"/>
    <col min="8970" max="8971" width="2.140625" style="2" customWidth="1"/>
    <col min="8972" max="8972" width="3.28515625" style="2" customWidth="1"/>
    <col min="8973" max="8974" width="0" style="2" hidden="1" customWidth="1"/>
    <col min="8975" max="8975" width="2.85546875" style="2" customWidth="1"/>
    <col min="8976" max="8976" width="3.28515625" style="2" customWidth="1"/>
    <col min="8977" max="8977" width="1.42578125" style="2" customWidth="1"/>
    <col min="8978" max="8978" width="0" style="2" hidden="1" customWidth="1"/>
    <col min="8979" max="8979" width="6.85546875" style="2" customWidth="1"/>
    <col min="8980" max="8980" width="0" style="2" hidden="1" customWidth="1"/>
    <col min="8981" max="8982" width="6.28515625" style="2" customWidth="1"/>
    <col min="8983" max="8984" width="13.85546875" style="2" customWidth="1"/>
    <col min="8985" max="8985" width="10.85546875" style="2" customWidth="1"/>
    <col min="8986" max="8986" width="14.140625" style="2" customWidth="1"/>
    <col min="8987" max="8987" width="0" style="2" hidden="1" customWidth="1"/>
    <col min="8988" max="8988" width="13" style="2" customWidth="1"/>
    <col min="8989" max="8989" width="13.140625" style="2" customWidth="1"/>
    <col min="8990" max="8991" width="14" style="2" customWidth="1"/>
    <col min="8992" max="8992" width="11.42578125" style="2" customWidth="1"/>
    <col min="8993" max="8993" width="15.85546875" style="2" customWidth="1"/>
    <col min="8994" max="8994" width="23.7109375" style="2" customWidth="1"/>
    <col min="8995" max="8995" width="12" style="2" customWidth="1"/>
    <col min="8996" max="8997" width="0.28515625" style="2" customWidth="1"/>
    <col min="8998" max="8998" width="1.42578125" style="2" customWidth="1"/>
    <col min="8999" max="8999" width="0" style="2" hidden="1" customWidth="1"/>
    <col min="9000" max="9216" width="11.42578125" style="2"/>
    <col min="9217" max="9217" width="10.28515625" style="2" customWidth="1"/>
    <col min="9218" max="9218" width="13.42578125" style="2" customWidth="1"/>
    <col min="9219" max="9219" width="4.28515625" style="2" customWidth="1"/>
    <col min="9220" max="9220" width="4" style="2" customWidth="1"/>
    <col min="9221" max="9221" width="16.7109375" style="2" customWidth="1"/>
    <col min="9222" max="9222" width="4.140625" style="2" customWidth="1"/>
    <col min="9223" max="9223" width="11.28515625" style="2" customWidth="1"/>
    <col min="9224" max="9224" width="16.140625" style="2" customWidth="1"/>
    <col min="9225" max="9225" width="11" style="2" customWidth="1"/>
    <col min="9226" max="9227" width="2.140625" style="2" customWidth="1"/>
    <col min="9228" max="9228" width="3.28515625" style="2" customWidth="1"/>
    <col min="9229" max="9230" width="0" style="2" hidden="1" customWidth="1"/>
    <col min="9231" max="9231" width="2.85546875" style="2" customWidth="1"/>
    <col min="9232" max="9232" width="3.28515625" style="2" customWidth="1"/>
    <col min="9233" max="9233" width="1.42578125" style="2" customWidth="1"/>
    <col min="9234" max="9234" width="0" style="2" hidden="1" customWidth="1"/>
    <col min="9235" max="9235" width="6.85546875" style="2" customWidth="1"/>
    <col min="9236" max="9236" width="0" style="2" hidden="1" customWidth="1"/>
    <col min="9237" max="9238" width="6.28515625" style="2" customWidth="1"/>
    <col min="9239" max="9240" width="13.85546875" style="2" customWidth="1"/>
    <col min="9241" max="9241" width="10.85546875" style="2" customWidth="1"/>
    <col min="9242" max="9242" width="14.140625" style="2" customWidth="1"/>
    <col min="9243" max="9243" width="0" style="2" hidden="1" customWidth="1"/>
    <col min="9244" max="9244" width="13" style="2" customWidth="1"/>
    <col min="9245" max="9245" width="13.140625" style="2" customWidth="1"/>
    <col min="9246" max="9247" width="14" style="2" customWidth="1"/>
    <col min="9248" max="9248" width="11.42578125" style="2" customWidth="1"/>
    <col min="9249" max="9249" width="15.85546875" style="2" customWidth="1"/>
    <col min="9250" max="9250" width="23.7109375" style="2" customWidth="1"/>
    <col min="9251" max="9251" width="12" style="2" customWidth="1"/>
    <col min="9252" max="9253" width="0.28515625" style="2" customWidth="1"/>
    <col min="9254" max="9254" width="1.42578125" style="2" customWidth="1"/>
    <col min="9255" max="9255" width="0" style="2" hidden="1" customWidth="1"/>
    <col min="9256" max="9472" width="11.42578125" style="2"/>
    <col min="9473" max="9473" width="10.28515625" style="2" customWidth="1"/>
    <col min="9474" max="9474" width="13.42578125" style="2" customWidth="1"/>
    <col min="9475" max="9475" width="4.28515625" style="2" customWidth="1"/>
    <col min="9476" max="9476" width="4" style="2" customWidth="1"/>
    <col min="9477" max="9477" width="16.7109375" style="2" customWidth="1"/>
    <col min="9478" max="9478" width="4.140625" style="2" customWidth="1"/>
    <col min="9479" max="9479" width="11.28515625" style="2" customWidth="1"/>
    <col min="9480" max="9480" width="16.140625" style="2" customWidth="1"/>
    <col min="9481" max="9481" width="11" style="2" customWidth="1"/>
    <col min="9482" max="9483" width="2.140625" style="2" customWidth="1"/>
    <col min="9484" max="9484" width="3.28515625" style="2" customWidth="1"/>
    <col min="9485" max="9486" width="0" style="2" hidden="1" customWidth="1"/>
    <col min="9487" max="9487" width="2.85546875" style="2" customWidth="1"/>
    <col min="9488" max="9488" width="3.28515625" style="2" customWidth="1"/>
    <col min="9489" max="9489" width="1.42578125" style="2" customWidth="1"/>
    <col min="9490" max="9490" width="0" style="2" hidden="1" customWidth="1"/>
    <col min="9491" max="9491" width="6.85546875" style="2" customWidth="1"/>
    <col min="9492" max="9492" width="0" style="2" hidden="1" customWidth="1"/>
    <col min="9493" max="9494" width="6.28515625" style="2" customWidth="1"/>
    <col min="9495" max="9496" width="13.85546875" style="2" customWidth="1"/>
    <col min="9497" max="9497" width="10.85546875" style="2" customWidth="1"/>
    <col min="9498" max="9498" width="14.140625" style="2" customWidth="1"/>
    <col min="9499" max="9499" width="0" style="2" hidden="1" customWidth="1"/>
    <col min="9500" max="9500" width="13" style="2" customWidth="1"/>
    <col min="9501" max="9501" width="13.140625" style="2" customWidth="1"/>
    <col min="9502" max="9503" width="14" style="2" customWidth="1"/>
    <col min="9504" max="9504" width="11.42578125" style="2" customWidth="1"/>
    <col min="9505" max="9505" width="15.85546875" style="2" customWidth="1"/>
    <col min="9506" max="9506" width="23.7109375" style="2" customWidth="1"/>
    <col min="9507" max="9507" width="12" style="2" customWidth="1"/>
    <col min="9508" max="9509" width="0.28515625" style="2" customWidth="1"/>
    <col min="9510" max="9510" width="1.42578125" style="2" customWidth="1"/>
    <col min="9511" max="9511" width="0" style="2" hidden="1" customWidth="1"/>
    <col min="9512" max="9728" width="11.42578125" style="2"/>
    <col min="9729" max="9729" width="10.28515625" style="2" customWidth="1"/>
    <col min="9730" max="9730" width="13.42578125" style="2" customWidth="1"/>
    <col min="9731" max="9731" width="4.28515625" style="2" customWidth="1"/>
    <col min="9732" max="9732" width="4" style="2" customWidth="1"/>
    <col min="9733" max="9733" width="16.7109375" style="2" customWidth="1"/>
    <col min="9734" max="9734" width="4.140625" style="2" customWidth="1"/>
    <col min="9735" max="9735" width="11.28515625" style="2" customWidth="1"/>
    <col min="9736" max="9736" width="16.140625" style="2" customWidth="1"/>
    <col min="9737" max="9737" width="11" style="2" customWidth="1"/>
    <col min="9738" max="9739" width="2.140625" style="2" customWidth="1"/>
    <col min="9740" max="9740" width="3.28515625" style="2" customWidth="1"/>
    <col min="9741" max="9742" width="0" style="2" hidden="1" customWidth="1"/>
    <col min="9743" max="9743" width="2.85546875" style="2" customWidth="1"/>
    <col min="9744" max="9744" width="3.28515625" style="2" customWidth="1"/>
    <col min="9745" max="9745" width="1.42578125" style="2" customWidth="1"/>
    <col min="9746" max="9746" width="0" style="2" hidden="1" customWidth="1"/>
    <col min="9747" max="9747" width="6.85546875" style="2" customWidth="1"/>
    <col min="9748" max="9748" width="0" style="2" hidden="1" customWidth="1"/>
    <col min="9749" max="9750" width="6.28515625" style="2" customWidth="1"/>
    <col min="9751" max="9752" width="13.85546875" style="2" customWidth="1"/>
    <col min="9753" max="9753" width="10.85546875" style="2" customWidth="1"/>
    <col min="9754" max="9754" width="14.140625" style="2" customWidth="1"/>
    <col min="9755" max="9755" width="0" style="2" hidden="1" customWidth="1"/>
    <col min="9756" max="9756" width="13" style="2" customWidth="1"/>
    <col min="9757" max="9757" width="13.140625" style="2" customWidth="1"/>
    <col min="9758" max="9759" width="14" style="2" customWidth="1"/>
    <col min="9760" max="9760" width="11.42578125" style="2" customWidth="1"/>
    <col min="9761" max="9761" width="15.85546875" style="2" customWidth="1"/>
    <col min="9762" max="9762" width="23.7109375" style="2" customWidth="1"/>
    <col min="9763" max="9763" width="12" style="2" customWidth="1"/>
    <col min="9764" max="9765" width="0.28515625" style="2" customWidth="1"/>
    <col min="9766" max="9766" width="1.42578125" style="2" customWidth="1"/>
    <col min="9767" max="9767" width="0" style="2" hidden="1" customWidth="1"/>
    <col min="9768" max="9984" width="11.42578125" style="2"/>
    <col min="9985" max="9985" width="10.28515625" style="2" customWidth="1"/>
    <col min="9986" max="9986" width="13.42578125" style="2" customWidth="1"/>
    <col min="9987" max="9987" width="4.28515625" style="2" customWidth="1"/>
    <col min="9988" max="9988" width="4" style="2" customWidth="1"/>
    <col min="9989" max="9989" width="16.7109375" style="2" customWidth="1"/>
    <col min="9990" max="9990" width="4.140625" style="2" customWidth="1"/>
    <col min="9991" max="9991" width="11.28515625" style="2" customWidth="1"/>
    <col min="9992" max="9992" width="16.140625" style="2" customWidth="1"/>
    <col min="9993" max="9993" width="11" style="2" customWidth="1"/>
    <col min="9994" max="9995" width="2.140625" style="2" customWidth="1"/>
    <col min="9996" max="9996" width="3.28515625" style="2" customWidth="1"/>
    <col min="9997" max="9998" width="0" style="2" hidden="1" customWidth="1"/>
    <col min="9999" max="9999" width="2.85546875" style="2" customWidth="1"/>
    <col min="10000" max="10000" width="3.28515625" style="2" customWidth="1"/>
    <col min="10001" max="10001" width="1.42578125" style="2" customWidth="1"/>
    <col min="10002" max="10002" width="0" style="2" hidden="1" customWidth="1"/>
    <col min="10003" max="10003" width="6.85546875" style="2" customWidth="1"/>
    <col min="10004" max="10004" width="0" style="2" hidden="1" customWidth="1"/>
    <col min="10005" max="10006" width="6.28515625" style="2" customWidth="1"/>
    <col min="10007" max="10008" width="13.85546875" style="2" customWidth="1"/>
    <col min="10009" max="10009" width="10.85546875" style="2" customWidth="1"/>
    <col min="10010" max="10010" width="14.140625" style="2" customWidth="1"/>
    <col min="10011" max="10011" width="0" style="2" hidden="1" customWidth="1"/>
    <col min="10012" max="10012" width="13" style="2" customWidth="1"/>
    <col min="10013" max="10013" width="13.140625" style="2" customWidth="1"/>
    <col min="10014" max="10015" width="14" style="2" customWidth="1"/>
    <col min="10016" max="10016" width="11.42578125" style="2" customWidth="1"/>
    <col min="10017" max="10017" width="15.85546875" style="2" customWidth="1"/>
    <col min="10018" max="10018" width="23.7109375" style="2" customWidth="1"/>
    <col min="10019" max="10019" width="12" style="2" customWidth="1"/>
    <col min="10020" max="10021" width="0.28515625" style="2" customWidth="1"/>
    <col min="10022" max="10022" width="1.42578125" style="2" customWidth="1"/>
    <col min="10023" max="10023" width="0" style="2" hidden="1" customWidth="1"/>
    <col min="10024" max="10240" width="11.42578125" style="2"/>
    <col min="10241" max="10241" width="10.28515625" style="2" customWidth="1"/>
    <col min="10242" max="10242" width="13.42578125" style="2" customWidth="1"/>
    <col min="10243" max="10243" width="4.28515625" style="2" customWidth="1"/>
    <col min="10244" max="10244" width="4" style="2" customWidth="1"/>
    <col min="10245" max="10245" width="16.7109375" style="2" customWidth="1"/>
    <col min="10246" max="10246" width="4.140625" style="2" customWidth="1"/>
    <col min="10247" max="10247" width="11.28515625" style="2" customWidth="1"/>
    <col min="10248" max="10248" width="16.140625" style="2" customWidth="1"/>
    <col min="10249" max="10249" width="11" style="2" customWidth="1"/>
    <col min="10250" max="10251" width="2.140625" style="2" customWidth="1"/>
    <col min="10252" max="10252" width="3.28515625" style="2" customWidth="1"/>
    <col min="10253" max="10254" width="0" style="2" hidden="1" customWidth="1"/>
    <col min="10255" max="10255" width="2.85546875" style="2" customWidth="1"/>
    <col min="10256" max="10256" width="3.28515625" style="2" customWidth="1"/>
    <col min="10257" max="10257" width="1.42578125" style="2" customWidth="1"/>
    <col min="10258" max="10258" width="0" style="2" hidden="1" customWidth="1"/>
    <col min="10259" max="10259" width="6.85546875" style="2" customWidth="1"/>
    <col min="10260" max="10260" width="0" style="2" hidden="1" customWidth="1"/>
    <col min="10261" max="10262" width="6.28515625" style="2" customWidth="1"/>
    <col min="10263" max="10264" width="13.85546875" style="2" customWidth="1"/>
    <col min="10265" max="10265" width="10.85546875" style="2" customWidth="1"/>
    <col min="10266" max="10266" width="14.140625" style="2" customWidth="1"/>
    <col min="10267" max="10267" width="0" style="2" hidden="1" customWidth="1"/>
    <col min="10268" max="10268" width="13" style="2" customWidth="1"/>
    <col min="10269" max="10269" width="13.140625" style="2" customWidth="1"/>
    <col min="10270" max="10271" width="14" style="2" customWidth="1"/>
    <col min="10272" max="10272" width="11.42578125" style="2" customWidth="1"/>
    <col min="10273" max="10273" width="15.85546875" style="2" customWidth="1"/>
    <col min="10274" max="10274" width="23.7109375" style="2" customWidth="1"/>
    <col min="10275" max="10275" width="12" style="2" customWidth="1"/>
    <col min="10276" max="10277" width="0.28515625" style="2" customWidth="1"/>
    <col min="10278" max="10278" width="1.42578125" style="2" customWidth="1"/>
    <col min="10279" max="10279" width="0" style="2" hidden="1" customWidth="1"/>
    <col min="10280" max="10496" width="11.42578125" style="2"/>
    <col min="10497" max="10497" width="10.28515625" style="2" customWidth="1"/>
    <col min="10498" max="10498" width="13.42578125" style="2" customWidth="1"/>
    <col min="10499" max="10499" width="4.28515625" style="2" customWidth="1"/>
    <col min="10500" max="10500" width="4" style="2" customWidth="1"/>
    <col min="10501" max="10501" width="16.7109375" style="2" customWidth="1"/>
    <col min="10502" max="10502" width="4.140625" style="2" customWidth="1"/>
    <col min="10503" max="10503" width="11.28515625" style="2" customWidth="1"/>
    <col min="10504" max="10504" width="16.140625" style="2" customWidth="1"/>
    <col min="10505" max="10505" width="11" style="2" customWidth="1"/>
    <col min="10506" max="10507" width="2.140625" style="2" customWidth="1"/>
    <col min="10508" max="10508" width="3.28515625" style="2" customWidth="1"/>
    <col min="10509" max="10510" width="0" style="2" hidden="1" customWidth="1"/>
    <col min="10511" max="10511" width="2.85546875" style="2" customWidth="1"/>
    <col min="10512" max="10512" width="3.28515625" style="2" customWidth="1"/>
    <col min="10513" max="10513" width="1.42578125" style="2" customWidth="1"/>
    <col min="10514" max="10514" width="0" style="2" hidden="1" customWidth="1"/>
    <col min="10515" max="10515" width="6.85546875" style="2" customWidth="1"/>
    <col min="10516" max="10516" width="0" style="2" hidden="1" customWidth="1"/>
    <col min="10517" max="10518" width="6.28515625" style="2" customWidth="1"/>
    <col min="10519" max="10520" width="13.85546875" style="2" customWidth="1"/>
    <col min="10521" max="10521" width="10.85546875" style="2" customWidth="1"/>
    <col min="10522" max="10522" width="14.140625" style="2" customWidth="1"/>
    <col min="10523" max="10523" width="0" style="2" hidden="1" customWidth="1"/>
    <col min="10524" max="10524" width="13" style="2" customWidth="1"/>
    <col min="10525" max="10525" width="13.140625" style="2" customWidth="1"/>
    <col min="10526" max="10527" width="14" style="2" customWidth="1"/>
    <col min="10528" max="10528" width="11.42578125" style="2" customWidth="1"/>
    <col min="10529" max="10529" width="15.85546875" style="2" customWidth="1"/>
    <col min="10530" max="10530" width="23.7109375" style="2" customWidth="1"/>
    <col min="10531" max="10531" width="12" style="2" customWidth="1"/>
    <col min="10532" max="10533" width="0.28515625" style="2" customWidth="1"/>
    <col min="10534" max="10534" width="1.42578125" style="2" customWidth="1"/>
    <col min="10535" max="10535" width="0" style="2" hidden="1" customWidth="1"/>
    <col min="10536" max="10752" width="11.42578125" style="2"/>
    <col min="10753" max="10753" width="10.28515625" style="2" customWidth="1"/>
    <col min="10754" max="10754" width="13.42578125" style="2" customWidth="1"/>
    <col min="10755" max="10755" width="4.28515625" style="2" customWidth="1"/>
    <col min="10756" max="10756" width="4" style="2" customWidth="1"/>
    <col min="10757" max="10757" width="16.7109375" style="2" customWidth="1"/>
    <col min="10758" max="10758" width="4.140625" style="2" customWidth="1"/>
    <col min="10759" max="10759" width="11.28515625" style="2" customWidth="1"/>
    <col min="10760" max="10760" width="16.140625" style="2" customWidth="1"/>
    <col min="10761" max="10761" width="11" style="2" customWidth="1"/>
    <col min="10762" max="10763" width="2.140625" style="2" customWidth="1"/>
    <col min="10764" max="10764" width="3.28515625" style="2" customWidth="1"/>
    <col min="10765" max="10766" width="0" style="2" hidden="1" customWidth="1"/>
    <col min="10767" max="10767" width="2.85546875" style="2" customWidth="1"/>
    <col min="10768" max="10768" width="3.28515625" style="2" customWidth="1"/>
    <col min="10769" max="10769" width="1.42578125" style="2" customWidth="1"/>
    <col min="10770" max="10770" width="0" style="2" hidden="1" customWidth="1"/>
    <col min="10771" max="10771" width="6.85546875" style="2" customWidth="1"/>
    <col min="10772" max="10772" width="0" style="2" hidden="1" customWidth="1"/>
    <col min="10773" max="10774" width="6.28515625" style="2" customWidth="1"/>
    <col min="10775" max="10776" width="13.85546875" style="2" customWidth="1"/>
    <col min="10777" max="10777" width="10.85546875" style="2" customWidth="1"/>
    <col min="10778" max="10778" width="14.140625" style="2" customWidth="1"/>
    <col min="10779" max="10779" width="0" style="2" hidden="1" customWidth="1"/>
    <col min="10780" max="10780" width="13" style="2" customWidth="1"/>
    <col min="10781" max="10781" width="13.140625" style="2" customWidth="1"/>
    <col min="10782" max="10783" width="14" style="2" customWidth="1"/>
    <col min="10784" max="10784" width="11.42578125" style="2" customWidth="1"/>
    <col min="10785" max="10785" width="15.85546875" style="2" customWidth="1"/>
    <col min="10786" max="10786" width="23.7109375" style="2" customWidth="1"/>
    <col min="10787" max="10787" width="12" style="2" customWidth="1"/>
    <col min="10788" max="10789" width="0.28515625" style="2" customWidth="1"/>
    <col min="10790" max="10790" width="1.42578125" style="2" customWidth="1"/>
    <col min="10791" max="10791" width="0" style="2" hidden="1" customWidth="1"/>
    <col min="10792" max="11008" width="11.42578125" style="2"/>
    <col min="11009" max="11009" width="10.28515625" style="2" customWidth="1"/>
    <col min="11010" max="11010" width="13.42578125" style="2" customWidth="1"/>
    <col min="11011" max="11011" width="4.28515625" style="2" customWidth="1"/>
    <col min="11012" max="11012" width="4" style="2" customWidth="1"/>
    <col min="11013" max="11013" width="16.7109375" style="2" customWidth="1"/>
    <col min="11014" max="11014" width="4.140625" style="2" customWidth="1"/>
    <col min="11015" max="11015" width="11.28515625" style="2" customWidth="1"/>
    <col min="11016" max="11016" width="16.140625" style="2" customWidth="1"/>
    <col min="11017" max="11017" width="11" style="2" customWidth="1"/>
    <col min="11018" max="11019" width="2.140625" style="2" customWidth="1"/>
    <col min="11020" max="11020" width="3.28515625" style="2" customWidth="1"/>
    <col min="11021" max="11022" width="0" style="2" hidden="1" customWidth="1"/>
    <col min="11023" max="11023" width="2.85546875" style="2" customWidth="1"/>
    <col min="11024" max="11024" width="3.28515625" style="2" customWidth="1"/>
    <col min="11025" max="11025" width="1.42578125" style="2" customWidth="1"/>
    <col min="11026" max="11026" width="0" style="2" hidden="1" customWidth="1"/>
    <col min="11027" max="11027" width="6.85546875" style="2" customWidth="1"/>
    <col min="11028" max="11028" width="0" style="2" hidden="1" customWidth="1"/>
    <col min="11029" max="11030" width="6.28515625" style="2" customWidth="1"/>
    <col min="11031" max="11032" width="13.85546875" style="2" customWidth="1"/>
    <col min="11033" max="11033" width="10.85546875" style="2" customWidth="1"/>
    <col min="11034" max="11034" width="14.140625" style="2" customWidth="1"/>
    <col min="11035" max="11035" width="0" style="2" hidden="1" customWidth="1"/>
    <col min="11036" max="11036" width="13" style="2" customWidth="1"/>
    <col min="11037" max="11037" width="13.140625" style="2" customWidth="1"/>
    <col min="11038" max="11039" width="14" style="2" customWidth="1"/>
    <col min="11040" max="11040" width="11.42578125" style="2" customWidth="1"/>
    <col min="11041" max="11041" width="15.85546875" style="2" customWidth="1"/>
    <col min="11042" max="11042" width="23.7109375" style="2" customWidth="1"/>
    <col min="11043" max="11043" width="12" style="2" customWidth="1"/>
    <col min="11044" max="11045" width="0.28515625" style="2" customWidth="1"/>
    <col min="11046" max="11046" width="1.42578125" style="2" customWidth="1"/>
    <col min="11047" max="11047" width="0" style="2" hidden="1" customWidth="1"/>
    <col min="11048" max="11264" width="11.42578125" style="2"/>
    <col min="11265" max="11265" width="10.28515625" style="2" customWidth="1"/>
    <col min="11266" max="11266" width="13.42578125" style="2" customWidth="1"/>
    <col min="11267" max="11267" width="4.28515625" style="2" customWidth="1"/>
    <col min="11268" max="11268" width="4" style="2" customWidth="1"/>
    <col min="11269" max="11269" width="16.7109375" style="2" customWidth="1"/>
    <col min="11270" max="11270" width="4.140625" style="2" customWidth="1"/>
    <col min="11271" max="11271" width="11.28515625" style="2" customWidth="1"/>
    <col min="11272" max="11272" width="16.140625" style="2" customWidth="1"/>
    <col min="11273" max="11273" width="11" style="2" customWidth="1"/>
    <col min="11274" max="11275" width="2.140625" style="2" customWidth="1"/>
    <col min="11276" max="11276" width="3.28515625" style="2" customWidth="1"/>
    <col min="11277" max="11278" width="0" style="2" hidden="1" customWidth="1"/>
    <col min="11279" max="11279" width="2.85546875" style="2" customWidth="1"/>
    <col min="11280" max="11280" width="3.28515625" style="2" customWidth="1"/>
    <col min="11281" max="11281" width="1.42578125" style="2" customWidth="1"/>
    <col min="11282" max="11282" width="0" style="2" hidden="1" customWidth="1"/>
    <col min="11283" max="11283" width="6.85546875" style="2" customWidth="1"/>
    <col min="11284" max="11284" width="0" style="2" hidden="1" customWidth="1"/>
    <col min="11285" max="11286" width="6.28515625" style="2" customWidth="1"/>
    <col min="11287" max="11288" width="13.85546875" style="2" customWidth="1"/>
    <col min="11289" max="11289" width="10.85546875" style="2" customWidth="1"/>
    <col min="11290" max="11290" width="14.140625" style="2" customWidth="1"/>
    <col min="11291" max="11291" width="0" style="2" hidden="1" customWidth="1"/>
    <col min="11292" max="11292" width="13" style="2" customWidth="1"/>
    <col min="11293" max="11293" width="13.140625" style="2" customWidth="1"/>
    <col min="11294" max="11295" width="14" style="2" customWidth="1"/>
    <col min="11296" max="11296" width="11.42578125" style="2" customWidth="1"/>
    <col min="11297" max="11297" width="15.85546875" style="2" customWidth="1"/>
    <col min="11298" max="11298" width="23.7109375" style="2" customWidth="1"/>
    <col min="11299" max="11299" width="12" style="2" customWidth="1"/>
    <col min="11300" max="11301" width="0.28515625" style="2" customWidth="1"/>
    <col min="11302" max="11302" width="1.42578125" style="2" customWidth="1"/>
    <col min="11303" max="11303" width="0" style="2" hidden="1" customWidth="1"/>
    <col min="11304" max="11520" width="11.42578125" style="2"/>
    <col min="11521" max="11521" width="10.28515625" style="2" customWidth="1"/>
    <col min="11522" max="11522" width="13.42578125" style="2" customWidth="1"/>
    <col min="11523" max="11523" width="4.28515625" style="2" customWidth="1"/>
    <col min="11524" max="11524" width="4" style="2" customWidth="1"/>
    <col min="11525" max="11525" width="16.7109375" style="2" customWidth="1"/>
    <col min="11526" max="11526" width="4.140625" style="2" customWidth="1"/>
    <col min="11527" max="11527" width="11.28515625" style="2" customWidth="1"/>
    <col min="11528" max="11528" width="16.140625" style="2" customWidth="1"/>
    <col min="11529" max="11529" width="11" style="2" customWidth="1"/>
    <col min="11530" max="11531" width="2.140625" style="2" customWidth="1"/>
    <col min="11532" max="11532" width="3.28515625" style="2" customWidth="1"/>
    <col min="11533" max="11534" width="0" style="2" hidden="1" customWidth="1"/>
    <col min="11535" max="11535" width="2.85546875" style="2" customWidth="1"/>
    <col min="11536" max="11536" width="3.28515625" style="2" customWidth="1"/>
    <col min="11537" max="11537" width="1.42578125" style="2" customWidth="1"/>
    <col min="11538" max="11538" width="0" style="2" hidden="1" customWidth="1"/>
    <col min="11539" max="11539" width="6.85546875" style="2" customWidth="1"/>
    <col min="11540" max="11540" width="0" style="2" hidden="1" customWidth="1"/>
    <col min="11541" max="11542" width="6.28515625" style="2" customWidth="1"/>
    <col min="11543" max="11544" width="13.85546875" style="2" customWidth="1"/>
    <col min="11545" max="11545" width="10.85546875" style="2" customWidth="1"/>
    <col min="11546" max="11546" width="14.140625" style="2" customWidth="1"/>
    <col min="11547" max="11547" width="0" style="2" hidden="1" customWidth="1"/>
    <col min="11548" max="11548" width="13" style="2" customWidth="1"/>
    <col min="11549" max="11549" width="13.140625" style="2" customWidth="1"/>
    <col min="11550" max="11551" width="14" style="2" customWidth="1"/>
    <col min="11552" max="11552" width="11.42578125" style="2" customWidth="1"/>
    <col min="11553" max="11553" width="15.85546875" style="2" customWidth="1"/>
    <col min="11554" max="11554" width="23.7109375" style="2" customWidth="1"/>
    <col min="11555" max="11555" width="12" style="2" customWidth="1"/>
    <col min="11556" max="11557" width="0.28515625" style="2" customWidth="1"/>
    <col min="11558" max="11558" width="1.42578125" style="2" customWidth="1"/>
    <col min="11559" max="11559" width="0" style="2" hidden="1" customWidth="1"/>
    <col min="11560" max="11776" width="11.42578125" style="2"/>
    <col min="11777" max="11777" width="10.28515625" style="2" customWidth="1"/>
    <col min="11778" max="11778" width="13.42578125" style="2" customWidth="1"/>
    <col min="11779" max="11779" width="4.28515625" style="2" customWidth="1"/>
    <col min="11780" max="11780" width="4" style="2" customWidth="1"/>
    <col min="11781" max="11781" width="16.7109375" style="2" customWidth="1"/>
    <col min="11782" max="11782" width="4.140625" style="2" customWidth="1"/>
    <col min="11783" max="11783" width="11.28515625" style="2" customWidth="1"/>
    <col min="11784" max="11784" width="16.140625" style="2" customWidth="1"/>
    <col min="11785" max="11785" width="11" style="2" customWidth="1"/>
    <col min="11786" max="11787" width="2.140625" style="2" customWidth="1"/>
    <col min="11788" max="11788" width="3.28515625" style="2" customWidth="1"/>
    <col min="11789" max="11790" width="0" style="2" hidden="1" customWidth="1"/>
    <col min="11791" max="11791" width="2.85546875" style="2" customWidth="1"/>
    <col min="11792" max="11792" width="3.28515625" style="2" customWidth="1"/>
    <col min="11793" max="11793" width="1.42578125" style="2" customWidth="1"/>
    <col min="11794" max="11794" width="0" style="2" hidden="1" customWidth="1"/>
    <col min="11795" max="11795" width="6.85546875" style="2" customWidth="1"/>
    <col min="11796" max="11796" width="0" style="2" hidden="1" customWidth="1"/>
    <col min="11797" max="11798" width="6.28515625" style="2" customWidth="1"/>
    <col min="11799" max="11800" width="13.85546875" style="2" customWidth="1"/>
    <col min="11801" max="11801" width="10.85546875" style="2" customWidth="1"/>
    <col min="11802" max="11802" width="14.140625" style="2" customWidth="1"/>
    <col min="11803" max="11803" width="0" style="2" hidden="1" customWidth="1"/>
    <col min="11804" max="11804" width="13" style="2" customWidth="1"/>
    <col min="11805" max="11805" width="13.140625" style="2" customWidth="1"/>
    <col min="11806" max="11807" width="14" style="2" customWidth="1"/>
    <col min="11808" max="11808" width="11.42578125" style="2" customWidth="1"/>
    <col min="11809" max="11809" width="15.85546875" style="2" customWidth="1"/>
    <col min="11810" max="11810" width="23.7109375" style="2" customWidth="1"/>
    <col min="11811" max="11811" width="12" style="2" customWidth="1"/>
    <col min="11812" max="11813" width="0.28515625" style="2" customWidth="1"/>
    <col min="11814" max="11814" width="1.42578125" style="2" customWidth="1"/>
    <col min="11815" max="11815" width="0" style="2" hidden="1" customWidth="1"/>
    <col min="11816" max="12032" width="11.42578125" style="2"/>
    <col min="12033" max="12033" width="10.28515625" style="2" customWidth="1"/>
    <col min="12034" max="12034" width="13.42578125" style="2" customWidth="1"/>
    <col min="12035" max="12035" width="4.28515625" style="2" customWidth="1"/>
    <col min="12036" max="12036" width="4" style="2" customWidth="1"/>
    <col min="12037" max="12037" width="16.7109375" style="2" customWidth="1"/>
    <col min="12038" max="12038" width="4.140625" style="2" customWidth="1"/>
    <col min="12039" max="12039" width="11.28515625" style="2" customWidth="1"/>
    <col min="12040" max="12040" width="16.140625" style="2" customWidth="1"/>
    <col min="12041" max="12041" width="11" style="2" customWidth="1"/>
    <col min="12042" max="12043" width="2.140625" style="2" customWidth="1"/>
    <col min="12044" max="12044" width="3.28515625" style="2" customWidth="1"/>
    <col min="12045" max="12046" width="0" style="2" hidden="1" customWidth="1"/>
    <col min="12047" max="12047" width="2.85546875" style="2" customWidth="1"/>
    <col min="12048" max="12048" width="3.28515625" style="2" customWidth="1"/>
    <col min="12049" max="12049" width="1.42578125" style="2" customWidth="1"/>
    <col min="12050" max="12050" width="0" style="2" hidden="1" customWidth="1"/>
    <col min="12051" max="12051" width="6.85546875" style="2" customWidth="1"/>
    <col min="12052" max="12052" width="0" style="2" hidden="1" customWidth="1"/>
    <col min="12053" max="12054" width="6.28515625" style="2" customWidth="1"/>
    <col min="12055" max="12056" width="13.85546875" style="2" customWidth="1"/>
    <col min="12057" max="12057" width="10.85546875" style="2" customWidth="1"/>
    <col min="12058" max="12058" width="14.140625" style="2" customWidth="1"/>
    <col min="12059" max="12059" width="0" style="2" hidden="1" customWidth="1"/>
    <col min="12060" max="12060" width="13" style="2" customWidth="1"/>
    <col min="12061" max="12061" width="13.140625" style="2" customWidth="1"/>
    <col min="12062" max="12063" width="14" style="2" customWidth="1"/>
    <col min="12064" max="12064" width="11.42578125" style="2" customWidth="1"/>
    <col min="12065" max="12065" width="15.85546875" style="2" customWidth="1"/>
    <col min="12066" max="12066" width="23.7109375" style="2" customWidth="1"/>
    <col min="12067" max="12067" width="12" style="2" customWidth="1"/>
    <col min="12068" max="12069" width="0.28515625" style="2" customWidth="1"/>
    <col min="12070" max="12070" width="1.42578125" style="2" customWidth="1"/>
    <col min="12071" max="12071" width="0" style="2" hidden="1" customWidth="1"/>
    <col min="12072" max="12288" width="11.42578125" style="2"/>
    <col min="12289" max="12289" width="10.28515625" style="2" customWidth="1"/>
    <col min="12290" max="12290" width="13.42578125" style="2" customWidth="1"/>
    <col min="12291" max="12291" width="4.28515625" style="2" customWidth="1"/>
    <col min="12292" max="12292" width="4" style="2" customWidth="1"/>
    <col min="12293" max="12293" width="16.7109375" style="2" customWidth="1"/>
    <col min="12294" max="12294" width="4.140625" style="2" customWidth="1"/>
    <col min="12295" max="12295" width="11.28515625" style="2" customWidth="1"/>
    <col min="12296" max="12296" width="16.140625" style="2" customWidth="1"/>
    <col min="12297" max="12297" width="11" style="2" customWidth="1"/>
    <col min="12298" max="12299" width="2.140625" style="2" customWidth="1"/>
    <col min="12300" max="12300" width="3.28515625" style="2" customWidth="1"/>
    <col min="12301" max="12302" width="0" style="2" hidden="1" customWidth="1"/>
    <col min="12303" max="12303" width="2.85546875" style="2" customWidth="1"/>
    <col min="12304" max="12304" width="3.28515625" style="2" customWidth="1"/>
    <col min="12305" max="12305" width="1.42578125" style="2" customWidth="1"/>
    <col min="12306" max="12306" width="0" style="2" hidden="1" customWidth="1"/>
    <col min="12307" max="12307" width="6.85546875" style="2" customWidth="1"/>
    <col min="12308" max="12308" width="0" style="2" hidden="1" customWidth="1"/>
    <col min="12309" max="12310" width="6.28515625" style="2" customWidth="1"/>
    <col min="12311" max="12312" width="13.85546875" style="2" customWidth="1"/>
    <col min="12313" max="12313" width="10.85546875" style="2" customWidth="1"/>
    <col min="12314" max="12314" width="14.140625" style="2" customWidth="1"/>
    <col min="12315" max="12315" width="0" style="2" hidden="1" customWidth="1"/>
    <col min="12316" max="12316" width="13" style="2" customWidth="1"/>
    <col min="12317" max="12317" width="13.140625" style="2" customWidth="1"/>
    <col min="12318" max="12319" width="14" style="2" customWidth="1"/>
    <col min="12320" max="12320" width="11.42578125" style="2" customWidth="1"/>
    <col min="12321" max="12321" width="15.85546875" style="2" customWidth="1"/>
    <col min="12322" max="12322" width="23.7109375" style="2" customWidth="1"/>
    <col min="12323" max="12323" width="12" style="2" customWidth="1"/>
    <col min="12324" max="12325" width="0.28515625" style="2" customWidth="1"/>
    <col min="12326" max="12326" width="1.42578125" style="2" customWidth="1"/>
    <col min="12327" max="12327" width="0" style="2" hidden="1" customWidth="1"/>
    <col min="12328" max="12544" width="11.42578125" style="2"/>
    <col min="12545" max="12545" width="10.28515625" style="2" customWidth="1"/>
    <col min="12546" max="12546" width="13.42578125" style="2" customWidth="1"/>
    <col min="12547" max="12547" width="4.28515625" style="2" customWidth="1"/>
    <col min="12548" max="12548" width="4" style="2" customWidth="1"/>
    <col min="12549" max="12549" width="16.7109375" style="2" customWidth="1"/>
    <col min="12550" max="12550" width="4.140625" style="2" customWidth="1"/>
    <col min="12551" max="12551" width="11.28515625" style="2" customWidth="1"/>
    <col min="12552" max="12552" width="16.140625" style="2" customWidth="1"/>
    <col min="12553" max="12553" width="11" style="2" customWidth="1"/>
    <col min="12554" max="12555" width="2.140625" style="2" customWidth="1"/>
    <col min="12556" max="12556" width="3.28515625" style="2" customWidth="1"/>
    <col min="12557" max="12558" width="0" style="2" hidden="1" customWidth="1"/>
    <col min="12559" max="12559" width="2.85546875" style="2" customWidth="1"/>
    <col min="12560" max="12560" width="3.28515625" style="2" customWidth="1"/>
    <col min="12561" max="12561" width="1.42578125" style="2" customWidth="1"/>
    <col min="12562" max="12562" width="0" style="2" hidden="1" customWidth="1"/>
    <col min="12563" max="12563" width="6.85546875" style="2" customWidth="1"/>
    <col min="12564" max="12564" width="0" style="2" hidden="1" customWidth="1"/>
    <col min="12565" max="12566" width="6.28515625" style="2" customWidth="1"/>
    <col min="12567" max="12568" width="13.85546875" style="2" customWidth="1"/>
    <col min="12569" max="12569" width="10.85546875" style="2" customWidth="1"/>
    <col min="12570" max="12570" width="14.140625" style="2" customWidth="1"/>
    <col min="12571" max="12571" width="0" style="2" hidden="1" customWidth="1"/>
    <col min="12572" max="12572" width="13" style="2" customWidth="1"/>
    <col min="12573" max="12573" width="13.140625" style="2" customWidth="1"/>
    <col min="12574" max="12575" width="14" style="2" customWidth="1"/>
    <col min="12576" max="12576" width="11.42578125" style="2" customWidth="1"/>
    <col min="12577" max="12577" width="15.85546875" style="2" customWidth="1"/>
    <col min="12578" max="12578" width="23.7109375" style="2" customWidth="1"/>
    <col min="12579" max="12579" width="12" style="2" customWidth="1"/>
    <col min="12580" max="12581" width="0.28515625" style="2" customWidth="1"/>
    <col min="12582" max="12582" width="1.42578125" style="2" customWidth="1"/>
    <col min="12583" max="12583" width="0" style="2" hidden="1" customWidth="1"/>
    <col min="12584" max="12800" width="11.42578125" style="2"/>
    <col min="12801" max="12801" width="10.28515625" style="2" customWidth="1"/>
    <col min="12802" max="12802" width="13.42578125" style="2" customWidth="1"/>
    <col min="12803" max="12803" width="4.28515625" style="2" customWidth="1"/>
    <col min="12804" max="12804" width="4" style="2" customWidth="1"/>
    <col min="12805" max="12805" width="16.7109375" style="2" customWidth="1"/>
    <col min="12806" max="12806" width="4.140625" style="2" customWidth="1"/>
    <col min="12807" max="12807" width="11.28515625" style="2" customWidth="1"/>
    <col min="12808" max="12808" width="16.140625" style="2" customWidth="1"/>
    <col min="12809" max="12809" width="11" style="2" customWidth="1"/>
    <col min="12810" max="12811" width="2.140625" style="2" customWidth="1"/>
    <col min="12812" max="12812" width="3.28515625" style="2" customWidth="1"/>
    <col min="12813" max="12814" width="0" style="2" hidden="1" customWidth="1"/>
    <col min="12815" max="12815" width="2.85546875" style="2" customWidth="1"/>
    <col min="12816" max="12816" width="3.28515625" style="2" customWidth="1"/>
    <col min="12817" max="12817" width="1.42578125" style="2" customWidth="1"/>
    <col min="12818" max="12818" width="0" style="2" hidden="1" customWidth="1"/>
    <col min="12819" max="12819" width="6.85546875" style="2" customWidth="1"/>
    <col min="12820" max="12820" width="0" style="2" hidden="1" customWidth="1"/>
    <col min="12821" max="12822" width="6.28515625" style="2" customWidth="1"/>
    <col min="12823" max="12824" width="13.85546875" style="2" customWidth="1"/>
    <col min="12825" max="12825" width="10.85546875" style="2" customWidth="1"/>
    <col min="12826" max="12826" width="14.140625" style="2" customWidth="1"/>
    <col min="12827" max="12827" width="0" style="2" hidden="1" customWidth="1"/>
    <col min="12828" max="12828" width="13" style="2" customWidth="1"/>
    <col min="12829" max="12829" width="13.140625" style="2" customWidth="1"/>
    <col min="12830" max="12831" width="14" style="2" customWidth="1"/>
    <col min="12832" max="12832" width="11.42578125" style="2" customWidth="1"/>
    <col min="12833" max="12833" width="15.85546875" style="2" customWidth="1"/>
    <col min="12834" max="12834" width="23.7109375" style="2" customWidth="1"/>
    <col min="12835" max="12835" width="12" style="2" customWidth="1"/>
    <col min="12836" max="12837" width="0.28515625" style="2" customWidth="1"/>
    <col min="12838" max="12838" width="1.42578125" style="2" customWidth="1"/>
    <col min="12839" max="12839" width="0" style="2" hidden="1" customWidth="1"/>
    <col min="12840" max="13056" width="11.42578125" style="2"/>
    <col min="13057" max="13057" width="10.28515625" style="2" customWidth="1"/>
    <col min="13058" max="13058" width="13.42578125" style="2" customWidth="1"/>
    <col min="13059" max="13059" width="4.28515625" style="2" customWidth="1"/>
    <col min="13060" max="13060" width="4" style="2" customWidth="1"/>
    <col min="13061" max="13061" width="16.7109375" style="2" customWidth="1"/>
    <col min="13062" max="13062" width="4.140625" style="2" customWidth="1"/>
    <col min="13063" max="13063" width="11.28515625" style="2" customWidth="1"/>
    <col min="13064" max="13064" width="16.140625" style="2" customWidth="1"/>
    <col min="13065" max="13065" width="11" style="2" customWidth="1"/>
    <col min="13066" max="13067" width="2.140625" style="2" customWidth="1"/>
    <col min="13068" max="13068" width="3.28515625" style="2" customWidth="1"/>
    <col min="13069" max="13070" width="0" style="2" hidden="1" customWidth="1"/>
    <col min="13071" max="13071" width="2.85546875" style="2" customWidth="1"/>
    <col min="13072" max="13072" width="3.28515625" style="2" customWidth="1"/>
    <col min="13073" max="13073" width="1.42578125" style="2" customWidth="1"/>
    <col min="13074" max="13074" width="0" style="2" hidden="1" customWidth="1"/>
    <col min="13075" max="13075" width="6.85546875" style="2" customWidth="1"/>
    <col min="13076" max="13076" width="0" style="2" hidden="1" customWidth="1"/>
    <col min="13077" max="13078" width="6.28515625" style="2" customWidth="1"/>
    <col min="13079" max="13080" width="13.85546875" style="2" customWidth="1"/>
    <col min="13081" max="13081" width="10.85546875" style="2" customWidth="1"/>
    <col min="13082" max="13082" width="14.140625" style="2" customWidth="1"/>
    <col min="13083" max="13083" width="0" style="2" hidden="1" customWidth="1"/>
    <col min="13084" max="13084" width="13" style="2" customWidth="1"/>
    <col min="13085" max="13085" width="13.140625" style="2" customWidth="1"/>
    <col min="13086" max="13087" width="14" style="2" customWidth="1"/>
    <col min="13088" max="13088" width="11.42578125" style="2" customWidth="1"/>
    <col min="13089" max="13089" width="15.85546875" style="2" customWidth="1"/>
    <col min="13090" max="13090" width="23.7109375" style="2" customWidth="1"/>
    <col min="13091" max="13091" width="12" style="2" customWidth="1"/>
    <col min="13092" max="13093" width="0.28515625" style="2" customWidth="1"/>
    <col min="13094" max="13094" width="1.42578125" style="2" customWidth="1"/>
    <col min="13095" max="13095" width="0" style="2" hidden="1" customWidth="1"/>
    <col min="13096" max="13312" width="11.42578125" style="2"/>
    <col min="13313" max="13313" width="10.28515625" style="2" customWidth="1"/>
    <col min="13314" max="13314" width="13.42578125" style="2" customWidth="1"/>
    <col min="13315" max="13315" width="4.28515625" style="2" customWidth="1"/>
    <col min="13316" max="13316" width="4" style="2" customWidth="1"/>
    <col min="13317" max="13317" width="16.7109375" style="2" customWidth="1"/>
    <col min="13318" max="13318" width="4.140625" style="2" customWidth="1"/>
    <col min="13319" max="13319" width="11.28515625" style="2" customWidth="1"/>
    <col min="13320" max="13320" width="16.140625" style="2" customWidth="1"/>
    <col min="13321" max="13321" width="11" style="2" customWidth="1"/>
    <col min="13322" max="13323" width="2.140625" style="2" customWidth="1"/>
    <col min="13324" max="13324" width="3.28515625" style="2" customWidth="1"/>
    <col min="13325" max="13326" width="0" style="2" hidden="1" customWidth="1"/>
    <col min="13327" max="13327" width="2.85546875" style="2" customWidth="1"/>
    <col min="13328" max="13328" width="3.28515625" style="2" customWidth="1"/>
    <col min="13329" max="13329" width="1.42578125" style="2" customWidth="1"/>
    <col min="13330" max="13330" width="0" style="2" hidden="1" customWidth="1"/>
    <col min="13331" max="13331" width="6.85546875" style="2" customWidth="1"/>
    <col min="13332" max="13332" width="0" style="2" hidden="1" customWidth="1"/>
    <col min="13333" max="13334" width="6.28515625" style="2" customWidth="1"/>
    <col min="13335" max="13336" width="13.85546875" style="2" customWidth="1"/>
    <col min="13337" max="13337" width="10.85546875" style="2" customWidth="1"/>
    <col min="13338" max="13338" width="14.140625" style="2" customWidth="1"/>
    <col min="13339" max="13339" width="0" style="2" hidden="1" customWidth="1"/>
    <col min="13340" max="13340" width="13" style="2" customWidth="1"/>
    <col min="13341" max="13341" width="13.140625" style="2" customWidth="1"/>
    <col min="13342" max="13343" width="14" style="2" customWidth="1"/>
    <col min="13344" max="13344" width="11.42578125" style="2" customWidth="1"/>
    <col min="13345" max="13345" width="15.85546875" style="2" customWidth="1"/>
    <col min="13346" max="13346" width="23.7109375" style="2" customWidth="1"/>
    <col min="13347" max="13347" width="12" style="2" customWidth="1"/>
    <col min="13348" max="13349" width="0.28515625" style="2" customWidth="1"/>
    <col min="13350" max="13350" width="1.42578125" style="2" customWidth="1"/>
    <col min="13351" max="13351" width="0" style="2" hidden="1" customWidth="1"/>
    <col min="13352" max="13568" width="11.42578125" style="2"/>
    <col min="13569" max="13569" width="10.28515625" style="2" customWidth="1"/>
    <col min="13570" max="13570" width="13.42578125" style="2" customWidth="1"/>
    <col min="13571" max="13571" width="4.28515625" style="2" customWidth="1"/>
    <col min="13572" max="13572" width="4" style="2" customWidth="1"/>
    <col min="13573" max="13573" width="16.7109375" style="2" customWidth="1"/>
    <col min="13574" max="13574" width="4.140625" style="2" customWidth="1"/>
    <col min="13575" max="13575" width="11.28515625" style="2" customWidth="1"/>
    <col min="13576" max="13576" width="16.140625" style="2" customWidth="1"/>
    <col min="13577" max="13577" width="11" style="2" customWidth="1"/>
    <col min="13578" max="13579" width="2.140625" style="2" customWidth="1"/>
    <col min="13580" max="13580" width="3.28515625" style="2" customWidth="1"/>
    <col min="13581" max="13582" width="0" style="2" hidden="1" customWidth="1"/>
    <col min="13583" max="13583" width="2.85546875" style="2" customWidth="1"/>
    <col min="13584" max="13584" width="3.28515625" style="2" customWidth="1"/>
    <col min="13585" max="13585" width="1.42578125" style="2" customWidth="1"/>
    <col min="13586" max="13586" width="0" style="2" hidden="1" customWidth="1"/>
    <col min="13587" max="13587" width="6.85546875" style="2" customWidth="1"/>
    <col min="13588" max="13588" width="0" style="2" hidden="1" customWidth="1"/>
    <col min="13589" max="13590" width="6.28515625" style="2" customWidth="1"/>
    <col min="13591" max="13592" width="13.85546875" style="2" customWidth="1"/>
    <col min="13593" max="13593" width="10.85546875" style="2" customWidth="1"/>
    <col min="13594" max="13594" width="14.140625" style="2" customWidth="1"/>
    <col min="13595" max="13595" width="0" style="2" hidden="1" customWidth="1"/>
    <col min="13596" max="13596" width="13" style="2" customWidth="1"/>
    <col min="13597" max="13597" width="13.140625" style="2" customWidth="1"/>
    <col min="13598" max="13599" width="14" style="2" customWidth="1"/>
    <col min="13600" max="13600" width="11.42578125" style="2" customWidth="1"/>
    <col min="13601" max="13601" width="15.85546875" style="2" customWidth="1"/>
    <col min="13602" max="13602" width="23.7109375" style="2" customWidth="1"/>
    <col min="13603" max="13603" width="12" style="2" customWidth="1"/>
    <col min="13604" max="13605" width="0.28515625" style="2" customWidth="1"/>
    <col min="13606" max="13606" width="1.42578125" style="2" customWidth="1"/>
    <col min="13607" max="13607" width="0" style="2" hidden="1" customWidth="1"/>
    <col min="13608" max="13824" width="11.42578125" style="2"/>
    <col min="13825" max="13825" width="10.28515625" style="2" customWidth="1"/>
    <col min="13826" max="13826" width="13.42578125" style="2" customWidth="1"/>
    <col min="13827" max="13827" width="4.28515625" style="2" customWidth="1"/>
    <col min="13828" max="13828" width="4" style="2" customWidth="1"/>
    <col min="13829" max="13829" width="16.7109375" style="2" customWidth="1"/>
    <col min="13830" max="13830" width="4.140625" style="2" customWidth="1"/>
    <col min="13831" max="13831" width="11.28515625" style="2" customWidth="1"/>
    <col min="13832" max="13832" width="16.140625" style="2" customWidth="1"/>
    <col min="13833" max="13833" width="11" style="2" customWidth="1"/>
    <col min="13834" max="13835" width="2.140625" style="2" customWidth="1"/>
    <col min="13836" max="13836" width="3.28515625" style="2" customWidth="1"/>
    <col min="13837" max="13838" width="0" style="2" hidden="1" customWidth="1"/>
    <col min="13839" max="13839" width="2.85546875" style="2" customWidth="1"/>
    <col min="13840" max="13840" width="3.28515625" style="2" customWidth="1"/>
    <col min="13841" max="13841" width="1.42578125" style="2" customWidth="1"/>
    <col min="13842" max="13842" width="0" style="2" hidden="1" customWidth="1"/>
    <col min="13843" max="13843" width="6.85546875" style="2" customWidth="1"/>
    <col min="13844" max="13844" width="0" style="2" hidden="1" customWidth="1"/>
    <col min="13845" max="13846" width="6.28515625" style="2" customWidth="1"/>
    <col min="13847" max="13848" width="13.85546875" style="2" customWidth="1"/>
    <col min="13849" max="13849" width="10.85546875" style="2" customWidth="1"/>
    <col min="13850" max="13850" width="14.140625" style="2" customWidth="1"/>
    <col min="13851" max="13851" width="0" style="2" hidden="1" customWidth="1"/>
    <col min="13852" max="13852" width="13" style="2" customWidth="1"/>
    <col min="13853" max="13853" width="13.140625" style="2" customWidth="1"/>
    <col min="13854" max="13855" width="14" style="2" customWidth="1"/>
    <col min="13856" max="13856" width="11.42578125" style="2" customWidth="1"/>
    <col min="13857" max="13857" width="15.85546875" style="2" customWidth="1"/>
    <col min="13858" max="13858" width="23.7109375" style="2" customWidth="1"/>
    <col min="13859" max="13859" width="12" style="2" customWidth="1"/>
    <col min="13860" max="13861" width="0.28515625" style="2" customWidth="1"/>
    <col min="13862" max="13862" width="1.42578125" style="2" customWidth="1"/>
    <col min="13863" max="13863" width="0" style="2" hidden="1" customWidth="1"/>
    <col min="13864" max="14080" width="11.42578125" style="2"/>
    <col min="14081" max="14081" width="10.28515625" style="2" customWidth="1"/>
    <col min="14082" max="14082" width="13.42578125" style="2" customWidth="1"/>
    <col min="14083" max="14083" width="4.28515625" style="2" customWidth="1"/>
    <col min="14084" max="14084" width="4" style="2" customWidth="1"/>
    <col min="14085" max="14085" width="16.7109375" style="2" customWidth="1"/>
    <col min="14086" max="14086" width="4.140625" style="2" customWidth="1"/>
    <col min="14087" max="14087" width="11.28515625" style="2" customWidth="1"/>
    <col min="14088" max="14088" width="16.140625" style="2" customWidth="1"/>
    <col min="14089" max="14089" width="11" style="2" customWidth="1"/>
    <col min="14090" max="14091" width="2.140625" style="2" customWidth="1"/>
    <col min="14092" max="14092" width="3.28515625" style="2" customWidth="1"/>
    <col min="14093" max="14094" width="0" style="2" hidden="1" customWidth="1"/>
    <col min="14095" max="14095" width="2.85546875" style="2" customWidth="1"/>
    <col min="14096" max="14096" width="3.28515625" style="2" customWidth="1"/>
    <col min="14097" max="14097" width="1.42578125" style="2" customWidth="1"/>
    <col min="14098" max="14098" width="0" style="2" hidden="1" customWidth="1"/>
    <col min="14099" max="14099" width="6.85546875" style="2" customWidth="1"/>
    <col min="14100" max="14100" width="0" style="2" hidden="1" customWidth="1"/>
    <col min="14101" max="14102" width="6.28515625" style="2" customWidth="1"/>
    <col min="14103" max="14104" width="13.85546875" style="2" customWidth="1"/>
    <col min="14105" max="14105" width="10.85546875" style="2" customWidth="1"/>
    <col min="14106" max="14106" width="14.140625" style="2" customWidth="1"/>
    <col min="14107" max="14107" width="0" style="2" hidden="1" customWidth="1"/>
    <col min="14108" max="14108" width="13" style="2" customWidth="1"/>
    <col min="14109" max="14109" width="13.140625" style="2" customWidth="1"/>
    <col min="14110" max="14111" width="14" style="2" customWidth="1"/>
    <col min="14112" max="14112" width="11.42578125" style="2" customWidth="1"/>
    <col min="14113" max="14113" width="15.85546875" style="2" customWidth="1"/>
    <col min="14114" max="14114" width="23.7109375" style="2" customWidth="1"/>
    <col min="14115" max="14115" width="12" style="2" customWidth="1"/>
    <col min="14116" max="14117" width="0.28515625" style="2" customWidth="1"/>
    <col min="14118" max="14118" width="1.42578125" style="2" customWidth="1"/>
    <col min="14119" max="14119" width="0" style="2" hidden="1" customWidth="1"/>
    <col min="14120" max="14336" width="11.42578125" style="2"/>
    <col min="14337" max="14337" width="10.28515625" style="2" customWidth="1"/>
    <col min="14338" max="14338" width="13.42578125" style="2" customWidth="1"/>
    <col min="14339" max="14339" width="4.28515625" style="2" customWidth="1"/>
    <col min="14340" max="14340" width="4" style="2" customWidth="1"/>
    <col min="14341" max="14341" width="16.7109375" style="2" customWidth="1"/>
    <col min="14342" max="14342" width="4.140625" style="2" customWidth="1"/>
    <col min="14343" max="14343" width="11.28515625" style="2" customWidth="1"/>
    <col min="14344" max="14344" width="16.140625" style="2" customWidth="1"/>
    <col min="14345" max="14345" width="11" style="2" customWidth="1"/>
    <col min="14346" max="14347" width="2.140625" style="2" customWidth="1"/>
    <col min="14348" max="14348" width="3.28515625" style="2" customWidth="1"/>
    <col min="14349" max="14350" width="0" style="2" hidden="1" customWidth="1"/>
    <col min="14351" max="14351" width="2.85546875" style="2" customWidth="1"/>
    <col min="14352" max="14352" width="3.28515625" style="2" customWidth="1"/>
    <col min="14353" max="14353" width="1.42578125" style="2" customWidth="1"/>
    <col min="14354" max="14354" width="0" style="2" hidden="1" customWidth="1"/>
    <col min="14355" max="14355" width="6.85546875" style="2" customWidth="1"/>
    <col min="14356" max="14356" width="0" style="2" hidden="1" customWidth="1"/>
    <col min="14357" max="14358" width="6.28515625" style="2" customWidth="1"/>
    <col min="14359" max="14360" width="13.85546875" style="2" customWidth="1"/>
    <col min="14361" max="14361" width="10.85546875" style="2" customWidth="1"/>
    <col min="14362" max="14362" width="14.140625" style="2" customWidth="1"/>
    <col min="14363" max="14363" width="0" style="2" hidden="1" customWidth="1"/>
    <col min="14364" max="14364" width="13" style="2" customWidth="1"/>
    <col min="14365" max="14365" width="13.140625" style="2" customWidth="1"/>
    <col min="14366" max="14367" width="14" style="2" customWidth="1"/>
    <col min="14368" max="14368" width="11.42578125" style="2" customWidth="1"/>
    <col min="14369" max="14369" width="15.85546875" style="2" customWidth="1"/>
    <col min="14370" max="14370" width="23.7109375" style="2" customWidth="1"/>
    <col min="14371" max="14371" width="12" style="2" customWidth="1"/>
    <col min="14372" max="14373" width="0.28515625" style="2" customWidth="1"/>
    <col min="14374" max="14374" width="1.42578125" style="2" customWidth="1"/>
    <col min="14375" max="14375" width="0" style="2" hidden="1" customWidth="1"/>
    <col min="14376" max="14592" width="11.42578125" style="2"/>
    <col min="14593" max="14593" width="10.28515625" style="2" customWidth="1"/>
    <col min="14594" max="14594" width="13.42578125" style="2" customWidth="1"/>
    <col min="14595" max="14595" width="4.28515625" style="2" customWidth="1"/>
    <col min="14596" max="14596" width="4" style="2" customWidth="1"/>
    <col min="14597" max="14597" width="16.7109375" style="2" customWidth="1"/>
    <col min="14598" max="14598" width="4.140625" style="2" customWidth="1"/>
    <col min="14599" max="14599" width="11.28515625" style="2" customWidth="1"/>
    <col min="14600" max="14600" width="16.140625" style="2" customWidth="1"/>
    <col min="14601" max="14601" width="11" style="2" customWidth="1"/>
    <col min="14602" max="14603" width="2.140625" style="2" customWidth="1"/>
    <col min="14604" max="14604" width="3.28515625" style="2" customWidth="1"/>
    <col min="14605" max="14606" width="0" style="2" hidden="1" customWidth="1"/>
    <col min="14607" max="14607" width="2.85546875" style="2" customWidth="1"/>
    <col min="14608" max="14608" width="3.28515625" style="2" customWidth="1"/>
    <col min="14609" max="14609" width="1.42578125" style="2" customWidth="1"/>
    <col min="14610" max="14610" width="0" style="2" hidden="1" customWidth="1"/>
    <col min="14611" max="14611" width="6.85546875" style="2" customWidth="1"/>
    <col min="14612" max="14612" width="0" style="2" hidden="1" customWidth="1"/>
    <col min="14613" max="14614" width="6.28515625" style="2" customWidth="1"/>
    <col min="14615" max="14616" width="13.85546875" style="2" customWidth="1"/>
    <col min="14617" max="14617" width="10.85546875" style="2" customWidth="1"/>
    <col min="14618" max="14618" width="14.140625" style="2" customWidth="1"/>
    <col min="14619" max="14619" width="0" style="2" hidden="1" customWidth="1"/>
    <col min="14620" max="14620" width="13" style="2" customWidth="1"/>
    <col min="14621" max="14621" width="13.140625" style="2" customWidth="1"/>
    <col min="14622" max="14623" width="14" style="2" customWidth="1"/>
    <col min="14624" max="14624" width="11.42578125" style="2" customWidth="1"/>
    <col min="14625" max="14625" width="15.85546875" style="2" customWidth="1"/>
    <col min="14626" max="14626" width="23.7109375" style="2" customWidth="1"/>
    <col min="14627" max="14627" width="12" style="2" customWidth="1"/>
    <col min="14628" max="14629" width="0.28515625" style="2" customWidth="1"/>
    <col min="14630" max="14630" width="1.42578125" style="2" customWidth="1"/>
    <col min="14631" max="14631" width="0" style="2" hidden="1" customWidth="1"/>
    <col min="14632" max="14848" width="11.42578125" style="2"/>
    <col min="14849" max="14849" width="10.28515625" style="2" customWidth="1"/>
    <col min="14850" max="14850" width="13.42578125" style="2" customWidth="1"/>
    <col min="14851" max="14851" width="4.28515625" style="2" customWidth="1"/>
    <col min="14852" max="14852" width="4" style="2" customWidth="1"/>
    <col min="14853" max="14853" width="16.7109375" style="2" customWidth="1"/>
    <col min="14854" max="14854" width="4.140625" style="2" customWidth="1"/>
    <col min="14855" max="14855" width="11.28515625" style="2" customWidth="1"/>
    <col min="14856" max="14856" width="16.140625" style="2" customWidth="1"/>
    <col min="14857" max="14857" width="11" style="2" customWidth="1"/>
    <col min="14858" max="14859" width="2.140625" style="2" customWidth="1"/>
    <col min="14860" max="14860" width="3.28515625" style="2" customWidth="1"/>
    <col min="14861" max="14862" width="0" style="2" hidden="1" customWidth="1"/>
    <col min="14863" max="14863" width="2.85546875" style="2" customWidth="1"/>
    <col min="14864" max="14864" width="3.28515625" style="2" customWidth="1"/>
    <col min="14865" max="14865" width="1.42578125" style="2" customWidth="1"/>
    <col min="14866" max="14866" width="0" style="2" hidden="1" customWidth="1"/>
    <col min="14867" max="14867" width="6.85546875" style="2" customWidth="1"/>
    <col min="14868" max="14868" width="0" style="2" hidden="1" customWidth="1"/>
    <col min="14869" max="14870" width="6.28515625" style="2" customWidth="1"/>
    <col min="14871" max="14872" width="13.85546875" style="2" customWidth="1"/>
    <col min="14873" max="14873" width="10.85546875" style="2" customWidth="1"/>
    <col min="14874" max="14874" width="14.140625" style="2" customWidth="1"/>
    <col min="14875" max="14875" width="0" style="2" hidden="1" customWidth="1"/>
    <col min="14876" max="14876" width="13" style="2" customWidth="1"/>
    <col min="14877" max="14877" width="13.140625" style="2" customWidth="1"/>
    <col min="14878" max="14879" width="14" style="2" customWidth="1"/>
    <col min="14880" max="14880" width="11.42578125" style="2" customWidth="1"/>
    <col min="14881" max="14881" width="15.85546875" style="2" customWidth="1"/>
    <col min="14882" max="14882" width="23.7109375" style="2" customWidth="1"/>
    <col min="14883" max="14883" width="12" style="2" customWidth="1"/>
    <col min="14884" max="14885" width="0.28515625" style="2" customWidth="1"/>
    <col min="14886" max="14886" width="1.42578125" style="2" customWidth="1"/>
    <col min="14887" max="14887" width="0" style="2" hidden="1" customWidth="1"/>
    <col min="14888" max="15104" width="11.42578125" style="2"/>
    <col min="15105" max="15105" width="10.28515625" style="2" customWidth="1"/>
    <col min="15106" max="15106" width="13.42578125" style="2" customWidth="1"/>
    <col min="15107" max="15107" width="4.28515625" style="2" customWidth="1"/>
    <col min="15108" max="15108" width="4" style="2" customWidth="1"/>
    <col min="15109" max="15109" width="16.7109375" style="2" customWidth="1"/>
    <col min="15110" max="15110" width="4.140625" style="2" customWidth="1"/>
    <col min="15111" max="15111" width="11.28515625" style="2" customWidth="1"/>
    <col min="15112" max="15112" width="16.140625" style="2" customWidth="1"/>
    <col min="15113" max="15113" width="11" style="2" customWidth="1"/>
    <col min="15114" max="15115" width="2.140625" style="2" customWidth="1"/>
    <col min="15116" max="15116" width="3.28515625" style="2" customWidth="1"/>
    <col min="15117" max="15118" width="0" style="2" hidden="1" customWidth="1"/>
    <col min="15119" max="15119" width="2.85546875" style="2" customWidth="1"/>
    <col min="15120" max="15120" width="3.28515625" style="2" customWidth="1"/>
    <col min="15121" max="15121" width="1.42578125" style="2" customWidth="1"/>
    <col min="15122" max="15122" width="0" style="2" hidden="1" customWidth="1"/>
    <col min="15123" max="15123" width="6.85546875" style="2" customWidth="1"/>
    <col min="15124" max="15124" width="0" style="2" hidden="1" customWidth="1"/>
    <col min="15125" max="15126" width="6.28515625" style="2" customWidth="1"/>
    <col min="15127" max="15128" width="13.85546875" style="2" customWidth="1"/>
    <col min="15129" max="15129" width="10.85546875" style="2" customWidth="1"/>
    <col min="15130" max="15130" width="14.140625" style="2" customWidth="1"/>
    <col min="15131" max="15131" width="0" style="2" hidden="1" customWidth="1"/>
    <col min="15132" max="15132" width="13" style="2" customWidth="1"/>
    <col min="15133" max="15133" width="13.140625" style="2" customWidth="1"/>
    <col min="15134" max="15135" width="14" style="2" customWidth="1"/>
    <col min="15136" max="15136" width="11.42578125" style="2" customWidth="1"/>
    <col min="15137" max="15137" width="15.85546875" style="2" customWidth="1"/>
    <col min="15138" max="15138" width="23.7109375" style="2" customWidth="1"/>
    <col min="15139" max="15139" width="12" style="2" customWidth="1"/>
    <col min="15140" max="15141" width="0.28515625" style="2" customWidth="1"/>
    <col min="15142" max="15142" width="1.42578125" style="2" customWidth="1"/>
    <col min="15143" max="15143" width="0" style="2" hidden="1" customWidth="1"/>
    <col min="15144" max="15360" width="11.42578125" style="2"/>
    <col min="15361" max="15361" width="10.28515625" style="2" customWidth="1"/>
    <col min="15362" max="15362" width="13.42578125" style="2" customWidth="1"/>
    <col min="15363" max="15363" width="4.28515625" style="2" customWidth="1"/>
    <col min="15364" max="15364" width="4" style="2" customWidth="1"/>
    <col min="15365" max="15365" width="16.7109375" style="2" customWidth="1"/>
    <col min="15366" max="15366" width="4.140625" style="2" customWidth="1"/>
    <col min="15367" max="15367" width="11.28515625" style="2" customWidth="1"/>
    <col min="15368" max="15368" width="16.140625" style="2" customWidth="1"/>
    <col min="15369" max="15369" width="11" style="2" customWidth="1"/>
    <col min="15370" max="15371" width="2.140625" style="2" customWidth="1"/>
    <col min="15372" max="15372" width="3.28515625" style="2" customWidth="1"/>
    <col min="15373" max="15374" width="0" style="2" hidden="1" customWidth="1"/>
    <col min="15375" max="15375" width="2.85546875" style="2" customWidth="1"/>
    <col min="15376" max="15376" width="3.28515625" style="2" customWidth="1"/>
    <col min="15377" max="15377" width="1.42578125" style="2" customWidth="1"/>
    <col min="15378" max="15378" width="0" style="2" hidden="1" customWidth="1"/>
    <col min="15379" max="15379" width="6.85546875" style="2" customWidth="1"/>
    <col min="15380" max="15380" width="0" style="2" hidden="1" customWidth="1"/>
    <col min="15381" max="15382" width="6.28515625" style="2" customWidth="1"/>
    <col min="15383" max="15384" width="13.85546875" style="2" customWidth="1"/>
    <col min="15385" max="15385" width="10.85546875" style="2" customWidth="1"/>
    <col min="15386" max="15386" width="14.140625" style="2" customWidth="1"/>
    <col min="15387" max="15387" width="0" style="2" hidden="1" customWidth="1"/>
    <col min="15388" max="15388" width="13" style="2" customWidth="1"/>
    <col min="15389" max="15389" width="13.140625" style="2" customWidth="1"/>
    <col min="15390" max="15391" width="14" style="2" customWidth="1"/>
    <col min="15392" max="15392" width="11.42578125" style="2" customWidth="1"/>
    <col min="15393" max="15393" width="15.85546875" style="2" customWidth="1"/>
    <col min="15394" max="15394" width="23.7109375" style="2" customWidth="1"/>
    <col min="15395" max="15395" width="12" style="2" customWidth="1"/>
    <col min="15396" max="15397" width="0.28515625" style="2" customWidth="1"/>
    <col min="15398" max="15398" width="1.42578125" style="2" customWidth="1"/>
    <col min="15399" max="15399" width="0" style="2" hidden="1" customWidth="1"/>
    <col min="15400" max="15616" width="11.42578125" style="2"/>
    <col min="15617" max="15617" width="10.28515625" style="2" customWidth="1"/>
    <col min="15618" max="15618" width="13.42578125" style="2" customWidth="1"/>
    <col min="15619" max="15619" width="4.28515625" style="2" customWidth="1"/>
    <col min="15620" max="15620" width="4" style="2" customWidth="1"/>
    <col min="15621" max="15621" width="16.7109375" style="2" customWidth="1"/>
    <col min="15622" max="15622" width="4.140625" style="2" customWidth="1"/>
    <col min="15623" max="15623" width="11.28515625" style="2" customWidth="1"/>
    <col min="15624" max="15624" width="16.140625" style="2" customWidth="1"/>
    <col min="15625" max="15625" width="11" style="2" customWidth="1"/>
    <col min="15626" max="15627" width="2.140625" style="2" customWidth="1"/>
    <col min="15628" max="15628" width="3.28515625" style="2" customWidth="1"/>
    <col min="15629" max="15630" width="0" style="2" hidden="1" customWidth="1"/>
    <col min="15631" max="15631" width="2.85546875" style="2" customWidth="1"/>
    <col min="15632" max="15632" width="3.28515625" style="2" customWidth="1"/>
    <col min="15633" max="15633" width="1.42578125" style="2" customWidth="1"/>
    <col min="15634" max="15634" width="0" style="2" hidden="1" customWidth="1"/>
    <col min="15635" max="15635" width="6.85546875" style="2" customWidth="1"/>
    <col min="15636" max="15636" width="0" style="2" hidden="1" customWidth="1"/>
    <col min="15637" max="15638" width="6.28515625" style="2" customWidth="1"/>
    <col min="15639" max="15640" width="13.85546875" style="2" customWidth="1"/>
    <col min="15641" max="15641" width="10.85546875" style="2" customWidth="1"/>
    <col min="15642" max="15642" width="14.140625" style="2" customWidth="1"/>
    <col min="15643" max="15643" width="0" style="2" hidden="1" customWidth="1"/>
    <col min="15644" max="15644" width="13" style="2" customWidth="1"/>
    <col min="15645" max="15645" width="13.140625" style="2" customWidth="1"/>
    <col min="15646" max="15647" width="14" style="2" customWidth="1"/>
    <col min="15648" max="15648" width="11.42578125" style="2" customWidth="1"/>
    <col min="15649" max="15649" width="15.85546875" style="2" customWidth="1"/>
    <col min="15650" max="15650" width="23.7109375" style="2" customWidth="1"/>
    <col min="15651" max="15651" width="12" style="2" customWidth="1"/>
    <col min="15652" max="15653" width="0.28515625" style="2" customWidth="1"/>
    <col min="15654" max="15654" width="1.42578125" style="2" customWidth="1"/>
    <col min="15655" max="15655" width="0" style="2" hidden="1" customWidth="1"/>
    <col min="15656" max="15872" width="11.42578125" style="2"/>
    <col min="15873" max="15873" width="10.28515625" style="2" customWidth="1"/>
    <col min="15874" max="15874" width="13.42578125" style="2" customWidth="1"/>
    <col min="15875" max="15875" width="4.28515625" style="2" customWidth="1"/>
    <col min="15876" max="15876" width="4" style="2" customWidth="1"/>
    <col min="15877" max="15877" width="16.7109375" style="2" customWidth="1"/>
    <col min="15878" max="15878" width="4.140625" style="2" customWidth="1"/>
    <col min="15879" max="15879" width="11.28515625" style="2" customWidth="1"/>
    <col min="15880" max="15880" width="16.140625" style="2" customWidth="1"/>
    <col min="15881" max="15881" width="11" style="2" customWidth="1"/>
    <col min="15882" max="15883" width="2.140625" style="2" customWidth="1"/>
    <col min="15884" max="15884" width="3.28515625" style="2" customWidth="1"/>
    <col min="15885" max="15886" width="0" style="2" hidden="1" customWidth="1"/>
    <col min="15887" max="15887" width="2.85546875" style="2" customWidth="1"/>
    <col min="15888" max="15888" width="3.28515625" style="2" customWidth="1"/>
    <col min="15889" max="15889" width="1.42578125" style="2" customWidth="1"/>
    <col min="15890" max="15890" width="0" style="2" hidden="1" customWidth="1"/>
    <col min="15891" max="15891" width="6.85546875" style="2" customWidth="1"/>
    <col min="15892" max="15892" width="0" style="2" hidden="1" customWidth="1"/>
    <col min="15893" max="15894" width="6.28515625" style="2" customWidth="1"/>
    <col min="15895" max="15896" width="13.85546875" style="2" customWidth="1"/>
    <col min="15897" max="15897" width="10.85546875" style="2" customWidth="1"/>
    <col min="15898" max="15898" width="14.140625" style="2" customWidth="1"/>
    <col min="15899" max="15899" width="0" style="2" hidden="1" customWidth="1"/>
    <col min="15900" max="15900" width="13" style="2" customWidth="1"/>
    <col min="15901" max="15901" width="13.140625" style="2" customWidth="1"/>
    <col min="15902" max="15903" width="14" style="2" customWidth="1"/>
    <col min="15904" max="15904" width="11.42578125" style="2" customWidth="1"/>
    <col min="15905" max="15905" width="15.85546875" style="2" customWidth="1"/>
    <col min="15906" max="15906" width="23.7109375" style="2" customWidth="1"/>
    <col min="15907" max="15907" width="12" style="2" customWidth="1"/>
    <col min="15908" max="15909" width="0.28515625" style="2" customWidth="1"/>
    <col min="15910" max="15910" width="1.42578125" style="2" customWidth="1"/>
    <col min="15911" max="15911" width="0" style="2" hidden="1" customWidth="1"/>
    <col min="15912" max="16128" width="11.42578125" style="2"/>
    <col min="16129" max="16129" width="10.28515625" style="2" customWidth="1"/>
    <col min="16130" max="16130" width="13.42578125" style="2" customWidth="1"/>
    <col min="16131" max="16131" width="4.28515625" style="2" customWidth="1"/>
    <col min="16132" max="16132" width="4" style="2" customWidth="1"/>
    <col min="16133" max="16133" width="16.7109375" style="2" customWidth="1"/>
    <col min="16134" max="16134" width="4.140625" style="2" customWidth="1"/>
    <col min="16135" max="16135" width="11.28515625" style="2" customWidth="1"/>
    <col min="16136" max="16136" width="16.140625" style="2" customWidth="1"/>
    <col min="16137" max="16137" width="11" style="2" customWidth="1"/>
    <col min="16138" max="16139" width="2.140625" style="2" customWidth="1"/>
    <col min="16140" max="16140" width="3.28515625" style="2" customWidth="1"/>
    <col min="16141" max="16142" width="0" style="2" hidden="1" customWidth="1"/>
    <col min="16143" max="16143" width="2.85546875" style="2" customWidth="1"/>
    <col min="16144" max="16144" width="3.28515625" style="2" customWidth="1"/>
    <col min="16145" max="16145" width="1.42578125" style="2" customWidth="1"/>
    <col min="16146" max="16146" width="0" style="2" hidden="1" customWidth="1"/>
    <col min="16147" max="16147" width="6.85546875" style="2" customWidth="1"/>
    <col min="16148" max="16148" width="0" style="2" hidden="1" customWidth="1"/>
    <col min="16149" max="16150" width="6.28515625" style="2" customWidth="1"/>
    <col min="16151" max="16152" width="13.85546875" style="2" customWidth="1"/>
    <col min="16153" max="16153" width="10.85546875" style="2" customWidth="1"/>
    <col min="16154" max="16154" width="14.140625" style="2" customWidth="1"/>
    <col min="16155" max="16155" width="0" style="2" hidden="1" customWidth="1"/>
    <col min="16156" max="16156" width="13" style="2" customWidth="1"/>
    <col min="16157" max="16157" width="13.140625" style="2" customWidth="1"/>
    <col min="16158" max="16159" width="14" style="2" customWidth="1"/>
    <col min="16160" max="16160" width="11.42578125" style="2" customWidth="1"/>
    <col min="16161" max="16161" width="15.85546875" style="2" customWidth="1"/>
    <col min="16162" max="16162" width="23.7109375" style="2" customWidth="1"/>
    <col min="16163" max="16163" width="12" style="2" customWidth="1"/>
    <col min="16164" max="16165" width="0.28515625" style="2" customWidth="1"/>
    <col min="16166" max="16166" width="1.42578125" style="2" customWidth="1"/>
    <col min="16167" max="16167" width="0" style="2" hidden="1" customWidth="1"/>
    <col min="16168" max="16384" width="11.42578125" style="2"/>
  </cols>
  <sheetData>
    <row r="1" spans="1:37" ht="45" customHeight="1">
      <c r="A1" s="600"/>
      <c r="B1" s="600"/>
      <c r="C1" s="684" t="s">
        <v>0</v>
      </c>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6"/>
      <c r="AH1" s="689" t="s">
        <v>45</v>
      </c>
      <c r="AJ1" s="3" t="s">
        <v>17</v>
      </c>
      <c r="AK1" s="6" t="s">
        <v>23</v>
      </c>
    </row>
    <row r="2" spans="1:37" ht="45" customHeight="1">
      <c r="A2" s="600"/>
      <c r="B2" s="600"/>
      <c r="C2" s="690" t="s">
        <v>37</v>
      </c>
      <c r="D2" s="691"/>
      <c r="E2" s="691"/>
      <c r="F2" s="691"/>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2"/>
      <c r="AH2" s="689"/>
      <c r="AJ2" s="2" t="s">
        <v>18</v>
      </c>
      <c r="AK2" s="7" t="s">
        <v>24</v>
      </c>
    </row>
    <row r="3" spans="1:37"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G3" s="604"/>
      <c r="AH3" s="604"/>
      <c r="AJ3" s="3" t="s">
        <v>16</v>
      </c>
      <c r="AK3" s="6" t="s">
        <v>25</v>
      </c>
    </row>
    <row r="4" spans="1:37" ht="30.75" customHeight="1">
      <c r="A4" s="597" t="s">
        <v>5</v>
      </c>
      <c r="B4" s="597"/>
      <c r="C4" s="597"/>
      <c r="D4" s="597"/>
      <c r="E4" s="598" t="s">
        <v>221</v>
      </c>
      <c r="F4" s="598"/>
      <c r="G4" s="598"/>
      <c r="H4" s="598"/>
      <c r="I4" s="598"/>
      <c r="J4" s="598"/>
      <c r="K4" s="598"/>
      <c r="L4" s="598"/>
      <c r="M4" s="598"/>
      <c r="N4" s="598"/>
      <c r="O4" s="598"/>
      <c r="P4" s="598"/>
      <c r="Q4" s="598"/>
      <c r="R4" s="598"/>
      <c r="S4" s="598"/>
      <c r="T4" s="598"/>
      <c r="U4" s="598"/>
      <c r="V4" s="598"/>
      <c r="W4" s="599" t="s">
        <v>20</v>
      </c>
      <c r="X4" s="599"/>
      <c r="Y4" s="599"/>
      <c r="Z4" s="679" t="s">
        <v>222</v>
      </c>
      <c r="AA4" s="680"/>
      <c r="AB4" s="680"/>
      <c r="AC4" s="680"/>
      <c r="AD4" s="680"/>
      <c r="AE4" s="681"/>
      <c r="AF4" s="682" t="s">
        <v>48</v>
      </c>
      <c r="AG4" s="683"/>
      <c r="AH4" s="45" t="s">
        <v>71</v>
      </c>
      <c r="AJ4" s="6" t="s">
        <v>19</v>
      </c>
    </row>
    <row r="5" spans="1:37" ht="4.5" customHeight="1" thickBo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row>
    <row r="6" spans="1:37" ht="57" customHeight="1">
      <c r="A6" s="605" t="s">
        <v>39</v>
      </c>
      <c r="B6" s="606"/>
      <c r="C6" s="599" t="s">
        <v>1</v>
      </c>
      <c r="D6" s="599" t="s">
        <v>49</v>
      </c>
      <c r="E6" s="599"/>
      <c r="F6" s="608" t="s">
        <v>6</v>
      </c>
      <c r="G6" s="599" t="s">
        <v>9</v>
      </c>
      <c r="H6" s="607" t="s">
        <v>50</v>
      </c>
      <c r="I6" s="599" t="s">
        <v>2</v>
      </c>
      <c r="J6" s="599" t="s">
        <v>21</v>
      </c>
      <c r="K6" s="599"/>
      <c r="L6" s="599"/>
      <c r="M6" s="599"/>
      <c r="N6" s="599"/>
      <c r="O6" s="599"/>
      <c r="P6" s="599"/>
      <c r="Q6" s="599"/>
      <c r="R6" s="599"/>
      <c r="S6" s="599"/>
      <c r="T6" s="599"/>
      <c r="U6" s="599"/>
      <c r="V6" s="599"/>
      <c r="W6" s="599" t="s">
        <v>51</v>
      </c>
      <c r="X6" s="607" t="s">
        <v>52</v>
      </c>
      <c r="Y6" s="599" t="s">
        <v>3</v>
      </c>
      <c r="Z6" s="599"/>
      <c r="AA6" s="599"/>
      <c r="AB6" s="610" t="s">
        <v>53</v>
      </c>
      <c r="AC6" s="610" t="s">
        <v>4</v>
      </c>
      <c r="AD6" s="610"/>
      <c r="AE6" s="611" t="s">
        <v>54</v>
      </c>
      <c r="AF6" s="599" t="s">
        <v>55</v>
      </c>
      <c r="AG6" s="599" t="s">
        <v>56</v>
      </c>
      <c r="AH6" s="599" t="s">
        <v>57</v>
      </c>
    </row>
    <row r="7" spans="1:37" ht="37.5" customHeight="1" thickBot="1">
      <c r="A7" s="58" t="s">
        <v>40</v>
      </c>
      <c r="B7" s="59" t="s">
        <v>41</v>
      </c>
      <c r="C7" s="599"/>
      <c r="D7" s="599"/>
      <c r="E7" s="599"/>
      <c r="F7" s="608"/>
      <c r="G7" s="599"/>
      <c r="H7" s="693"/>
      <c r="I7" s="599"/>
      <c r="J7" s="599" t="s">
        <v>11</v>
      </c>
      <c r="K7" s="599"/>
      <c r="L7" s="599"/>
      <c r="M7" s="599"/>
      <c r="N7" s="599"/>
      <c r="O7" s="599"/>
      <c r="P7" s="644" t="s">
        <v>12</v>
      </c>
      <c r="Q7" s="644"/>
      <c r="R7" s="644"/>
      <c r="S7" s="644"/>
      <c r="T7" s="644"/>
      <c r="U7" s="644" t="s">
        <v>13</v>
      </c>
      <c r="V7" s="644"/>
      <c r="W7" s="599"/>
      <c r="X7" s="693"/>
      <c r="Y7" s="599"/>
      <c r="Z7" s="599"/>
      <c r="AA7" s="599"/>
      <c r="AB7" s="610"/>
      <c r="AC7" s="56" t="s">
        <v>14</v>
      </c>
      <c r="AD7" s="54" t="s">
        <v>15</v>
      </c>
      <c r="AE7" s="687"/>
      <c r="AF7" s="599"/>
      <c r="AG7" s="599"/>
      <c r="AH7" s="599"/>
    </row>
    <row r="8" spans="1:37" ht="98.25" customHeight="1">
      <c r="A8" s="632"/>
      <c r="B8" s="632"/>
      <c r="C8" s="773">
        <v>1</v>
      </c>
      <c r="D8" s="774" t="s">
        <v>223</v>
      </c>
      <c r="E8" s="775"/>
      <c r="F8" s="778">
        <v>43815</v>
      </c>
      <c r="G8" s="779" t="s">
        <v>10</v>
      </c>
      <c r="H8" s="779" t="s">
        <v>59</v>
      </c>
      <c r="I8" s="773" t="s">
        <v>25</v>
      </c>
      <c r="J8" s="780"/>
      <c r="K8" s="781"/>
      <c r="L8" s="781"/>
      <c r="M8" s="781"/>
      <c r="N8" s="781"/>
      <c r="O8" s="782"/>
      <c r="P8" s="780"/>
      <c r="Q8" s="781"/>
      <c r="R8" s="781"/>
      <c r="S8" s="782"/>
      <c r="T8" s="106"/>
      <c r="U8" s="780"/>
      <c r="V8" s="782"/>
      <c r="W8" s="786" t="s">
        <v>224</v>
      </c>
      <c r="X8" s="786" t="s">
        <v>225</v>
      </c>
      <c r="Y8" s="787" t="s">
        <v>226</v>
      </c>
      <c r="Z8" s="788"/>
      <c r="AA8" s="789"/>
      <c r="AB8" s="179" t="s">
        <v>227</v>
      </c>
      <c r="AC8" s="65">
        <v>43900</v>
      </c>
      <c r="AD8" s="65">
        <v>44096</v>
      </c>
      <c r="AE8" s="66" t="s">
        <v>16</v>
      </c>
      <c r="AF8" s="53" t="s">
        <v>16</v>
      </c>
      <c r="AG8" s="5">
        <v>0.2</v>
      </c>
      <c r="AH8" s="67" t="s">
        <v>228</v>
      </c>
    </row>
    <row r="9" spans="1:37" ht="48.75" customHeight="1">
      <c r="A9" s="633"/>
      <c r="B9" s="633"/>
      <c r="C9" s="633"/>
      <c r="D9" s="724"/>
      <c r="E9" s="725"/>
      <c r="F9" s="729"/>
      <c r="G9" s="732"/>
      <c r="H9" s="732"/>
      <c r="I9" s="633"/>
      <c r="J9" s="739"/>
      <c r="K9" s="740"/>
      <c r="L9" s="740"/>
      <c r="M9" s="740"/>
      <c r="N9" s="740"/>
      <c r="O9" s="741"/>
      <c r="P9" s="739"/>
      <c r="Q9" s="740"/>
      <c r="R9" s="740"/>
      <c r="S9" s="741"/>
      <c r="T9" s="106"/>
      <c r="U9" s="739"/>
      <c r="V9" s="741"/>
      <c r="W9" s="713"/>
      <c r="X9" s="713"/>
      <c r="Y9" s="769" t="s">
        <v>229</v>
      </c>
      <c r="Z9" s="770"/>
      <c r="AA9" s="771"/>
      <c r="AB9" s="179" t="s">
        <v>230</v>
      </c>
      <c r="AC9" s="69">
        <v>43941</v>
      </c>
      <c r="AD9" s="69">
        <v>44134</v>
      </c>
      <c r="AE9" s="66" t="s">
        <v>16</v>
      </c>
      <c r="AF9" s="53"/>
      <c r="AG9" s="5">
        <v>0</v>
      </c>
      <c r="AH9" s="67" t="s">
        <v>231</v>
      </c>
    </row>
    <row r="10" spans="1:37" ht="48.75" customHeight="1">
      <c r="A10" s="633"/>
      <c r="B10" s="633"/>
      <c r="C10" s="633"/>
      <c r="D10" s="724"/>
      <c r="E10" s="725"/>
      <c r="F10" s="729"/>
      <c r="G10" s="732"/>
      <c r="H10" s="732"/>
      <c r="I10" s="633"/>
      <c r="J10" s="739"/>
      <c r="K10" s="740"/>
      <c r="L10" s="740"/>
      <c r="M10" s="740"/>
      <c r="N10" s="740"/>
      <c r="O10" s="741"/>
      <c r="P10" s="739"/>
      <c r="Q10" s="740"/>
      <c r="R10" s="740"/>
      <c r="S10" s="741"/>
      <c r="T10" s="106"/>
      <c r="U10" s="739"/>
      <c r="V10" s="741"/>
      <c r="W10" s="713"/>
      <c r="X10" s="713"/>
      <c r="Y10" s="769" t="s">
        <v>232</v>
      </c>
      <c r="Z10" s="770"/>
      <c r="AA10" s="771"/>
      <c r="AB10" s="180" t="s">
        <v>233</v>
      </c>
      <c r="AC10" s="69">
        <v>43864</v>
      </c>
      <c r="AD10" s="69">
        <v>44165</v>
      </c>
      <c r="AE10" s="66"/>
      <c r="AF10" s="53"/>
      <c r="AG10" s="5"/>
      <c r="AH10" s="67" t="s">
        <v>231</v>
      </c>
    </row>
    <row r="11" spans="1:37" ht="45" customHeight="1">
      <c r="A11" s="633"/>
      <c r="B11" s="633"/>
      <c r="C11" s="633"/>
      <c r="D11" s="724"/>
      <c r="E11" s="725"/>
      <c r="F11" s="729"/>
      <c r="G11" s="732"/>
      <c r="H11" s="732"/>
      <c r="I11" s="633"/>
      <c r="J11" s="739"/>
      <c r="K11" s="740"/>
      <c r="L11" s="740"/>
      <c r="M11" s="740"/>
      <c r="N11" s="740"/>
      <c r="O11" s="741"/>
      <c r="P11" s="739"/>
      <c r="Q11" s="740"/>
      <c r="R11" s="740"/>
      <c r="S11" s="741"/>
      <c r="T11" s="106"/>
      <c r="U11" s="739"/>
      <c r="V11" s="741"/>
      <c r="W11" s="713"/>
      <c r="X11" s="713"/>
      <c r="Y11" s="769" t="s">
        <v>234</v>
      </c>
      <c r="Z11" s="770"/>
      <c r="AA11" s="771"/>
      <c r="AB11" s="179" t="s">
        <v>235</v>
      </c>
      <c r="AC11" s="69">
        <v>43952</v>
      </c>
      <c r="AD11" s="69">
        <v>44165</v>
      </c>
      <c r="AE11" s="66"/>
      <c r="AF11" s="53"/>
      <c r="AG11" s="5"/>
      <c r="AH11" s="67" t="s">
        <v>231</v>
      </c>
    </row>
    <row r="12" spans="1:37" ht="62.25" customHeight="1">
      <c r="A12" s="621"/>
      <c r="B12" s="621"/>
      <c r="C12" s="621"/>
      <c r="D12" s="776"/>
      <c r="E12" s="777"/>
      <c r="F12" s="639"/>
      <c r="G12" s="613"/>
      <c r="H12" s="613"/>
      <c r="I12" s="621"/>
      <c r="J12" s="783"/>
      <c r="K12" s="784"/>
      <c r="L12" s="784"/>
      <c r="M12" s="784"/>
      <c r="N12" s="784"/>
      <c r="O12" s="785"/>
      <c r="P12" s="783"/>
      <c r="Q12" s="784"/>
      <c r="R12" s="784"/>
      <c r="S12" s="785"/>
      <c r="T12" s="106"/>
      <c r="U12" s="783"/>
      <c r="V12" s="785"/>
      <c r="W12" s="636"/>
      <c r="X12" s="636"/>
      <c r="Y12" s="769" t="s">
        <v>236</v>
      </c>
      <c r="Z12" s="770"/>
      <c r="AA12" s="771"/>
      <c r="AB12" s="180" t="s">
        <v>237</v>
      </c>
      <c r="AC12" s="69">
        <v>43983</v>
      </c>
      <c r="AD12" s="69">
        <v>44165</v>
      </c>
      <c r="AE12" s="66"/>
      <c r="AF12" s="53"/>
      <c r="AG12" s="5"/>
      <c r="AH12" s="67" t="s">
        <v>238</v>
      </c>
    </row>
    <row r="13" spans="1:37" ht="66" customHeight="1">
      <c r="A13" s="773"/>
      <c r="B13" s="773"/>
      <c r="C13" s="773">
        <v>2</v>
      </c>
      <c r="D13" s="774" t="s">
        <v>239</v>
      </c>
      <c r="E13" s="775"/>
      <c r="F13" s="778">
        <v>43923</v>
      </c>
      <c r="G13" s="779" t="s">
        <v>33</v>
      </c>
      <c r="H13" s="779" t="s">
        <v>59</v>
      </c>
      <c r="I13" s="773" t="s">
        <v>25</v>
      </c>
      <c r="J13" s="780"/>
      <c r="K13" s="781"/>
      <c r="L13" s="781"/>
      <c r="M13" s="781"/>
      <c r="N13" s="781"/>
      <c r="O13" s="782"/>
      <c r="P13" s="780"/>
      <c r="Q13" s="781"/>
      <c r="R13" s="781"/>
      <c r="S13" s="782"/>
      <c r="T13" s="106"/>
      <c r="U13" s="780"/>
      <c r="V13" s="782"/>
      <c r="W13" s="772">
        <v>0.8</v>
      </c>
      <c r="X13" s="786" t="s">
        <v>240</v>
      </c>
      <c r="Y13" s="767" t="s">
        <v>241</v>
      </c>
      <c r="Z13" s="767"/>
      <c r="AA13" s="768"/>
      <c r="AB13" s="143" t="s">
        <v>242</v>
      </c>
      <c r="AC13" s="61">
        <v>43617</v>
      </c>
      <c r="AD13" s="61">
        <v>44377</v>
      </c>
      <c r="AE13" s="66"/>
      <c r="AF13" s="53" t="s">
        <v>16</v>
      </c>
      <c r="AG13" s="5"/>
      <c r="AH13" s="67" t="s">
        <v>238</v>
      </c>
    </row>
    <row r="14" spans="1:37" ht="56.25" customHeight="1">
      <c r="A14" s="633"/>
      <c r="B14" s="633"/>
      <c r="C14" s="633"/>
      <c r="D14" s="724"/>
      <c r="E14" s="725"/>
      <c r="F14" s="729"/>
      <c r="G14" s="732"/>
      <c r="H14" s="732"/>
      <c r="I14" s="633"/>
      <c r="J14" s="739"/>
      <c r="K14" s="740"/>
      <c r="L14" s="740"/>
      <c r="M14" s="740"/>
      <c r="N14" s="740"/>
      <c r="O14" s="741"/>
      <c r="P14" s="739"/>
      <c r="Q14" s="740"/>
      <c r="R14" s="740"/>
      <c r="S14" s="741"/>
      <c r="T14" s="106"/>
      <c r="U14" s="739"/>
      <c r="V14" s="741"/>
      <c r="W14" s="713"/>
      <c r="X14" s="713"/>
      <c r="Y14" s="764" t="s">
        <v>243</v>
      </c>
      <c r="Z14" s="764"/>
      <c r="AA14" s="765"/>
      <c r="AB14" s="143" t="s">
        <v>242</v>
      </c>
      <c r="AC14" s="61">
        <v>43617</v>
      </c>
      <c r="AD14" s="61">
        <v>44377</v>
      </c>
      <c r="AE14" s="181"/>
      <c r="AF14" s="53" t="s">
        <v>16</v>
      </c>
      <c r="AG14" s="5"/>
      <c r="AH14" s="67" t="s">
        <v>238</v>
      </c>
    </row>
    <row r="15" spans="1:37" ht="122.25" customHeight="1">
      <c r="A15" s="633"/>
      <c r="B15" s="633"/>
      <c r="C15" s="633"/>
      <c r="D15" s="724"/>
      <c r="E15" s="725"/>
      <c r="F15" s="729"/>
      <c r="G15" s="732"/>
      <c r="H15" s="732"/>
      <c r="I15" s="633"/>
      <c r="J15" s="739"/>
      <c r="K15" s="740"/>
      <c r="L15" s="740"/>
      <c r="M15" s="740"/>
      <c r="N15" s="740"/>
      <c r="O15" s="741"/>
      <c r="P15" s="739"/>
      <c r="Q15" s="740"/>
      <c r="R15" s="740"/>
      <c r="S15" s="741"/>
      <c r="T15" s="106"/>
      <c r="U15" s="739"/>
      <c r="V15" s="741"/>
      <c r="W15" s="713"/>
      <c r="X15" s="713"/>
      <c r="Y15" s="764" t="s">
        <v>244</v>
      </c>
      <c r="Z15" s="764"/>
      <c r="AA15" s="765"/>
      <c r="AB15" s="143" t="s">
        <v>242</v>
      </c>
      <c r="AC15" s="61">
        <v>43617</v>
      </c>
      <c r="AD15" s="61">
        <v>44377</v>
      </c>
      <c r="AE15" s="66"/>
      <c r="AF15" s="53"/>
      <c r="AG15" s="5"/>
      <c r="AH15" s="67" t="s">
        <v>238</v>
      </c>
    </row>
    <row r="16" spans="1:37" ht="81.75" customHeight="1">
      <c r="A16" s="633"/>
      <c r="B16" s="633"/>
      <c r="C16" s="633"/>
      <c r="D16" s="724"/>
      <c r="E16" s="725"/>
      <c r="F16" s="729"/>
      <c r="G16" s="732"/>
      <c r="H16" s="732"/>
      <c r="I16" s="633"/>
      <c r="J16" s="739"/>
      <c r="K16" s="740"/>
      <c r="L16" s="740"/>
      <c r="M16" s="740"/>
      <c r="N16" s="740"/>
      <c r="O16" s="741"/>
      <c r="P16" s="739"/>
      <c r="Q16" s="740"/>
      <c r="R16" s="740"/>
      <c r="S16" s="741"/>
      <c r="T16" s="106"/>
      <c r="U16" s="739"/>
      <c r="V16" s="741"/>
      <c r="W16" s="713"/>
      <c r="X16" s="713"/>
      <c r="Y16" s="764" t="s">
        <v>245</v>
      </c>
      <c r="Z16" s="764"/>
      <c r="AA16" s="765"/>
      <c r="AB16" s="143" t="s">
        <v>242</v>
      </c>
      <c r="AC16" s="61">
        <v>43617</v>
      </c>
      <c r="AD16" s="61">
        <v>44377</v>
      </c>
      <c r="AE16" s="66"/>
      <c r="AF16" s="53"/>
      <c r="AG16" s="5"/>
      <c r="AH16" s="67" t="s">
        <v>238</v>
      </c>
    </row>
    <row r="17" spans="1:36" ht="81.75" customHeight="1">
      <c r="A17" s="633"/>
      <c r="B17" s="633"/>
      <c r="C17" s="633"/>
      <c r="D17" s="724"/>
      <c r="E17" s="725"/>
      <c r="F17" s="729"/>
      <c r="G17" s="732"/>
      <c r="H17" s="732"/>
      <c r="I17" s="633"/>
      <c r="J17" s="739"/>
      <c r="K17" s="740"/>
      <c r="L17" s="740"/>
      <c r="M17" s="740"/>
      <c r="N17" s="740"/>
      <c r="O17" s="741"/>
      <c r="P17" s="739"/>
      <c r="Q17" s="740"/>
      <c r="R17" s="740"/>
      <c r="S17" s="741"/>
      <c r="T17" s="106"/>
      <c r="U17" s="739"/>
      <c r="V17" s="741"/>
      <c r="W17" s="713"/>
      <c r="X17" s="713"/>
      <c r="Y17" s="764" t="s">
        <v>246</v>
      </c>
      <c r="Z17" s="764"/>
      <c r="AA17" s="765"/>
      <c r="AB17" s="143" t="s">
        <v>247</v>
      </c>
      <c r="AC17" s="61">
        <v>44013</v>
      </c>
      <c r="AD17" s="61">
        <v>44377</v>
      </c>
      <c r="AE17" s="66"/>
      <c r="AF17" s="53"/>
      <c r="AG17" s="5"/>
      <c r="AH17" s="67" t="s">
        <v>238</v>
      </c>
    </row>
    <row r="18" spans="1:36" ht="81.75" customHeight="1">
      <c r="A18" s="633"/>
      <c r="B18" s="633"/>
      <c r="C18" s="633"/>
      <c r="D18" s="724"/>
      <c r="E18" s="725"/>
      <c r="F18" s="729"/>
      <c r="G18" s="732"/>
      <c r="H18" s="732"/>
      <c r="I18" s="633"/>
      <c r="J18" s="739"/>
      <c r="K18" s="740"/>
      <c r="L18" s="740"/>
      <c r="M18" s="740"/>
      <c r="N18" s="740"/>
      <c r="O18" s="741"/>
      <c r="P18" s="739"/>
      <c r="Q18" s="740"/>
      <c r="R18" s="740"/>
      <c r="S18" s="741"/>
      <c r="T18" s="106"/>
      <c r="U18" s="739"/>
      <c r="V18" s="741"/>
      <c r="W18" s="713"/>
      <c r="X18" s="713"/>
      <c r="Y18" s="764" t="s">
        <v>248</v>
      </c>
      <c r="Z18" s="764"/>
      <c r="AA18" s="765"/>
      <c r="AB18" s="182" t="s">
        <v>242</v>
      </c>
      <c r="AC18" s="61">
        <v>43617</v>
      </c>
      <c r="AD18" s="61">
        <v>44377</v>
      </c>
      <c r="AE18" s="66"/>
      <c r="AF18" s="53"/>
      <c r="AG18" s="5"/>
      <c r="AH18" s="67" t="s">
        <v>238</v>
      </c>
    </row>
    <row r="19" spans="1:36" ht="56.25" customHeight="1">
      <c r="A19" s="633"/>
      <c r="B19" s="633"/>
      <c r="C19" s="633"/>
      <c r="D19" s="724"/>
      <c r="E19" s="725"/>
      <c r="F19" s="729"/>
      <c r="G19" s="732"/>
      <c r="H19" s="732"/>
      <c r="I19" s="633"/>
      <c r="J19" s="739"/>
      <c r="K19" s="740"/>
      <c r="L19" s="740"/>
      <c r="M19" s="740"/>
      <c r="N19" s="740"/>
      <c r="O19" s="741"/>
      <c r="P19" s="739"/>
      <c r="Q19" s="740"/>
      <c r="R19" s="740"/>
      <c r="S19" s="741"/>
      <c r="T19" s="106"/>
      <c r="U19" s="739"/>
      <c r="V19" s="741"/>
      <c r="W19" s="713"/>
      <c r="X19" s="713"/>
      <c r="Y19" s="764" t="s">
        <v>249</v>
      </c>
      <c r="Z19" s="764"/>
      <c r="AA19" s="765"/>
      <c r="AB19" s="143" t="s">
        <v>250</v>
      </c>
      <c r="AC19" s="61">
        <v>44348</v>
      </c>
      <c r="AD19" s="61">
        <v>44545</v>
      </c>
      <c r="AE19" s="66"/>
      <c r="AF19" s="53"/>
      <c r="AG19" s="5"/>
      <c r="AH19" s="67" t="s">
        <v>238</v>
      </c>
    </row>
    <row r="20" spans="1:36" ht="71.25" customHeight="1">
      <c r="A20" s="621"/>
      <c r="B20" s="621"/>
      <c r="C20" s="621"/>
      <c r="D20" s="776"/>
      <c r="E20" s="777"/>
      <c r="F20" s="639"/>
      <c r="G20" s="613"/>
      <c r="H20" s="613"/>
      <c r="I20" s="621"/>
      <c r="J20" s="783"/>
      <c r="K20" s="784"/>
      <c r="L20" s="784"/>
      <c r="M20" s="784"/>
      <c r="N20" s="784"/>
      <c r="O20" s="785"/>
      <c r="P20" s="783"/>
      <c r="Q20" s="784"/>
      <c r="R20" s="784"/>
      <c r="S20" s="785"/>
      <c r="T20" s="106"/>
      <c r="U20" s="783"/>
      <c r="V20" s="785"/>
      <c r="W20" s="636"/>
      <c r="X20" s="636"/>
      <c r="Y20" s="766" t="s">
        <v>251</v>
      </c>
      <c r="Z20" s="764"/>
      <c r="AA20" s="765"/>
      <c r="AB20" s="143" t="s">
        <v>252</v>
      </c>
      <c r="AC20" s="72">
        <v>44348</v>
      </c>
      <c r="AD20" s="72">
        <v>44545</v>
      </c>
      <c r="AE20" s="66"/>
      <c r="AF20" s="53"/>
      <c r="AG20" s="5"/>
      <c r="AH20" s="67" t="s">
        <v>238</v>
      </c>
    </row>
    <row r="21" spans="1:36" ht="6" customHeight="1">
      <c r="A21" s="604"/>
      <c r="B21" s="604"/>
      <c r="C21" s="604"/>
      <c r="D21" s="604"/>
      <c r="E21" s="604"/>
      <c r="F21" s="604"/>
      <c r="G21" s="604"/>
      <c r="H21" s="604"/>
      <c r="I21" s="604"/>
      <c r="J21" s="604"/>
      <c r="K21" s="604"/>
      <c r="L21" s="604"/>
      <c r="M21" s="604"/>
      <c r="N21" s="604"/>
      <c r="O21" s="604"/>
      <c r="P21" s="604"/>
      <c r="Q21" s="604"/>
      <c r="R21" s="604"/>
      <c r="S21" s="604"/>
      <c r="T21" s="604"/>
      <c r="U21" s="604"/>
      <c r="V21" s="604"/>
      <c r="W21" s="604"/>
      <c r="X21" s="604"/>
      <c r="Y21" s="643"/>
      <c r="Z21" s="643"/>
      <c r="AA21" s="643"/>
      <c r="AB21" s="643"/>
      <c r="AC21" s="604"/>
      <c r="AD21" s="604"/>
      <c r="AE21" s="604"/>
      <c r="AF21" s="604"/>
      <c r="AG21" s="604"/>
      <c r="AH21" s="604"/>
    </row>
    <row r="22" spans="1:36" ht="12.75" customHeight="1">
      <c r="A22" s="644" t="s">
        <v>22</v>
      </c>
      <c r="B22" s="644"/>
      <c r="C22" s="644"/>
      <c r="D22" s="644"/>
      <c r="E22" s="644"/>
      <c r="F22" s="644"/>
      <c r="G22" s="644"/>
      <c r="H22" s="644"/>
      <c r="I22" s="644"/>
      <c r="J22" s="644"/>
      <c r="K22" s="644"/>
      <c r="L22" s="644"/>
      <c r="M22" s="4"/>
      <c r="N22" s="4"/>
      <c r="O22" s="645" t="s">
        <v>34</v>
      </c>
      <c r="P22" s="645"/>
      <c r="Q22" s="645"/>
      <c r="R22" s="645"/>
      <c r="S22" s="645"/>
      <c r="T22" s="645"/>
      <c r="U22" s="645"/>
      <c r="V22" s="645"/>
      <c r="W22" s="645"/>
      <c r="X22" s="645"/>
      <c r="Y22" s="645"/>
      <c r="Z22" s="645"/>
      <c r="AA22" s="645"/>
      <c r="AB22" s="645"/>
      <c r="AC22" s="645"/>
      <c r="AD22" s="646" t="s">
        <v>35</v>
      </c>
      <c r="AE22" s="646"/>
      <c r="AF22" s="646"/>
      <c r="AG22" s="646"/>
      <c r="AH22" s="646"/>
    </row>
    <row r="23" spans="1:36">
      <c r="A23" s="644"/>
      <c r="B23" s="644"/>
      <c r="C23" s="644"/>
      <c r="D23" s="644"/>
      <c r="E23" s="644"/>
      <c r="F23" s="644"/>
      <c r="G23" s="644"/>
      <c r="H23" s="644"/>
      <c r="I23" s="644"/>
      <c r="J23" s="644"/>
      <c r="K23" s="644"/>
      <c r="L23" s="644"/>
      <c r="M23" s="4"/>
      <c r="N23" s="4"/>
      <c r="O23" s="645"/>
      <c r="P23" s="645"/>
      <c r="Q23" s="645"/>
      <c r="R23" s="645"/>
      <c r="S23" s="645"/>
      <c r="T23" s="645"/>
      <c r="U23" s="645"/>
      <c r="V23" s="645"/>
      <c r="W23" s="645"/>
      <c r="X23" s="645"/>
      <c r="Y23" s="645"/>
      <c r="Z23" s="645"/>
      <c r="AA23" s="645"/>
      <c r="AB23" s="645"/>
      <c r="AC23" s="645"/>
      <c r="AD23" s="646"/>
      <c r="AE23" s="646"/>
      <c r="AF23" s="646"/>
      <c r="AG23" s="646"/>
      <c r="AH23" s="646"/>
    </row>
    <row r="24" spans="1:36" ht="38.25" customHeight="1">
      <c r="A24" s="715" t="s">
        <v>253</v>
      </c>
      <c r="B24" s="648"/>
      <c r="C24" s="648"/>
      <c r="D24" s="648"/>
      <c r="E24" s="648"/>
      <c r="F24" s="648"/>
      <c r="G24" s="648"/>
      <c r="H24" s="648"/>
      <c r="I24" s="648"/>
      <c r="J24" s="648"/>
      <c r="K24" s="648"/>
      <c r="L24" s="648"/>
      <c r="M24" s="4"/>
      <c r="N24" s="4"/>
      <c r="O24" s="650" t="s">
        <v>283</v>
      </c>
      <c r="P24" s="650"/>
      <c r="Q24" s="650"/>
      <c r="R24" s="650"/>
      <c r="S24" s="650"/>
      <c r="T24" s="650"/>
      <c r="U24" s="650"/>
      <c r="V24" s="650"/>
      <c r="W24" s="650"/>
      <c r="X24" s="650"/>
      <c r="Y24" s="650"/>
      <c r="Z24" s="650"/>
      <c r="AA24" s="650"/>
      <c r="AB24" s="650"/>
      <c r="AC24" s="650"/>
      <c r="AD24" s="651" t="s">
        <v>94</v>
      </c>
      <c r="AE24" s="651"/>
      <c r="AF24" s="651"/>
      <c r="AG24" s="651"/>
      <c r="AH24" s="651"/>
    </row>
    <row r="25" spans="1:36" ht="15" customHeight="1">
      <c r="A25" s="641" t="s">
        <v>36</v>
      </c>
      <c r="B25" s="641"/>
      <c r="C25" s="641"/>
      <c r="D25" s="641"/>
      <c r="E25" s="641"/>
      <c r="F25" s="641"/>
      <c r="G25" s="641"/>
      <c r="H25" s="641"/>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c r="AG25" s="641"/>
      <c r="AH25" s="641"/>
    </row>
    <row r="26" spans="1:36" ht="0.95" customHeight="1">
      <c r="A26" s="642"/>
      <c r="B26" s="642"/>
      <c r="C26" s="642"/>
      <c r="D26" s="642"/>
      <c r="E26" s="642"/>
      <c r="F26" s="642"/>
      <c r="G26" s="642"/>
      <c r="H26" s="642"/>
      <c r="I26" s="642"/>
      <c r="J26" s="642"/>
      <c r="K26" s="642"/>
      <c r="L26" s="642"/>
      <c r="M26" s="642"/>
      <c r="N26" s="642"/>
      <c r="O26" s="642"/>
      <c r="P26" s="642"/>
      <c r="Q26" s="642"/>
      <c r="R26" s="642"/>
      <c r="S26" s="642"/>
      <c r="T26" s="642"/>
      <c r="U26" s="642"/>
      <c r="V26" s="642"/>
      <c r="W26" s="642"/>
      <c r="X26" s="642"/>
      <c r="Y26" s="642"/>
      <c r="Z26" s="642"/>
      <c r="AA26" s="642"/>
      <c r="AB26" s="642"/>
      <c r="AC26" s="642"/>
      <c r="AD26" s="642"/>
      <c r="AE26" s="642"/>
      <c r="AF26" s="642"/>
      <c r="AG26" s="642"/>
      <c r="AH26" s="642"/>
      <c r="AI26" s="642"/>
    </row>
    <row r="27" spans="1:36">
      <c r="A27" s="642"/>
      <c r="B27" s="642"/>
      <c r="C27" s="642"/>
      <c r="D27" s="642"/>
      <c r="E27" s="642"/>
      <c r="F27" s="642"/>
      <c r="G27" s="642"/>
      <c r="H27" s="642"/>
      <c r="I27" s="642"/>
      <c r="J27" s="642"/>
      <c r="K27" s="642"/>
      <c r="L27" s="642"/>
      <c r="M27" s="642"/>
      <c r="N27" s="642"/>
      <c r="O27" s="642"/>
      <c r="P27" s="642"/>
      <c r="Q27" s="642"/>
      <c r="R27" s="642"/>
      <c r="S27" s="642"/>
      <c r="T27" s="642"/>
      <c r="U27" s="642"/>
      <c r="V27" s="642"/>
      <c r="W27" s="642"/>
      <c r="X27" s="642"/>
      <c r="Y27" s="642"/>
      <c r="Z27" s="642"/>
      <c r="AA27" s="642"/>
      <c r="AB27" s="642"/>
      <c r="AC27" s="642"/>
      <c r="AD27" s="642"/>
      <c r="AE27" s="642"/>
      <c r="AF27" s="642"/>
      <c r="AG27" s="642"/>
      <c r="AH27" s="642"/>
      <c r="AI27" s="8"/>
      <c r="AJ27" s="8"/>
    </row>
    <row r="28" spans="1:36" ht="24" customHeight="1">
      <c r="A28" s="74"/>
      <c r="B28" s="75"/>
      <c r="C28" s="74"/>
      <c r="D28" s="74"/>
      <c r="E28" s="74"/>
      <c r="F28" s="74"/>
      <c r="G28" s="74"/>
      <c r="H28" s="76" t="s">
        <v>66</v>
      </c>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8"/>
      <c r="AJ28" s="8"/>
    </row>
    <row r="29" spans="1:36" ht="54.95" customHeight="1">
      <c r="A29" s="74"/>
      <c r="B29" s="75"/>
      <c r="C29" s="74"/>
      <c r="D29" s="74"/>
      <c r="E29" s="74"/>
      <c r="F29" s="74"/>
      <c r="G29" s="74"/>
      <c r="H29" s="76" t="s">
        <v>67</v>
      </c>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8"/>
      <c r="AJ29" s="8"/>
    </row>
    <row r="30" spans="1:36" ht="0.95" customHeight="1">
      <c r="A30" s="74"/>
      <c r="B30" s="75" t="s">
        <v>68</v>
      </c>
      <c r="C30" s="74"/>
      <c r="D30" s="74"/>
      <c r="E30" s="74"/>
      <c r="F30" s="74"/>
      <c r="G30" s="74"/>
      <c r="H30" s="76" t="s">
        <v>69</v>
      </c>
      <c r="I30" s="74"/>
      <c r="J30" s="74"/>
      <c r="K30" s="74"/>
      <c r="L30" s="74"/>
      <c r="M30" s="74"/>
      <c r="N30" s="74"/>
      <c r="O30" s="74"/>
      <c r="P30" s="74"/>
      <c r="Q30" s="74"/>
      <c r="R30" s="74"/>
      <c r="S30" s="74"/>
      <c r="T30" s="74"/>
      <c r="U30" s="74"/>
      <c r="V30" s="74"/>
      <c r="W30" s="74"/>
      <c r="X30" s="76" t="s">
        <v>23</v>
      </c>
      <c r="Y30" s="74"/>
      <c r="Z30" s="74"/>
      <c r="AA30" s="74"/>
      <c r="AB30" s="74"/>
      <c r="AC30" s="74"/>
      <c r="AD30" s="74"/>
      <c r="AE30" s="74"/>
      <c r="AF30" s="74"/>
      <c r="AG30" s="74"/>
      <c r="AH30" s="74"/>
      <c r="AI30" s="8"/>
      <c r="AJ30" s="8"/>
    </row>
    <row r="31" spans="1:36" ht="0.95" customHeight="1">
      <c r="A31" s="74"/>
      <c r="B31" s="75" t="s">
        <v>70</v>
      </c>
      <c r="C31" s="74"/>
      <c r="D31" s="74"/>
      <c r="E31" s="74"/>
      <c r="F31" s="74"/>
      <c r="G31" s="74"/>
      <c r="H31" s="77" t="s">
        <v>59</v>
      </c>
      <c r="I31" s="74"/>
      <c r="J31" s="74"/>
      <c r="K31" s="74"/>
      <c r="L31" s="74"/>
      <c r="M31" s="74"/>
      <c r="N31" s="74"/>
      <c r="O31" s="74"/>
      <c r="P31" s="74"/>
      <c r="Q31" s="74"/>
      <c r="R31" s="74"/>
      <c r="S31" s="74"/>
      <c r="T31" s="74"/>
      <c r="U31" s="74"/>
      <c r="V31" s="74"/>
      <c r="W31" s="74"/>
      <c r="X31" s="76" t="s">
        <v>25</v>
      </c>
      <c r="Y31" s="74"/>
      <c r="Z31" s="74"/>
      <c r="AA31" s="74"/>
      <c r="AB31" s="74"/>
      <c r="AC31" s="74"/>
      <c r="AD31" s="74"/>
      <c r="AE31" s="74"/>
      <c r="AF31" s="74"/>
      <c r="AG31" s="74"/>
      <c r="AH31" s="74"/>
      <c r="AI31" s="8"/>
      <c r="AJ31" s="8"/>
    </row>
    <row r="32" spans="1:36" ht="0.95" customHeight="1">
      <c r="A32" s="78"/>
      <c r="B32" s="79" t="s">
        <v>16</v>
      </c>
      <c r="C32" s="78"/>
      <c r="D32" s="78"/>
      <c r="E32" s="78"/>
      <c r="F32" s="78"/>
      <c r="G32" s="78"/>
      <c r="H32" s="80" t="s">
        <v>65</v>
      </c>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row>
    <row r="34" spans="37:37" ht="24.75" customHeight="1">
      <c r="AK34" s="6" t="s">
        <v>38</v>
      </c>
    </row>
    <row r="35" spans="37:37" ht="24.75" customHeight="1">
      <c r="AK35" s="6" t="s">
        <v>10</v>
      </c>
    </row>
    <row r="36" spans="37:37" ht="24.75" customHeight="1">
      <c r="AK36" s="6" t="s">
        <v>42</v>
      </c>
    </row>
    <row r="37" spans="37:37" ht="24.75" customHeight="1">
      <c r="AK37" s="6" t="s">
        <v>43</v>
      </c>
    </row>
    <row r="38" spans="37:37" ht="24.75" customHeight="1">
      <c r="AK38" s="6" t="s">
        <v>44</v>
      </c>
    </row>
    <row r="39" spans="37:37" ht="24.75" customHeight="1">
      <c r="AK39" s="6" t="s">
        <v>26</v>
      </c>
    </row>
    <row r="40" spans="37:37" ht="24.75" customHeight="1">
      <c r="AK40" s="6" t="s">
        <v>27</v>
      </c>
    </row>
    <row r="41" spans="37:37" ht="24.75" customHeight="1">
      <c r="AK41" s="6" t="s">
        <v>28</v>
      </c>
    </row>
    <row r="42" spans="37:37" ht="24.75" customHeight="1">
      <c r="AK42" s="6" t="s">
        <v>30</v>
      </c>
    </row>
    <row r="43" spans="37:37" ht="24.75" customHeight="1">
      <c r="AK43" s="6" t="s">
        <v>29</v>
      </c>
    </row>
    <row r="44" spans="37:37" ht="24.75" customHeight="1">
      <c r="AK44" s="6" t="s">
        <v>31</v>
      </c>
    </row>
    <row r="45" spans="37:37" ht="24.75" customHeight="1">
      <c r="AK45" s="6" t="s">
        <v>32</v>
      </c>
    </row>
    <row r="46" spans="37:37" ht="51">
      <c r="AK46" s="6" t="s">
        <v>33</v>
      </c>
    </row>
  </sheetData>
  <mergeCells count="80">
    <mergeCell ref="A4:D4"/>
    <mergeCell ref="E4:V4"/>
    <mergeCell ref="W4:Y4"/>
    <mergeCell ref="Z4:AE4"/>
    <mergeCell ref="AF4:AG4"/>
    <mergeCell ref="A1:B2"/>
    <mergeCell ref="C1:AG1"/>
    <mergeCell ref="AH1:AH2"/>
    <mergeCell ref="C2:AG2"/>
    <mergeCell ref="A3:AH3"/>
    <mergeCell ref="A5:AH5"/>
    <mergeCell ref="A6:B6"/>
    <mergeCell ref="C6:C7"/>
    <mergeCell ref="D6:E7"/>
    <mergeCell ref="F6:F7"/>
    <mergeCell ref="G6:G7"/>
    <mergeCell ref="H6:H7"/>
    <mergeCell ref="I6:I7"/>
    <mergeCell ref="J6:V6"/>
    <mergeCell ref="W6:W7"/>
    <mergeCell ref="A8:A12"/>
    <mergeCell ref="B8:B12"/>
    <mergeCell ref="C8:C12"/>
    <mergeCell ref="D8:E12"/>
    <mergeCell ref="F8:F12"/>
    <mergeCell ref="U8:V12"/>
    <mergeCell ref="AG6:AG7"/>
    <mergeCell ref="AH6:AH7"/>
    <mergeCell ref="J7:O7"/>
    <mergeCell ref="P7:T7"/>
    <mergeCell ref="U7:V7"/>
    <mergeCell ref="X6:X7"/>
    <mergeCell ref="Y6:AA7"/>
    <mergeCell ref="AB6:AB7"/>
    <mergeCell ref="AC6:AD6"/>
    <mergeCell ref="AE6:AE7"/>
    <mergeCell ref="AF6:AF7"/>
    <mergeCell ref="W8:W12"/>
    <mergeCell ref="X8:X12"/>
    <mergeCell ref="Y8:AA8"/>
    <mergeCell ref="Y9:AA9"/>
    <mergeCell ref="G8:G12"/>
    <mergeCell ref="H8:H12"/>
    <mergeCell ref="I8:I12"/>
    <mergeCell ref="J8:O12"/>
    <mergeCell ref="P8:S12"/>
    <mergeCell ref="Y10:AA10"/>
    <mergeCell ref="Y11:AA11"/>
    <mergeCell ref="Y12:AA12"/>
    <mergeCell ref="W13:W20"/>
    <mergeCell ref="A13:A20"/>
    <mergeCell ref="B13:B20"/>
    <mergeCell ref="C13:C20"/>
    <mergeCell ref="D13:E20"/>
    <mergeCell ref="F13:F20"/>
    <mergeCell ref="G13:G20"/>
    <mergeCell ref="H13:H20"/>
    <mergeCell ref="I13:I20"/>
    <mergeCell ref="J13:O20"/>
    <mergeCell ref="P13:S20"/>
    <mergeCell ref="U13:V20"/>
    <mergeCell ref="X13:X20"/>
    <mergeCell ref="Y13:AA13"/>
    <mergeCell ref="Y14:AA14"/>
    <mergeCell ref="Y15:AA15"/>
    <mergeCell ref="Y16:AA16"/>
    <mergeCell ref="Y17:AA17"/>
    <mergeCell ref="Y18:AA18"/>
    <mergeCell ref="Y19:AA19"/>
    <mergeCell ref="Y20:AA20"/>
    <mergeCell ref="A25:AH25"/>
    <mergeCell ref="A26:AI26"/>
    <mergeCell ref="A27:AH27"/>
    <mergeCell ref="A21:AH21"/>
    <mergeCell ref="A22:L23"/>
    <mergeCell ref="O22:AC23"/>
    <mergeCell ref="AD22:AH23"/>
    <mergeCell ref="A24:L24"/>
    <mergeCell ref="O24:AC24"/>
    <mergeCell ref="AD24:AH24"/>
  </mergeCells>
  <conditionalFormatting sqref="AG8:AG20">
    <cfRule type="cellIs" dxfId="415" priority="1" operator="between">
      <formula>0.001</formula>
      <formula>0.99</formula>
    </cfRule>
    <cfRule type="cellIs" dxfId="414" priority="2" operator="equal">
      <formula>1</formula>
    </cfRule>
    <cfRule type="cellIs" dxfId="413" priority="3" operator="equal">
      <formula>0</formula>
    </cfRule>
  </conditionalFormatting>
  <conditionalFormatting sqref="AG8:AG20">
    <cfRule type="cellIs" dxfId="412" priority="4" operator="between">
      <formula>0.01</formula>
      <formula>0.99</formula>
    </cfRule>
    <cfRule type="cellIs" dxfId="411" priority="5" operator="equal">
      <formula>1</formula>
    </cfRule>
    <cfRule type="cellIs" dxfId="410" priority="6" operator="equal">
      <formula>0</formula>
    </cfRule>
  </conditionalFormatting>
  <dataValidations count="5">
    <dataValidation type="list" allowBlank="1" showInputMessage="1" showErrorMessage="1" sqref="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65549 JC65549 SY65549 ACU65549 AMQ65549 AWM65549 BGI65549 BQE65549 CAA65549 CJW65549 CTS65549 DDO65549 DNK65549 DXG65549 EHC65549 EQY65549 FAU65549 FKQ65549 FUM65549 GEI65549 GOE65549 GYA65549 HHW65549 HRS65549 IBO65549 ILK65549 IVG65549 JFC65549 JOY65549 JYU65549 KIQ65549 KSM65549 LCI65549 LME65549 LWA65549 MFW65549 MPS65549 MZO65549 NJK65549 NTG65549 ODC65549 OMY65549 OWU65549 PGQ65549 PQM65549 QAI65549 QKE65549 QUA65549 RDW65549 RNS65549 RXO65549 SHK65549 SRG65549 TBC65549 TKY65549 TUU65549 UEQ65549 UOM65549 UYI65549 VIE65549 VSA65549 WBW65549 WLS65549 WVO65549 G131085 JC131085 SY131085 ACU131085 AMQ131085 AWM131085 BGI131085 BQE131085 CAA131085 CJW131085 CTS131085 DDO131085 DNK131085 DXG131085 EHC131085 EQY131085 FAU131085 FKQ131085 FUM131085 GEI131085 GOE131085 GYA131085 HHW131085 HRS131085 IBO131085 ILK131085 IVG131085 JFC131085 JOY131085 JYU131085 KIQ131085 KSM131085 LCI131085 LME131085 LWA131085 MFW131085 MPS131085 MZO131085 NJK131085 NTG131085 ODC131085 OMY131085 OWU131085 PGQ131085 PQM131085 QAI131085 QKE131085 QUA131085 RDW131085 RNS131085 RXO131085 SHK131085 SRG131085 TBC131085 TKY131085 TUU131085 UEQ131085 UOM131085 UYI131085 VIE131085 VSA131085 WBW131085 WLS131085 WVO131085 G196621 JC196621 SY196621 ACU196621 AMQ196621 AWM196621 BGI196621 BQE196621 CAA196621 CJW196621 CTS196621 DDO196621 DNK196621 DXG196621 EHC196621 EQY196621 FAU196621 FKQ196621 FUM196621 GEI196621 GOE196621 GYA196621 HHW196621 HRS196621 IBO196621 ILK196621 IVG196621 JFC196621 JOY196621 JYU196621 KIQ196621 KSM196621 LCI196621 LME196621 LWA196621 MFW196621 MPS196621 MZO196621 NJK196621 NTG196621 ODC196621 OMY196621 OWU196621 PGQ196621 PQM196621 QAI196621 QKE196621 QUA196621 RDW196621 RNS196621 RXO196621 SHK196621 SRG196621 TBC196621 TKY196621 TUU196621 UEQ196621 UOM196621 UYI196621 VIE196621 VSA196621 WBW196621 WLS196621 WVO196621 G262157 JC262157 SY262157 ACU262157 AMQ262157 AWM262157 BGI262157 BQE262157 CAA262157 CJW262157 CTS262157 DDO262157 DNK262157 DXG262157 EHC262157 EQY262157 FAU262157 FKQ262157 FUM262157 GEI262157 GOE262157 GYA262157 HHW262157 HRS262157 IBO262157 ILK262157 IVG262157 JFC262157 JOY262157 JYU262157 KIQ262157 KSM262157 LCI262157 LME262157 LWA262157 MFW262157 MPS262157 MZO262157 NJK262157 NTG262157 ODC262157 OMY262157 OWU262157 PGQ262157 PQM262157 QAI262157 QKE262157 QUA262157 RDW262157 RNS262157 RXO262157 SHK262157 SRG262157 TBC262157 TKY262157 TUU262157 UEQ262157 UOM262157 UYI262157 VIE262157 VSA262157 WBW262157 WLS262157 WVO262157 G327693 JC327693 SY327693 ACU327693 AMQ327693 AWM327693 BGI327693 BQE327693 CAA327693 CJW327693 CTS327693 DDO327693 DNK327693 DXG327693 EHC327693 EQY327693 FAU327693 FKQ327693 FUM327693 GEI327693 GOE327693 GYA327693 HHW327693 HRS327693 IBO327693 ILK327693 IVG327693 JFC327693 JOY327693 JYU327693 KIQ327693 KSM327693 LCI327693 LME327693 LWA327693 MFW327693 MPS327693 MZO327693 NJK327693 NTG327693 ODC327693 OMY327693 OWU327693 PGQ327693 PQM327693 QAI327693 QKE327693 QUA327693 RDW327693 RNS327693 RXO327693 SHK327693 SRG327693 TBC327693 TKY327693 TUU327693 UEQ327693 UOM327693 UYI327693 VIE327693 VSA327693 WBW327693 WLS327693 WVO327693 G393229 JC393229 SY393229 ACU393229 AMQ393229 AWM393229 BGI393229 BQE393229 CAA393229 CJW393229 CTS393229 DDO393229 DNK393229 DXG393229 EHC393229 EQY393229 FAU393229 FKQ393229 FUM393229 GEI393229 GOE393229 GYA393229 HHW393229 HRS393229 IBO393229 ILK393229 IVG393229 JFC393229 JOY393229 JYU393229 KIQ393229 KSM393229 LCI393229 LME393229 LWA393229 MFW393229 MPS393229 MZO393229 NJK393229 NTG393229 ODC393229 OMY393229 OWU393229 PGQ393229 PQM393229 QAI393229 QKE393229 QUA393229 RDW393229 RNS393229 RXO393229 SHK393229 SRG393229 TBC393229 TKY393229 TUU393229 UEQ393229 UOM393229 UYI393229 VIE393229 VSA393229 WBW393229 WLS393229 WVO393229 G458765 JC458765 SY458765 ACU458765 AMQ458765 AWM458765 BGI458765 BQE458765 CAA458765 CJW458765 CTS458765 DDO458765 DNK458765 DXG458765 EHC458765 EQY458765 FAU458765 FKQ458765 FUM458765 GEI458765 GOE458765 GYA458765 HHW458765 HRS458765 IBO458765 ILK458765 IVG458765 JFC458765 JOY458765 JYU458765 KIQ458765 KSM458765 LCI458765 LME458765 LWA458765 MFW458765 MPS458765 MZO458765 NJK458765 NTG458765 ODC458765 OMY458765 OWU458765 PGQ458765 PQM458765 QAI458765 QKE458765 QUA458765 RDW458765 RNS458765 RXO458765 SHK458765 SRG458765 TBC458765 TKY458765 TUU458765 UEQ458765 UOM458765 UYI458765 VIE458765 VSA458765 WBW458765 WLS458765 WVO458765 G524301 JC524301 SY524301 ACU524301 AMQ524301 AWM524301 BGI524301 BQE524301 CAA524301 CJW524301 CTS524301 DDO524301 DNK524301 DXG524301 EHC524301 EQY524301 FAU524301 FKQ524301 FUM524301 GEI524301 GOE524301 GYA524301 HHW524301 HRS524301 IBO524301 ILK524301 IVG524301 JFC524301 JOY524301 JYU524301 KIQ524301 KSM524301 LCI524301 LME524301 LWA524301 MFW524301 MPS524301 MZO524301 NJK524301 NTG524301 ODC524301 OMY524301 OWU524301 PGQ524301 PQM524301 QAI524301 QKE524301 QUA524301 RDW524301 RNS524301 RXO524301 SHK524301 SRG524301 TBC524301 TKY524301 TUU524301 UEQ524301 UOM524301 UYI524301 VIE524301 VSA524301 WBW524301 WLS524301 WVO524301 G589837 JC589837 SY589837 ACU589837 AMQ589837 AWM589837 BGI589837 BQE589837 CAA589837 CJW589837 CTS589837 DDO589837 DNK589837 DXG589837 EHC589837 EQY589837 FAU589837 FKQ589837 FUM589837 GEI589837 GOE589837 GYA589837 HHW589837 HRS589837 IBO589837 ILK589837 IVG589837 JFC589837 JOY589837 JYU589837 KIQ589837 KSM589837 LCI589837 LME589837 LWA589837 MFW589837 MPS589837 MZO589837 NJK589837 NTG589837 ODC589837 OMY589837 OWU589837 PGQ589837 PQM589837 QAI589837 QKE589837 QUA589837 RDW589837 RNS589837 RXO589837 SHK589837 SRG589837 TBC589837 TKY589837 TUU589837 UEQ589837 UOM589837 UYI589837 VIE589837 VSA589837 WBW589837 WLS589837 WVO589837 G655373 JC655373 SY655373 ACU655373 AMQ655373 AWM655373 BGI655373 BQE655373 CAA655373 CJW655373 CTS655373 DDO655373 DNK655373 DXG655373 EHC655373 EQY655373 FAU655373 FKQ655373 FUM655373 GEI655373 GOE655373 GYA655373 HHW655373 HRS655373 IBO655373 ILK655373 IVG655373 JFC655373 JOY655373 JYU655373 KIQ655373 KSM655373 LCI655373 LME655373 LWA655373 MFW655373 MPS655373 MZO655373 NJK655373 NTG655373 ODC655373 OMY655373 OWU655373 PGQ655373 PQM655373 QAI655373 QKE655373 QUA655373 RDW655373 RNS655373 RXO655373 SHK655373 SRG655373 TBC655373 TKY655373 TUU655373 UEQ655373 UOM655373 UYI655373 VIE655373 VSA655373 WBW655373 WLS655373 WVO655373 G720909 JC720909 SY720909 ACU720909 AMQ720909 AWM720909 BGI720909 BQE720909 CAA720909 CJW720909 CTS720909 DDO720909 DNK720909 DXG720909 EHC720909 EQY720909 FAU720909 FKQ720909 FUM720909 GEI720909 GOE720909 GYA720909 HHW720909 HRS720909 IBO720909 ILK720909 IVG720909 JFC720909 JOY720909 JYU720909 KIQ720909 KSM720909 LCI720909 LME720909 LWA720909 MFW720909 MPS720909 MZO720909 NJK720909 NTG720909 ODC720909 OMY720909 OWU720909 PGQ720909 PQM720909 QAI720909 QKE720909 QUA720909 RDW720909 RNS720909 RXO720909 SHK720909 SRG720909 TBC720909 TKY720909 TUU720909 UEQ720909 UOM720909 UYI720909 VIE720909 VSA720909 WBW720909 WLS720909 WVO720909 G786445 JC786445 SY786445 ACU786445 AMQ786445 AWM786445 BGI786445 BQE786445 CAA786445 CJW786445 CTS786445 DDO786445 DNK786445 DXG786445 EHC786445 EQY786445 FAU786445 FKQ786445 FUM786445 GEI786445 GOE786445 GYA786445 HHW786445 HRS786445 IBO786445 ILK786445 IVG786445 JFC786445 JOY786445 JYU786445 KIQ786445 KSM786445 LCI786445 LME786445 LWA786445 MFW786445 MPS786445 MZO786445 NJK786445 NTG786445 ODC786445 OMY786445 OWU786445 PGQ786445 PQM786445 QAI786445 QKE786445 QUA786445 RDW786445 RNS786445 RXO786445 SHK786445 SRG786445 TBC786445 TKY786445 TUU786445 UEQ786445 UOM786445 UYI786445 VIE786445 VSA786445 WBW786445 WLS786445 WVO786445 G851981 JC851981 SY851981 ACU851981 AMQ851981 AWM851981 BGI851981 BQE851981 CAA851981 CJW851981 CTS851981 DDO851981 DNK851981 DXG851981 EHC851981 EQY851981 FAU851981 FKQ851981 FUM851981 GEI851981 GOE851981 GYA851981 HHW851981 HRS851981 IBO851981 ILK851981 IVG851981 JFC851981 JOY851981 JYU851981 KIQ851981 KSM851981 LCI851981 LME851981 LWA851981 MFW851981 MPS851981 MZO851981 NJK851981 NTG851981 ODC851981 OMY851981 OWU851981 PGQ851981 PQM851981 QAI851981 QKE851981 QUA851981 RDW851981 RNS851981 RXO851981 SHK851981 SRG851981 TBC851981 TKY851981 TUU851981 UEQ851981 UOM851981 UYI851981 VIE851981 VSA851981 WBW851981 WLS851981 WVO851981 G917517 JC917517 SY917517 ACU917517 AMQ917517 AWM917517 BGI917517 BQE917517 CAA917517 CJW917517 CTS917517 DDO917517 DNK917517 DXG917517 EHC917517 EQY917517 FAU917517 FKQ917517 FUM917517 GEI917517 GOE917517 GYA917517 HHW917517 HRS917517 IBO917517 ILK917517 IVG917517 JFC917517 JOY917517 JYU917517 KIQ917517 KSM917517 LCI917517 LME917517 LWA917517 MFW917517 MPS917517 MZO917517 NJK917517 NTG917517 ODC917517 OMY917517 OWU917517 PGQ917517 PQM917517 QAI917517 QKE917517 QUA917517 RDW917517 RNS917517 RXO917517 SHK917517 SRG917517 TBC917517 TKY917517 TUU917517 UEQ917517 UOM917517 UYI917517 VIE917517 VSA917517 WBW917517 WLS917517 WVO917517 G983053 JC983053 SY983053 ACU983053 AMQ983053 AWM983053 BGI983053 BQE983053 CAA983053 CJW983053 CTS983053 DDO983053 DNK983053 DXG983053 EHC983053 EQY983053 FAU983053 FKQ983053 FUM983053 GEI983053 GOE983053 GYA983053 HHW983053 HRS983053 IBO983053 ILK983053 IVG983053 JFC983053 JOY983053 JYU983053 KIQ983053 KSM983053 LCI983053 LME983053 LWA983053 MFW983053 MPS983053 MZO983053 NJK983053 NTG983053 ODC983053 OMY983053 OWU983053 PGQ983053 PQM983053 QAI983053 QKE983053 QUA983053 RDW983053 RNS983053 RXO983053 SHK983053 SRG983053 TBC983053 TKY983053 TUU983053 UEQ983053 UOM983053 UYI983053 VIE983053 VSA983053 WBW983053 WLS983053 WVO983053">
      <formula1>$AK$34:$AK$46</formula1>
    </dataValidation>
    <dataValidation type="list" allowBlank="1" showInputMessage="1" showErrorMessage="1" sqref="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44 JE65544 TA65544 ACW65544 AMS65544 AWO65544 BGK65544 BQG65544 CAC65544 CJY65544 CTU65544 DDQ65544 DNM65544 DXI65544 EHE65544 ERA65544 FAW65544 FKS65544 FUO65544 GEK65544 GOG65544 GYC65544 HHY65544 HRU65544 IBQ65544 ILM65544 IVI65544 JFE65544 JPA65544 JYW65544 KIS65544 KSO65544 LCK65544 LMG65544 LWC65544 MFY65544 MPU65544 MZQ65544 NJM65544 NTI65544 ODE65544 ONA65544 OWW65544 PGS65544 PQO65544 QAK65544 QKG65544 QUC65544 RDY65544 RNU65544 RXQ65544 SHM65544 SRI65544 TBE65544 TLA65544 TUW65544 UES65544 UOO65544 UYK65544 VIG65544 VSC65544 WBY65544 WLU65544 WVQ65544 I131080 JE131080 TA131080 ACW131080 AMS131080 AWO131080 BGK131080 BQG131080 CAC131080 CJY131080 CTU131080 DDQ131080 DNM131080 DXI131080 EHE131080 ERA131080 FAW131080 FKS131080 FUO131080 GEK131080 GOG131080 GYC131080 HHY131080 HRU131080 IBQ131080 ILM131080 IVI131080 JFE131080 JPA131080 JYW131080 KIS131080 KSO131080 LCK131080 LMG131080 LWC131080 MFY131080 MPU131080 MZQ131080 NJM131080 NTI131080 ODE131080 ONA131080 OWW131080 PGS131080 PQO131080 QAK131080 QKG131080 QUC131080 RDY131080 RNU131080 RXQ131080 SHM131080 SRI131080 TBE131080 TLA131080 TUW131080 UES131080 UOO131080 UYK131080 VIG131080 VSC131080 WBY131080 WLU131080 WVQ131080 I196616 JE196616 TA196616 ACW196616 AMS196616 AWO196616 BGK196616 BQG196616 CAC196616 CJY196616 CTU196616 DDQ196616 DNM196616 DXI196616 EHE196616 ERA196616 FAW196616 FKS196616 FUO196616 GEK196616 GOG196616 GYC196616 HHY196616 HRU196616 IBQ196616 ILM196616 IVI196616 JFE196616 JPA196616 JYW196616 KIS196616 KSO196616 LCK196616 LMG196616 LWC196616 MFY196616 MPU196616 MZQ196616 NJM196616 NTI196616 ODE196616 ONA196616 OWW196616 PGS196616 PQO196616 QAK196616 QKG196616 QUC196616 RDY196616 RNU196616 RXQ196616 SHM196616 SRI196616 TBE196616 TLA196616 TUW196616 UES196616 UOO196616 UYK196616 VIG196616 VSC196616 WBY196616 WLU196616 WVQ196616 I262152 JE262152 TA262152 ACW262152 AMS262152 AWO262152 BGK262152 BQG262152 CAC262152 CJY262152 CTU262152 DDQ262152 DNM262152 DXI262152 EHE262152 ERA262152 FAW262152 FKS262152 FUO262152 GEK262152 GOG262152 GYC262152 HHY262152 HRU262152 IBQ262152 ILM262152 IVI262152 JFE262152 JPA262152 JYW262152 KIS262152 KSO262152 LCK262152 LMG262152 LWC262152 MFY262152 MPU262152 MZQ262152 NJM262152 NTI262152 ODE262152 ONA262152 OWW262152 PGS262152 PQO262152 QAK262152 QKG262152 QUC262152 RDY262152 RNU262152 RXQ262152 SHM262152 SRI262152 TBE262152 TLA262152 TUW262152 UES262152 UOO262152 UYK262152 VIG262152 VSC262152 WBY262152 WLU262152 WVQ262152 I327688 JE327688 TA327688 ACW327688 AMS327688 AWO327688 BGK327688 BQG327688 CAC327688 CJY327688 CTU327688 DDQ327688 DNM327688 DXI327688 EHE327688 ERA327688 FAW327688 FKS327688 FUO327688 GEK327688 GOG327688 GYC327688 HHY327688 HRU327688 IBQ327688 ILM327688 IVI327688 JFE327688 JPA327688 JYW327688 KIS327688 KSO327688 LCK327688 LMG327688 LWC327688 MFY327688 MPU327688 MZQ327688 NJM327688 NTI327688 ODE327688 ONA327688 OWW327688 PGS327688 PQO327688 QAK327688 QKG327688 QUC327688 RDY327688 RNU327688 RXQ327688 SHM327688 SRI327688 TBE327688 TLA327688 TUW327688 UES327688 UOO327688 UYK327688 VIG327688 VSC327688 WBY327688 WLU327688 WVQ327688 I393224 JE393224 TA393224 ACW393224 AMS393224 AWO393224 BGK393224 BQG393224 CAC393224 CJY393224 CTU393224 DDQ393224 DNM393224 DXI393224 EHE393224 ERA393224 FAW393224 FKS393224 FUO393224 GEK393224 GOG393224 GYC393224 HHY393224 HRU393224 IBQ393224 ILM393224 IVI393224 JFE393224 JPA393224 JYW393224 KIS393224 KSO393224 LCK393224 LMG393224 LWC393224 MFY393224 MPU393224 MZQ393224 NJM393224 NTI393224 ODE393224 ONA393224 OWW393224 PGS393224 PQO393224 QAK393224 QKG393224 QUC393224 RDY393224 RNU393224 RXQ393224 SHM393224 SRI393224 TBE393224 TLA393224 TUW393224 UES393224 UOO393224 UYK393224 VIG393224 VSC393224 WBY393224 WLU393224 WVQ393224 I458760 JE458760 TA458760 ACW458760 AMS458760 AWO458760 BGK458760 BQG458760 CAC458760 CJY458760 CTU458760 DDQ458760 DNM458760 DXI458760 EHE458760 ERA458760 FAW458760 FKS458760 FUO458760 GEK458760 GOG458760 GYC458760 HHY458760 HRU458760 IBQ458760 ILM458760 IVI458760 JFE458760 JPA458760 JYW458760 KIS458760 KSO458760 LCK458760 LMG458760 LWC458760 MFY458760 MPU458760 MZQ458760 NJM458760 NTI458760 ODE458760 ONA458760 OWW458760 PGS458760 PQO458760 QAK458760 QKG458760 QUC458760 RDY458760 RNU458760 RXQ458760 SHM458760 SRI458760 TBE458760 TLA458760 TUW458760 UES458760 UOO458760 UYK458760 VIG458760 VSC458760 WBY458760 WLU458760 WVQ458760 I524296 JE524296 TA524296 ACW524296 AMS524296 AWO524296 BGK524296 BQG524296 CAC524296 CJY524296 CTU524296 DDQ524296 DNM524296 DXI524296 EHE524296 ERA524296 FAW524296 FKS524296 FUO524296 GEK524296 GOG524296 GYC524296 HHY524296 HRU524296 IBQ524296 ILM524296 IVI524296 JFE524296 JPA524296 JYW524296 KIS524296 KSO524296 LCK524296 LMG524296 LWC524296 MFY524296 MPU524296 MZQ524296 NJM524296 NTI524296 ODE524296 ONA524296 OWW524296 PGS524296 PQO524296 QAK524296 QKG524296 QUC524296 RDY524296 RNU524296 RXQ524296 SHM524296 SRI524296 TBE524296 TLA524296 TUW524296 UES524296 UOO524296 UYK524296 VIG524296 VSC524296 WBY524296 WLU524296 WVQ524296 I589832 JE589832 TA589832 ACW589832 AMS589832 AWO589832 BGK589832 BQG589832 CAC589832 CJY589832 CTU589832 DDQ589832 DNM589832 DXI589832 EHE589832 ERA589832 FAW589832 FKS589832 FUO589832 GEK589832 GOG589832 GYC589832 HHY589832 HRU589832 IBQ589832 ILM589832 IVI589832 JFE589832 JPA589832 JYW589832 KIS589832 KSO589832 LCK589832 LMG589832 LWC589832 MFY589832 MPU589832 MZQ589832 NJM589832 NTI589832 ODE589832 ONA589832 OWW589832 PGS589832 PQO589832 QAK589832 QKG589832 QUC589832 RDY589832 RNU589832 RXQ589832 SHM589832 SRI589832 TBE589832 TLA589832 TUW589832 UES589832 UOO589832 UYK589832 VIG589832 VSC589832 WBY589832 WLU589832 WVQ589832 I655368 JE655368 TA655368 ACW655368 AMS655368 AWO655368 BGK655368 BQG655368 CAC655368 CJY655368 CTU655368 DDQ655368 DNM655368 DXI655368 EHE655368 ERA655368 FAW655368 FKS655368 FUO655368 GEK655368 GOG655368 GYC655368 HHY655368 HRU655368 IBQ655368 ILM655368 IVI655368 JFE655368 JPA655368 JYW655368 KIS655368 KSO655368 LCK655368 LMG655368 LWC655368 MFY655368 MPU655368 MZQ655368 NJM655368 NTI655368 ODE655368 ONA655368 OWW655368 PGS655368 PQO655368 QAK655368 QKG655368 QUC655368 RDY655368 RNU655368 RXQ655368 SHM655368 SRI655368 TBE655368 TLA655368 TUW655368 UES655368 UOO655368 UYK655368 VIG655368 VSC655368 WBY655368 WLU655368 WVQ655368 I720904 JE720904 TA720904 ACW720904 AMS720904 AWO720904 BGK720904 BQG720904 CAC720904 CJY720904 CTU720904 DDQ720904 DNM720904 DXI720904 EHE720904 ERA720904 FAW720904 FKS720904 FUO720904 GEK720904 GOG720904 GYC720904 HHY720904 HRU720904 IBQ720904 ILM720904 IVI720904 JFE720904 JPA720904 JYW720904 KIS720904 KSO720904 LCK720904 LMG720904 LWC720904 MFY720904 MPU720904 MZQ720904 NJM720904 NTI720904 ODE720904 ONA720904 OWW720904 PGS720904 PQO720904 QAK720904 QKG720904 QUC720904 RDY720904 RNU720904 RXQ720904 SHM720904 SRI720904 TBE720904 TLA720904 TUW720904 UES720904 UOO720904 UYK720904 VIG720904 VSC720904 WBY720904 WLU720904 WVQ720904 I786440 JE786440 TA786440 ACW786440 AMS786440 AWO786440 BGK786440 BQG786440 CAC786440 CJY786440 CTU786440 DDQ786440 DNM786440 DXI786440 EHE786440 ERA786440 FAW786440 FKS786440 FUO786440 GEK786440 GOG786440 GYC786440 HHY786440 HRU786440 IBQ786440 ILM786440 IVI786440 JFE786440 JPA786440 JYW786440 KIS786440 KSO786440 LCK786440 LMG786440 LWC786440 MFY786440 MPU786440 MZQ786440 NJM786440 NTI786440 ODE786440 ONA786440 OWW786440 PGS786440 PQO786440 QAK786440 QKG786440 QUC786440 RDY786440 RNU786440 RXQ786440 SHM786440 SRI786440 TBE786440 TLA786440 TUW786440 UES786440 UOO786440 UYK786440 VIG786440 VSC786440 WBY786440 WLU786440 WVQ786440 I851976 JE851976 TA851976 ACW851976 AMS851976 AWO851976 BGK851976 BQG851976 CAC851976 CJY851976 CTU851976 DDQ851976 DNM851976 DXI851976 EHE851976 ERA851976 FAW851976 FKS851976 FUO851976 GEK851976 GOG851976 GYC851976 HHY851976 HRU851976 IBQ851976 ILM851976 IVI851976 JFE851976 JPA851976 JYW851976 KIS851976 KSO851976 LCK851976 LMG851976 LWC851976 MFY851976 MPU851976 MZQ851976 NJM851976 NTI851976 ODE851976 ONA851976 OWW851976 PGS851976 PQO851976 QAK851976 QKG851976 QUC851976 RDY851976 RNU851976 RXQ851976 SHM851976 SRI851976 TBE851976 TLA851976 TUW851976 UES851976 UOO851976 UYK851976 VIG851976 VSC851976 WBY851976 WLU851976 WVQ851976 I917512 JE917512 TA917512 ACW917512 AMS917512 AWO917512 BGK917512 BQG917512 CAC917512 CJY917512 CTU917512 DDQ917512 DNM917512 DXI917512 EHE917512 ERA917512 FAW917512 FKS917512 FUO917512 GEK917512 GOG917512 GYC917512 HHY917512 HRU917512 IBQ917512 ILM917512 IVI917512 JFE917512 JPA917512 JYW917512 KIS917512 KSO917512 LCK917512 LMG917512 LWC917512 MFY917512 MPU917512 MZQ917512 NJM917512 NTI917512 ODE917512 ONA917512 OWW917512 PGS917512 PQO917512 QAK917512 QKG917512 QUC917512 RDY917512 RNU917512 RXQ917512 SHM917512 SRI917512 TBE917512 TLA917512 TUW917512 UES917512 UOO917512 UYK917512 VIG917512 VSC917512 WBY917512 WLU917512 WVQ917512 I983048 JE983048 TA983048 ACW983048 AMS983048 AWO983048 BGK983048 BQG983048 CAC983048 CJY983048 CTU983048 DDQ983048 DNM983048 DXI983048 EHE983048 ERA983048 FAW983048 FKS983048 FUO983048 GEK983048 GOG983048 GYC983048 HHY983048 HRU983048 IBQ983048 ILM983048 IVI983048 JFE983048 JPA983048 JYW983048 KIS983048 KSO983048 LCK983048 LMG983048 LWC983048 MFY983048 MPU983048 MZQ983048 NJM983048 NTI983048 ODE983048 ONA983048 OWW983048 PGS983048 PQO983048 QAK983048 QKG983048 QUC983048 RDY983048 RNU983048 RXQ983048 SHM983048 SRI983048 TBE983048 TLA983048 TUW983048 UES983048 UOO983048 UYK983048 VIG983048 VSC983048 WBY983048 WLU983048 WVQ983048 I13 JE13 TA13 ACW13 AMS13 AWO13 BGK13 BQG13 CAC13 CJY13 CTU13 DDQ13 DNM13 DXI13 EHE13 ERA13 FAW13 FKS13 FUO13 GEK13 GOG13 GYC13 HHY13 HRU13 IBQ13 ILM13 IVI13 JFE13 JPA13 JYW13 KIS13 KSO13 LCK13 LMG13 LWC13 MFY13 MPU13 MZQ13 NJM13 NTI13 ODE13 ONA13 OWW13 PGS13 PQO13 QAK13 QKG13 QUC13 RDY13 RNU13 RXQ13 SHM13 SRI13 TBE13 TLA13 TUW13 UES13 UOO13 UYK13 VIG13 VSC13 WBY13 WLU13 WVQ13 I65549 JE65549 TA65549 ACW65549 AMS65549 AWO65549 BGK65549 BQG65549 CAC65549 CJY65549 CTU65549 DDQ65549 DNM65549 DXI65549 EHE65549 ERA65549 FAW65549 FKS65549 FUO65549 GEK65549 GOG65549 GYC65549 HHY65549 HRU65549 IBQ65549 ILM65549 IVI65549 JFE65549 JPA65549 JYW65549 KIS65549 KSO65549 LCK65549 LMG65549 LWC65549 MFY65549 MPU65549 MZQ65549 NJM65549 NTI65549 ODE65549 ONA65549 OWW65549 PGS65549 PQO65549 QAK65549 QKG65549 QUC65549 RDY65549 RNU65549 RXQ65549 SHM65549 SRI65549 TBE65549 TLA65549 TUW65549 UES65549 UOO65549 UYK65549 VIG65549 VSC65549 WBY65549 WLU65549 WVQ65549 I131085 JE131085 TA131085 ACW131085 AMS131085 AWO131085 BGK131085 BQG131085 CAC131085 CJY131085 CTU131085 DDQ131085 DNM131085 DXI131085 EHE131085 ERA131085 FAW131085 FKS131085 FUO131085 GEK131085 GOG131085 GYC131085 HHY131085 HRU131085 IBQ131085 ILM131085 IVI131085 JFE131085 JPA131085 JYW131085 KIS131085 KSO131085 LCK131085 LMG131085 LWC131085 MFY131085 MPU131085 MZQ131085 NJM131085 NTI131085 ODE131085 ONA131085 OWW131085 PGS131085 PQO131085 QAK131085 QKG131085 QUC131085 RDY131085 RNU131085 RXQ131085 SHM131085 SRI131085 TBE131085 TLA131085 TUW131085 UES131085 UOO131085 UYK131085 VIG131085 VSC131085 WBY131085 WLU131085 WVQ131085 I196621 JE196621 TA196621 ACW196621 AMS196621 AWO196621 BGK196621 BQG196621 CAC196621 CJY196621 CTU196621 DDQ196621 DNM196621 DXI196621 EHE196621 ERA196621 FAW196621 FKS196621 FUO196621 GEK196621 GOG196621 GYC196621 HHY196621 HRU196621 IBQ196621 ILM196621 IVI196621 JFE196621 JPA196621 JYW196621 KIS196621 KSO196621 LCK196621 LMG196621 LWC196621 MFY196621 MPU196621 MZQ196621 NJM196621 NTI196621 ODE196621 ONA196621 OWW196621 PGS196621 PQO196621 QAK196621 QKG196621 QUC196621 RDY196621 RNU196621 RXQ196621 SHM196621 SRI196621 TBE196621 TLA196621 TUW196621 UES196621 UOO196621 UYK196621 VIG196621 VSC196621 WBY196621 WLU196621 WVQ196621 I262157 JE262157 TA262157 ACW262157 AMS262157 AWO262157 BGK262157 BQG262157 CAC262157 CJY262157 CTU262157 DDQ262157 DNM262157 DXI262157 EHE262157 ERA262157 FAW262157 FKS262157 FUO262157 GEK262157 GOG262157 GYC262157 HHY262157 HRU262157 IBQ262157 ILM262157 IVI262157 JFE262157 JPA262157 JYW262157 KIS262157 KSO262157 LCK262157 LMG262157 LWC262157 MFY262157 MPU262157 MZQ262157 NJM262157 NTI262157 ODE262157 ONA262157 OWW262157 PGS262157 PQO262157 QAK262157 QKG262157 QUC262157 RDY262157 RNU262157 RXQ262157 SHM262157 SRI262157 TBE262157 TLA262157 TUW262157 UES262157 UOO262157 UYK262157 VIG262157 VSC262157 WBY262157 WLU262157 WVQ262157 I327693 JE327693 TA327693 ACW327693 AMS327693 AWO327693 BGK327693 BQG327693 CAC327693 CJY327693 CTU327693 DDQ327693 DNM327693 DXI327693 EHE327693 ERA327693 FAW327693 FKS327693 FUO327693 GEK327693 GOG327693 GYC327693 HHY327693 HRU327693 IBQ327693 ILM327693 IVI327693 JFE327693 JPA327693 JYW327693 KIS327693 KSO327693 LCK327693 LMG327693 LWC327693 MFY327693 MPU327693 MZQ327693 NJM327693 NTI327693 ODE327693 ONA327693 OWW327693 PGS327693 PQO327693 QAK327693 QKG327693 QUC327693 RDY327693 RNU327693 RXQ327693 SHM327693 SRI327693 TBE327693 TLA327693 TUW327693 UES327693 UOO327693 UYK327693 VIG327693 VSC327693 WBY327693 WLU327693 WVQ327693 I393229 JE393229 TA393229 ACW393229 AMS393229 AWO393229 BGK393229 BQG393229 CAC393229 CJY393229 CTU393229 DDQ393229 DNM393229 DXI393229 EHE393229 ERA393229 FAW393229 FKS393229 FUO393229 GEK393229 GOG393229 GYC393229 HHY393229 HRU393229 IBQ393229 ILM393229 IVI393229 JFE393229 JPA393229 JYW393229 KIS393229 KSO393229 LCK393229 LMG393229 LWC393229 MFY393229 MPU393229 MZQ393229 NJM393229 NTI393229 ODE393229 ONA393229 OWW393229 PGS393229 PQO393229 QAK393229 QKG393229 QUC393229 RDY393229 RNU393229 RXQ393229 SHM393229 SRI393229 TBE393229 TLA393229 TUW393229 UES393229 UOO393229 UYK393229 VIG393229 VSC393229 WBY393229 WLU393229 WVQ393229 I458765 JE458765 TA458765 ACW458765 AMS458765 AWO458765 BGK458765 BQG458765 CAC458765 CJY458765 CTU458765 DDQ458765 DNM458765 DXI458765 EHE458765 ERA458765 FAW458765 FKS458765 FUO458765 GEK458765 GOG458765 GYC458765 HHY458765 HRU458765 IBQ458765 ILM458765 IVI458765 JFE458765 JPA458765 JYW458765 KIS458765 KSO458765 LCK458765 LMG458765 LWC458765 MFY458765 MPU458765 MZQ458765 NJM458765 NTI458765 ODE458765 ONA458765 OWW458765 PGS458765 PQO458765 QAK458765 QKG458765 QUC458765 RDY458765 RNU458765 RXQ458765 SHM458765 SRI458765 TBE458765 TLA458765 TUW458765 UES458765 UOO458765 UYK458765 VIG458765 VSC458765 WBY458765 WLU458765 WVQ458765 I524301 JE524301 TA524301 ACW524301 AMS524301 AWO524301 BGK524301 BQG524301 CAC524301 CJY524301 CTU524301 DDQ524301 DNM524301 DXI524301 EHE524301 ERA524301 FAW524301 FKS524301 FUO524301 GEK524301 GOG524301 GYC524301 HHY524301 HRU524301 IBQ524301 ILM524301 IVI524301 JFE524301 JPA524301 JYW524301 KIS524301 KSO524301 LCK524301 LMG524301 LWC524301 MFY524301 MPU524301 MZQ524301 NJM524301 NTI524301 ODE524301 ONA524301 OWW524301 PGS524301 PQO524301 QAK524301 QKG524301 QUC524301 RDY524301 RNU524301 RXQ524301 SHM524301 SRI524301 TBE524301 TLA524301 TUW524301 UES524301 UOO524301 UYK524301 VIG524301 VSC524301 WBY524301 WLU524301 WVQ524301 I589837 JE589837 TA589837 ACW589837 AMS589837 AWO589837 BGK589837 BQG589837 CAC589837 CJY589837 CTU589837 DDQ589837 DNM589837 DXI589837 EHE589837 ERA589837 FAW589837 FKS589837 FUO589837 GEK589837 GOG589837 GYC589837 HHY589837 HRU589837 IBQ589837 ILM589837 IVI589837 JFE589837 JPA589837 JYW589837 KIS589837 KSO589837 LCK589837 LMG589837 LWC589837 MFY589837 MPU589837 MZQ589837 NJM589837 NTI589837 ODE589837 ONA589837 OWW589837 PGS589837 PQO589837 QAK589837 QKG589837 QUC589837 RDY589837 RNU589837 RXQ589837 SHM589837 SRI589837 TBE589837 TLA589837 TUW589837 UES589837 UOO589837 UYK589837 VIG589837 VSC589837 WBY589837 WLU589837 WVQ589837 I655373 JE655373 TA655373 ACW655373 AMS655373 AWO655373 BGK655373 BQG655373 CAC655373 CJY655373 CTU655373 DDQ655373 DNM655373 DXI655373 EHE655373 ERA655373 FAW655373 FKS655373 FUO655373 GEK655373 GOG655373 GYC655373 HHY655373 HRU655373 IBQ655373 ILM655373 IVI655373 JFE655373 JPA655373 JYW655373 KIS655373 KSO655373 LCK655373 LMG655373 LWC655373 MFY655373 MPU655373 MZQ655373 NJM655373 NTI655373 ODE655373 ONA655373 OWW655373 PGS655373 PQO655373 QAK655373 QKG655373 QUC655373 RDY655373 RNU655373 RXQ655373 SHM655373 SRI655373 TBE655373 TLA655373 TUW655373 UES655373 UOO655373 UYK655373 VIG655373 VSC655373 WBY655373 WLU655373 WVQ655373 I720909 JE720909 TA720909 ACW720909 AMS720909 AWO720909 BGK720909 BQG720909 CAC720909 CJY720909 CTU720909 DDQ720909 DNM720909 DXI720909 EHE720909 ERA720909 FAW720909 FKS720909 FUO720909 GEK720909 GOG720909 GYC720909 HHY720909 HRU720909 IBQ720909 ILM720909 IVI720909 JFE720909 JPA720909 JYW720909 KIS720909 KSO720909 LCK720909 LMG720909 LWC720909 MFY720909 MPU720909 MZQ720909 NJM720909 NTI720909 ODE720909 ONA720909 OWW720909 PGS720909 PQO720909 QAK720909 QKG720909 QUC720909 RDY720909 RNU720909 RXQ720909 SHM720909 SRI720909 TBE720909 TLA720909 TUW720909 UES720909 UOO720909 UYK720909 VIG720909 VSC720909 WBY720909 WLU720909 WVQ720909 I786445 JE786445 TA786445 ACW786445 AMS786445 AWO786445 BGK786445 BQG786445 CAC786445 CJY786445 CTU786445 DDQ786445 DNM786445 DXI786445 EHE786445 ERA786445 FAW786445 FKS786445 FUO786445 GEK786445 GOG786445 GYC786445 HHY786445 HRU786445 IBQ786445 ILM786445 IVI786445 JFE786445 JPA786445 JYW786445 KIS786445 KSO786445 LCK786445 LMG786445 LWC786445 MFY786445 MPU786445 MZQ786445 NJM786445 NTI786445 ODE786445 ONA786445 OWW786445 PGS786445 PQO786445 QAK786445 QKG786445 QUC786445 RDY786445 RNU786445 RXQ786445 SHM786445 SRI786445 TBE786445 TLA786445 TUW786445 UES786445 UOO786445 UYK786445 VIG786445 VSC786445 WBY786445 WLU786445 WVQ786445 I851981 JE851981 TA851981 ACW851981 AMS851981 AWO851981 BGK851981 BQG851981 CAC851981 CJY851981 CTU851981 DDQ851981 DNM851981 DXI851981 EHE851981 ERA851981 FAW851981 FKS851981 FUO851981 GEK851981 GOG851981 GYC851981 HHY851981 HRU851981 IBQ851981 ILM851981 IVI851981 JFE851981 JPA851981 JYW851981 KIS851981 KSO851981 LCK851981 LMG851981 LWC851981 MFY851981 MPU851981 MZQ851981 NJM851981 NTI851981 ODE851981 ONA851981 OWW851981 PGS851981 PQO851981 QAK851981 QKG851981 QUC851981 RDY851981 RNU851981 RXQ851981 SHM851981 SRI851981 TBE851981 TLA851981 TUW851981 UES851981 UOO851981 UYK851981 VIG851981 VSC851981 WBY851981 WLU851981 WVQ851981 I917517 JE917517 TA917517 ACW917517 AMS917517 AWO917517 BGK917517 BQG917517 CAC917517 CJY917517 CTU917517 DDQ917517 DNM917517 DXI917517 EHE917517 ERA917517 FAW917517 FKS917517 FUO917517 GEK917517 GOG917517 GYC917517 HHY917517 HRU917517 IBQ917517 ILM917517 IVI917517 JFE917517 JPA917517 JYW917517 KIS917517 KSO917517 LCK917517 LMG917517 LWC917517 MFY917517 MPU917517 MZQ917517 NJM917517 NTI917517 ODE917517 ONA917517 OWW917517 PGS917517 PQO917517 QAK917517 QKG917517 QUC917517 RDY917517 RNU917517 RXQ917517 SHM917517 SRI917517 TBE917517 TLA917517 TUW917517 UES917517 UOO917517 UYK917517 VIG917517 VSC917517 WBY917517 WLU917517 WVQ917517 I983053 JE983053 TA983053 ACW983053 AMS983053 AWO983053 BGK983053 BQG983053 CAC983053 CJY983053 CTU983053 DDQ983053 DNM983053 DXI983053 EHE983053 ERA983053 FAW983053 FKS983053 FUO983053 GEK983053 GOG983053 GYC983053 HHY983053 HRU983053 IBQ983053 ILM983053 IVI983053 JFE983053 JPA983053 JYW983053 KIS983053 KSO983053 LCK983053 LMG983053 LWC983053 MFY983053 MPU983053 MZQ983053 NJM983053 NTI983053 ODE983053 ONA983053 OWW983053 PGS983053 PQO983053 QAK983053 QKG983053 QUC983053 RDY983053 RNU983053 RXQ983053 SHM983053 SRI983053 TBE983053 TLA983053 TUW983053 UES983053 UOO983053 UYK983053 VIG983053 VSC983053 WBY983053 WLU983053 WVQ983053">
      <formula1>$X$30:$X$31</formula1>
    </dataValidation>
    <dataValidation type="list" allowBlank="1" showInputMessage="1" showErrorMessage="1" sqref="AF8:AF20 KB8:KB20 TX8:TX20 ADT8:ADT20 ANP8:ANP20 AXL8:AXL20 BHH8:BHH20 BRD8:BRD20 CAZ8:CAZ20 CKV8:CKV20 CUR8:CUR20 DEN8:DEN20 DOJ8:DOJ20 DYF8:DYF20 EIB8:EIB20 ERX8:ERX20 FBT8:FBT20 FLP8:FLP20 FVL8:FVL20 GFH8:GFH20 GPD8:GPD20 GYZ8:GYZ20 HIV8:HIV20 HSR8:HSR20 ICN8:ICN20 IMJ8:IMJ20 IWF8:IWF20 JGB8:JGB20 JPX8:JPX20 JZT8:JZT20 KJP8:KJP20 KTL8:KTL20 LDH8:LDH20 LND8:LND20 LWZ8:LWZ20 MGV8:MGV20 MQR8:MQR20 NAN8:NAN20 NKJ8:NKJ20 NUF8:NUF20 OEB8:OEB20 ONX8:ONX20 OXT8:OXT20 PHP8:PHP20 PRL8:PRL20 QBH8:QBH20 QLD8:QLD20 QUZ8:QUZ20 REV8:REV20 ROR8:ROR20 RYN8:RYN20 SIJ8:SIJ20 SSF8:SSF20 TCB8:TCB20 TLX8:TLX20 TVT8:TVT20 UFP8:UFP20 UPL8:UPL20 UZH8:UZH20 VJD8:VJD20 VSZ8:VSZ20 WCV8:WCV20 WMR8:WMR20 WWN8:WWN20 AF65544:AF65556 KB65544:KB65556 TX65544:TX65556 ADT65544:ADT65556 ANP65544:ANP65556 AXL65544:AXL65556 BHH65544:BHH65556 BRD65544:BRD65556 CAZ65544:CAZ65556 CKV65544:CKV65556 CUR65544:CUR65556 DEN65544:DEN65556 DOJ65544:DOJ65556 DYF65544:DYF65556 EIB65544:EIB65556 ERX65544:ERX65556 FBT65544:FBT65556 FLP65544:FLP65556 FVL65544:FVL65556 GFH65544:GFH65556 GPD65544:GPD65556 GYZ65544:GYZ65556 HIV65544:HIV65556 HSR65544:HSR65556 ICN65544:ICN65556 IMJ65544:IMJ65556 IWF65544:IWF65556 JGB65544:JGB65556 JPX65544:JPX65556 JZT65544:JZT65556 KJP65544:KJP65556 KTL65544:KTL65556 LDH65544:LDH65556 LND65544:LND65556 LWZ65544:LWZ65556 MGV65544:MGV65556 MQR65544:MQR65556 NAN65544:NAN65556 NKJ65544:NKJ65556 NUF65544:NUF65556 OEB65544:OEB65556 ONX65544:ONX65556 OXT65544:OXT65556 PHP65544:PHP65556 PRL65544:PRL65556 QBH65544:QBH65556 QLD65544:QLD65556 QUZ65544:QUZ65556 REV65544:REV65556 ROR65544:ROR65556 RYN65544:RYN65556 SIJ65544:SIJ65556 SSF65544:SSF65556 TCB65544:TCB65556 TLX65544:TLX65556 TVT65544:TVT65556 UFP65544:UFP65556 UPL65544:UPL65556 UZH65544:UZH65556 VJD65544:VJD65556 VSZ65544:VSZ65556 WCV65544:WCV65556 WMR65544:WMR65556 WWN65544:WWN65556 AF131080:AF131092 KB131080:KB131092 TX131080:TX131092 ADT131080:ADT131092 ANP131080:ANP131092 AXL131080:AXL131092 BHH131080:BHH131092 BRD131080:BRD131092 CAZ131080:CAZ131092 CKV131080:CKV131092 CUR131080:CUR131092 DEN131080:DEN131092 DOJ131080:DOJ131092 DYF131080:DYF131092 EIB131080:EIB131092 ERX131080:ERX131092 FBT131080:FBT131092 FLP131080:FLP131092 FVL131080:FVL131092 GFH131080:GFH131092 GPD131080:GPD131092 GYZ131080:GYZ131092 HIV131080:HIV131092 HSR131080:HSR131092 ICN131080:ICN131092 IMJ131080:IMJ131092 IWF131080:IWF131092 JGB131080:JGB131092 JPX131080:JPX131092 JZT131080:JZT131092 KJP131080:KJP131092 KTL131080:KTL131092 LDH131080:LDH131092 LND131080:LND131092 LWZ131080:LWZ131092 MGV131080:MGV131092 MQR131080:MQR131092 NAN131080:NAN131092 NKJ131080:NKJ131092 NUF131080:NUF131092 OEB131080:OEB131092 ONX131080:ONX131092 OXT131080:OXT131092 PHP131080:PHP131092 PRL131080:PRL131092 QBH131080:QBH131092 QLD131080:QLD131092 QUZ131080:QUZ131092 REV131080:REV131092 ROR131080:ROR131092 RYN131080:RYN131092 SIJ131080:SIJ131092 SSF131080:SSF131092 TCB131080:TCB131092 TLX131080:TLX131092 TVT131080:TVT131092 UFP131080:UFP131092 UPL131080:UPL131092 UZH131080:UZH131092 VJD131080:VJD131092 VSZ131080:VSZ131092 WCV131080:WCV131092 WMR131080:WMR131092 WWN131080:WWN131092 AF196616:AF196628 KB196616:KB196628 TX196616:TX196628 ADT196616:ADT196628 ANP196616:ANP196628 AXL196616:AXL196628 BHH196616:BHH196628 BRD196616:BRD196628 CAZ196616:CAZ196628 CKV196616:CKV196628 CUR196616:CUR196628 DEN196616:DEN196628 DOJ196616:DOJ196628 DYF196616:DYF196628 EIB196616:EIB196628 ERX196616:ERX196628 FBT196616:FBT196628 FLP196616:FLP196628 FVL196616:FVL196628 GFH196616:GFH196628 GPD196616:GPD196628 GYZ196616:GYZ196628 HIV196616:HIV196628 HSR196616:HSR196628 ICN196616:ICN196628 IMJ196616:IMJ196628 IWF196616:IWF196628 JGB196616:JGB196628 JPX196616:JPX196628 JZT196616:JZT196628 KJP196616:KJP196628 KTL196616:KTL196628 LDH196616:LDH196628 LND196616:LND196628 LWZ196616:LWZ196628 MGV196616:MGV196628 MQR196616:MQR196628 NAN196616:NAN196628 NKJ196616:NKJ196628 NUF196616:NUF196628 OEB196616:OEB196628 ONX196616:ONX196628 OXT196616:OXT196628 PHP196616:PHP196628 PRL196616:PRL196628 QBH196616:QBH196628 QLD196616:QLD196628 QUZ196616:QUZ196628 REV196616:REV196628 ROR196616:ROR196628 RYN196616:RYN196628 SIJ196616:SIJ196628 SSF196616:SSF196628 TCB196616:TCB196628 TLX196616:TLX196628 TVT196616:TVT196628 UFP196616:UFP196628 UPL196616:UPL196628 UZH196616:UZH196628 VJD196616:VJD196628 VSZ196616:VSZ196628 WCV196616:WCV196628 WMR196616:WMR196628 WWN196616:WWN196628 AF262152:AF262164 KB262152:KB262164 TX262152:TX262164 ADT262152:ADT262164 ANP262152:ANP262164 AXL262152:AXL262164 BHH262152:BHH262164 BRD262152:BRD262164 CAZ262152:CAZ262164 CKV262152:CKV262164 CUR262152:CUR262164 DEN262152:DEN262164 DOJ262152:DOJ262164 DYF262152:DYF262164 EIB262152:EIB262164 ERX262152:ERX262164 FBT262152:FBT262164 FLP262152:FLP262164 FVL262152:FVL262164 GFH262152:GFH262164 GPD262152:GPD262164 GYZ262152:GYZ262164 HIV262152:HIV262164 HSR262152:HSR262164 ICN262152:ICN262164 IMJ262152:IMJ262164 IWF262152:IWF262164 JGB262152:JGB262164 JPX262152:JPX262164 JZT262152:JZT262164 KJP262152:KJP262164 KTL262152:KTL262164 LDH262152:LDH262164 LND262152:LND262164 LWZ262152:LWZ262164 MGV262152:MGV262164 MQR262152:MQR262164 NAN262152:NAN262164 NKJ262152:NKJ262164 NUF262152:NUF262164 OEB262152:OEB262164 ONX262152:ONX262164 OXT262152:OXT262164 PHP262152:PHP262164 PRL262152:PRL262164 QBH262152:QBH262164 QLD262152:QLD262164 QUZ262152:QUZ262164 REV262152:REV262164 ROR262152:ROR262164 RYN262152:RYN262164 SIJ262152:SIJ262164 SSF262152:SSF262164 TCB262152:TCB262164 TLX262152:TLX262164 TVT262152:TVT262164 UFP262152:UFP262164 UPL262152:UPL262164 UZH262152:UZH262164 VJD262152:VJD262164 VSZ262152:VSZ262164 WCV262152:WCV262164 WMR262152:WMR262164 WWN262152:WWN262164 AF327688:AF327700 KB327688:KB327700 TX327688:TX327700 ADT327688:ADT327700 ANP327688:ANP327700 AXL327688:AXL327700 BHH327688:BHH327700 BRD327688:BRD327700 CAZ327688:CAZ327700 CKV327688:CKV327700 CUR327688:CUR327700 DEN327688:DEN327700 DOJ327688:DOJ327700 DYF327688:DYF327700 EIB327688:EIB327700 ERX327688:ERX327700 FBT327688:FBT327700 FLP327688:FLP327700 FVL327688:FVL327700 GFH327688:GFH327700 GPD327688:GPD327700 GYZ327688:GYZ327700 HIV327688:HIV327700 HSR327688:HSR327700 ICN327688:ICN327700 IMJ327688:IMJ327700 IWF327688:IWF327700 JGB327688:JGB327700 JPX327688:JPX327700 JZT327688:JZT327700 KJP327688:KJP327700 KTL327688:KTL327700 LDH327688:LDH327700 LND327688:LND327700 LWZ327688:LWZ327700 MGV327688:MGV327700 MQR327688:MQR327700 NAN327688:NAN327700 NKJ327688:NKJ327700 NUF327688:NUF327700 OEB327688:OEB327700 ONX327688:ONX327700 OXT327688:OXT327700 PHP327688:PHP327700 PRL327688:PRL327700 QBH327688:QBH327700 QLD327688:QLD327700 QUZ327688:QUZ327700 REV327688:REV327700 ROR327688:ROR327700 RYN327688:RYN327700 SIJ327688:SIJ327700 SSF327688:SSF327700 TCB327688:TCB327700 TLX327688:TLX327700 TVT327688:TVT327700 UFP327688:UFP327700 UPL327688:UPL327700 UZH327688:UZH327700 VJD327688:VJD327700 VSZ327688:VSZ327700 WCV327688:WCV327700 WMR327688:WMR327700 WWN327688:WWN327700 AF393224:AF393236 KB393224:KB393236 TX393224:TX393236 ADT393224:ADT393236 ANP393224:ANP393236 AXL393224:AXL393236 BHH393224:BHH393236 BRD393224:BRD393236 CAZ393224:CAZ393236 CKV393224:CKV393236 CUR393224:CUR393236 DEN393224:DEN393236 DOJ393224:DOJ393236 DYF393224:DYF393236 EIB393224:EIB393236 ERX393224:ERX393236 FBT393224:FBT393236 FLP393224:FLP393236 FVL393224:FVL393236 GFH393224:GFH393236 GPD393224:GPD393236 GYZ393224:GYZ393236 HIV393224:HIV393236 HSR393224:HSR393236 ICN393224:ICN393236 IMJ393224:IMJ393236 IWF393224:IWF393236 JGB393224:JGB393236 JPX393224:JPX393236 JZT393224:JZT393236 KJP393224:KJP393236 KTL393224:KTL393236 LDH393224:LDH393236 LND393224:LND393236 LWZ393224:LWZ393236 MGV393224:MGV393236 MQR393224:MQR393236 NAN393224:NAN393236 NKJ393224:NKJ393236 NUF393224:NUF393236 OEB393224:OEB393236 ONX393224:ONX393236 OXT393224:OXT393236 PHP393224:PHP393236 PRL393224:PRL393236 QBH393224:QBH393236 QLD393224:QLD393236 QUZ393224:QUZ393236 REV393224:REV393236 ROR393224:ROR393236 RYN393224:RYN393236 SIJ393224:SIJ393236 SSF393224:SSF393236 TCB393224:TCB393236 TLX393224:TLX393236 TVT393224:TVT393236 UFP393224:UFP393236 UPL393224:UPL393236 UZH393224:UZH393236 VJD393224:VJD393236 VSZ393224:VSZ393236 WCV393224:WCV393236 WMR393224:WMR393236 WWN393224:WWN393236 AF458760:AF458772 KB458760:KB458772 TX458760:TX458772 ADT458760:ADT458772 ANP458760:ANP458772 AXL458760:AXL458772 BHH458760:BHH458772 BRD458760:BRD458772 CAZ458760:CAZ458772 CKV458760:CKV458772 CUR458760:CUR458772 DEN458760:DEN458772 DOJ458760:DOJ458772 DYF458760:DYF458772 EIB458760:EIB458772 ERX458760:ERX458772 FBT458760:FBT458772 FLP458760:FLP458772 FVL458760:FVL458772 GFH458760:GFH458772 GPD458760:GPD458772 GYZ458760:GYZ458772 HIV458760:HIV458772 HSR458760:HSR458772 ICN458760:ICN458772 IMJ458760:IMJ458772 IWF458760:IWF458772 JGB458760:JGB458772 JPX458760:JPX458772 JZT458760:JZT458772 KJP458760:KJP458772 KTL458760:KTL458772 LDH458760:LDH458772 LND458760:LND458772 LWZ458760:LWZ458772 MGV458760:MGV458772 MQR458760:MQR458772 NAN458760:NAN458772 NKJ458760:NKJ458772 NUF458760:NUF458772 OEB458760:OEB458772 ONX458760:ONX458772 OXT458760:OXT458772 PHP458760:PHP458772 PRL458760:PRL458772 QBH458760:QBH458772 QLD458760:QLD458772 QUZ458760:QUZ458772 REV458760:REV458772 ROR458760:ROR458772 RYN458760:RYN458772 SIJ458760:SIJ458772 SSF458760:SSF458772 TCB458760:TCB458772 TLX458760:TLX458772 TVT458760:TVT458772 UFP458760:UFP458772 UPL458760:UPL458772 UZH458760:UZH458772 VJD458760:VJD458772 VSZ458760:VSZ458772 WCV458760:WCV458772 WMR458760:WMR458772 WWN458760:WWN458772 AF524296:AF524308 KB524296:KB524308 TX524296:TX524308 ADT524296:ADT524308 ANP524296:ANP524308 AXL524296:AXL524308 BHH524296:BHH524308 BRD524296:BRD524308 CAZ524296:CAZ524308 CKV524296:CKV524308 CUR524296:CUR524308 DEN524296:DEN524308 DOJ524296:DOJ524308 DYF524296:DYF524308 EIB524296:EIB524308 ERX524296:ERX524308 FBT524296:FBT524308 FLP524296:FLP524308 FVL524296:FVL524308 GFH524296:GFH524308 GPD524296:GPD524308 GYZ524296:GYZ524308 HIV524296:HIV524308 HSR524296:HSR524308 ICN524296:ICN524308 IMJ524296:IMJ524308 IWF524296:IWF524308 JGB524296:JGB524308 JPX524296:JPX524308 JZT524296:JZT524308 KJP524296:KJP524308 KTL524296:KTL524308 LDH524296:LDH524308 LND524296:LND524308 LWZ524296:LWZ524308 MGV524296:MGV524308 MQR524296:MQR524308 NAN524296:NAN524308 NKJ524296:NKJ524308 NUF524296:NUF524308 OEB524296:OEB524308 ONX524296:ONX524308 OXT524296:OXT524308 PHP524296:PHP524308 PRL524296:PRL524308 QBH524296:QBH524308 QLD524296:QLD524308 QUZ524296:QUZ524308 REV524296:REV524308 ROR524296:ROR524308 RYN524296:RYN524308 SIJ524296:SIJ524308 SSF524296:SSF524308 TCB524296:TCB524308 TLX524296:TLX524308 TVT524296:TVT524308 UFP524296:UFP524308 UPL524296:UPL524308 UZH524296:UZH524308 VJD524296:VJD524308 VSZ524296:VSZ524308 WCV524296:WCV524308 WMR524296:WMR524308 WWN524296:WWN524308 AF589832:AF589844 KB589832:KB589844 TX589832:TX589844 ADT589832:ADT589844 ANP589832:ANP589844 AXL589832:AXL589844 BHH589832:BHH589844 BRD589832:BRD589844 CAZ589832:CAZ589844 CKV589832:CKV589844 CUR589832:CUR589844 DEN589832:DEN589844 DOJ589832:DOJ589844 DYF589832:DYF589844 EIB589832:EIB589844 ERX589832:ERX589844 FBT589832:FBT589844 FLP589832:FLP589844 FVL589832:FVL589844 GFH589832:GFH589844 GPD589832:GPD589844 GYZ589832:GYZ589844 HIV589832:HIV589844 HSR589832:HSR589844 ICN589832:ICN589844 IMJ589832:IMJ589844 IWF589832:IWF589844 JGB589832:JGB589844 JPX589832:JPX589844 JZT589832:JZT589844 KJP589832:KJP589844 KTL589832:KTL589844 LDH589832:LDH589844 LND589832:LND589844 LWZ589832:LWZ589844 MGV589832:MGV589844 MQR589832:MQR589844 NAN589832:NAN589844 NKJ589832:NKJ589844 NUF589832:NUF589844 OEB589832:OEB589844 ONX589832:ONX589844 OXT589832:OXT589844 PHP589832:PHP589844 PRL589832:PRL589844 QBH589832:QBH589844 QLD589832:QLD589844 QUZ589832:QUZ589844 REV589832:REV589844 ROR589832:ROR589844 RYN589832:RYN589844 SIJ589832:SIJ589844 SSF589832:SSF589844 TCB589832:TCB589844 TLX589832:TLX589844 TVT589832:TVT589844 UFP589832:UFP589844 UPL589832:UPL589844 UZH589832:UZH589844 VJD589832:VJD589844 VSZ589832:VSZ589844 WCV589832:WCV589844 WMR589832:WMR589844 WWN589832:WWN589844 AF655368:AF655380 KB655368:KB655380 TX655368:TX655380 ADT655368:ADT655380 ANP655368:ANP655380 AXL655368:AXL655380 BHH655368:BHH655380 BRD655368:BRD655380 CAZ655368:CAZ655380 CKV655368:CKV655380 CUR655368:CUR655380 DEN655368:DEN655380 DOJ655368:DOJ655380 DYF655368:DYF655380 EIB655368:EIB655380 ERX655368:ERX655380 FBT655368:FBT655380 FLP655368:FLP655380 FVL655368:FVL655380 GFH655368:GFH655380 GPD655368:GPD655380 GYZ655368:GYZ655380 HIV655368:HIV655380 HSR655368:HSR655380 ICN655368:ICN655380 IMJ655368:IMJ655380 IWF655368:IWF655380 JGB655368:JGB655380 JPX655368:JPX655380 JZT655368:JZT655380 KJP655368:KJP655380 KTL655368:KTL655380 LDH655368:LDH655380 LND655368:LND655380 LWZ655368:LWZ655380 MGV655368:MGV655380 MQR655368:MQR655380 NAN655368:NAN655380 NKJ655368:NKJ655380 NUF655368:NUF655380 OEB655368:OEB655380 ONX655368:ONX655380 OXT655368:OXT655380 PHP655368:PHP655380 PRL655368:PRL655380 QBH655368:QBH655380 QLD655368:QLD655380 QUZ655368:QUZ655380 REV655368:REV655380 ROR655368:ROR655380 RYN655368:RYN655380 SIJ655368:SIJ655380 SSF655368:SSF655380 TCB655368:TCB655380 TLX655368:TLX655380 TVT655368:TVT655380 UFP655368:UFP655380 UPL655368:UPL655380 UZH655368:UZH655380 VJD655368:VJD655380 VSZ655368:VSZ655380 WCV655368:WCV655380 WMR655368:WMR655380 WWN655368:WWN655380 AF720904:AF720916 KB720904:KB720916 TX720904:TX720916 ADT720904:ADT720916 ANP720904:ANP720916 AXL720904:AXL720916 BHH720904:BHH720916 BRD720904:BRD720916 CAZ720904:CAZ720916 CKV720904:CKV720916 CUR720904:CUR720916 DEN720904:DEN720916 DOJ720904:DOJ720916 DYF720904:DYF720916 EIB720904:EIB720916 ERX720904:ERX720916 FBT720904:FBT720916 FLP720904:FLP720916 FVL720904:FVL720916 GFH720904:GFH720916 GPD720904:GPD720916 GYZ720904:GYZ720916 HIV720904:HIV720916 HSR720904:HSR720916 ICN720904:ICN720916 IMJ720904:IMJ720916 IWF720904:IWF720916 JGB720904:JGB720916 JPX720904:JPX720916 JZT720904:JZT720916 KJP720904:KJP720916 KTL720904:KTL720916 LDH720904:LDH720916 LND720904:LND720916 LWZ720904:LWZ720916 MGV720904:MGV720916 MQR720904:MQR720916 NAN720904:NAN720916 NKJ720904:NKJ720916 NUF720904:NUF720916 OEB720904:OEB720916 ONX720904:ONX720916 OXT720904:OXT720916 PHP720904:PHP720916 PRL720904:PRL720916 QBH720904:QBH720916 QLD720904:QLD720916 QUZ720904:QUZ720916 REV720904:REV720916 ROR720904:ROR720916 RYN720904:RYN720916 SIJ720904:SIJ720916 SSF720904:SSF720916 TCB720904:TCB720916 TLX720904:TLX720916 TVT720904:TVT720916 UFP720904:UFP720916 UPL720904:UPL720916 UZH720904:UZH720916 VJD720904:VJD720916 VSZ720904:VSZ720916 WCV720904:WCV720916 WMR720904:WMR720916 WWN720904:WWN720916 AF786440:AF786452 KB786440:KB786452 TX786440:TX786452 ADT786440:ADT786452 ANP786440:ANP786452 AXL786440:AXL786452 BHH786440:BHH786452 BRD786440:BRD786452 CAZ786440:CAZ786452 CKV786440:CKV786452 CUR786440:CUR786452 DEN786440:DEN786452 DOJ786440:DOJ786452 DYF786440:DYF786452 EIB786440:EIB786452 ERX786440:ERX786452 FBT786440:FBT786452 FLP786440:FLP786452 FVL786440:FVL786452 GFH786440:GFH786452 GPD786440:GPD786452 GYZ786440:GYZ786452 HIV786440:HIV786452 HSR786440:HSR786452 ICN786440:ICN786452 IMJ786440:IMJ786452 IWF786440:IWF786452 JGB786440:JGB786452 JPX786440:JPX786452 JZT786440:JZT786452 KJP786440:KJP786452 KTL786440:KTL786452 LDH786440:LDH786452 LND786440:LND786452 LWZ786440:LWZ786452 MGV786440:MGV786452 MQR786440:MQR786452 NAN786440:NAN786452 NKJ786440:NKJ786452 NUF786440:NUF786452 OEB786440:OEB786452 ONX786440:ONX786452 OXT786440:OXT786452 PHP786440:PHP786452 PRL786440:PRL786452 QBH786440:QBH786452 QLD786440:QLD786452 QUZ786440:QUZ786452 REV786440:REV786452 ROR786440:ROR786452 RYN786440:RYN786452 SIJ786440:SIJ786452 SSF786440:SSF786452 TCB786440:TCB786452 TLX786440:TLX786452 TVT786440:TVT786452 UFP786440:UFP786452 UPL786440:UPL786452 UZH786440:UZH786452 VJD786440:VJD786452 VSZ786440:VSZ786452 WCV786440:WCV786452 WMR786440:WMR786452 WWN786440:WWN786452 AF851976:AF851988 KB851976:KB851988 TX851976:TX851988 ADT851976:ADT851988 ANP851976:ANP851988 AXL851976:AXL851988 BHH851976:BHH851988 BRD851976:BRD851988 CAZ851976:CAZ851988 CKV851976:CKV851988 CUR851976:CUR851988 DEN851976:DEN851988 DOJ851976:DOJ851988 DYF851976:DYF851988 EIB851976:EIB851988 ERX851976:ERX851988 FBT851976:FBT851988 FLP851976:FLP851988 FVL851976:FVL851988 GFH851976:GFH851988 GPD851976:GPD851988 GYZ851976:GYZ851988 HIV851976:HIV851988 HSR851976:HSR851988 ICN851976:ICN851988 IMJ851976:IMJ851988 IWF851976:IWF851988 JGB851976:JGB851988 JPX851976:JPX851988 JZT851976:JZT851988 KJP851976:KJP851988 KTL851976:KTL851988 LDH851976:LDH851988 LND851976:LND851988 LWZ851976:LWZ851988 MGV851976:MGV851988 MQR851976:MQR851988 NAN851976:NAN851988 NKJ851976:NKJ851988 NUF851976:NUF851988 OEB851976:OEB851988 ONX851976:ONX851988 OXT851976:OXT851988 PHP851976:PHP851988 PRL851976:PRL851988 QBH851976:QBH851988 QLD851976:QLD851988 QUZ851976:QUZ851988 REV851976:REV851988 ROR851976:ROR851988 RYN851976:RYN851988 SIJ851976:SIJ851988 SSF851976:SSF851988 TCB851976:TCB851988 TLX851976:TLX851988 TVT851976:TVT851988 UFP851976:UFP851988 UPL851976:UPL851988 UZH851976:UZH851988 VJD851976:VJD851988 VSZ851976:VSZ851988 WCV851976:WCV851988 WMR851976:WMR851988 WWN851976:WWN851988 AF917512:AF917524 KB917512:KB917524 TX917512:TX917524 ADT917512:ADT917524 ANP917512:ANP917524 AXL917512:AXL917524 BHH917512:BHH917524 BRD917512:BRD917524 CAZ917512:CAZ917524 CKV917512:CKV917524 CUR917512:CUR917524 DEN917512:DEN917524 DOJ917512:DOJ917524 DYF917512:DYF917524 EIB917512:EIB917524 ERX917512:ERX917524 FBT917512:FBT917524 FLP917512:FLP917524 FVL917512:FVL917524 GFH917512:GFH917524 GPD917512:GPD917524 GYZ917512:GYZ917524 HIV917512:HIV917524 HSR917512:HSR917524 ICN917512:ICN917524 IMJ917512:IMJ917524 IWF917512:IWF917524 JGB917512:JGB917524 JPX917512:JPX917524 JZT917512:JZT917524 KJP917512:KJP917524 KTL917512:KTL917524 LDH917512:LDH917524 LND917512:LND917524 LWZ917512:LWZ917524 MGV917512:MGV917524 MQR917512:MQR917524 NAN917512:NAN917524 NKJ917512:NKJ917524 NUF917512:NUF917524 OEB917512:OEB917524 ONX917512:ONX917524 OXT917512:OXT917524 PHP917512:PHP917524 PRL917512:PRL917524 QBH917512:QBH917524 QLD917512:QLD917524 QUZ917512:QUZ917524 REV917512:REV917524 ROR917512:ROR917524 RYN917512:RYN917524 SIJ917512:SIJ917524 SSF917512:SSF917524 TCB917512:TCB917524 TLX917512:TLX917524 TVT917512:TVT917524 UFP917512:UFP917524 UPL917512:UPL917524 UZH917512:UZH917524 VJD917512:VJD917524 VSZ917512:VSZ917524 WCV917512:WCV917524 WMR917512:WMR917524 WWN917512:WWN917524 AF983048:AF983060 KB983048:KB983060 TX983048:TX983060 ADT983048:ADT983060 ANP983048:ANP983060 AXL983048:AXL983060 BHH983048:BHH983060 BRD983048:BRD983060 CAZ983048:CAZ983060 CKV983048:CKV983060 CUR983048:CUR983060 DEN983048:DEN983060 DOJ983048:DOJ983060 DYF983048:DYF983060 EIB983048:EIB983060 ERX983048:ERX983060 FBT983048:FBT983060 FLP983048:FLP983060 FVL983048:FVL983060 GFH983048:GFH983060 GPD983048:GPD983060 GYZ983048:GYZ983060 HIV983048:HIV983060 HSR983048:HSR983060 ICN983048:ICN983060 IMJ983048:IMJ983060 IWF983048:IWF983060 JGB983048:JGB983060 JPX983048:JPX983060 JZT983048:JZT983060 KJP983048:KJP983060 KTL983048:KTL983060 LDH983048:LDH983060 LND983048:LND983060 LWZ983048:LWZ983060 MGV983048:MGV983060 MQR983048:MQR983060 NAN983048:NAN983060 NKJ983048:NKJ983060 NUF983048:NUF983060 OEB983048:OEB983060 ONX983048:ONX983060 OXT983048:OXT983060 PHP983048:PHP983060 PRL983048:PRL983060 QBH983048:QBH983060 QLD983048:QLD983060 QUZ983048:QUZ983060 REV983048:REV983060 ROR983048:ROR983060 RYN983048:RYN983060 SIJ983048:SIJ983060 SSF983048:SSF983060 TCB983048:TCB983060 TLX983048:TLX983060 TVT983048:TVT983060 UFP983048:UFP983060 UPL983048:UPL983060 UZH983048:UZH983060 VJD983048:VJD983060 VSZ983048:VSZ983060 WCV983048:WCV983060 WMR983048:WMR983060 WWN983048:WWN983060">
      <formula1>$AJ$1:$AJ$4</formula1>
    </dataValidation>
    <dataValidation type="list" allowBlank="1" showInputMessage="1" showErrorMessage="1" sqref="AE8:AE9 KA8 TW8 ADS8 ANO8 AXK8 BHG8 BRC8 CAY8 CKU8 CUQ8 DEM8 DOI8 DYE8 EIA8 ERW8 FBS8 FLO8 FVK8 GFG8 GPC8 GYY8 HIU8 HSQ8 ICM8 IMI8 IWE8 JGA8 JPW8 JZS8 KJO8 KTK8 LDG8 LNC8 LWY8 MGU8 MQQ8 NAM8 NKI8 NUE8 OEA8 ONW8 OXS8 PHO8 PRK8 QBG8 QLC8 QUY8 REU8 ROQ8 RYM8 SII8 SSE8 TCA8 TLW8 TVS8 UFO8 UPK8 UZG8 VJC8 VSY8 WCU8 WMQ8 WWM8 AE65544 KA65544 TW65544 ADS65544 ANO65544 AXK65544 BHG65544 BRC65544 CAY65544 CKU65544 CUQ65544 DEM65544 DOI65544 DYE65544 EIA65544 ERW65544 FBS65544 FLO65544 FVK65544 GFG65544 GPC65544 GYY65544 HIU65544 HSQ65544 ICM65544 IMI65544 IWE65544 JGA65544 JPW65544 JZS65544 KJO65544 KTK65544 LDG65544 LNC65544 LWY65544 MGU65544 MQQ65544 NAM65544 NKI65544 NUE65544 OEA65544 ONW65544 OXS65544 PHO65544 PRK65544 QBG65544 QLC65544 QUY65544 REU65544 ROQ65544 RYM65544 SII65544 SSE65544 TCA65544 TLW65544 TVS65544 UFO65544 UPK65544 UZG65544 VJC65544 VSY65544 WCU65544 WMQ65544 WWM65544 AE131080 KA131080 TW131080 ADS131080 ANO131080 AXK131080 BHG131080 BRC131080 CAY131080 CKU131080 CUQ131080 DEM131080 DOI131080 DYE131080 EIA131080 ERW131080 FBS131080 FLO131080 FVK131080 GFG131080 GPC131080 GYY131080 HIU131080 HSQ131080 ICM131080 IMI131080 IWE131080 JGA131080 JPW131080 JZS131080 KJO131080 KTK131080 LDG131080 LNC131080 LWY131080 MGU131080 MQQ131080 NAM131080 NKI131080 NUE131080 OEA131080 ONW131080 OXS131080 PHO131080 PRK131080 QBG131080 QLC131080 QUY131080 REU131080 ROQ131080 RYM131080 SII131080 SSE131080 TCA131080 TLW131080 TVS131080 UFO131080 UPK131080 UZG131080 VJC131080 VSY131080 WCU131080 WMQ131080 WWM131080 AE196616 KA196616 TW196616 ADS196616 ANO196616 AXK196616 BHG196616 BRC196616 CAY196616 CKU196616 CUQ196616 DEM196616 DOI196616 DYE196616 EIA196616 ERW196616 FBS196616 FLO196616 FVK196616 GFG196616 GPC196616 GYY196616 HIU196616 HSQ196616 ICM196616 IMI196616 IWE196616 JGA196616 JPW196616 JZS196616 KJO196616 KTK196616 LDG196616 LNC196616 LWY196616 MGU196616 MQQ196616 NAM196616 NKI196616 NUE196616 OEA196616 ONW196616 OXS196616 PHO196616 PRK196616 QBG196616 QLC196616 QUY196616 REU196616 ROQ196616 RYM196616 SII196616 SSE196616 TCA196616 TLW196616 TVS196616 UFO196616 UPK196616 UZG196616 VJC196616 VSY196616 WCU196616 WMQ196616 WWM196616 AE262152 KA262152 TW262152 ADS262152 ANO262152 AXK262152 BHG262152 BRC262152 CAY262152 CKU262152 CUQ262152 DEM262152 DOI262152 DYE262152 EIA262152 ERW262152 FBS262152 FLO262152 FVK262152 GFG262152 GPC262152 GYY262152 HIU262152 HSQ262152 ICM262152 IMI262152 IWE262152 JGA262152 JPW262152 JZS262152 KJO262152 KTK262152 LDG262152 LNC262152 LWY262152 MGU262152 MQQ262152 NAM262152 NKI262152 NUE262152 OEA262152 ONW262152 OXS262152 PHO262152 PRK262152 QBG262152 QLC262152 QUY262152 REU262152 ROQ262152 RYM262152 SII262152 SSE262152 TCA262152 TLW262152 TVS262152 UFO262152 UPK262152 UZG262152 VJC262152 VSY262152 WCU262152 WMQ262152 WWM262152 AE327688 KA327688 TW327688 ADS327688 ANO327688 AXK327688 BHG327688 BRC327688 CAY327688 CKU327688 CUQ327688 DEM327688 DOI327688 DYE327688 EIA327688 ERW327688 FBS327688 FLO327688 FVK327688 GFG327688 GPC327688 GYY327688 HIU327688 HSQ327688 ICM327688 IMI327688 IWE327688 JGA327688 JPW327688 JZS327688 KJO327688 KTK327688 LDG327688 LNC327688 LWY327688 MGU327688 MQQ327688 NAM327688 NKI327688 NUE327688 OEA327688 ONW327688 OXS327688 PHO327688 PRK327688 QBG327688 QLC327688 QUY327688 REU327688 ROQ327688 RYM327688 SII327688 SSE327688 TCA327688 TLW327688 TVS327688 UFO327688 UPK327688 UZG327688 VJC327688 VSY327688 WCU327688 WMQ327688 WWM327688 AE393224 KA393224 TW393224 ADS393224 ANO393224 AXK393224 BHG393224 BRC393224 CAY393224 CKU393224 CUQ393224 DEM393224 DOI393224 DYE393224 EIA393224 ERW393224 FBS393224 FLO393224 FVK393224 GFG393224 GPC393224 GYY393224 HIU393224 HSQ393224 ICM393224 IMI393224 IWE393224 JGA393224 JPW393224 JZS393224 KJO393224 KTK393224 LDG393224 LNC393224 LWY393224 MGU393224 MQQ393224 NAM393224 NKI393224 NUE393224 OEA393224 ONW393224 OXS393224 PHO393224 PRK393224 QBG393224 QLC393224 QUY393224 REU393224 ROQ393224 RYM393224 SII393224 SSE393224 TCA393224 TLW393224 TVS393224 UFO393224 UPK393224 UZG393224 VJC393224 VSY393224 WCU393224 WMQ393224 WWM393224 AE458760 KA458760 TW458760 ADS458760 ANO458760 AXK458760 BHG458760 BRC458760 CAY458760 CKU458760 CUQ458760 DEM458760 DOI458760 DYE458760 EIA458760 ERW458760 FBS458760 FLO458760 FVK458760 GFG458760 GPC458760 GYY458760 HIU458760 HSQ458760 ICM458760 IMI458760 IWE458760 JGA458760 JPW458760 JZS458760 KJO458760 KTK458760 LDG458760 LNC458760 LWY458760 MGU458760 MQQ458760 NAM458760 NKI458760 NUE458760 OEA458760 ONW458760 OXS458760 PHO458760 PRK458760 QBG458760 QLC458760 QUY458760 REU458760 ROQ458760 RYM458760 SII458760 SSE458760 TCA458760 TLW458760 TVS458760 UFO458760 UPK458760 UZG458760 VJC458760 VSY458760 WCU458760 WMQ458760 WWM458760 AE524296 KA524296 TW524296 ADS524296 ANO524296 AXK524296 BHG524296 BRC524296 CAY524296 CKU524296 CUQ524296 DEM524296 DOI524296 DYE524296 EIA524296 ERW524296 FBS524296 FLO524296 FVK524296 GFG524296 GPC524296 GYY524296 HIU524296 HSQ524296 ICM524296 IMI524296 IWE524296 JGA524296 JPW524296 JZS524296 KJO524296 KTK524296 LDG524296 LNC524296 LWY524296 MGU524296 MQQ524296 NAM524296 NKI524296 NUE524296 OEA524296 ONW524296 OXS524296 PHO524296 PRK524296 QBG524296 QLC524296 QUY524296 REU524296 ROQ524296 RYM524296 SII524296 SSE524296 TCA524296 TLW524296 TVS524296 UFO524296 UPK524296 UZG524296 VJC524296 VSY524296 WCU524296 WMQ524296 WWM524296 AE589832 KA589832 TW589832 ADS589832 ANO589832 AXK589832 BHG589832 BRC589832 CAY589832 CKU589832 CUQ589832 DEM589832 DOI589832 DYE589832 EIA589832 ERW589832 FBS589832 FLO589832 FVK589832 GFG589832 GPC589832 GYY589832 HIU589832 HSQ589832 ICM589832 IMI589832 IWE589832 JGA589832 JPW589832 JZS589832 KJO589832 KTK589832 LDG589832 LNC589832 LWY589832 MGU589832 MQQ589832 NAM589832 NKI589832 NUE589832 OEA589832 ONW589832 OXS589832 PHO589832 PRK589832 QBG589832 QLC589832 QUY589832 REU589832 ROQ589832 RYM589832 SII589832 SSE589832 TCA589832 TLW589832 TVS589832 UFO589832 UPK589832 UZG589832 VJC589832 VSY589832 WCU589832 WMQ589832 WWM589832 AE655368 KA655368 TW655368 ADS655368 ANO655368 AXK655368 BHG655368 BRC655368 CAY655368 CKU655368 CUQ655368 DEM655368 DOI655368 DYE655368 EIA655368 ERW655368 FBS655368 FLO655368 FVK655368 GFG655368 GPC655368 GYY655368 HIU655368 HSQ655368 ICM655368 IMI655368 IWE655368 JGA655368 JPW655368 JZS655368 KJO655368 KTK655368 LDG655368 LNC655368 LWY655368 MGU655368 MQQ655368 NAM655368 NKI655368 NUE655368 OEA655368 ONW655368 OXS655368 PHO655368 PRK655368 QBG655368 QLC655368 QUY655368 REU655368 ROQ655368 RYM655368 SII655368 SSE655368 TCA655368 TLW655368 TVS655368 UFO655368 UPK655368 UZG655368 VJC655368 VSY655368 WCU655368 WMQ655368 WWM655368 AE720904 KA720904 TW720904 ADS720904 ANO720904 AXK720904 BHG720904 BRC720904 CAY720904 CKU720904 CUQ720904 DEM720904 DOI720904 DYE720904 EIA720904 ERW720904 FBS720904 FLO720904 FVK720904 GFG720904 GPC720904 GYY720904 HIU720904 HSQ720904 ICM720904 IMI720904 IWE720904 JGA720904 JPW720904 JZS720904 KJO720904 KTK720904 LDG720904 LNC720904 LWY720904 MGU720904 MQQ720904 NAM720904 NKI720904 NUE720904 OEA720904 ONW720904 OXS720904 PHO720904 PRK720904 QBG720904 QLC720904 QUY720904 REU720904 ROQ720904 RYM720904 SII720904 SSE720904 TCA720904 TLW720904 TVS720904 UFO720904 UPK720904 UZG720904 VJC720904 VSY720904 WCU720904 WMQ720904 WWM720904 AE786440 KA786440 TW786440 ADS786440 ANO786440 AXK786440 BHG786440 BRC786440 CAY786440 CKU786440 CUQ786440 DEM786440 DOI786440 DYE786440 EIA786440 ERW786440 FBS786440 FLO786440 FVK786440 GFG786440 GPC786440 GYY786440 HIU786440 HSQ786440 ICM786440 IMI786440 IWE786440 JGA786440 JPW786440 JZS786440 KJO786440 KTK786440 LDG786440 LNC786440 LWY786440 MGU786440 MQQ786440 NAM786440 NKI786440 NUE786440 OEA786440 ONW786440 OXS786440 PHO786440 PRK786440 QBG786440 QLC786440 QUY786440 REU786440 ROQ786440 RYM786440 SII786440 SSE786440 TCA786440 TLW786440 TVS786440 UFO786440 UPK786440 UZG786440 VJC786440 VSY786440 WCU786440 WMQ786440 WWM786440 AE851976 KA851976 TW851976 ADS851976 ANO851976 AXK851976 BHG851976 BRC851976 CAY851976 CKU851976 CUQ851976 DEM851976 DOI851976 DYE851976 EIA851976 ERW851976 FBS851976 FLO851976 FVK851976 GFG851976 GPC851976 GYY851976 HIU851976 HSQ851976 ICM851976 IMI851976 IWE851976 JGA851976 JPW851976 JZS851976 KJO851976 KTK851976 LDG851976 LNC851976 LWY851976 MGU851976 MQQ851976 NAM851976 NKI851976 NUE851976 OEA851976 ONW851976 OXS851976 PHO851976 PRK851976 QBG851976 QLC851976 QUY851976 REU851976 ROQ851976 RYM851976 SII851976 SSE851976 TCA851976 TLW851976 TVS851976 UFO851976 UPK851976 UZG851976 VJC851976 VSY851976 WCU851976 WMQ851976 WWM851976 AE917512 KA917512 TW917512 ADS917512 ANO917512 AXK917512 BHG917512 BRC917512 CAY917512 CKU917512 CUQ917512 DEM917512 DOI917512 DYE917512 EIA917512 ERW917512 FBS917512 FLO917512 FVK917512 GFG917512 GPC917512 GYY917512 HIU917512 HSQ917512 ICM917512 IMI917512 IWE917512 JGA917512 JPW917512 JZS917512 KJO917512 KTK917512 LDG917512 LNC917512 LWY917512 MGU917512 MQQ917512 NAM917512 NKI917512 NUE917512 OEA917512 ONW917512 OXS917512 PHO917512 PRK917512 QBG917512 QLC917512 QUY917512 REU917512 ROQ917512 RYM917512 SII917512 SSE917512 TCA917512 TLW917512 TVS917512 UFO917512 UPK917512 UZG917512 VJC917512 VSY917512 WCU917512 WMQ917512 WWM917512 AE983048 KA983048 TW983048 ADS983048 ANO983048 AXK983048 BHG983048 BRC983048 CAY983048 CKU983048 CUQ983048 DEM983048 DOI983048 DYE983048 EIA983048 ERW983048 FBS983048 FLO983048 FVK983048 GFG983048 GPC983048 GYY983048 HIU983048 HSQ983048 ICM983048 IMI983048 IWE983048 JGA983048 JPW983048 JZS983048 KJO983048 KTK983048 LDG983048 LNC983048 LWY983048 MGU983048 MQQ983048 NAM983048 NKI983048 NUE983048 OEA983048 ONW983048 OXS983048 PHO983048 PRK983048 QBG983048 QLC983048 QUY983048 REU983048 ROQ983048 RYM983048 SII983048 SSE983048 TCA983048 TLW983048 TVS983048 UFO983048 UPK983048 UZG983048 VJC983048 VSY983048 WCU983048 WMQ983048 WWM983048">
      <formula1>$B$30:$B$32</formula1>
    </dataValidation>
    <dataValidation type="list" allowBlank="1" showInputMessage="1" showErrorMessage="1" sqref="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49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85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621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57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9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29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65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301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37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7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909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45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81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517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5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formula1>$H$28:$H$32</formula1>
    </dataValidation>
  </dataValidations>
  <printOptions horizontalCentered="1"/>
  <pageMargins left="0.25" right="0.25" top="0.75" bottom="0.75" header="0.3" footer="0.3"/>
  <pageSetup scale="45" orientation="landscape" copies="2"/>
  <headerFooter>
    <oddFooter>&amp;C&amp;"Tahoma,Cursiva"&amp;9Si usted ha accedido a este formato a través de un medio diferente al sitio web del Sistema de Control Documental del SIGEC asegúrese que ésta es la versión vigente</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35"/>
  <sheetViews>
    <sheetView view="pageBreakPreview" topLeftCell="E10" zoomScale="80" zoomScaleNormal="100" zoomScaleSheetLayoutView="80" workbookViewId="0">
      <selection activeCell="AC13" sqref="AC13"/>
    </sheetView>
  </sheetViews>
  <sheetFormatPr baseColWidth="10" defaultRowHeight="12.75"/>
  <cols>
    <col min="1" max="1" width="8" style="2" customWidth="1"/>
    <col min="2" max="2" width="13.42578125" style="2" customWidth="1"/>
    <col min="3" max="3" width="5.42578125" style="2" customWidth="1"/>
    <col min="4" max="4" width="8.28515625" style="2" customWidth="1"/>
    <col min="5" max="5" width="21.28515625" style="2" customWidth="1"/>
    <col min="6" max="6" width="4.140625" style="2" customWidth="1"/>
    <col min="7" max="7" width="10.7109375" style="2" customWidth="1"/>
    <col min="8" max="8" width="10.42578125" style="2" customWidth="1"/>
    <col min="9" max="10" width="2.140625" style="2" customWidth="1"/>
    <col min="11" max="11" width="3.28515625" style="2" customWidth="1"/>
    <col min="12" max="12" width="0.28515625" style="2" hidden="1" customWidth="1"/>
    <col min="13" max="13" width="0.42578125" style="2" hidden="1" customWidth="1"/>
    <col min="14" max="14" width="2.85546875" style="2" customWidth="1"/>
    <col min="15" max="15" width="3.28515625" style="2" customWidth="1"/>
    <col min="16" max="16" width="1.5703125" style="2" customWidth="1"/>
    <col min="17" max="17" width="1.85546875" style="2" hidden="1" customWidth="1"/>
    <col min="18" max="18" width="6.85546875" style="2" customWidth="1"/>
    <col min="19" max="19" width="3" style="2" hidden="1" customWidth="1"/>
    <col min="20" max="20" width="6.28515625" style="2" customWidth="1"/>
    <col min="21" max="21" width="5.7109375" style="2" customWidth="1"/>
    <col min="22" max="22" width="13.85546875" style="2" customWidth="1"/>
    <col min="23" max="23" width="17.85546875" style="2" customWidth="1"/>
    <col min="24" max="24" width="19.140625" style="2" customWidth="1"/>
    <col min="25" max="25" width="0.42578125" style="2" hidden="1" customWidth="1"/>
    <col min="26" max="26" width="13" style="2" customWidth="1"/>
    <col min="27" max="27" width="15.42578125" style="2" customWidth="1"/>
    <col min="28" max="28" width="11.7109375" style="2" customWidth="1"/>
    <col min="29" max="29" width="12.28515625" style="2" customWidth="1"/>
    <col min="30" max="30" width="8.140625" style="2" customWidth="1"/>
    <col min="31" max="31" width="11.5703125" style="2" customWidth="1"/>
    <col min="32" max="32" width="26.28515625" style="2" customWidth="1"/>
    <col min="33" max="33" width="12" style="2" customWidth="1"/>
    <col min="34" max="35" width="0.28515625" style="2" customWidth="1"/>
    <col min="36" max="36" width="1.42578125" style="2" customWidth="1"/>
    <col min="37" max="37" width="1.28515625" style="2" hidden="1" customWidth="1"/>
    <col min="38" max="256" width="11.42578125" style="2"/>
    <col min="257" max="257" width="8" style="2" customWidth="1"/>
    <col min="258" max="258" width="13.42578125" style="2" customWidth="1"/>
    <col min="259" max="259" width="4.28515625" style="2" customWidth="1"/>
    <col min="260" max="260" width="4" style="2" customWidth="1"/>
    <col min="261" max="261" width="17" style="2" customWidth="1"/>
    <col min="262" max="262" width="4.140625" style="2" customWidth="1"/>
    <col min="263" max="263" width="11.28515625" style="2" customWidth="1"/>
    <col min="264" max="264" width="11" style="2" customWidth="1"/>
    <col min="265" max="266" width="2.140625" style="2" customWidth="1"/>
    <col min="267" max="267" width="3.28515625" style="2" customWidth="1"/>
    <col min="268" max="269" width="0" style="2" hidden="1" customWidth="1"/>
    <col min="270" max="270" width="2.85546875" style="2" customWidth="1"/>
    <col min="271" max="271" width="3.28515625" style="2" customWidth="1"/>
    <col min="272" max="272" width="1.5703125" style="2" customWidth="1"/>
    <col min="273" max="273" width="0" style="2" hidden="1" customWidth="1"/>
    <col min="274" max="274" width="6.85546875" style="2" customWidth="1"/>
    <col min="275" max="275" width="0" style="2" hidden="1" customWidth="1"/>
    <col min="276" max="277" width="6.28515625" style="2" customWidth="1"/>
    <col min="278" max="278" width="13.85546875" style="2" customWidth="1"/>
    <col min="279" max="279" width="10.85546875" style="2" customWidth="1"/>
    <col min="280" max="280" width="14.7109375" style="2" customWidth="1"/>
    <col min="281" max="281" width="0" style="2" hidden="1" customWidth="1"/>
    <col min="282" max="282" width="13" style="2" customWidth="1"/>
    <col min="283" max="283" width="12.7109375" style="2" customWidth="1"/>
    <col min="284" max="284" width="13.140625" style="2" customWidth="1"/>
    <col min="285" max="285" width="14" style="2" customWidth="1"/>
    <col min="286" max="286" width="8.140625" style="2" customWidth="1"/>
    <col min="287" max="287" width="11.5703125" style="2" customWidth="1"/>
    <col min="288" max="288" width="24.7109375" style="2" customWidth="1"/>
    <col min="289" max="289" width="12" style="2" customWidth="1"/>
    <col min="290" max="291" width="0.28515625" style="2" customWidth="1"/>
    <col min="292" max="292" width="1.42578125" style="2" customWidth="1"/>
    <col min="293" max="293" width="0" style="2" hidden="1" customWidth="1"/>
    <col min="294" max="512" width="11.42578125" style="2"/>
    <col min="513" max="513" width="8" style="2" customWidth="1"/>
    <col min="514" max="514" width="13.42578125" style="2" customWidth="1"/>
    <col min="515" max="515" width="4.28515625" style="2" customWidth="1"/>
    <col min="516" max="516" width="4" style="2" customWidth="1"/>
    <col min="517" max="517" width="17" style="2" customWidth="1"/>
    <col min="518" max="518" width="4.140625" style="2" customWidth="1"/>
    <col min="519" max="519" width="11.28515625" style="2" customWidth="1"/>
    <col min="520" max="520" width="11" style="2" customWidth="1"/>
    <col min="521" max="522" width="2.140625" style="2" customWidth="1"/>
    <col min="523" max="523" width="3.28515625" style="2" customWidth="1"/>
    <col min="524" max="525" width="0" style="2" hidden="1" customWidth="1"/>
    <col min="526" max="526" width="2.85546875" style="2" customWidth="1"/>
    <col min="527" max="527" width="3.28515625" style="2" customWidth="1"/>
    <col min="528" max="528" width="1.5703125" style="2" customWidth="1"/>
    <col min="529" max="529" width="0" style="2" hidden="1" customWidth="1"/>
    <col min="530" max="530" width="6.85546875" style="2" customWidth="1"/>
    <col min="531" max="531" width="0" style="2" hidden="1" customWidth="1"/>
    <col min="532" max="533" width="6.28515625" style="2" customWidth="1"/>
    <col min="534" max="534" width="13.85546875" style="2" customWidth="1"/>
    <col min="535" max="535" width="10.85546875" style="2" customWidth="1"/>
    <col min="536" max="536" width="14.7109375" style="2" customWidth="1"/>
    <col min="537" max="537" width="0" style="2" hidden="1" customWidth="1"/>
    <col min="538" max="538" width="13" style="2" customWidth="1"/>
    <col min="539" max="539" width="12.7109375" style="2" customWidth="1"/>
    <col min="540" max="540" width="13.140625" style="2" customWidth="1"/>
    <col min="541" max="541" width="14" style="2" customWidth="1"/>
    <col min="542" max="542" width="8.140625" style="2" customWidth="1"/>
    <col min="543" max="543" width="11.5703125" style="2" customWidth="1"/>
    <col min="544" max="544" width="24.7109375" style="2" customWidth="1"/>
    <col min="545" max="545" width="12" style="2" customWidth="1"/>
    <col min="546" max="547" width="0.28515625" style="2" customWidth="1"/>
    <col min="548" max="548" width="1.42578125" style="2" customWidth="1"/>
    <col min="549" max="549" width="0" style="2" hidden="1" customWidth="1"/>
    <col min="550" max="768" width="11.42578125" style="2"/>
    <col min="769" max="769" width="8" style="2" customWidth="1"/>
    <col min="770" max="770" width="13.42578125" style="2" customWidth="1"/>
    <col min="771" max="771" width="4.28515625" style="2" customWidth="1"/>
    <col min="772" max="772" width="4" style="2" customWidth="1"/>
    <col min="773" max="773" width="17" style="2" customWidth="1"/>
    <col min="774" max="774" width="4.140625" style="2" customWidth="1"/>
    <col min="775" max="775" width="11.28515625" style="2" customWidth="1"/>
    <col min="776" max="776" width="11" style="2" customWidth="1"/>
    <col min="777" max="778" width="2.140625" style="2" customWidth="1"/>
    <col min="779" max="779" width="3.28515625" style="2" customWidth="1"/>
    <col min="780" max="781" width="0" style="2" hidden="1" customWidth="1"/>
    <col min="782" max="782" width="2.85546875" style="2" customWidth="1"/>
    <col min="783" max="783" width="3.28515625" style="2" customWidth="1"/>
    <col min="784" max="784" width="1.5703125" style="2" customWidth="1"/>
    <col min="785" max="785" width="0" style="2" hidden="1" customWidth="1"/>
    <col min="786" max="786" width="6.85546875" style="2" customWidth="1"/>
    <col min="787" max="787" width="0" style="2" hidden="1" customWidth="1"/>
    <col min="788" max="789" width="6.28515625" style="2" customWidth="1"/>
    <col min="790" max="790" width="13.85546875" style="2" customWidth="1"/>
    <col min="791" max="791" width="10.85546875" style="2" customWidth="1"/>
    <col min="792" max="792" width="14.7109375" style="2" customWidth="1"/>
    <col min="793" max="793" width="0" style="2" hidden="1" customWidth="1"/>
    <col min="794" max="794" width="13" style="2" customWidth="1"/>
    <col min="795" max="795" width="12.7109375" style="2" customWidth="1"/>
    <col min="796" max="796" width="13.140625" style="2" customWidth="1"/>
    <col min="797" max="797" width="14" style="2" customWidth="1"/>
    <col min="798" max="798" width="8.140625" style="2" customWidth="1"/>
    <col min="799" max="799" width="11.5703125" style="2" customWidth="1"/>
    <col min="800" max="800" width="24.7109375" style="2" customWidth="1"/>
    <col min="801" max="801" width="12" style="2" customWidth="1"/>
    <col min="802" max="803" width="0.28515625" style="2" customWidth="1"/>
    <col min="804" max="804" width="1.42578125" style="2" customWidth="1"/>
    <col min="805" max="805" width="0" style="2" hidden="1" customWidth="1"/>
    <col min="806" max="1024" width="11.42578125" style="2"/>
    <col min="1025" max="1025" width="8" style="2" customWidth="1"/>
    <col min="1026" max="1026" width="13.42578125" style="2" customWidth="1"/>
    <col min="1027" max="1027" width="4.28515625" style="2" customWidth="1"/>
    <col min="1028" max="1028" width="4" style="2" customWidth="1"/>
    <col min="1029" max="1029" width="17" style="2" customWidth="1"/>
    <col min="1030" max="1030" width="4.140625" style="2" customWidth="1"/>
    <col min="1031" max="1031" width="11.28515625" style="2" customWidth="1"/>
    <col min="1032" max="1032" width="11" style="2" customWidth="1"/>
    <col min="1033" max="1034" width="2.140625" style="2" customWidth="1"/>
    <col min="1035" max="1035" width="3.28515625" style="2" customWidth="1"/>
    <col min="1036" max="1037" width="0" style="2" hidden="1" customWidth="1"/>
    <col min="1038" max="1038" width="2.85546875" style="2" customWidth="1"/>
    <col min="1039" max="1039" width="3.28515625" style="2" customWidth="1"/>
    <col min="1040" max="1040" width="1.5703125" style="2" customWidth="1"/>
    <col min="1041" max="1041" width="0" style="2" hidden="1" customWidth="1"/>
    <col min="1042" max="1042" width="6.85546875" style="2" customWidth="1"/>
    <col min="1043" max="1043" width="0" style="2" hidden="1" customWidth="1"/>
    <col min="1044" max="1045" width="6.28515625" style="2" customWidth="1"/>
    <col min="1046" max="1046" width="13.85546875" style="2" customWidth="1"/>
    <col min="1047" max="1047" width="10.85546875" style="2" customWidth="1"/>
    <col min="1048" max="1048" width="14.7109375" style="2" customWidth="1"/>
    <col min="1049" max="1049" width="0" style="2" hidden="1" customWidth="1"/>
    <col min="1050" max="1050" width="13" style="2" customWidth="1"/>
    <col min="1051" max="1051" width="12.7109375" style="2" customWidth="1"/>
    <col min="1052" max="1052" width="13.140625" style="2" customWidth="1"/>
    <col min="1053" max="1053" width="14" style="2" customWidth="1"/>
    <col min="1054" max="1054" width="8.140625" style="2" customWidth="1"/>
    <col min="1055" max="1055" width="11.5703125" style="2" customWidth="1"/>
    <col min="1056" max="1056" width="24.7109375" style="2" customWidth="1"/>
    <col min="1057" max="1057" width="12" style="2" customWidth="1"/>
    <col min="1058" max="1059" width="0.28515625" style="2" customWidth="1"/>
    <col min="1060" max="1060" width="1.42578125" style="2" customWidth="1"/>
    <col min="1061" max="1061" width="0" style="2" hidden="1" customWidth="1"/>
    <col min="1062" max="1280" width="11.42578125" style="2"/>
    <col min="1281" max="1281" width="8" style="2" customWidth="1"/>
    <col min="1282" max="1282" width="13.42578125" style="2" customWidth="1"/>
    <col min="1283" max="1283" width="4.28515625" style="2" customWidth="1"/>
    <col min="1284" max="1284" width="4" style="2" customWidth="1"/>
    <col min="1285" max="1285" width="17" style="2" customWidth="1"/>
    <col min="1286" max="1286" width="4.140625" style="2" customWidth="1"/>
    <col min="1287" max="1287" width="11.28515625" style="2" customWidth="1"/>
    <col min="1288" max="1288" width="11" style="2" customWidth="1"/>
    <col min="1289" max="1290" width="2.140625" style="2" customWidth="1"/>
    <col min="1291" max="1291" width="3.28515625" style="2" customWidth="1"/>
    <col min="1292" max="1293" width="0" style="2" hidden="1" customWidth="1"/>
    <col min="1294" max="1294" width="2.85546875" style="2" customWidth="1"/>
    <col min="1295" max="1295" width="3.28515625" style="2" customWidth="1"/>
    <col min="1296" max="1296" width="1.5703125" style="2" customWidth="1"/>
    <col min="1297" max="1297" width="0" style="2" hidden="1" customWidth="1"/>
    <col min="1298" max="1298" width="6.85546875" style="2" customWidth="1"/>
    <col min="1299" max="1299" width="0" style="2" hidden="1" customWidth="1"/>
    <col min="1300" max="1301" width="6.28515625" style="2" customWidth="1"/>
    <col min="1302" max="1302" width="13.85546875" style="2" customWidth="1"/>
    <col min="1303" max="1303" width="10.85546875" style="2" customWidth="1"/>
    <col min="1304" max="1304" width="14.7109375" style="2" customWidth="1"/>
    <col min="1305" max="1305" width="0" style="2" hidden="1" customWidth="1"/>
    <col min="1306" max="1306" width="13" style="2" customWidth="1"/>
    <col min="1307" max="1307" width="12.7109375" style="2" customWidth="1"/>
    <col min="1308" max="1308" width="13.140625" style="2" customWidth="1"/>
    <col min="1309" max="1309" width="14" style="2" customWidth="1"/>
    <col min="1310" max="1310" width="8.140625" style="2" customWidth="1"/>
    <col min="1311" max="1311" width="11.5703125" style="2" customWidth="1"/>
    <col min="1312" max="1312" width="24.7109375" style="2" customWidth="1"/>
    <col min="1313" max="1313" width="12" style="2" customWidth="1"/>
    <col min="1314" max="1315" width="0.28515625" style="2" customWidth="1"/>
    <col min="1316" max="1316" width="1.42578125" style="2" customWidth="1"/>
    <col min="1317" max="1317" width="0" style="2" hidden="1" customWidth="1"/>
    <col min="1318" max="1536" width="11.42578125" style="2"/>
    <col min="1537" max="1537" width="8" style="2" customWidth="1"/>
    <col min="1538" max="1538" width="13.42578125" style="2" customWidth="1"/>
    <col min="1539" max="1539" width="4.28515625" style="2" customWidth="1"/>
    <col min="1540" max="1540" width="4" style="2" customWidth="1"/>
    <col min="1541" max="1541" width="17" style="2" customWidth="1"/>
    <col min="1542" max="1542" width="4.140625" style="2" customWidth="1"/>
    <col min="1543" max="1543" width="11.28515625" style="2" customWidth="1"/>
    <col min="1544" max="1544" width="11" style="2" customWidth="1"/>
    <col min="1545" max="1546" width="2.140625" style="2" customWidth="1"/>
    <col min="1547" max="1547" width="3.28515625" style="2" customWidth="1"/>
    <col min="1548" max="1549" width="0" style="2" hidden="1" customWidth="1"/>
    <col min="1550" max="1550" width="2.85546875" style="2" customWidth="1"/>
    <col min="1551" max="1551" width="3.28515625" style="2" customWidth="1"/>
    <col min="1552" max="1552" width="1.5703125" style="2" customWidth="1"/>
    <col min="1553" max="1553" width="0" style="2" hidden="1" customWidth="1"/>
    <col min="1554" max="1554" width="6.85546875" style="2" customWidth="1"/>
    <col min="1555" max="1555" width="0" style="2" hidden="1" customWidth="1"/>
    <col min="1556" max="1557" width="6.28515625" style="2" customWidth="1"/>
    <col min="1558" max="1558" width="13.85546875" style="2" customWidth="1"/>
    <col min="1559" max="1559" width="10.85546875" style="2" customWidth="1"/>
    <col min="1560" max="1560" width="14.7109375" style="2" customWidth="1"/>
    <col min="1561" max="1561" width="0" style="2" hidden="1" customWidth="1"/>
    <col min="1562" max="1562" width="13" style="2" customWidth="1"/>
    <col min="1563" max="1563" width="12.7109375" style="2" customWidth="1"/>
    <col min="1564" max="1564" width="13.140625" style="2" customWidth="1"/>
    <col min="1565" max="1565" width="14" style="2" customWidth="1"/>
    <col min="1566" max="1566" width="8.140625" style="2" customWidth="1"/>
    <col min="1567" max="1567" width="11.5703125" style="2" customWidth="1"/>
    <col min="1568" max="1568" width="24.7109375" style="2" customWidth="1"/>
    <col min="1569" max="1569" width="12" style="2" customWidth="1"/>
    <col min="1570" max="1571" width="0.28515625" style="2" customWidth="1"/>
    <col min="1572" max="1572" width="1.42578125" style="2" customWidth="1"/>
    <col min="1573" max="1573" width="0" style="2" hidden="1" customWidth="1"/>
    <col min="1574" max="1792" width="11.42578125" style="2"/>
    <col min="1793" max="1793" width="8" style="2" customWidth="1"/>
    <col min="1794" max="1794" width="13.42578125" style="2" customWidth="1"/>
    <col min="1795" max="1795" width="4.28515625" style="2" customWidth="1"/>
    <col min="1796" max="1796" width="4" style="2" customWidth="1"/>
    <col min="1797" max="1797" width="17" style="2" customWidth="1"/>
    <col min="1798" max="1798" width="4.140625" style="2" customWidth="1"/>
    <col min="1799" max="1799" width="11.28515625" style="2" customWidth="1"/>
    <col min="1800" max="1800" width="11" style="2" customWidth="1"/>
    <col min="1801" max="1802" width="2.140625" style="2" customWidth="1"/>
    <col min="1803" max="1803" width="3.28515625" style="2" customWidth="1"/>
    <col min="1804" max="1805" width="0" style="2" hidden="1" customWidth="1"/>
    <col min="1806" max="1806" width="2.85546875" style="2" customWidth="1"/>
    <col min="1807" max="1807" width="3.28515625" style="2" customWidth="1"/>
    <col min="1808" max="1808" width="1.5703125" style="2" customWidth="1"/>
    <col min="1809" max="1809" width="0" style="2" hidden="1" customWidth="1"/>
    <col min="1810" max="1810" width="6.85546875" style="2" customWidth="1"/>
    <col min="1811" max="1811" width="0" style="2" hidden="1" customWidth="1"/>
    <col min="1812" max="1813" width="6.28515625" style="2" customWidth="1"/>
    <col min="1814" max="1814" width="13.85546875" style="2" customWidth="1"/>
    <col min="1815" max="1815" width="10.85546875" style="2" customWidth="1"/>
    <col min="1816" max="1816" width="14.7109375" style="2" customWidth="1"/>
    <col min="1817" max="1817" width="0" style="2" hidden="1" customWidth="1"/>
    <col min="1818" max="1818" width="13" style="2" customWidth="1"/>
    <col min="1819" max="1819" width="12.7109375" style="2" customWidth="1"/>
    <col min="1820" max="1820" width="13.140625" style="2" customWidth="1"/>
    <col min="1821" max="1821" width="14" style="2" customWidth="1"/>
    <col min="1822" max="1822" width="8.140625" style="2" customWidth="1"/>
    <col min="1823" max="1823" width="11.5703125" style="2" customWidth="1"/>
    <col min="1824" max="1824" width="24.7109375" style="2" customWidth="1"/>
    <col min="1825" max="1825" width="12" style="2" customWidth="1"/>
    <col min="1826" max="1827" width="0.28515625" style="2" customWidth="1"/>
    <col min="1828" max="1828" width="1.42578125" style="2" customWidth="1"/>
    <col min="1829" max="1829" width="0" style="2" hidden="1" customWidth="1"/>
    <col min="1830" max="2048" width="11.42578125" style="2"/>
    <col min="2049" max="2049" width="8" style="2" customWidth="1"/>
    <col min="2050" max="2050" width="13.42578125" style="2" customWidth="1"/>
    <col min="2051" max="2051" width="4.28515625" style="2" customWidth="1"/>
    <col min="2052" max="2052" width="4" style="2" customWidth="1"/>
    <col min="2053" max="2053" width="17" style="2" customWidth="1"/>
    <col min="2054" max="2054" width="4.140625" style="2" customWidth="1"/>
    <col min="2055" max="2055" width="11.28515625" style="2" customWidth="1"/>
    <col min="2056" max="2056" width="11" style="2" customWidth="1"/>
    <col min="2057" max="2058" width="2.140625" style="2" customWidth="1"/>
    <col min="2059" max="2059" width="3.28515625" style="2" customWidth="1"/>
    <col min="2060" max="2061" width="0" style="2" hidden="1" customWidth="1"/>
    <col min="2062" max="2062" width="2.85546875" style="2" customWidth="1"/>
    <col min="2063" max="2063" width="3.28515625" style="2" customWidth="1"/>
    <col min="2064" max="2064" width="1.5703125" style="2" customWidth="1"/>
    <col min="2065" max="2065" width="0" style="2" hidden="1" customWidth="1"/>
    <col min="2066" max="2066" width="6.85546875" style="2" customWidth="1"/>
    <col min="2067" max="2067" width="0" style="2" hidden="1" customWidth="1"/>
    <col min="2068" max="2069" width="6.28515625" style="2" customWidth="1"/>
    <col min="2070" max="2070" width="13.85546875" style="2" customWidth="1"/>
    <col min="2071" max="2071" width="10.85546875" style="2" customWidth="1"/>
    <col min="2072" max="2072" width="14.7109375" style="2" customWidth="1"/>
    <col min="2073" max="2073" width="0" style="2" hidden="1" customWidth="1"/>
    <col min="2074" max="2074" width="13" style="2" customWidth="1"/>
    <col min="2075" max="2075" width="12.7109375" style="2" customWidth="1"/>
    <col min="2076" max="2076" width="13.140625" style="2" customWidth="1"/>
    <col min="2077" max="2077" width="14" style="2" customWidth="1"/>
    <col min="2078" max="2078" width="8.140625" style="2" customWidth="1"/>
    <col min="2079" max="2079" width="11.5703125" style="2" customWidth="1"/>
    <col min="2080" max="2080" width="24.7109375" style="2" customWidth="1"/>
    <col min="2081" max="2081" width="12" style="2" customWidth="1"/>
    <col min="2082" max="2083" width="0.28515625" style="2" customWidth="1"/>
    <col min="2084" max="2084" width="1.42578125" style="2" customWidth="1"/>
    <col min="2085" max="2085" width="0" style="2" hidden="1" customWidth="1"/>
    <col min="2086" max="2304" width="11.42578125" style="2"/>
    <col min="2305" max="2305" width="8" style="2" customWidth="1"/>
    <col min="2306" max="2306" width="13.42578125" style="2" customWidth="1"/>
    <col min="2307" max="2307" width="4.28515625" style="2" customWidth="1"/>
    <col min="2308" max="2308" width="4" style="2" customWidth="1"/>
    <col min="2309" max="2309" width="17" style="2" customWidth="1"/>
    <col min="2310" max="2310" width="4.140625" style="2" customWidth="1"/>
    <col min="2311" max="2311" width="11.28515625" style="2" customWidth="1"/>
    <col min="2312" max="2312" width="11" style="2" customWidth="1"/>
    <col min="2313" max="2314" width="2.140625" style="2" customWidth="1"/>
    <col min="2315" max="2315" width="3.28515625" style="2" customWidth="1"/>
    <col min="2316" max="2317" width="0" style="2" hidden="1" customWidth="1"/>
    <col min="2318" max="2318" width="2.85546875" style="2" customWidth="1"/>
    <col min="2319" max="2319" width="3.28515625" style="2" customWidth="1"/>
    <col min="2320" max="2320" width="1.5703125" style="2" customWidth="1"/>
    <col min="2321" max="2321" width="0" style="2" hidden="1" customWidth="1"/>
    <col min="2322" max="2322" width="6.85546875" style="2" customWidth="1"/>
    <col min="2323" max="2323" width="0" style="2" hidden="1" customWidth="1"/>
    <col min="2324" max="2325" width="6.28515625" style="2" customWidth="1"/>
    <col min="2326" max="2326" width="13.85546875" style="2" customWidth="1"/>
    <col min="2327" max="2327" width="10.85546875" style="2" customWidth="1"/>
    <col min="2328" max="2328" width="14.7109375" style="2" customWidth="1"/>
    <col min="2329" max="2329" width="0" style="2" hidden="1" customWidth="1"/>
    <col min="2330" max="2330" width="13" style="2" customWidth="1"/>
    <col min="2331" max="2331" width="12.7109375" style="2" customWidth="1"/>
    <col min="2332" max="2332" width="13.140625" style="2" customWidth="1"/>
    <col min="2333" max="2333" width="14" style="2" customWidth="1"/>
    <col min="2334" max="2334" width="8.140625" style="2" customWidth="1"/>
    <col min="2335" max="2335" width="11.5703125" style="2" customWidth="1"/>
    <col min="2336" max="2336" width="24.7109375" style="2" customWidth="1"/>
    <col min="2337" max="2337" width="12" style="2" customWidth="1"/>
    <col min="2338" max="2339" width="0.28515625" style="2" customWidth="1"/>
    <col min="2340" max="2340" width="1.42578125" style="2" customWidth="1"/>
    <col min="2341" max="2341" width="0" style="2" hidden="1" customWidth="1"/>
    <col min="2342" max="2560" width="11.42578125" style="2"/>
    <col min="2561" max="2561" width="8" style="2" customWidth="1"/>
    <col min="2562" max="2562" width="13.42578125" style="2" customWidth="1"/>
    <col min="2563" max="2563" width="4.28515625" style="2" customWidth="1"/>
    <col min="2564" max="2564" width="4" style="2" customWidth="1"/>
    <col min="2565" max="2565" width="17" style="2" customWidth="1"/>
    <col min="2566" max="2566" width="4.140625" style="2" customWidth="1"/>
    <col min="2567" max="2567" width="11.28515625" style="2" customWidth="1"/>
    <col min="2568" max="2568" width="11" style="2" customWidth="1"/>
    <col min="2569" max="2570" width="2.140625" style="2" customWidth="1"/>
    <col min="2571" max="2571" width="3.28515625" style="2" customWidth="1"/>
    <col min="2572" max="2573" width="0" style="2" hidden="1" customWidth="1"/>
    <col min="2574" max="2574" width="2.85546875" style="2" customWidth="1"/>
    <col min="2575" max="2575" width="3.28515625" style="2" customWidth="1"/>
    <col min="2576" max="2576" width="1.5703125" style="2" customWidth="1"/>
    <col min="2577" max="2577" width="0" style="2" hidden="1" customWidth="1"/>
    <col min="2578" max="2578" width="6.85546875" style="2" customWidth="1"/>
    <col min="2579" max="2579" width="0" style="2" hidden="1" customWidth="1"/>
    <col min="2580" max="2581" width="6.28515625" style="2" customWidth="1"/>
    <col min="2582" max="2582" width="13.85546875" style="2" customWidth="1"/>
    <col min="2583" max="2583" width="10.85546875" style="2" customWidth="1"/>
    <col min="2584" max="2584" width="14.7109375" style="2" customWidth="1"/>
    <col min="2585" max="2585" width="0" style="2" hidden="1" customWidth="1"/>
    <col min="2586" max="2586" width="13" style="2" customWidth="1"/>
    <col min="2587" max="2587" width="12.7109375" style="2" customWidth="1"/>
    <col min="2588" max="2588" width="13.140625" style="2" customWidth="1"/>
    <col min="2589" max="2589" width="14" style="2" customWidth="1"/>
    <col min="2590" max="2590" width="8.140625" style="2" customWidth="1"/>
    <col min="2591" max="2591" width="11.5703125" style="2" customWidth="1"/>
    <col min="2592" max="2592" width="24.7109375" style="2" customWidth="1"/>
    <col min="2593" max="2593" width="12" style="2" customWidth="1"/>
    <col min="2594" max="2595" width="0.28515625" style="2" customWidth="1"/>
    <col min="2596" max="2596" width="1.42578125" style="2" customWidth="1"/>
    <col min="2597" max="2597" width="0" style="2" hidden="1" customWidth="1"/>
    <col min="2598" max="2816" width="11.42578125" style="2"/>
    <col min="2817" max="2817" width="8" style="2" customWidth="1"/>
    <col min="2818" max="2818" width="13.42578125" style="2" customWidth="1"/>
    <col min="2819" max="2819" width="4.28515625" style="2" customWidth="1"/>
    <col min="2820" max="2820" width="4" style="2" customWidth="1"/>
    <col min="2821" max="2821" width="17" style="2" customWidth="1"/>
    <col min="2822" max="2822" width="4.140625" style="2" customWidth="1"/>
    <col min="2823" max="2823" width="11.28515625" style="2" customWidth="1"/>
    <col min="2824" max="2824" width="11" style="2" customWidth="1"/>
    <col min="2825" max="2826" width="2.140625" style="2" customWidth="1"/>
    <col min="2827" max="2827" width="3.28515625" style="2" customWidth="1"/>
    <col min="2828" max="2829" width="0" style="2" hidden="1" customWidth="1"/>
    <col min="2830" max="2830" width="2.85546875" style="2" customWidth="1"/>
    <col min="2831" max="2831" width="3.28515625" style="2" customWidth="1"/>
    <col min="2832" max="2832" width="1.5703125" style="2" customWidth="1"/>
    <col min="2833" max="2833" width="0" style="2" hidden="1" customWidth="1"/>
    <col min="2834" max="2834" width="6.85546875" style="2" customWidth="1"/>
    <col min="2835" max="2835" width="0" style="2" hidden="1" customWidth="1"/>
    <col min="2836" max="2837" width="6.28515625" style="2" customWidth="1"/>
    <col min="2838" max="2838" width="13.85546875" style="2" customWidth="1"/>
    <col min="2839" max="2839" width="10.85546875" style="2" customWidth="1"/>
    <col min="2840" max="2840" width="14.7109375" style="2" customWidth="1"/>
    <col min="2841" max="2841" width="0" style="2" hidden="1" customWidth="1"/>
    <col min="2842" max="2842" width="13" style="2" customWidth="1"/>
    <col min="2843" max="2843" width="12.7109375" style="2" customWidth="1"/>
    <col min="2844" max="2844" width="13.140625" style="2" customWidth="1"/>
    <col min="2845" max="2845" width="14" style="2" customWidth="1"/>
    <col min="2846" max="2846" width="8.140625" style="2" customWidth="1"/>
    <col min="2847" max="2847" width="11.5703125" style="2" customWidth="1"/>
    <col min="2848" max="2848" width="24.7109375" style="2" customWidth="1"/>
    <col min="2849" max="2849" width="12" style="2" customWidth="1"/>
    <col min="2850" max="2851" width="0.28515625" style="2" customWidth="1"/>
    <col min="2852" max="2852" width="1.42578125" style="2" customWidth="1"/>
    <col min="2853" max="2853" width="0" style="2" hidden="1" customWidth="1"/>
    <col min="2854" max="3072" width="11.42578125" style="2"/>
    <col min="3073" max="3073" width="8" style="2" customWidth="1"/>
    <col min="3074" max="3074" width="13.42578125" style="2" customWidth="1"/>
    <col min="3075" max="3075" width="4.28515625" style="2" customWidth="1"/>
    <col min="3076" max="3076" width="4" style="2" customWidth="1"/>
    <col min="3077" max="3077" width="17" style="2" customWidth="1"/>
    <col min="3078" max="3078" width="4.140625" style="2" customWidth="1"/>
    <col min="3079" max="3079" width="11.28515625" style="2" customWidth="1"/>
    <col min="3080" max="3080" width="11" style="2" customWidth="1"/>
    <col min="3081" max="3082" width="2.140625" style="2" customWidth="1"/>
    <col min="3083" max="3083" width="3.28515625" style="2" customWidth="1"/>
    <col min="3084" max="3085" width="0" style="2" hidden="1" customWidth="1"/>
    <col min="3086" max="3086" width="2.85546875" style="2" customWidth="1"/>
    <col min="3087" max="3087" width="3.28515625" style="2" customWidth="1"/>
    <col min="3088" max="3088" width="1.5703125" style="2" customWidth="1"/>
    <col min="3089" max="3089" width="0" style="2" hidden="1" customWidth="1"/>
    <col min="3090" max="3090" width="6.85546875" style="2" customWidth="1"/>
    <col min="3091" max="3091" width="0" style="2" hidden="1" customWidth="1"/>
    <col min="3092" max="3093" width="6.28515625" style="2" customWidth="1"/>
    <col min="3094" max="3094" width="13.85546875" style="2" customWidth="1"/>
    <col min="3095" max="3095" width="10.85546875" style="2" customWidth="1"/>
    <col min="3096" max="3096" width="14.7109375" style="2" customWidth="1"/>
    <col min="3097" max="3097" width="0" style="2" hidden="1" customWidth="1"/>
    <col min="3098" max="3098" width="13" style="2" customWidth="1"/>
    <col min="3099" max="3099" width="12.7109375" style="2" customWidth="1"/>
    <col min="3100" max="3100" width="13.140625" style="2" customWidth="1"/>
    <col min="3101" max="3101" width="14" style="2" customWidth="1"/>
    <col min="3102" max="3102" width="8.140625" style="2" customWidth="1"/>
    <col min="3103" max="3103" width="11.5703125" style="2" customWidth="1"/>
    <col min="3104" max="3104" width="24.7109375" style="2" customWidth="1"/>
    <col min="3105" max="3105" width="12" style="2" customWidth="1"/>
    <col min="3106" max="3107" width="0.28515625" style="2" customWidth="1"/>
    <col min="3108" max="3108" width="1.42578125" style="2" customWidth="1"/>
    <col min="3109" max="3109" width="0" style="2" hidden="1" customWidth="1"/>
    <col min="3110" max="3328" width="11.42578125" style="2"/>
    <col min="3329" max="3329" width="8" style="2" customWidth="1"/>
    <col min="3330" max="3330" width="13.42578125" style="2" customWidth="1"/>
    <col min="3331" max="3331" width="4.28515625" style="2" customWidth="1"/>
    <col min="3332" max="3332" width="4" style="2" customWidth="1"/>
    <col min="3333" max="3333" width="17" style="2" customWidth="1"/>
    <col min="3334" max="3334" width="4.140625" style="2" customWidth="1"/>
    <col min="3335" max="3335" width="11.28515625" style="2" customWidth="1"/>
    <col min="3336" max="3336" width="11" style="2" customWidth="1"/>
    <col min="3337" max="3338" width="2.140625" style="2" customWidth="1"/>
    <col min="3339" max="3339" width="3.28515625" style="2" customWidth="1"/>
    <col min="3340" max="3341" width="0" style="2" hidden="1" customWidth="1"/>
    <col min="3342" max="3342" width="2.85546875" style="2" customWidth="1"/>
    <col min="3343" max="3343" width="3.28515625" style="2" customWidth="1"/>
    <col min="3344" max="3344" width="1.5703125" style="2" customWidth="1"/>
    <col min="3345" max="3345" width="0" style="2" hidden="1" customWidth="1"/>
    <col min="3346" max="3346" width="6.85546875" style="2" customWidth="1"/>
    <col min="3347" max="3347" width="0" style="2" hidden="1" customWidth="1"/>
    <col min="3348" max="3349" width="6.28515625" style="2" customWidth="1"/>
    <col min="3350" max="3350" width="13.85546875" style="2" customWidth="1"/>
    <col min="3351" max="3351" width="10.85546875" style="2" customWidth="1"/>
    <col min="3352" max="3352" width="14.7109375" style="2" customWidth="1"/>
    <col min="3353" max="3353" width="0" style="2" hidden="1" customWidth="1"/>
    <col min="3354" max="3354" width="13" style="2" customWidth="1"/>
    <col min="3355" max="3355" width="12.7109375" style="2" customWidth="1"/>
    <col min="3356" max="3356" width="13.140625" style="2" customWidth="1"/>
    <col min="3357" max="3357" width="14" style="2" customWidth="1"/>
    <col min="3358" max="3358" width="8.140625" style="2" customWidth="1"/>
    <col min="3359" max="3359" width="11.5703125" style="2" customWidth="1"/>
    <col min="3360" max="3360" width="24.7109375" style="2" customWidth="1"/>
    <col min="3361" max="3361" width="12" style="2" customWidth="1"/>
    <col min="3362" max="3363" width="0.28515625" style="2" customWidth="1"/>
    <col min="3364" max="3364" width="1.42578125" style="2" customWidth="1"/>
    <col min="3365" max="3365" width="0" style="2" hidden="1" customWidth="1"/>
    <col min="3366" max="3584" width="11.42578125" style="2"/>
    <col min="3585" max="3585" width="8" style="2" customWidth="1"/>
    <col min="3586" max="3586" width="13.42578125" style="2" customWidth="1"/>
    <col min="3587" max="3587" width="4.28515625" style="2" customWidth="1"/>
    <col min="3588" max="3588" width="4" style="2" customWidth="1"/>
    <col min="3589" max="3589" width="17" style="2" customWidth="1"/>
    <col min="3590" max="3590" width="4.140625" style="2" customWidth="1"/>
    <col min="3591" max="3591" width="11.28515625" style="2" customWidth="1"/>
    <col min="3592" max="3592" width="11" style="2" customWidth="1"/>
    <col min="3593" max="3594" width="2.140625" style="2" customWidth="1"/>
    <col min="3595" max="3595" width="3.28515625" style="2" customWidth="1"/>
    <col min="3596" max="3597" width="0" style="2" hidden="1" customWidth="1"/>
    <col min="3598" max="3598" width="2.85546875" style="2" customWidth="1"/>
    <col min="3599" max="3599" width="3.28515625" style="2" customWidth="1"/>
    <col min="3600" max="3600" width="1.5703125" style="2" customWidth="1"/>
    <col min="3601" max="3601" width="0" style="2" hidden="1" customWidth="1"/>
    <col min="3602" max="3602" width="6.85546875" style="2" customWidth="1"/>
    <col min="3603" max="3603" width="0" style="2" hidden="1" customWidth="1"/>
    <col min="3604" max="3605" width="6.28515625" style="2" customWidth="1"/>
    <col min="3606" max="3606" width="13.85546875" style="2" customWidth="1"/>
    <col min="3607" max="3607" width="10.85546875" style="2" customWidth="1"/>
    <col min="3608" max="3608" width="14.7109375" style="2" customWidth="1"/>
    <col min="3609" max="3609" width="0" style="2" hidden="1" customWidth="1"/>
    <col min="3610" max="3610" width="13" style="2" customWidth="1"/>
    <col min="3611" max="3611" width="12.7109375" style="2" customWidth="1"/>
    <col min="3612" max="3612" width="13.140625" style="2" customWidth="1"/>
    <col min="3613" max="3613" width="14" style="2" customWidth="1"/>
    <col min="3614" max="3614" width="8.140625" style="2" customWidth="1"/>
    <col min="3615" max="3615" width="11.5703125" style="2" customWidth="1"/>
    <col min="3616" max="3616" width="24.7109375" style="2" customWidth="1"/>
    <col min="3617" max="3617" width="12" style="2" customWidth="1"/>
    <col min="3618" max="3619" width="0.28515625" style="2" customWidth="1"/>
    <col min="3620" max="3620" width="1.42578125" style="2" customWidth="1"/>
    <col min="3621" max="3621" width="0" style="2" hidden="1" customWidth="1"/>
    <col min="3622" max="3840" width="11.42578125" style="2"/>
    <col min="3841" max="3841" width="8" style="2" customWidth="1"/>
    <col min="3842" max="3842" width="13.42578125" style="2" customWidth="1"/>
    <col min="3843" max="3843" width="4.28515625" style="2" customWidth="1"/>
    <col min="3844" max="3844" width="4" style="2" customWidth="1"/>
    <col min="3845" max="3845" width="17" style="2" customWidth="1"/>
    <col min="3846" max="3846" width="4.140625" style="2" customWidth="1"/>
    <col min="3847" max="3847" width="11.28515625" style="2" customWidth="1"/>
    <col min="3848" max="3848" width="11" style="2" customWidth="1"/>
    <col min="3849" max="3850" width="2.140625" style="2" customWidth="1"/>
    <col min="3851" max="3851" width="3.28515625" style="2" customWidth="1"/>
    <col min="3852" max="3853" width="0" style="2" hidden="1" customWidth="1"/>
    <col min="3854" max="3854" width="2.85546875" style="2" customWidth="1"/>
    <col min="3855" max="3855" width="3.28515625" style="2" customWidth="1"/>
    <col min="3856" max="3856" width="1.5703125" style="2" customWidth="1"/>
    <col min="3857" max="3857" width="0" style="2" hidden="1" customWidth="1"/>
    <col min="3858" max="3858" width="6.85546875" style="2" customWidth="1"/>
    <col min="3859" max="3859" width="0" style="2" hidden="1" customWidth="1"/>
    <col min="3860" max="3861" width="6.28515625" style="2" customWidth="1"/>
    <col min="3862" max="3862" width="13.85546875" style="2" customWidth="1"/>
    <col min="3863" max="3863" width="10.85546875" style="2" customWidth="1"/>
    <col min="3864" max="3864" width="14.7109375" style="2" customWidth="1"/>
    <col min="3865" max="3865" width="0" style="2" hidden="1" customWidth="1"/>
    <col min="3866" max="3866" width="13" style="2" customWidth="1"/>
    <col min="3867" max="3867" width="12.7109375" style="2" customWidth="1"/>
    <col min="3868" max="3868" width="13.140625" style="2" customWidth="1"/>
    <col min="3869" max="3869" width="14" style="2" customWidth="1"/>
    <col min="3870" max="3870" width="8.140625" style="2" customWidth="1"/>
    <col min="3871" max="3871" width="11.5703125" style="2" customWidth="1"/>
    <col min="3872" max="3872" width="24.7109375" style="2" customWidth="1"/>
    <col min="3873" max="3873" width="12" style="2" customWidth="1"/>
    <col min="3874" max="3875" width="0.28515625" style="2" customWidth="1"/>
    <col min="3876" max="3876" width="1.42578125" style="2" customWidth="1"/>
    <col min="3877" max="3877" width="0" style="2" hidden="1" customWidth="1"/>
    <col min="3878" max="4096" width="11.42578125" style="2"/>
    <col min="4097" max="4097" width="8" style="2" customWidth="1"/>
    <col min="4098" max="4098" width="13.42578125" style="2" customWidth="1"/>
    <col min="4099" max="4099" width="4.28515625" style="2" customWidth="1"/>
    <col min="4100" max="4100" width="4" style="2" customWidth="1"/>
    <col min="4101" max="4101" width="17" style="2" customWidth="1"/>
    <col min="4102" max="4102" width="4.140625" style="2" customWidth="1"/>
    <col min="4103" max="4103" width="11.28515625" style="2" customWidth="1"/>
    <col min="4104" max="4104" width="11" style="2" customWidth="1"/>
    <col min="4105" max="4106" width="2.140625" style="2" customWidth="1"/>
    <col min="4107" max="4107" width="3.28515625" style="2" customWidth="1"/>
    <col min="4108" max="4109" width="0" style="2" hidden="1" customWidth="1"/>
    <col min="4110" max="4110" width="2.85546875" style="2" customWidth="1"/>
    <col min="4111" max="4111" width="3.28515625" style="2" customWidth="1"/>
    <col min="4112" max="4112" width="1.5703125" style="2" customWidth="1"/>
    <col min="4113" max="4113" width="0" style="2" hidden="1" customWidth="1"/>
    <col min="4114" max="4114" width="6.85546875" style="2" customWidth="1"/>
    <col min="4115" max="4115" width="0" style="2" hidden="1" customWidth="1"/>
    <col min="4116" max="4117" width="6.28515625" style="2" customWidth="1"/>
    <col min="4118" max="4118" width="13.85546875" style="2" customWidth="1"/>
    <col min="4119" max="4119" width="10.85546875" style="2" customWidth="1"/>
    <col min="4120" max="4120" width="14.7109375" style="2" customWidth="1"/>
    <col min="4121" max="4121" width="0" style="2" hidden="1" customWidth="1"/>
    <col min="4122" max="4122" width="13" style="2" customWidth="1"/>
    <col min="4123" max="4123" width="12.7109375" style="2" customWidth="1"/>
    <col min="4124" max="4124" width="13.140625" style="2" customWidth="1"/>
    <col min="4125" max="4125" width="14" style="2" customWidth="1"/>
    <col min="4126" max="4126" width="8.140625" style="2" customWidth="1"/>
    <col min="4127" max="4127" width="11.5703125" style="2" customWidth="1"/>
    <col min="4128" max="4128" width="24.7109375" style="2" customWidth="1"/>
    <col min="4129" max="4129" width="12" style="2" customWidth="1"/>
    <col min="4130" max="4131" width="0.28515625" style="2" customWidth="1"/>
    <col min="4132" max="4132" width="1.42578125" style="2" customWidth="1"/>
    <col min="4133" max="4133" width="0" style="2" hidden="1" customWidth="1"/>
    <col min="4134" max="4352" width="11.42578125" style="2"/>
    <col min="4353" max="4353" width="8" style="2" customWidth="1"/>
    <col min="4354" max="4354" width="13.42578125" style="2" customWidth="1"/>
    <col min="4355" max="4355" width="4.28515625" style="2" customWidth="1"/>
    <col min="4356" max="4356" width="4" style="2" customWidth="1"/>
    <col min="4357" max="4357" width="17" style="2" customWidth="1"/>
    <col min="4358" max="4358" width="4.140625" style="2" customWidth="1"/>
    <col min="4359" max="4359" width="11.28515625" style="2" customWidth="1"/>
    <col min="4360" max="4360" width="11" style="2" customWidth="1"/>
    <col min="4361" max="4362" width="2.140625" style="2" customWidth="1"/>
    <col min="4363" max="4363" width="3.28515625" style="2" customWidth="1"/>
    <col min="4364" max="4365" width="0" style="2" hidden="1" customWidth="1"/>
    <col min="4366" max="4366" width="2.85546875" style="2" customWidth="1"/>
    <col min="4367" max="4367" width="3.28515625" style="2" customWidth="1"/>
    <col min="4368" max="4368" width="1.5703125" style="2" customWidth="1"/>
    <col min="4369" max="4369" width="0" style="2" hidden="1" customWidth="1"/>
    <col min="4370" max="4370" width="6.85546875" style="2" customWidth="1"/>
    <col min="4371" max="4371" width="0" style="2" hidden="1" customWidth="1"/>
    <col min="4372" max="4373" width="6.28515625" style="2" customWidth="1"/>
    <col min="4374" max="4374" width="13.85546875" style="2" customWidth="1"/>
    <col min="4375" max="4375" width="10.85546875" style="2" customWidth="1"/>
    <col min="4376" max="4376" width="14.7109375" style="2" customWidth="1"/>
    <col min="4377" max="4377" width="0" style="2" hidden="1" customWidth="1"/>
    <col min="4378" max="4378" width="13" style="2" customWidth="1"/>
    <col min="4379" max="4379" width="12.7109375" style="2" customWidth="1"/>
    <col min="4380" max="4380" width="13.140625" style="2" customWidth="1"/>
    <col min="4381" max="4381" width="14" style="2" customWidth="1"/>
    <col min="4382" max="4382" width="8.140625" style="2" customWidth="1"/>
    <col min="4383" max="4383" width="11.5703125" style="2" customWidth="1"/>
    <col min="4384" max="4384" width="24.7109375" style="2" customWidth="1"/>
    <col min="4385" max="4385" width="12" style="2" customWidth="1"/>
    <col min="4386" max="4387" width="0.28515625" style="2" customWidth="1"/>
    <col min="4388" max="4388" width="1.42578125" style="2" customWidth="1"/>
    <col min="4389" max="4389" width="0" style="2" hidden="1" customWidth="1"/>
    <col min="4390" max="4608" width="11.42578125" style="2"/>
    <col min="4609" max="4609" width="8" style="2" customWidth="1"/>
    <col min="4610" max="4610" width="13.42578125" style="2" customWidth="1"/>
    <col min="4611" max="4611" width="4.28515625" style="2" customWidth="1"/>
    <col min="4612" max="4612" width="4" style="2" customWidth="1"/>
    <col min="4613" max="4613" width="17" style="2" customWidth="1"/>
    <col min="4614" max="4614" width="4.140625" style="2" customWidth="1"/>
    <col min="4615" max="4615" width="11.28515625" style="2" customWidth="1"/>
    <col min="4616" max="4616" width="11" style="2" customWidth="1"/>
    <col min="4617" max="4618" width="2.140625" style="2" customWidth="1"/>
    <col min="4619" max="4619" width="3.28515625" style="2" customWidth="1"/>
    <col min="4620" max="4621" width="0" style="2" hidden="1" customWidth="1"/>
    <col min="4622" max="4622" width="2.85546875" style="2" customWidth="1"/>
    <col min="4623" max="4623" width="3.28515625" style="2" customWidth="1"/>
    <col min="4624" max="4624" width="1.5703125" style="2" customWidth="1"/>
    <col min="4625" max="4625" width="0" style="2" hidden="1" customWidth="1"/>
    <col min="4626" max="4626" width="6.85546875" style="2" customWidth="1"/>
    <col min="4627" max="4627" width="0" style="2" hidden="1" customWidth="1"/>
    <col min="4628" max="4629" width="6.28515625" style="2" customWidth="1"/>
    <col min="4630" max="4630" width="13.85546875" style="2" customWidth="1"/>
    <col min="4631" max="4631" width="10.85546875" style="2" customWidth="1"/>
    <col min="4632" max="4632" width="14.7109375" style="2" customWidth="1"/>
    <col min="4633" max="4633" width="0" style="2" hidden="1" customWidth="1"/>
    <col min="4634" max="4634" width="13" style="2" customWidth="1"/>
    <col min="4635" max="4635" width="12.7109375" style="2" customWidth="1"/>
    <col min="4636" max="4636" width="13.140625" style="2" customWidth="1"/>
    <col min="4637" max="4637" width="14" style="2" customWidth="1"/>
    <col min="4638" max="4638" width="8.140625" style="2" customWidth="1"/>
    <col min="4639" max="4639" width="11.5703125" style="2" customWidth="1"/>
    <col min="4640" max="4640" width="24.7109375" style="2" customWidth="1"/>
    <col min="4641" max="4641" width="12" style="2" customWidth="1"/>
    <col min="4642" max="4643" width="0.28515625" style="2" customWidth="1"/>
    <col min="4644" max="4644" width="1.42578125" style="2" customWidth="1"/>
    <col min="4645" max="4645" width="0" style="2" hidden="1" customWidth="1"/>
    <col min="4646" max="4864" width="11.42578125" style="2"/>
    <col min="4865" max="4865" width="8" style="2" customWidth="1"/>
    <col min="4866" max="4866" width="13.42578125" style="2" customWidth="1"/>
    <col min="4867" max="4867" width="4.28515625" style="2" customWidth="1"/>
    <col min="4868" max="4868" width="4" style="2" customWidth="1"/>
    <col min="4869" max="4869" width="17" style="2" customWidth="1"/>
    <col min="4870" max="4870" width="4.140625" style="2" customWidth="1"/>
    <col min="4871" max="4871" width="11.28515625" style="2" customWidth="1"/>
    <col min="4872" max="4872" width="11" style="2" customWidth="1"/>
    <col min="4873" max="4874" width="2.140625" style="2" customWidth="1"/>
    <col min="4875" max="4875" width="3.28515625" style="2" customWidth="1"/>
    <col min="4876" max="4877" width="0" style="2" hidden="1" customWidth="1"/>
    <col min="4878" max="4878" width="2.85546875" style="2" customWidth="1"/>
    <col min="4879" max="4879" width="3.28515625" style="2" customWidth="1"/>
    <col min="4880" max="4880" width="1.5703125" style="2" customWidth="1"/>
    <col min="4881" max="4881" width="0" style="2" hidden="1" customWidth="1"/>
    <col min="4882" max="4882" width="6.85546875" style="2" customWidth="1"/>
    <col min="4883" max="4883" width="0" style="2" hidden="1" customWidth="1"/>
    <col min="4884" max="4885" width="6.28515625" style="2" customWidth="1"/>
    <col min="4886" max="4886" width="13.85546875" style="2" customWidth="1"/>
    <col min="4887" max="4887" width="10.85546875" style="2" customWidth="1"/>
    <col min="4888" max="4888" width="14.7109375" style="2" customWidth="1"/>
    <col min="4889" max="4889" width="0" style="2" hidden="1" customWidth="1"/>
    <col min="4890" max="4890" width="13" style="2" customWidth="1"/>
    <col min="4891" max="4891" width="12.7109375" style="2" customWidth="1"/>
    <col min="4892" max="4892" width="13.140625" style="2" customWidth="1"/>
    <col min="4893" max="4893" width="14" style="2" customWidth="1"/>
    <col min="4894" max="4894" width="8.140625" style="2" customWidth="1"/>
    <col min="4895" max="4895" width="11.5703125" style="2" customWidth="1"/>
    <col min="4896" max="4896" width="24.7109375" style="2" customWidth="1"/>
    <col min="4897" max="4897" width="12" style="2" customWidth="1"/>
    <col min="4898" max="4899" width="0.28515625" style="2" customWidth="1"/>
    <col min="4900" max="4900" width="1.42578125" style="2" customWidth="1"/>
    <col min="4901" max="4901" width="0" style="2" hidden="1" customWidth="1"/>
    <col min="4902" max="5120" width="11.42578125" style="2"/>
    <col min="5121" max="5121" width="8" style="2" customWidth="1"/>
    <col min="5122" max="5122" width="13.42578125" style="2" customWidth="1"/>
    <col min="5123" max="5123" width="4.28515625" style="2" customWidth="1"/>
    <col min="5124" max="5124" width="4" style="2" customWidth="1"/>
    <col min="5125" max="5125" width="17" style="2" customWidth="1"/>
    <col min="5126" max="5126" width="4.140625" style="2" customWidth="1"/>
    <col min="5127" max="5127" width="11.28515625" style="2" customWidth="1"/>
    <col min="5128" max="5128" width="11" style="2" customWidth="1"/>
    <col min="5129" max="5130" width="2.140625" style="2" customWidth="1"/>
    <col min="5131" max="5131" width="3.28515625" style="2" customWidth="1"/>
    <col min="5132" max="5133" width="0" style="2" hidden="1" customWidth="1"/>
    <col min="5134" max="5134" width="2.85546875" style="2" customWidth="1"/>
    <col min="5135" max="5135" width="3.28515625" style="2" customWidth="1"/>
    <col min="5136" max="5136" width="1.5703125" style="2" customWidth="1"/>
    <col min="5137" max="5137" width="0" style="2" hidden="1" customWidth="1"/>
    <col min="5138" max="5138" width="6.85546875" style="2" customWidth="1"/>
    <col min="5139" max="5139" width="0" style="2" hidden="1" customWidth="1"/>
    <col min="5140" max="5141" width="6.28515625" style="2" customWidth="1"/>
    <col min="5142" max="5142" width="13.85546875" style="2" customWidth="1"/>
    <col min="5143" max="5143" width="10.85546875" style="2" customWidth="1"/>
    <col min="5144" max="5144" width="14.7109375" style="2" customWidth="1"/>
    <col min="5145" max="5145" width="0" style="2" hidden="1" customWidth="1"/>
    <col min="5146" max="5146" width="13" style="2" customWidth="1"/>
    <col min="5147" max="5147" width="12.7109375" style="2" customWidth="1"/>
    <col min="5148" max="5148" width="13.140625" style="2" customWidth="1"/>
    <col min="5149" max="5149" width="14" style="2" customWidth="1"/>
    <col min="5150" max="5150" width="8.140625" style="2" customWidth="1"/>
    <col min="5151" max="5151" width="11.5703125" style="2" customWidth="1"/>
    <col min="5152" max="5152" width="24.7109375" style="2" customWidth="1"/>
    <col min="5153" max="5153" width="12" style="2" customWidth="1"/>
    <col min="5154" max="5155" width="0.28515625" style="2" customWidth="1"/>
    <col min="5156" max="5156" width="1.42578125" style="2" customWidth="1"/>
    <col min="5157" max="5157" width="0" style="2" hidden="1" customWidth="1"/>
    <col min="5158" max="5376" width="11.42578125" style="2"/>
    <col min="5377" max="5377" width="8" style="2" customWidth="1"/>
    <col min="5378" max="5378" width="13.42578125" style="2" customWidth="1"/>
    <col min="5379" max="5379" width="4.28515625" style="2" customWidth="1"/>
    <col min="5380" max="5380" width="4" style="2" customWidth="1"/>
    <col min="5381" max="5381" width="17" style="2" customWidth="1"/>
    <col min="5382" max="5382" width="4.140625" style="2" customWidth="1"/>
    <col min="5383" max="5383" width="11.28515625" style="2" customWidth="1"/>
    <col min="5384" max="5384" width="11" style="2" customWidth="1"/>
    <col min="5385" max="5386" width="2.140625" style="2" customWidth="1"/>
    <col min="5387" max="5387" width="3.28515625" style="2" customWidth="1"/>
    <col min="5388" max="5389" width="0" style="2" hidden="1" customWidth="1"/>
    <col min="5390" max="5390" width="2.85546875" style="2" customWidth="1"/>
    <col min="5391" max="5391" width="3.28515625" style="2" customWidth="1"/>
    <col min="5392" max="5392" width="1.5703125" style="2" customWidth="1"/>
    <col min="5393" max="5393" width="0" style="2" hidden="1" customWidth="1"/>
    <col min="5394" max="5394" width="6.85546875" style="2" customWidth="1"/>
    <col min="5395" max="5395" width="0" style="2" hidden="1" customWidth="1"/>
    <col min="5396" max="5397" width="6.28515625" style="2" customWidth="1"/>
    <col min="5398" max="5398" width="13.85546875" style="2" customWidth="1"/>
    <col min="5399" max="5399" width="10.85546875" style="2" customWidth="1"/>
    <col min="5400" max="5400" width="14.7109375" style="2" customWidth="1"/>
    <col min="5401" max="5401" width="0" style="2" hidden="1" customWidth="1"/>
    <col min="5402" max="5402" width="13" style="2" customWidth="1"/>
    <col min="5403" max="5403" width="12.7109375" style="2" customWidth="1"/>
    <col min="5404" max="5404" width="13.140625" style="2" customWidth="1"/>
    <col min="5405" max="5405" width="14" style="2" customWidth="1"/>
    <col min="5406" max="5406" width="8.140625" style="2" customWidth="1"/>
    <col min="5407" max="5407" width="11.5703125" style="2" customWidth="1"/>
    <col min="5408" max="5408" width="24.7109375" style="2" customWidth="1"/>
    <col min="5409" max="5409" width="12" style="2" customWidth="1"/>
    <col min="5410" max="5411" width="0.28515625" style="2" customWidth="1"/>
    <col min="5412" max="5412" width="1.42578125" style="2" customWidth="1"/>
    <col min="5413" max="5413" width="0" style="2" hidden="1" customWidth="1"/>
    <col min="5414" max="5632" width="11.42578125" style="2"/>
    <col min="5633" max="5633" width="8" style="2" customWidth="1"/>
    <col min="5634" max="5634" width="13.42578125" style="2" customWidth="1"/>
    <col min="5635" max="5635" width="4.28515625" style="2" customWidth="1"/>
    <col min="5636" max="5636" width="4" style="2" customWidth="1"/>
    <col min="5637" max="5637" width="17" style="2" customWidth="1"/>
    <col min="5638" max="5638" width="4.140625" style="2" customWidth="1"/>
    <col min="5639" max="5639" width="11.28515625" style="2" customWidth="1"/>
    <col min="5640" max="5640" width="11" style="2" customWidth="1"/>
    <col min="5641" max="5642" width="2.140625" style="2" customWidth="1"/>
    <col min="5643" max="5643" width="3.28515625" style="2" customWidth="1"/>
    <col min="5644" max="5645" width="0" style="2" hidden="1" customWidth="1"/>
    <col min="5646" max="5646" width="2.85546875" style="2" customWidth="1"/>
    <col min="5647" max="5647" width="3.28515625" style="2" customWidth="1"/>
    <col min="5648" max="5648" width="1.5703125" style="2" customWidth="1"/>
    <col min="5649" max="5649" width="0" style="2" hidden="1" customWidth="1"/>
    <col min="5650" max="5650" width="6.85546875" style="2" customWidth="1"/>
    <col min="5651" max="5651" width="0" style="2" hidden="1" customWidth="1"/>
    <col min="5652" max="5653" width="6.28515625" style="2" customWidth="1"/>
    <col min="5654" max="5654" width="13.85546875" style="2" customWidth="1"/>
    <col min="5655" max="5655" width="10.85546875" style="2" customWidth="1"/>
    <col min="5656" max="5656" width="14.7109375" style="2" customWidth="1"/>
    <col min="5657" max="5657" width="0" style="2" hidden="1" customWidth="1"/>
    <col min="5658" max="5658" width="13" style="2" customWidth="1"/>
    <col min="5659" max="5659" width="12.7109375" style="2" customWidth="1"/>
    <col min="5660" max="5660" width="13.140625" style="2" customWidth="1"/>
    <col min="5661" max="5661" width="14" style="2" customWidth="1"/>
    <col min="5662" max="5662" width="8.140625" style="2" customWidth="1"/>
    <col min="5663" max="5663" width="11.5703125" style="2" customWidth="1"/>
    <col min="5664" max="5664" width="24.7109375" style="2" customWidth="1"/>
    <col min="5665" max="5665" width="12" style="2" customWidth="1"/>
    <col min="5666" max="5667" width="0.28515625" style="2" customWidth="1"/>
    <col min="5668" max="5668" width="1.42578125" style="2" customWidth="1"/>
    <col min="5669" max="5669" width="0" style="2" hidden="1" customWidth="1"/>
    <col min="5670" max="5888" width="11.42578125" style="2"/>
    <col min="5889" max="5889" width="8" style="2" customWidth="1"/>
    <col min="5890" max="5890" width="13.42578125" style="2" customWidth="1"/>
    <col min="5891" max="5891" width="4.28515625" style="2" customWidth="1"/>
    <col min="5892" max="5892" width="4" style="2" customWidth="1"/>
    <col min="5893" max="5893" width="17" style="2" customWidth="1"/>
    <col min="5894" max="5894" width="4.140625" style="2" customWidth="1"/>
    <col min="5895" max="5895" width="11.28515625" style="2" customWidth="1"/>
    <col min="5896" max="5896" width="11" style="2" customWidth="1"/>
    <col min="5897" max="5898" width="2.140625" style="2" customWidth="1"/>
    <col min="5899" max="5899" width="3.28515625" style="2" customWidth="1"/>
    <col min="5900" max="5901" width="0" style="2" hidden="1" customWidth="1"/>
    <col min="5902" max="5902" width="2.85546875" style="2" customWidth="1"/>
    <col min="5903" max="5903" width="3.28515625" style="2" customWidth="1"/>
    <col min="5904" max="5904" width="1.5703125" style="2" customWidth="1"/>
    <col min="5905" max="5905" width="0" style="2" hidden="1" customWidth="1"/>
    <col min="5906" max="5906" width="6.85546875" style="2" customWidth="1"/>
    <col min="5907" max="5907" width="0" style="2" hidden="1" customWidth="1"/>
    <col min="5908" max="5909" width="6.28515625" style="2" customWidth="1"/>
    <col min="5910" max="5910" width="13.85546875" style="2" customWidth="1"/>
    <col min="5911" max="5911" width="10.85546875" style="2" customWidth="1"/>
    <col min="5912" max="5912" width="14.7109375" style="2" customWidth="1"/>
    <col min="5913" max="5913" width="0" style="2" hidden="1" customWidth="1"/>
    <col min="5914" max="5914" width="13" style="2" customWidth="1"/>
    <col min="5915" max="5915" width="12.7109375" style="2" customWidth="1"/>
    <col min="5916" max="5916" width="13.140625" style="2" customWidth="1"/>
    <col min="5917" max="5917" width="14" style="2" customWidth="1"/>
    <col min="5918" max="5918" width="8.140625" style="2" customWidth="1"/>
    <col min="5919" max="5919" width="11.5703125" style="2" customWidth="1"/>
    <col min="5920" max="5920" width="24.7109375" style="2" customWidth="1"/>
    <col min="5921" max="5921" width="12" style="2" customWidth="1"/>
    <col min="5922" max="5923" width="0.28515625" style="2" customWidth="1"/>
    <col min="5924" max="5924" width="1.42578125" style="2" customWidth="1"/>
    <col min="5925" max="5925" width="0" style="2" hidden="1" customWidth="1"/>
    <col min="5926" max="6144" width="11.42578125" style="2"/>
    <col min="6145" max="6145" width="8" style="2" customWidth="1"/>
    <col min="6146" max="6146" width="13.42578125" style="2" customWidth="1"/>
    <col min="6147" max="6147" width="4.28515625" style="2" customWidth="1"/>
    <col min="6148" max="6148" width="4" style="2" customWidth="1"/>
    <col min="6149" max="6149" width="17" style="2" customWidth="1"/>
    <col min="6150" max="6150" width="4.140625" style="2" customWidth="1"/>
    <col min="6151" max="6151" width="11.28515625" style="2" customWidth="1"/>
    <col min="6152" max="6152" width="11" style="2" customWidth="1"/>
    <col min="6153" max="6154" width="2.140625" style="2" customWidth="1"/>
    <col min="6155" max="6155" width="3.28515625" style="2" customWidth="1"/>
    <col min="6156" max="6157" width="0" style="2" hidden="1" customWidth="1"/>
    <col min="6158" max="6158" width="2.85546875" style="2" customWidth="1"/>
    <col min="6159" max="6159" width="3.28515625" style="2" customWidth="1"/>
    <col min="6160" max="6160" width="1.5703125" style="2" customWidth="1"/>
    <col min="6161" max="6161" width="0" style="2" hidden="1" customWidth="1"/>
    <col min="6162" max="6162" width="6.85546875" style="2" customWidth="1"/>
    <col min="6163" max="6163" width="0" style="2" hidden="1" customWidth="1"/>
    <col min="6164" max="6165" width="6.28515625" style="2" customWidth="1"/>
    <col min="6166" max="6166" width="13.85546875" style="2" customWidth="1"/>
    <col min="6167" max="6167" width="10.85546875" style="2" customWidth="1"/>
    <col min="6168" max="6168" width="14.7109375" style="2" customWidth="1"/>
    <col min="6169" max="6169" width="0" style="2" hidden="1" customWidth="1"/>
    <col min="6170" max="6170" width="13" style="2" customWidth="1"/>
    <col min="6171" max="6171" width="12.7109375" style="2" customWidth="1"/>
    <col min="6172" max="6172" width="13.140625" style="2" customWidth="1"/>
    <col min="6173" max="6173" width="14" style="2" customWidth="1"/>
    <col min="6174" max="6174" width="8.140625" style="2" customWidth="1"/>
    <col min="6175" max="6175" width="11.5703125" style="2" customWidth="1"/>
    <col min="6176" max="6176" width="24.7109375" style="2" customWidth="1"/>
    <col min="6177" max="6177" width="12" style="2" customWidth="1"/>
    <col min="6178" max="6179" width="0.28515625" style="2" customWidth="1"/>
    <col min="6180" max="6180" width="1.42578125" style="2" customWidth="1"/>
    <col min="6181" max="6181" width="0" style="2" hidden="1" customWidth="1"/>
    <col min="6182" max="6400" width="11.42578125" style="2"/>
    <col min="6401" max="6401" width="8" style="2" customWidth="1"/>
    <col min="6402" max="6402" width="13.42578125" style="2" customWidth="1"/>
    <col min="6403" max="6403" width="4.28515625" style="2" customWidth="1"/>
    <col min="6404" max="6404" width="4" style="2" customWidth="1"/>
    <col min="6405" max="6405" width="17" style="2" customWidth="1"/>
    <col min="6406" max="6406" width="4.140625" style="2" customWidth="1"/>
    <col min="6407" max="6407" width="11.28515625" style="2" customWidth="1"/>
    <col min="6408" max="6408" width="11" style="2" customWidth="1"/>
    <col min="6409" max="6410" width="2.140625" style="2" customWidth="1"/>
    <col min="6411" max="6411" width="3.28515625" style="2" customWidth="1"/>
    <col min="6412" max="6413" width="0" style="2" hidden="1" customWidth="1"/>
    <col min="6414" max="6414" width="2.85546875" style="2" customWidth="1"/>
    <col min="6415" max="6415" width="3.28515625" style="2" customWidth="1"/>
    <col min="6416" max="6416" width="1.5703125" style="2" customWidth="1"/>
    <col min="6417" max="6417" width="0" style="2" hidden="1" customWidth="1"/>
    <col min="6418" max="6418" width="6.85546875" style="2" customWidth="1"/>
    <col min="6419" max="6419" width="0" style="2" hidden="1" customWidth="1"/>
    <col min="6420" max="6421" width="6.28515625" style="2" customWidth="1"/>
    <col min="6422" max="6422" width="13.85546875" style="2" customWidth="1"/>
    <col min="6423" max="6423" width="10.85546875" style="2" customWidth="1"/>
    <col min="6424" max="6424" width="14.7109375" style="2" customWidth="1"/>
    <col min="6425" max="6425" width="0" style="2" hidden="1" customWidth="1"/>
    <col min="6426" max="6426" width="13" style="2" customWidth="1"/>
    <col min="6427" max="6427" width="12.7109375" style="2" customWidth="1"/>
    <col min="6428" max="6428" width="13.140625" style="2" customWidth="1"/>
    <col min="6429" max="6429" width="14" style="2" customWidth="1"/>
    <col min="6430" max="6430" width="8.140625" style="2" customWidth="1"/>
    <col min="6431" max="6431" width="11.5703125" style="2" customWidth="1"/>
    <col min="6432" max="6432" width="24.7109375" style="2" customWidth="1"/>
    <col min="6433" max="6433" width="12" style="2" customWidth="1"/>
    <col min="6434" max="6435" width="0.28515625" style="2" customWidth="1"/>
    <col min="6436" max="6436" width="1.42578125" style="2" customWidth="1"/>
    <col min="6437" max="6437" width="0" style="2" hidden="1" customWidth="1"/>
    <col min="6438" max="6656" width="11.42578125" style="2"/>
    <col min="6657" max="6657" width="8" style="2" customWidth="1"/>
    <col min="6658" max="6658" width="13.42578125" style="2" customWidth="1"/>
    <col min="6659" max="6659" width="4.28515625" style="2" customWidth="1"/>
    <col min="6660" max="6660" width="4" style="2" customWidth="1"/>
    <col min="6661" max="6661" width="17" style="2" customWidth="1"/>
    <col min="6662" max="6662" width="4.140625" style="2" customWidth="1"/>
    <col min="6663" max="6663" width="11.28515625" style="2" customWidth="1"/>
    <col min="6664" max="6664" width="11" style="2" customWidth="1"/>
    <col min="6665" max="6666" width="2.140625" style="2" customWidth="1"/>
    <col min="6667" max="6667" width="3.28515625" style="2" customWidth="1"/>
    <col min="6668" max="6669" width="0" style="2" hidden="1" customWidth="1"/>
    <col min="6670" max="6670" width="2.85546875" style="2" customWidth="1"/>
    <col min="6671" max="6671" width="3.28515625" style="2" customWidth="1"/>
    <col min="6672" max="6672" width="1.5703125" style="2" customWidth="1"/>
    <col min="6673" max="6673" width="0" style="2" hidden="1" customWidth="1"/>
    <col min="6674" max="6674" width="6.85546875" style="2" customWidth="1"/>
    <col min="6675" max="6675" width="0" style="2" hidden="1" customWidth="1"/>
    <col min="6676" max="6677" width="6.28515625" style="2" customWidth="1"/>
    <col min="6678" max="6678" width="13.85546875" style="2" customWidth="1"/>
    <col min="6679" max="6679" width="10.85546875" style="2" customWidth="1"/>
    <col min="6680" max="6680" width="14.7109375" style="2" customWidth="1"/>
    <col min="6681" max="6681" width="0" style="2" hidden="1" customWidth="1"/>
    <col min="6682" max="6682" width="13" style="2" customWidth="1"/>
    <col min="6683" max="6683" width="12.7109375" style="2" customWidth="1"/>
    <col min="6684" max="6684" width="13.140625" style="2" customWidth="1"/>
    <col min="6685" max="6685" width="14" style="2" customWidth="1"/>
    <col min="6686" max="6686" width="8.140625" style="2" customWidth="1"/>
    <col min="6687" max="6687" width="11.5703125" style="2" customWidth="1"/>
    <col min="6688" max="6688" width="24.7109375" style="2" customWidth="1"/>
    <col min="6689" max="6689" width="12" style="2" customWidth="1"/>
    <col min="6690" max="6691" width="0.28515625" style="2" customWidth="1"/>
    <col min="6692" max="6692" width="1.42578125" style="2" customWidth="1"/>
    <col min="6693" max="6693" width="0" style="2" hidden="1" customWidth="1"/>
    <col min="6694" max="6912" width="11.42578125" style="2"/>
    <col min="6913" max="6913" width="8" style="2" customWidth="1"/>
    <col min="6914" max="6914" width="13.42578125" style="2" customWidth="1"/>
    <col min="6915" max="6915" width="4.28515625" style="2" customWidth="1"/>
    <col min="6916" max="6916" width="4" style="2" customWidth="1"/>
    <col min="6917" max="6917" width="17" style="2" customWidth="1"/>
    <col min="6918" max="6918" width="4.140625" style="2" customWidth="1"/>
    <col min="6919" max="6919" width="11.28515625" style="2" customWidth="1"/>
    <col min="6920" max="6920" width="11" style="2" customWidth="1"/>
    <col min="6921" max="6922" width="2.140625" style="2" customWidth="1"/>
    <col min="6923" max="6923" width="3.28515625" style="2" customWidth="1"/>
    <col min="6924" max="6925" width="0" style="2" hidden="1" customWidth="1"/>
    <col min="6926" max="6926" width="2.85546875" style="2" customWidth="1"/>
    <col min="6927" max="6927" width="3.28515625" style="2" customWidth="1"/>
    <col min="6928" max="6928" width="1.5703125" style="2" customWidth="1"/>
    <col min="6929" max="6929" width="0" style="2" hidden="1" customWidth="1"/>
    <col min="6930" max="6930" width="6.85546875" style="2" customWidth="1"/>
    <col min="6931" max="6931" width="0" style="2" hidden="1" customWidth="1"/>
    <col min="6932" max="6933" width="6.28515625" style="2" customWidth="1"/>
    <col min="6934" max="6934" width="13.85546875" style="2" customWidth="1"/>
    <col min="6935" max="6935" width="10.85546875" style="2" customWidth="1"/>
    <col min="6936" max="6936" width="14.7109375" style="2" customWidth="1"/>
    <col min="6937" max="6937" width="0" style="2" hidden="1" customWidth="1"/>
    <col min="6938" max="6938" width="13" style="2" customWidth="1"/>
    <col min="6939" max="6939" width="12.7109375" style="2" customWidth="1"/>
    <col min="6940" max="6940" width="13.140625" style="2" customWidth="1"/>
    <col min="6941" max="6941" width="14" style="2" customWidth="1"/>
    <col min="6942" max="6942" width="8.140625" style="2" customWidth="1"/>
    <col min="6943" max="6943" width="11.5703125" style="2" customWidth="1"/>
    <col min="6944" max="6944" width="24.7109375" style="2" customWidth="1"/>
    <col min="6945" max="6945" width="12" style="2" customWidth="1"/>
    <col min="6946" max="6947" width="0.28515625" style="2" customWidth="1"/>
    <col min="6948" max="6948" width="1.42578125" style="2" customWidth="1"/>
    <col min="6949" max="6949" width="0" style="2" hidden="1" customWidth="1"/>
    <col min="6950" max="7168" width="11.42578125" style="2"/>
    <col min="7169" max="7169" width="8" style="2" customWidth="1"/>
    <col min="7170" max="7170" width="13.42578125" style="2" customWidth="1"/>
    <col min="7171" max="7171" width="4.28515625" style="2" customWidth="1"/>
    <col min="7172" max="7172" width="4" style="2" customWidth="1"/>
    <col min="7173" max="7173" width="17" style="2" customWidth="1"/>
    <col min="7174" max="7174" width="4.140625" style="2" customWidth="1"/>
    <col min="7175" max="7175" width="11.28515625" style="2" customWidth="1"/>
    <col min="7176" max="7176" width="11" style="2" customWidth="1"/>
    <col min="7177" max="7178" width="2.140625" style="2" customWidth="1"/>
    <col min="7179" max="7179" width="3.28515625" style="2" customWidth="1"/>
    <col min="7180" max="7181" width="0" style="2" hidden="1" customWidth="1"/>
    <col min="7182" max="7182" width="2.85546875" style="2" customWidth="1"/>
    <col min="7183" max="7183" width="3.28515625" style="2" customWidth="1"/>
    <col min="7184" max="7184" width="1.5703125" style="2" customWidth="1"/>
    <col min="7185" max="7185" width="0" style="2" hidden="1" customWidth="1"/>
    <col min="7186" max="7186" width="6.85546875" style="2" customWidth="1"/>
    <col min="7187" max="7187" width="0" style="2" hidden="1" customWidth="1"/>
    <col min="7188" max="7189" width="6.28515625" style="2" customWidth="1"/>
    <col min="7190" max="7190" width="13.85546875" style="2" customWidth="1"/>
    <col min="7191" max="7191" width="10.85546875" style="2" customWidth="1"/>
    <col min="7192" max="7192" width="14.7109375" style="2" customWidth="1"/>
    <col min="7193" max="7193" width="0" style="2" hidden="1" customWidth="1"/>
    <col min="7194" max="7194" width="13" style="2" customWidth="1"/>
    <col min="7195" max="7195" width="12.7109375" style="2" customWidth="1"/>
    <col min="7196" max="7196" width="13.140625" style="2" customWidth="1"/>
    <col min="7197" max="7197" width="14" style="2" customWidth="1"/>
    <col min="7198" max="7198" width="8.140625" style="2" customWidth="1"/>
    <col min="7199" max="7199" width="11.5703125" style="2" customWidth="1"/>
    <col min="7200" max="7200" width="24.7109375" style="2" customWidth="1"/>
    <col min="7201" max="7201" width="12" style="2" customWidth="1"/>
    <col min="7202" max="7203" width="0.28515625" style="2" customWidth="1"/>
    <col min="7204" max="7204" width="1.42578125" style="2" customWidth="1"/>
    <col min="7205" max="7205" width="0" style="2" hidden="1" customWidth="1"/>
    <col min="7206" max="7424" width="11.42578125" style="2"/>
    <col min="7425" max="7425" width="8" style="2" customWidth="1"/>
    <col min="7426" max="7426" width="13.42578125" style="2" customWidth="1"/>
    <col min="7427" max="7427" width="4.28515625" style="2" customWidth="1"/>
    <col min="7428" max="7428" width="4" style="2" customWidth="1"/>
    <col min="7429" max="7429" width="17" style="2" customWidth="1"/>
    <col min="7430" max="7430" width="4.140625" style="2" customWidth="1"/>
    <col min="7431" max="7431" width="11.28515625" style="2" customWidth="1"/>
    <col min="7432" max="7432" width="11" style="2" customWidth="1"/>
    <col min="7433" max="7434" width="2.140625" style="2" customWidth="1"/>
    <col min="7435" max="7435" width="3.28515625" style="2" customWidth="1"/>
    <col min="7436" max="7437" width="0" style="2" hidden="1" customWidth="1"/>
    <col min="7438" max="7438" width="2.85546875" style="2" customWidth="1"/>
    <col min="7439" max="7439" width="3.28515625" style="2" customWidth="1"/>
    <col min="7440" max="7440" width="1.5703125" style="2" customWidth="1"/>
    <col min="7441" max="7441" width="0" style="2" hidden="1" customWidth="1"/>
    <col min="7442" max="7442" width="6.85546875" style="2" customWidth="1"/>
    <col min="7443" max="7443" width="0" style="2" hidden="1" customWidth="1"/>
    <col min="7444" max="7445" width="6.28515625" style="2" customWidth="1"/>
    <col min="7446" max="7446" width="13.85546875" style="2" customWidth="1"/>
    <col min="7447" max="7447" width="10.85546875" style="2" customWidth="1"/>
    <col min="7448" max="7448" width="14.7109375" style="2" customWidth="1"/>
    <col min="7449" max="7449" width="0" style="2" hidden="1" customWidth="1"/>
    <col min="7450" max="7450" width="13" style="2" customWidth="1"/>
    <col min="7451" max="7451" width="12.7109375" style="2" customWidth="1"/>
    <col min="7452" max="7452" width="13.140625" style="2" customWidth="1"/>
    <col min="7453" max="7453" width="14" style="2" customWidth="1"/>
    <col min="7454" max="7454" width="8.140625" style="2" customWidth="1"/>
    <col min="7455" max="7455" width="11.5703125" style="2" customWidth="1"/>
    <col min="7456" max="7456" width="24.7109375" style="2" customWidth="1"/>
    <col min="7457" max="7457" width="12" style="2" customWidth="1"/>
    <col min="7458" max="7459" width="0.28515625" style="2" customWidth="1"/>
    <col min="7460" max="7460" width="1.42578125" style="2" customWidth="1"/>
    <col min="7461" max="7461" width="0" style="2" hidden="1" customWidth="1"/>
    <col min="7462" max="7680" width="11.42578125" style="2"/>
    <col min="7681" max="7681" width="8" style="2" customWidth="1"/>
    <col min="7682" max="7682" width="13.42578125" style="2" customWidth="1"/>
    <col min="7683" max="7683" width="4.28515625" style="2" customWidth="1"/>
    <col min="7684" max="7684" width="4" style="2" customWidth="1"/>
    <col min="7685" max="7685" width="17" style="2" customWidth="1"/>
    <col min="7686" max="7686" width="4.140625" style="2" customWidth="1"/>
    <col min="7687" max="7687" width="11.28515625" style="2" customWidth="1"/>
    <col min="7688" max="7688" width="11" style="2" customWidth="1"/>
    <col min="7689" max="7690" width="2.140625" style="2" customWidth="1"/>
    <col min="7691" max="7691" width="3.28515625" style="2" customWidth="1"/>
    <col min="7692" max="7693" width="0" style="2" hidden="1" customWidth="1"/>
    <col min="7694" max="7694" width="2.85546875" style="2" customWidth="1"/>
    <col min="7695" max="7695" width="3.28515625" style="2" customWidth="1"/>
    <col min="7696" max="7696" width="1.5703125" style="2" customWidth="1"/>
    <col min="7697" max="7697" width="0" style="2" hidden="1" customWidth="1"/>
    <col min="7698" max="7698" width="6.85546875" style="2" customWidth="1"/>
    <col min="7699" max="7699" width="0" style="2" hidden="1" customWidth="1"/>
    <col min="7700" max="7701" width="6.28515625" style="2" customWidth="1"/>
    <col min="7702" max="7702" width="13.85546875" style="2" customWidth="1"/>
    <col min="7703" max="7703" width="10.85546875" style="2" customWidth="1"/>
    <col min="7704" max="7704" width="14.7109375" style="2" customWidth="1"/>
    <col min="7705" max="7705" width="0" style="2" hidden="1" customWidth="1"/>
    <col min="7706" max="7706" width="13" style="2" customWidth="1"/>
    <col min="7707" max="7707" width="12.7109375" style="2" customWidth="1"/>
    <col min="7708" max="7708" width="13.140625" style="2" customWidth="1"/>
    <col min="7709" max="7709" width="14" style="2" customWidth="1"/>
    <col min="7710" max="7710" width="8.140625" style="2" customWidth="1"/>
    <col min="7711" max="7711" width="11.5703125" style="2" customWidth="1"/>
    <col min="7712" max="7712" width="24.7109375" style="2" customWidth="1"/>
    <col min="7713" max="7713" width="12" style="2" customWidth="1"/>
    <col min="7714" max="7715" width="0.28515625" style="2" customWidth="1"/>
    <col min="7716" max="7716" width="1.42578125" style="2" customWidth="1"/>
    <col min="7717" max="7717" width="0" style="2" hidden="1" customWidth="1"/>
    <col min="7718" max="7936" width="11.42578125" style="2"/>
    <col min="7937" max="7937" width="8" style="2" customWidth="1"/>
    <col min="7938" max="7938" width="13.42578125" style="2" customWidth="1"/>
    <col min="7939" max="7939" width="4.28515625" style="2" customWidth="1"/>
    <col min="7940" max="7940" width="4" style="2" customWidth="1"/>
    <col min="7941" max="7941" width="17" style="2" customWidth="1"/>
    <col min="7942" max="7942" width="4.140625" style="2" customWidth="1"/>
    <col min="7943" max="7943" width="11.28515625" style="2" customWidth="1"/>
    <col min="7944" max="7944" width="11" style="2" customWidth="1"/>
    <col min="7945" max="7946" width="2.140625" style="2" customWidth="1"/>
    <col min="7947" max="7947" width="3.28515625" style="2" customWidth="1"/>
    <col min="7948" max="7949" width="0" style="2" hidden="1" customWidth="1"/>
    <col min="7950" max="7950" width="2.85546875" style="2" customWidth="1"/>
    <col min="7951" max="7951" width="3.28515625" style="2" customWidth="1"/>
    <col min="7952" max="7952" width="1.5703125" style="2" customWidth="1"/>
    <col min="7953" max="7953" width="0" style="2" hidden="1" customWidth="1"/>
    <col min="7954" max="7954" width="6.85546875" style="2" customWidth="1"/>
    <col min="7955" max="7955" width="0" style="2" hidden="1" customWidth="1"/>
    <col min="7956" max="7957" width="6.28515625" style="2" customWidth="1"/>
    <col min="7958" max="7958" width="13.85546875" style="2" customWidth="1"/>
    <col min="7959" max="7959" width="10.85546875" style="2" customWidth="1"/>
    <col min="7960" max="7960" width="14.7109375" style="2" customWidth="1"/>
    <col min="7961" max="7961" width="0" style="2" hidden="1" customWidth="1"/>
    <col min="7962" max="7962" width="13" style="2" customWidth="1"/>
    <col min="7963" max="7963" width="12.7109375" style="2" customWidth="1"/>
    <col min="7964" max="7964" width="13.140625" style="2" customWidth="1"/>
    <col min="7965" max="7965" width="14" style="2" customWidth="1"/>
    <col min="7966" max="7966" width="8.140625" style="2" customWidth="1"/>
    <col min="7967" max="7967" width="11.5703125" style="2" customWidth="1"/>
    <col min="7968" max="7968" width="24.7109375" style="2" customWidth="1"/>
    <col min="7969" max="7969" width="12" style="2" customWidth="1"/>
    <col min="7970" max="7971" width="0.28515625" style="2" customWidth="1"/>
    <col min="7972" max="7972" width="1.42578125" style="2" customWidth="1"/>
    <col min="7973" max="7973" width="0" style="2" hidden="1" customWidth="1"/>
    <col min="7974" max="8192" width="11.42578125" style="2"/>
    <col min="8193" max="8193" width="8" style="2" customWidth="1"/>
    <col min="8194" max="8194" width="13.42578125" style="2" customWidth="1"/>
    <col min="8195" max="8195" width="4.28515625" style="2" customWidth="1"/>
    <col min="8196" max="8196" width="4" style="2" customWidth="1"/>
    <col min="8197" max="8197" width="17" style="2" customWidth="1"/>
    <col min="8198" max="8198" width="4.140625" style="2" customWidth="1"/>
    <col min="8199" max="8199" width="11.28515625" style="2" customWidth="1"/>
    <col min="8200" max="8200" width="11" style="2" customWidth="1"/>
    <col min="8201" max="8202" width="2.140625" style="2" customWidth="1"/>
    <col min="8203" max="8203" width="3.28515625" style="2" customWidth="1"/>
    <col min="8204" max="8205" width="0" style="2" hidden="1" customWidth="1"/>
    <col min="8206" max="8206" width="2.85546875" style="2" customWidth="1"/>
    <col min="8207" max="8207" width="3.28515625" style="2" customWidth="1"/>
    <col min="8208" max="8208" width="1.5703125" style="2" customWidth="1"/>
    <col min="8209" max="8209" width="0" style="2" hidden="1" customWidth="1"/>
    <col min="8210" max="8210" width="6.85546875" style="2" customWidth="1"/>
    <col min="8211" max="8211" width="0" style="2" hidden="1" customWidth="1"/>
    <col min="8212" max="8213" width="6.28515625" style="2" customWidth="1"/>
    <col min="8214" max="8214" width="13.85546875" style="2" customWidth="1"/>
    <col min="8215" max="8215" width="10.85546875" style="2" customWidth="1"/>
    <col min="8216" max="8216" width="14.7109375" style="2" customWidth="1"/>
    <col min="8217" max="8217" width="0" style="2" hidden="1" customWidth="1"/>
    <col min="8218" max="8218" width="13" style="2" customWidth="1"/>
    <col min="8219" max="8219" width="12.7109375" style="2" customWidth="1"/>
    <col min="8220" max="8220" width="13.140625" style="2" customWidth="1"/>
    <col min="8221" max="8221" width="14" style="2" customWidth="1"/>
    <col min="8222" max="8222" width="8.140625" style="2" customWidth="1"/>
    <col min="8223" max="8223" width="11.5703125" style="2" customWidth="1"/>
    <col min="8224" max="8224" width="24.7109375" style="2" customWidth="1"/>
    <col min="8225" max="8225" width="12" style="2" customWidth="1"/>
    <col min="8226" max="8227" width="0.28515625" style="2" customWidth="1"/>
    <col min="8228" max="8228" width="1.42578125" style="2" customWidth="1"/>
    <col min="8229" max="8229" width="0" style="2" hidden="1" customWidth="1"/>
    <col min="8230" max="8448" width="11.42578125" style="2"/>
    <col min="8449" max="8449" width="8" style="2" customWidth="1"/>
    <col min="8450" max="8450" width="13.42578125" style="2" customWidth="1"/>
    <col min="8451" max="8451" width="4.28515625" style="2" customWidth="1"/>
    <col min="8452" max="8452" width="4" style="2" customWidth="1"/>
    <col min="8453" max="8453" width="17" style="2" customWidth="1"/>
    <col min="8454" max="8454" width="4.140625" style="2" customWidth="1"/>
    <col min="8455" max="8455" width="11.28515625" style="2" customWidth="1"/>
    <col min="8456" max="8456" width="11" style="2" customWidth="1"/>
    <col min="8457" max="8458" width="2.140625" style="2" customWidth="1"/>
    <col min="8459" max="8459" width="3.28515625" style="2" customWidth="1"/>
    <col min="8460" max="8461" width="0" style="2" hidden="1" customWidth="1"/>
    <col min="8462" max="8462" width="2.85546875" style="2" customWidth="1"/>
    <col min="8463" max="8463" width="3.28515625" style="2" customWidth="1"/>
    <col min="8464" max="8464" width="1.5703125" style="2" customWidth="1"/>
    <col min="8465" max="8465" width="0" style="2" hidden="1" customWidth="1"/>
    <col min="8466" max="8466" width="6.85546875" style="2" customWidth="1"/>
    <col min="8467" max="8467" width="0" style="2" hidden="1" customWidth="1"/>
    <col min="8468" max="8469" width="6.28515625" style="2" customWidth="1"/>
    <col min="8470" max="8470" width="13.85546875" style="2" customWidth="1"/>
    <col min="8471" max="8471" width="10.85546875" style="2" customWidth="1"/>
    <col min="8472" max="8472" width="14.7109375" style="2" customWidth="1"/>
    <col min="8473" max="8473" width="0" style="2" hidden="1" customWidth="1"/>
    <col min="8474" max="8474" width="13" style="2" customWidth="1"/>
    <col min="8475" max="8475" width="12.7109375" style="2" customWidth="1"/>
    <col min="8476" max="8476" width="13.140625" style="2" customWidth="1"/>
    <col min="8477" max="8477" width="14" style="2" customWidth="1"/>
    <col min="8478" max="8478" width="8.140625" style="2" customWidth="1"/>
    <col min="8479" max="8479" width="11.5703125" style="2" customWidth="1"/>
    <col min="8480" max="8480" width="24.7109375" style="2" customWidth="1"/>
    <col min="8481" max="8481" width="12" style="2" customWidth="1"/>
    <col min="8482" max="8483" width="0.28515625" style="2" customWidth="1"/>
    <col min="8484" max="8484" width="1.42578125" style="2" customWidth="1"/>
    <col min="8485" max="8485" width="0" style="2" hidden="1" customWidth="1"/>
    <col min="8486" max="8704" width="11.42578125" style="2"/>
    <col min="8705" max="8705" width="8" style="2" customWidth="1"/>
    <col min="8706" max="8706" width="13.42578125" style="2" customWidth="1"/>
    <col min="8707" max="8707" width="4.28515625" style="2" customWidth="1"/>
    <col min="8708" max="8708" width="4" style="2" customWidth="1"/>
    <col min="8709" max="8709" width="17" style="2" customWidth="1"/>
    <col min="8710" max="8710" width="4.140625" style="2" customWidth="1"/>
    <col min="8711" max="8711" width="11.28515625" style="2" customWidth="1"/>
    <col min="8712" max="8712" width="11" style="2" customWidth="1"/>
    <col min="8713" max="8714" width="2.140625" style="2" customWidth="1"/>
    <col min="8715" max="8715" width="3.28515625" style="2" customWidth="1"/>
    <col min="8716" max="8717" width="0" style="2" hidden="1" customWidth="1"/>
    <col min="8718" max="8718" width="2.85546875" style="2" customWidth="1"/>
    <col min="8719" max="8719" width="3.28515625" style="2" customWidth="1"/>
    <col min="8720" max="8720" width="1.5703125" style="2" customWidth="1"/>
    <col min="8721" max="8721" width="0" style="2" hidden="1" customWidth="1"/>
    <col min="8722" max="8722" width="6.85546875" style="2" customWidth="1"/>
    <col min="8723" max="8723" width="0" style="2" hidden="1" customWidth="1"/>
    <col min="8724" max="8725" width="6.28515625" style="2" customWidth="1"/>
    <col min="8726" max="8726" width="13.85546875" style="2" customWidth="1"/>
    <col min="8727" max="8727" width="10.85546875" style="2" customWidth="1"/>
    <col min="8728" max="8728" width="14.7109375" style="2" customWidth="1"/>
    <col min="8729" max="8729" width="0" style="2" hidden="1" customWidth="1"/>
    <col min="8730" max="8730" width="13" style="2" customWidth="1"/>
    <col min="8731" max="8731" width="12.7109375" style="2" customWidth="1"/>
    <col min="8732" max="8732" width="13.140625" style="2" customWidth="1"/>
    <col min="8733" max="8733" width="14" style="2" customWidth="1"/>
    <col min="8734" max="8734" width="8.140625" style="2" customWidth="1"/>
    <col min="8735" max="8735" width="11.5703125" style="2" customWidth="1"/>
    <col min="8736" max="8736" width="24.7109375" style="2" customWidth="1"/>
    <col min="8737" max="8737" width="12" style="2" customWidth="1"/>
    <col min="8738" max="8739" width="0.28515625" style="2" customWidth="1"/>
    <col min="8740" max="8740" width="1.42578125" style="2" customWidth="1"/>
    <col min="8741" max="8741" width="0" style="2" hidden="1" customWidth="1"/>
    <col min="8742" max="8960" width="11.42578125" style="2"/>
    <col min="8961" max="8961" width="8" style="2" customWidth="1"/>
    <col min="8962" max="8962" width="13.42578125" style="2" customWidth="1"/>
    <col min="8963" max="8963" width="4.28515625" style="2" customWidth="1"/>
    <col min="8964" max="8964" width="4" style="2" customWidth="1"/>
    <col min="8965" max="8965" width="17" style="2" customWidth="1"/>
    <col min="8966" max="8966" width="4.140625" style="2" customWidth="1"/>
    <col min="8967" max="8967" width="11.28515625" style="2" customWidth="1"/>
    <col min="8968" max="8968" width="11" style="2" customWidth="1"/>
    <col min="8969" max="8970" width="2.140625" style="2" customWidth="1"/>
    <col min="8971" max="8971" width="3.28515625" style="2" customWidth="1"/>
    <col min="8972" max="8973" width="0" style="2" hidden="1" customWidth="1"/>
    <col min="8974" max="8974" width="2.85546875" style="2" customWidth="1"/>
    <col min="8975" max="8975" width="3.28515625" style="2" customWidth="1"/>
    <col min="8976" max="8976" width="1.5703125" style="2" customWidth="1"/>
    <col min="8977" max="8977" width="0" style="2" hidden="1" customWidth="1"/>
    <col min="8978" max="8978" width="6.85546875" style="2" customWidth="1"/>
    <col min="8979" max="8979" width="0" style="2" hidden="1" customWidth="1"/>
    <col min="8980" max="8981" width="6.28515625" style="2" customWidth="1"/>
    <col min="8982" max="8982" width="13.85546875" style="2" customWidth="1"/>
    <col min="8983" max="8983" width="10.85546875" style="2" customWidth="1"/>
    <col min="8984" max="8984" width="14.7109375" style="2" customWidth="1"/>
    <col min="8985" max="8985" width="0" style="2" hidden="1" customWidth="1"/>
    <col min="8986" max="8986" width="13" style="2" customWidth="1"/>
    <col min="8987" max="8987" width="12.7109375" style="2" customWidth="1"/>
    <col min="8988" max="8988" width="13.140625" style="2" customWidth="1"/>
    <col min="8989" max="8989" width="14" style="2" customWidth="1"/>
    <col min="8990" max="8990" width="8.140625" style="2" customWidth="1"/>
    <col min="8991" max="8991" width="11.5703125" style="2" customWidth="1"/>
    <col min="8992" max="8992" width="24.7109375" style="2" customWidth="1"/>
    <col min="8993" max="8993" width="12" style="2" customWidth="1"/>
    <col min="8994" max="8995" width="0.28515625" style="2" customWidth="1"/>
    <col min="8996" max="8996" width="1.42578125" style="2" customWidth="1"/>
    <col min="8997" max="8997" width="0" style="2" hidden="1" customWidth="1"/>
    <col min="8998" max="9216" width="11.42578125" style="2"/>
    <col min="9217" max="9217" width="8" style="2" customWidth="1"/>
    <col min="9218" max="9218" width="13.42578125" style="2" customWidth="1"/>
    <col min="9219" max="9219" width="4.28515625" style="2" customWidth="1"/>
    <col min="9220" max="9220" width="4" style="2" customWidth="1"/>
    <col min="9221" max="9221" width="17" style="2" customWidth="1"/>
    <col min="9222" max="9222" width="4.140625" style="2" customWidth="1"/>
    <col min="9223" max="9223" width="11.28515625" style="2" customWidth="1"/>
    <col min="9224" max="9224" width="11" style="2" customWidth="1"/>
    <col min="9225" max="9226" width="2.140625" style="2" customWidth="1"/>
    <col min="9227" max="9227" width="3.28515625" style="2" customWidth="1"/>
    <col min="9228" max="9229" width="0" style="2" hidden="1" customWidth="1"/>
    <col min="9230" max="9230" width="2.85546875" style="2" customWidth="1"/>
    <col min="9231" max="9231" width="3.28515625" style="2" customWidth="1"/>
    <col min="9232" max="9232" width="1.5703125" style="2" customWidth="1"/>
    <col min="9233" max="9233" width="0" style="2" hidden="1" customWidth="1"/>
    <col min="9234" max="9234" width="6.85546875" style="2" customWidth="1"/>
    <col min="9235" max="9235" width="0" style="2" hidden="1" customWidth="1"/>
    <col min="9236" max="9237" width="6.28515625" style="2" customWidth="1"/>
    <col min="9238" max="9238" width="13.85546875" style="2" customWidth="1"/>
    <col min="9239" max="9239" width="10.85546875" style="2" customWidth="1"/>
    <col min="9240" max="9240" width="14.7109375" style="2" customWidth="1"/>
    <col min="9241" max="9241" width="0" style="2" hidden="1" customWidth="1"/>
    <col min="9242" max="9242" width="13" style="2" customWidth="1"/>
    <col min="9243" max="9243" width="12.7109375" style="2" customWidth="1"/>
    <col min="9244" max="9244" width="13.140625" style="2" customWidth="1"/>
    <col min="9245" max="9245" width="14" style="2" customWidth="1"/>
    <col min="9246" max="9246" width="8.140625" style="2" customWidth="1"/>
    <col min="9247" max="9247" width="11.5703125" style="2" customWidth="1"/>
    <col min="9248" max="9248" width="24.7109375" style="2" customWidth="1"/>
    <col min="9249" max="9249" width="12" style="2" customWidth="1"/>
    <col min="9250" max="9251" width="0.28515625" style="2" customWidth="1"/>
    <col min="9252" max="9252" width="1.42578125" style="2" customWidth="1"/>
    <col min="9253" max="9253" width="0" style="2" hidden="1" customWidth="1"/>
    <col min="9254" max="9472" width="11.42578125" style="2"/>
    <col min="9473" max="9473" width="8" style="2" customWidth="1"/>
    <col min="9474" max="9474" width="13.42578125" style="2" customWidth="1"/>
    <col min="9475" max="9475" width="4.28515625" style="2" customWidth="1"/>
    <col min="9476" max="9476" width="4" style="2" customWidth="1"/>
    <col min="9477" max="9477" width="17" style="2" customWidth="1"/>
    <col min="9478" max="9478" width="4.140625" style="2" customWidth="1"/>
    <col min="9479" max="9479" width="11.28515625" style="2" customWidth="1"/>
    <col min="9480" max="9480" width="11" style="2" customWidth="1"/>
    <col min="9481" max="9482" width="2.140625" style="2" customWidth="1"/>
    <col min="9483" max="9483" width="3.28515625" style="2" customWidth="1"/>
    <col min="9484" max="9485" width="0" style="2" hidden="1" customWidth="1"/>
    <col min="9486" max="9486" width="2.85546875" style="2" customWidth="1"/>
    <col min="9487" max="9487" width="3.28515625" style="2" customWidth="1"/>
    <col min="9488" max="9488" width="1.5703125" style="2" customWidth="1"/>
    <col min="9489" max="9489" width="0" style="2" hidden="1" customWidth="1"/>
    <col min="9490" max="9490" width="6.85546875" style="2" customWidth="1"/>
    <col min="9491" max="9491" width="0" style="2" hidden="1" customWidth="1"/>
    <col min="9492" max="9493" width="6.28515625" style="2" customWidth="1"/>
    <col min="9494" max="9494" width="13.85546875" style="2" customWidth="1"/>
    <col min="9495" max="9495" width="10.85546875" style="2" customWidth="1"/>
    <col min="9496" max="9496" width="14.7109375" style="2" customWidth="1"/>
    <col min="9497" max="9497" width="0" style="2" hidden="1" customWidth="1"/>
    <col min="9498" max="9498" width="13" style="2" customWidth="1"/>
    <col min="9499" max="9499" width="12.7109375" style="2" customWidth="1"/>
    <col min="9500" max="9500" width="13.140625" style="2" customWidth="1"/>
    <col min="9501" max="9501" width="14" style="2" customWidth="1"/>
    <col min="9502" max="9502" width="8.140625" style="2" customWidth="1"/>
    <col min="9503" max="9503" width="11.5703125" style="2" customWidth="1"/>
    <col min="9504" max="9504" width="24.7109375" style="2" customWidth="1"/>
    <col min="9505" max="9505" width="12" style="2" customWidth="1"/>
    <col min="9506" max="9507" width="0.28515625" style="2" customWidth="1"/>
    <col min="9508" max="9508" width="1.42578125" style="2" customWidth="1"/>
    <col min="9509" max="9509" width="0" style="2" hidden="1" customWidth="1"/>
    <col min="9510" max="9728" width="11.42578125" style="2"/>
    <col min="9729" max="9729" width="8" style="2" customWidth="1"/>
    <col min="9730" max="9730" width="13.42578125" style="2" customWidth="1"/>
    <col min="9731" max="9731" width="4.28515625" style="2" customWidth="1"/>
    <col min="9732" max="9732" width="4" style="2" customWidth="1"/>
    <col min="9733" max="9733" width="17" style="2" customWidth="1"/>
    <col min="9734" max="9734" width="4.140625" style="2" customWidth="1"/>
    <col min="9735" max="9735" width="11.28515625" style="2" customWidth="1"/>
    <col min="9736" max="9736" width="11" style="2" customWidth="1"/>
    <col min="9737" max="9738" width="2.140625" style="2" customWidth="1"/>
    <col min="9739" max="9739" width="3.28515625" style="2" customWidth="1"/>
    <col min="9740" max="9741" width="0" style="2" hidden="1" customWidth="1"/>
    <col min="9742" max="9742" width="2.85546875" style="2" customWidth="1"/>
    <col min="9743" max="9743" width="3.28515625" style="2" customWidth="1"/>
    <col min="9744" max="9744" width="1.5703125" style="2" customWidth="1"/>
    <col min="9745" max="9745" width="0" style="2" hidden="1" customWidth="1"/>
    <col min="9746" max="9746" width="6.85546875" style="2" customWidth="1"/>
    <col min="9747" max="9747" width="0" style="2" hidden="1" customWidth="1"/>
    <col min="9748" max="9749" width="6.28515625" style="2" customWidth="1"/>
    <col min="9750" max="9750" width="13.85546875" style="2" customWidth="1"/>
    <col min="9751" max="9751" width="10.85546875" style="2" customWidth="1"/>
    <col min="9752" max="9752" width="14.7109375" style="2" customWidth="1"/>
    <col min="9753" max="9753" width="0" style="2" hidden="1" customWidth="1"/>
    <col min="9754" max="9754" width="13" style="2" customWidth="1"/>
    <col min="9755" max="9755" width="12.7109375" style="2" customWidth="1"/>
    <col min="9756" max="9756" width="13.140625" style="2" customWidth="1"/>
    <col min="9757" max="9757" width="14" style="2" customWidth="1"/>
    <col min="9758" max="9758" width="8.140625" style="2" customWidth="1"/>
    <col min="9759" max="9759" width="11.5703125" style="2" customWidth="1"/>
    <col min="9760" max="9760" width="24.7109375" style="2" customWidth="1"/>
    <col min="9761" max="9761" width="12" style="2" customWidth="1"/>
    <col min="9762" max="9763" width="0.28515625" style="2" customWidth="1"/>
    <col min="9764" max="9764" width="1.42578125" style="2" customWidth="1"/>
    <col min="9765" max="9765" width="0" style="2" hidden="1" customWidth="1"/>
    <col min="9766" max="9984" width="11.42578125" style="2"/>
    <col min="9985" max="9985" width="8" style="2" customWidth="1"/>
    <col min="9986" max="9986" width="13.42578125" style="2" customWidth="1"/>
    <col min="9987" max="9987" width="4.28515625" style="2" customWidth="1"/>
    <col min="9988" max="9988" width="4" style="2" customWidth="1"/>
    <col min="9989" max="9989" width="17" style="2" customWidth="1"/>
    <col min="9990" max="9990" width="4.140625" style="2" customWidth="1"/>
    <col min="9991" max="9991" width="11.28515625" style="2" customWidth="1"/>
    <col min="9992" max="9992" width="11" style="2" customWidth="1"/>
    <col min="9993" max="9994" width="2.140625" style="2" customWidth="1"/>
    <col min="9995" max="9995" width="3.28515625" style="2" customWidth="1"/>
    <col min="9996" max="9997" width="0" style="2" hidden="1" customWidth="1"/>
    <col min="9998" max="9998" width="2.85546875" style="2" customWidth="1"/>
    <col min="9999" max="9999" width="3.28515625" style="2" customWidth="1"/>
    <col min="10000" max="10000" width="1.5703125" style="2" customWidth="1"/>
    <col min="10001" max="10001" width="0" style="2" hidden="1" customWidth="1"/>
    <col min="10002" max="10002" width="6.85546875" style="2" customWidth="1"/>
    <col min="10003" max="10003" width="0" style="2" hidden="1" customWidth="1"/>
    <col min="10004" max="10005" width="6.28515625" style="2" customWidth="1"/>
    <col min="10006" max="10006" width="13.85546875" style="2" customWidth="1"/>
    <col min="10007" max="10007" width="10.85546875" style="2" customWidth="1"/>
    <col min="10008" max="10008" width="14.7109375" style="2" customWidth="1"/>
    <col min="10009" max="10009" width="0" style="2" hidden="1" customWidth="1"/>
    <col min="10010" max="10010" width="13" style="2" customWidth="1"/>
    <col min="10011" max="10011" width="12.7109375" style="2" customWidth="1"/>
    <col min="10012" max="10012" width="13.140625" style="2" customWidth="1"/>
    <col min="10013" max="10013" width="14" style="2" customWidth="1"/>
    <col min="10014" max="10014" width="8.140625" style="2" customWidth="1"/>
    <col min="10015" max="10015" width="11.5703125" style="2" customWidth="1"/>
    <col min="10016" max="10016" width="24.7109375" style="2" customWidth="1"/>
    <col min="10017" max="10017" width="12" style="2" customWidth="1"/>
    <col min="10018" max="10019" width="0.28515625" style="2" customWidth="1"/>
    <col min="10020" max="10020" width="1.42578125" style="2" customWidth="1"/>
    <col min="10021" max="10021" width="0" style="2" hidden="1" customWidth="1"/>
    <col min="10022" max="10240" width="11.42578125" style="2"/>
    <col min="10241" max="10241" width="8" style="2" customWidth="1"/>
    <col min="10242" max="10242" width="13.42578125" style="2" customWidth="1"/>
    <col min="10243" max="10243" width="4.28515625" style="2" customWidth="1"/>
    <col min="10244" max="10244" width="4" style="2" customWidth="1"/>
    <col min="10245" max="10245" width="17" style="2" customWidth="1"/>
    <col min="10246" max="10246" width="4.140625" style="2" customWidth="1"/>
    <col min="10247" max="10247" width="11.28515625" style="2" customWidth="1"/>
    <col min="10248" max="10248" width="11" style="2" customWidth="1"/>
    <col min="10249" max="10250" width="2.140625" style="2" customWidth="1"/>
    <col min="10251" max="10251" width="3.28515625" style="2" customWidth="1"/>
    <col min="10252" max="10253" width="0" style="2" hidden="1" customWidth="1"/>
    <col min="10254" max="10254" width="2.85546875" style="2" customWidth="1"/>
    <col min="10255" max="10255" width="3.28515625" style="2" customWidth="1"/>
    <col min="10256" max="10256" width="1.5703125" style="2" customWidth="1"/>
    <col min="10257" max="10257" width="0" style="2" hidden="1" customWidth="1"/>
    <col min="10258" max="10258" width="6.85546875" style="2" customWidth="1"/>
    <col min="10259" max="10259" width="0" style="2" hidden="1" customWidth="1"/>
    <col min="10260" max="10261" width="6.28515625" style="2" customWidth="1"/>
    <col min="10262" max="10262" width="13.85546875" style="2" customWidth="1"/>
    <col min="10263" max="10263" width="10.85546875" style="2" customWidth="1"/>
    <col min="10264" max="10264" width="14.7109375" style="2" customWidth="1"/>
    <col min="10265" max="10265" width="0" style="2" hidden="1" customWidth="1"/>
    <col min="10266" max="10266" width="13" style="2" customWidth="1"/>
    <col min="10267" max="10267" width="12.7109375" style="2" customWidth="1"/>
    <col min="10268" max="10268" width="13.140625" style="2" customWidth="1"/>
    <col min="10269" max="10269" width="14" style="2" customWidth="1"/>
    <col min="10270" max="10270" width="8.140625" style="2" customWidth="1"/>
    <col min="10271" max="10271" width="11.5703125" style="2" customWidth="1"/>
    <col min="10272" max="10272" width="24.7109375" style="2" customWidth="1"/>
    <col min="10273" max="10273" width="12" style="2" customWidth="1"/>
    <col min="10274" max="10275" width="0.28515625" style="2" customWidth="1"/>
    <col min="10276" max="10276" width="1.42578125" style="2" customWidth="1"/>
    <col min="10277" max="10277" width="0" style="2" hidden="1" customWidth="1"/>
    <col min="10278" max="10496" width="11.42578125" style="2"/>
    <col min="10497" max="10497" width="8" style="2" customWidth="1"/>
    <col min="10498" max="10498" width="13.42578125" style="2" customWidth="1"/>
    <col min="10499" max="10499" width="4.28515625" style="2" customWidth="1"/>
    <col min="10500" max="10500" width="4" style="2" customWidth="1"/>
    <col min="10501" max="10501" width="17" style="2" customWidth="1"/>
    <col min="10502" max="10502" width="4.140625" style="2" customWidth="1"/>
    <col min="10503" max="10503" width="11.28515625" style="2" customWidth="1"/>
    <col min="10504" max="10504" width="11" style="2" customWidth="1"/>
    <col min="10505" max="10506" width="2.140625" style="2" customWidth="1"/>
    <col min="10507" max="10507" width="3.28515625" style="2" customWidth="1"/>
    <col min="10508" max="10509" width="0" style="2" hidden="1" customWidth="1"/>
    <col min="10510" max="10510" width="2.85546875" style="2" customWidth="1"/>
    <col min="10511" max="10511" width="3.28515625" style="2" customWidth="1"/>
    <col min="10512" max="10512" width="1.5703125" style="2" customWidth="1"/>
    <col min="10513" max="10513" width="0" style="2" hidden="1" customWidth="1"/>
    <col min="10514" max="10514" width="6.85546875" style="2" customWidth="1"/>
    <col min="10515" max="10515" width="0" style="2" hidden="1" customWidth="1"/>
    <col min="10516" max="10517" width="6.28515625" style="2" customWidth="1"/>
    <col min="10518" max="10518" width="13.85546875" style="2" customWidth="1"/>
    <col min="10519" max="10519" width="10.85546875" style="2" customWidth="1"/>
    <col min="10520" max="10520" width="14.7109375" style="2" customWidth="1"/>
    <col min="10521" max="10521" width="0" style="2" hidden="1" customWidth="1"/>
    <col min="10522" max="10522" width="13" style="2" customWidth="1"/>
    <col min="10523" max="10523" width="12.7109375" style="2" customWidth="1"/>
    <col min="10524" max="10524" width="13.140625" style="2" customWidth="1"/>
    <col min="10525" max="10525" width="14" style="2" customWidth="1"/>
    <col min="10526" max="10526" width="8.140625" style="2" customWidth="1"/>
    <col min="10527" max="10527" width="11.5703125" style="2" customWidth="1"/>
    <col min="10528" max="10528" width="24.7109375" style="2" customWidth="1"/>
    <col min="10529" max="10529" width="12" style="2" customWidth="1"/>
    <col min="10530" max="10531" width="0.28515625" style="2" customWidth="1"/>
    <col min="10532" max="10532" width="1.42578125" style="2" customWidth="1"/>
    <col min="10533" max="10533" width="0" style="2" hidden="1" customWidth="1"/>
    <col min="10534" max="10752" width="11.42578125" style="2"/>
    <col min="10753" max="10753" width="8" style="2" customWidth="1"/>
    <col min="10754" max="10754" width="13.42578125" style="2" customWidth="1"/>
    <col min="10755" max="10755" width="4.28515625" style="2" customWidth="1"/>
    <col min="10756" max="10756" width="4" style="2" customWidth="1"/>
    <col min="10757" max="10757" width="17" style="2" customWidth="1"/>
    <col min="10758" max="10758" width="4.140625" style="2" customWidth="1"/>
    <col min="10759" max="10759" width="11.28515625" style="2" customWidth="1"/>
    <col min="10760" max="10760" width="11" style="2" customWidth="1"/>
    <col min="10761" max="10762" width="2.140625" style="2" customWidth="1"/>
    <col min="10763" max="10763" width="3.28515625" style="2" customWidth="1"/>
    <col min="10764" max="10765" width="0" style="2" hidden="1" customWidth="1"/>
    <col min="10766" max="10766" width="2.85546875" style="2" customWidth="1"/>
    <col min="10767" max="10767" width="3.28515625" style="2" customWidth="1"/>
    <col min="10768" max="10768" width="1.5703125" style="2" customWidth="1"/>
    <col min="10769" max="10769" width="0" style="2" hidden="1" customWidth="1"/>
    <col min="10770" max="10770" width="6.85546875" style="2" customWidth="1"/>
    <col min="10771" max="10771" width="0" style="2" hidden="1" customWidth="1"/>
    <col min="10772" max="10773" width="6.28515625" style="2" customWidth="1"/>
    <col min="10774" max="10774" width="13.85546875" style="2" customWidth="1"/>
    <col min="10775" max="10775" width="10.85546875" style="2" customWidth="1"/>
    <col min="10776" max="10776" width="14.7109375" style="2" customWidth="1"/>
    <col min="10777" max="10777" width="0" style="2" hidden="1" customWidth="1"/>
    <col min="10778" max="10778" width="13" style="2" customWidth="1"/>
    <col min="10779" max="10779" width="12.7109375" style="2" customWidth="1"/>
    <col min="10780" max="10780" width="13.140625" style="2" customWidth="1"/>
    <col min="10781" max="10781" width="14" style="2" customWidth="1"/>
    <col min="10782" max="10782" width="8.140625" style="2" customWidth="1"/>
    <col min="10783" max="10783" width="11.5703125" style="2" customWidth="1"/>
    <col min="10784" max="10784" width="24.7109375" style="2" customWidth="1"/>
    <col min="10785" max="10785" width="12" style="2" customWidth="1"/>
    <col min="10786" max="10787" width="0.28515625" style="2" customWidth="1"/>
    <col min="10788" max="10788" width="1.42578125" style="2" customWidth="1"/>
    <col min="10789" max="10789" width="0" style="2" hidden="1" customWidth="1"/>
    <col min="10790" max="11008" width="11.42578125" style="2"/>
    <col min="11009" max="11009" width="8" style="2" customWidth="1"/>
    <col min="11010" max="11010" width="13.42578125" style="2" customWidth="1"/>
    <col min="11011" max="11011" width="4.28515625" style="2" customWidth="1"/>
    <col min="11012" max="11012" width="4" style="2" customWidth="1"/>
    <col min="11013" max="11013" width="17" style="2" customWidth="1"/>
    <col min="11014" max="11014" width="4.140625" style="2" customWidth="1"/>
    <col min="11015" max="11015" width="11.28515625" style="2" customWidth="1"/>
    <col min="11016" max="11016" width="11" style="2" customWidth="1"/>
    <col min="11017" max="11018" width="2.140625" style="2" customWidth="1"/>
    <col min="11019" max="11019" width="3.28515625" style="2" customWidth="1"/>
    <col min="11020" max="11021" width="0" style="2" hidden="1" customWidth="1"/>
    <col min="11022" max="11022" width="2.85546875" style="2" customWidth="1"/>
    <col min="11023" max="11023" width="3.28515625" style="2" customWidth="1"/>
    <col min="11024" max="11024" width="1.5703125" style="2" customWidth="1"/>
    <col min="11025" max="11025" width="0" style="2" hidden="1" customWidth="1"/>
    <col min="11026" max="11026" width="6.85546875" style="2" customWidth="1"/>
    <col min="11027" max="11027" width="0" style="2" hidden="1" customWidth="1"/>
    <col min="11028" max="11029" width="6.28515625" style="2" customWidth="1"/>
    <col min="11030" max="11030" width="13.85546875" style="2" customWidth="1"/>
    <col min="11031" max="11031" width="10.85546875" style="2" customWidth="1"/>
    <col min="11032" max="11032" width="14.7109375" style="2" customWidth="1"/>
    <col min="11033" max="11033" width="0" style="2" hidden="1" customWidth="1"/>
    <col min="11034" max="11034" width="13" style="2" customWidth="1"/>
    <col min="11035" max="11035" width="12.7109375" style="2" customWidth="1"/>
    <col min="11036" max="11036" width="13.140625" style="2" customWidth="1"/>
    <col min="11037" max="11037" width="14" style="2" customWidth="1"/>
    <col min="11038" max="11038" width="8.140625" style="2" customWidth="1"/>
    <col min="11039" max="11039" width="11.5703125" style="2" customWidth="1"/>
    <col min="11040" max="11040" width="24.7109375" style="2" customWidth="1"/>
    <col min="11041" max="11041" width="12" style="2" customWidth="1"/>
    <col min="11042" max="11043" width="0.28515625" style="2" customWidth="1"/>
    <col min="11044" max="11044" width="1.42578125" style="2" customWidth="1"/>
    <col min="11045" max="11045" width="0" style="2" hidden="1" customWidth="1"/>
    <col min="11046" max="11264" width="11.42578125" style="2"/>
    <col min="11265" max="11265" width="8" style="2" customWidth="1"/>
    <col min="11266" max="11266" width="13.42578125" style="2" customWidth="1"/>
    <col min="11267" max="11267" width="4.28515625" style="2" customWidth="1"/>
    <col min="11268" max="11268" width="4" style="2" customWidth="1"/>
    <col min="11269" max="11269" width="17" style="2" customWidth="1"/>
    <col min="11270" max="11270" width="4.140625" style="2" customWidth="1"/>
    <col min="11271" max="11271" width="11.28515625" style="2" customWidth="1"/>
    <col min="11272" max="11272" width="11" style="2" customWidth="1"/>
    <col min="11273" max="11274" width="2.140625" style="2" customWidth="1"/>
    <col min="11275" max="11275" width="3.28515625" style="2" customWidth="1"/>
    <col min="11276" max="11277" width="0" style="2" hidden="1" customWidth="1"/>
    <col min="11278" max="11278" width="2.85546875" style="2" customWidth="1"/>
    <col min="11279" max="11279" width="3.28515625" style="2" customWidth="1"/>
    <col min="11280" max="11280" width="1.5703125" style="2" customWidth="1"/>
    <col min="11281" max="11281" width="0" style="2" hidden="1" customWidth="1"/>
    <col min="11282" max="11282" width="6.85546875" style="2" customWidth="1"/>
    <col min="11283" max="11283" width="0" style="2" hidden="1" customWidth="1"/>
    <col min="11284" max="11285" width="6.28515625" style="2" customWidth="1"/>
    <col min="11286" max="11286" width="13.85546875" style="2" customWidth="1"/>
    <col min="11287" max="11287" width="10.85546875" style="2" customWidth="1"/>
    <col min="11288" max="11288" width="14.7109375" style="2" customWidth="1"/>
    <col min="11289" max="11289" width="0" style="2" hidden="1" customWidth="1"/>
    <col min="11290" max="11290" width="13" style="2" customWidth="1"/>
    <col min="11291" max="11291" width="12.7109375" style="2" customWidth="1"/>
    <col min="11292" max="11292" width="13.140625" style="2" customWidth="1"/>
    <col min="11293" max="11293" width="14" style="2" customWidth="1"/>
    <col min="11294" max="11294" width="8.140625" style="2" customWidth="1"/>
    <col min="11295" max="11295" width="11.5703125" style="2" customWidth="1"/>
    <col min="11296" max="11296" width="24.7109375" style="2" customWidth="1"/>
    <col min="11297" max="11297" width="12" style="2" customWidth="1"/>
    <col min="11298" max="11299" width="0.28515625" style="2" customWidth="1"/>
    <col min="11300" max="11300" width="1.42578125" style="2" customWidth="1"/>
    <col min="11301" max="11301" width="0" style="2" hidden="1" customWidth="1"/>
    <col min="11302" max="11520" width="11.42578125" style="2"/>
    <col min="11521" max="11521" width="8" style="2" customWidth="1"/>
    <col min="11522" max="11522" width="13.42578125" style="2" customWidth="1"/>
    <col min="11523" max="11523" width="4.28515625" style="2" customWidth="1"/>
    <col min="11524" max="11524" width="4" style="2" customWidth="1"/>
    <col min="11525" max="11525" width="17" style="2" customWidth="1"/>
    <col min="11526" max="11526" width="4.140625" style="2" customWidth="1"/>
    <col min="11527" max="11527" width="11.28515625" style="2" customWidth="1"/>
    <col min="11528" max="11528" width="11" style="2" customWidth="1"/>
    <col min="11529" max="11530" width="2.140625" style="2" customWidth="1"/>
    <col min="11531" max="11531" width="3.28515625" style="2" customWidth="1"/>
    <col min="11532" max="11533" width="0" style="2" hidden="1" customWidth="1"/>
    <col min="11534" max="11534" width="2.85546875" style="2" customWidth="1"/>
    <col min="11535" max="11535" width="3.28515625" style="2" customWidth="1"/>
    <col min="11536" max="11536" width="1.5703125" style="2" customWidth="1"/>
    <col min="11537" max="11537" width="0" style="2" hidden="1" customWidth="1"/>
    <col min="11538" max="11538" width="6.85546875" style="2" customWidth="1"/>
    <col min="11539" max="11539" width="0" style="2" hidden="1" customWidth="1"/>
    <col min="11540" max="11541" width="6.28515625" style="2" customWidth="1"/>
    <col min="11542" max="11542" width="13.85546875" style="2" customWidth="1"/>
    <col min="11543" max="11543" width="10.85546875" style="2" customWidth="1"/>
    <col min="11544" max="11544" width="14.7109375" style="2" customWidth="1"/>
    <col min="11545" max="11545" width="0" style="2" hidden="1" customWidth="1"/>
    <col min="11546" max="11546" width="13" style="2" customWidth="1"/>
    <col min="11547" max="11547" width="12.7109375" style="2" customWidth="1"/>
    <col min="11548" max="11548" width="13.140625" style="2" customWidth="1"/>
    <col min="11549" max="11549" width="14" style="2" customWidth="1"/>
    <col min="11550" max="11550" width="8.140625" style="2" customWidth="1"/>
    <col min="11551" max="11551" width="11.5703125" style="2" customWidth="1"/>
    <col min="11552" max="11552" width="24.7109375" style="2" customWidth="1"/>
    <col min="11553" max="11553" width="12" style="2" customWidth="1"/>
    <col min="11554" max="11555" width="0.28515625" style="2" customWidth="1"/>
    <col min="11556" max="11556" width="1.42578125" style="2" customWidth="1"/>
    <col min="11557" max="11557" width="0" style="2" hidden="1" customWidth="1"/>
    <col min="11558" max="11776" width="11.42578125" style="2"/>
    <col min="11777" max="11777" width="8" style="2" customWidth="1"/>
    <col min="11778" max="11778" width="13.42578125" style="2" customWidth="1"/>
    <col min="11779" max="11779" width="4.28515625" style="2" customWidth="1"/>
    <col min="11780" max="11780" width="4" style="2" customWidth="1"/>
    <col min="11781" max="11781" width="17" style="2" customWidth="1"/>
    <col min="11782" max="11782" width="4.140625" style="2" customWidth="1"/>
    <col min="11783" max="11783" width="11.28515625" style="2" customWidth="1"/>
    <col min="11784" max="11784" width="11" style="2" customWidth="1"/>
    <col min="11785" max="11786" width="2.140625" style="2" customWidth="1"/>
    <col min="11787" max="11787" width="3.28515625" style="2" customWidth="1"/>
    <col min="11788" max="11789" width="0" style="2" hidden="1" customWidth="1"/>
    <col min="11790" max="11790" width="2.85546875" style="2" customWidth="1"/>
    <col min="11791" max="11791" width="3.28515625" style="2" customWidth="1"/>
    <col min="11792" max="11792" width="1.5703125" style="2" customWidth="1"/>
    <col min="11793" max="11793" width="0" style="2" hidden="1" customWidth="1"/>
    <col min="11794" max="11794" width="6.85546875" style="2" customWidth="1"/>
    <col min="11795" max="11795" width="0" style="2" hidden="1" customWidth="1"/>
    <col min="11796" max="11797" width="6.28515625" style="2" customWidth="1"/>
    <col min="11798" max="11798" width="13.85546875" style="2" customWidth="1"/>
    <col min="11799" max="11799" width="10.85546875" style="2" customWidth="1"/>
    <col min="11800" max="11800" width="14.7109375" style="2" customWidth="1"/>
    <col min="11801" max="11801" width="0" style="2" hidden="1" customWidth="1"/>
    <col min="11802" max="11802" width="13" style="2" customWidth="1"/>
    <col min="11803" max="11803" width="12.7109375" style="2" customWidth="1"/>
    <col min="11804" max="11804" width="13.140625" style="2" customWidth="1"/>
    <col min="11805" max="11805" width="14" style="2" customWidth="1"/>
    <col min="11806" max="11806" width="8.140625" style="2" customWidth="1"/>
    <col min="11807" max="11807" width="11.5703125" style="2" customWidth="1"/>
    <col min="11808" max="11808" width="24.7109375" style="2" customWidth="1"/>
    <col min="11809" max="11809" width="12" style="2" customWidth="1"/>
    <col min="11810" max="11811" width="0.28515625" style="2" customWidth="1"/>
    <col min="11812" max="11812" width="1.42578125" style="2" customWidth="1"/>
    <col min="11813" max="11813" width="0" style="2" hidden="1" customWidth="1"/>
    <col min="11814" max="12032" width="11.42578125" style="2"/>
    <col min="12033" max="12033" width="8" style="2" customWidth="1"/>
    <col min="12034" max="12034" width="13.42578125" style="2" customWidth="1"/>
    <col min="12035" max="12035" width="4.28515625" style="2" customWidth="1"/>
    <col min="12036" max="12036" width="4" style="2" customWidth="1"/>
    <col min="12037" max="12037" width="17" style="2" customWidth="1"/>
    <col min="12038" max="12038" width="4.140625" style="2" customWidth="1"/>
    <col min="12039" max="12039" width="11.28515625" style="2" customWidth="1"/>
    <col min="12040" max="12040" width="11" style="2" customWidth="1"/>
    <col min="12041" max="12042" width="2.140625" style="2" customWidth="1"/>
    <col min="12043" max="12043" width="3.28515625" style="2" customWidth="1"/>
    <col min="12044" max="12045" width="0" style="2" hidden="1" customWidth="1"/>
    <col min="12046" max="12046" width="2.85546875" style="2" customWidth="1"/>
    <col min="12047" max="12047" width="3.28515625" style="2" customWidth="1"/>
    <col min="12048" max="12048" width="1.5703125" style="2" customWidth="1"/>
    <col min="12049" max="12049" width="0" style="2" hidden="1" customWidth="1"/>
    <col min="12050" max="12050" width="6.85546875" style="2" customWidth="1"/>
    <col min="12051" max="12051" width="0" style="2" hidden="1" customWidth="1"/>
    <col min="12052" max="12053" width="6.28515625" style="2" customWidth="1"/>
    <col min="12054" max="12054" width="13.85546875" style="2" customWidth="1"/>
    <col min="12055" max="12055" width="10.85546875" style="2" customWidth="1"/>
    <col min="12056" max="12056" width="14.7109375" style="2" customWidth="1"/>
    <col min="12057" max="12057" width="0" style="2" hidden="1" customWidth="1"/>
    <col min="12058" max="12058" width="13" style="2" customWidth="1"/>
    <col min="12059" max="12059" width="12.7109375" style="2" customWidth="1"/>
    <col min="12060" max="12060" width="13.140625" style="2" customWidth="1"/>
    <col min="12061" max="12061" width="14" style="2" customWidth="1"/>
    <col min="12062" max="12062" width="8.140625" style="2" customWidth="1"/>
    <col min="12063" max="12063" width="11.5703125" style="2" customWidth="1"/>
    <col min="12064" max="12064" width="24.7109375" style="2" customWidth="1"/>
    <col min="12065" max="12065" width="12" style="2" customWidth="1"/>
    <col min="12066" max="12067" width="0.28515625" style="2" customWidth="1"/>
    <col min="12068" max="12068" width="1.42578125" style="2" customWidth="1"/>
    <col min="12069" max="12069" width="0" style="2" hidden="1" customWidth="1"/>
    <col min="12070" max="12288" width="11.42578125" style="2"/>
    <col min="12289" max="12289" width="8" style="2" customWidth="1"/>
    <col min="12290" max="12290" width="13.42578125" style="2" customWidth="1"/>
    <col min="12291" max="12291" width="4.28515625" style="2" customWidth="1"/>
    <col min="12292" max="12292" width="4" style="2" customWidth="1"/>
    <col min="12293" max="12293" width="17" style="2" customWidth="1"/>
    <col min="12294" max="12294" width="4.140625" style="2" customWidth="1"/>
    <col min="12295" max="12295" width="11.28515625" style="2" customWidth="1"/>
    <col min="12296" max="12296" width="11" style="2" customWidth="1"/>
    <col min="12297" max="12298" width="2.140625" style="2" customWidth="1"/>
    <col min="12299" max="12299" width="3.28515625" style="2" customWidth="1"/>
    <col min="12300" max="12301" width="0" style="2" hidden="1" customWidth="1"/>
    <col min="12302" max="12302" width="2.85546875" style="2" customWidth="1"/>
    <col min="12303" max="12303" width="3.28515625" style="2" customWidth="1"/>
    <col min="12304" max="12304" width="1.5703125" style="2" customWidth="1"/>
    <col min="12305" max="12305" width="0" style="2" hidden="1" customWidth="1"/>
    <col min="12306" max="12306" width="6.85546875" style="2" customWidth="1"/>
    <col min="12307" max="12307" width="0" style="2" hidden="1" customWidth="1"/>
    <col min="12308" max="12309" width="6.28515625" style="2" customWidth="1"/>
    <col min="12310" max="12310" width="13.85546875" style="2" customWidth="1"/>
    <col min="12311" max="12311" width="10.85546875" style="2" customWidth="1"/>
    <col min="12312" max="12312" width="14.7109375" style="2" customWidth="1"/>
    <col min="12313" max="12313" width="0" style="2" hidden="1" customWidth="1"/>
    <col min="12314" max="12314" width="13" style="2" customWidth="1"/>
    <col min="12315" max="12315" width="12.7109375" style="2" customWidth="1"/>
    <col min="12316" max="12316" width="13.140625" style="2" customWidth="1"/>
    <col min="12317" max="12317" width="14" style="2" customWidth="1"/>
    <col min="12318" max="12318" width="8.140625" style="2" customWidth="1"/>
    <col min="12319" max="12319" width="11.5703125" style="2" customWidth="1"/>
    <col min="12320" max="12320" width="24.7109375" style="2" customWidth="1"/>
    <col min="12321" max="12321" width="12" style="2" customWidth="1"/>
    <col min="12322" max="12323" width="0.28515625" style="2" customWidth="1"/>
    <col min="12324" max="12324" width="1.42578125" style="2" customWidth="1"/>
    <col min="12325" max="12325" width="0" style="2" hidden="1" customWidth="1"/>
    <col min="12326" max="12544" width="11.42578125" style="2"/>
    <col min="12545" max="12545" width="8" style="2" customWidth="1"/>
    <col min="12546" max="12546" width="13.42578125" style="2" customWidth="1"/>
    <col min="12547" max="12547" width="4.28515625" style="2" customWidth="1"/>
    <col min="12548" max="12548" width="4" style="2" customWidth="1"/>
    <col min="12549" max="12549" width="17" style="2" customWidth="1"/>
    <col min="12550" max="12550" width="4.140625" style="2" customWidth="1"/>
    <col min="12551" max="12551" width="11.28515625" style="2" customWidth="1"/>
    <col min="12552" max="12552" width="11" style="2" customWidth="1"/>
    <col min="12553" max="12554" width="2.140625" style="2" customWidth="1"/>
    <col min="12555" max="12555" width="3.28515625" style="2" customWidth="1"/>
    <col min="12556" max="12557" width="0" style="2" hidden="1" customWidth="1"/>
    <col min="12558" max="12558" width="2.85546875" style="2" customWidth="1"/>
    <col min="12559" max="12559" width="3.28515625" style="2" customWidth="1"/>
    <col min="12560" max="12560" width="1.5703125" style="2" customWidth="1"/>
    <col min="12561" max="12561" width="0" style="2" hidden="1" customWidth="1"/>
    <col min="12562" max="12562" width="6.85546875" style="2" customWidth="1"/>
    <col min="12563" max="12563" width="0" style="2" hidden="1" customWidth="1"/>
    <col min="12564" max="12565" width="6.28515625" style="2" customWidth="1"/>
    <col min="12566" max="12566" width="13.85546875" style="2" customWidth="1"/>
    <col min="12567" max="12567" width="10.85546875" style="2" customWidth="1"/>
    <col min="12568" max="12568" width="14.7109375" style="2" customWidth="1"/>
    <col min="12569" max="12569" width="0" style="2" hidden="1" customWidth="1"/>
    <col min="12570" max="12570" width="13" style="2" customWidth="1"/>
    <col min="12571" max="12571" width="12.7109375" style="2" customWidth="1"/>
    <col min="12572" max="12572" width="13.140625" style="2" customWidth="1"/>
    <col min="12573" max="12573" width="14" style="2" customWidth="1"/>
    <col min="12574" max="12574" width="8.140625" style="2" customWidth="1"/>
    <col min="12575" max="12575" width="11.5703125" style="2" customWidth="1"/>
    <col min="12576" max="12576" width="24.7109375" style="2" customWidth="1"/>
    <col min="12577" max="12577" width="12" style="2" customWidth="1"/>
    <col min="12578" max="12579" width="0.28515625" style="2" customWidth="1"/>
    <col min="12580" max="12580" width="1.42578125" style="2" customWidth="1"/>
    <col min="12581" max="12581" width="0" style="2" hidden="1" customWidth="1"/>
    <col min="12582" max="12800" width="11.42578125" style="2"/>
    <col min="12801" max="12801" width="8" style="2" customWidth="1"/>
    <col min="12802" max="12802" width="13.42578125" style="2" customWidth="1"/>
    <col min="12803" max="12803" width="4.28515625" style="2" customWidth="1"/>
    <col min="12804" max="12804" width="4" style="2" customWidth="1"/>
    <col min="12805" max="12805" width="17" style="2" customWidth="1"/>
    <col min="12806" max="12806" width="4.140625" style="2" customWidth="1"/>
    <col min="12807" max="12807" width="11.28515625" style="2" customWidth="1"/>
    <col min="12808" max="12808" width="11" style="2" customWidth="1"/>
    <col min="12809" max="12810" width="2.140625" style="2" customWidth="1"/>
    <col min="12811" max="12811" width="3.28515625" style="2" customWidth="1"/>
    <col min="12812" max="12813" width="0" style="2" hidden="1" customWidth="1"/>
    <col min="12814" max="12814" width="2.85546875" style="2" customWidth="1"/>
    <col min="12815" max="12815" width="3.28515625" style="2" customWidth="1"/>
    <col min="12816" max="12816" width="1.5703125" style="2" customWidth="1"/>
    <col min="12817" max="12817" width="0" style="2" hidden="1" customWidth="1"/>
    <col min="12818" max="12818" width="6.85546875" style="2" customWidth="1"/>
    <col min="12819" max="12819" width="0" style="2" hidden="1" customWidth="1"/>
    <col min="12820" max="12821" width="6.28515625" style="2" customWidth="1"/>
    <col min="12822" max="12822" width="13.85546875" style="2" customWidth="1"/>
    <col min="12823" max="12823" width="10.85546875" style="2" customWidth="1"/>
    <col min="12824" max="12824" width="14.7109375" style="2" customWidth="1"/>
    <col min="12825" max="12825" width="0" style="2" hidden="1" customWidth="1"/>
    <col min="12826" max="12826" width="13" style="2" customWidth="1"/>
    <col min="12827" max="12827" width="12.7109375" style="2" customWidth="1"/>
    <col min="12828" max="12828" width="13.140625" style="2" customWidth="1"/>
    <col min="12829" max="12829" width="14" style="2" customWidth="1"/>
    <col min="12830" max="12830" width="8.140625" style="2" customWidth="1"/>
    <col min="12831" max="12831" width="11.5703125" style="2" customWidth="1"/>
    <col min="12832" max="12832" width="24.7109375" style="2" customWidth="1"/>
    <col min="12833" max="12833" width="12" style="2" customWidth="1"/>
    <col min="12834" max="12835" width="0.28515625" style="2" customWidth="1"/>
    <col min="12836" max="12836" width="1.42578125" style="2" customWidth="1"/>
    <col min="12837" max="12837" width="0" style="2" hidden="1" customWidth="1"/>
    <col min="12838" max="13056" width="11.42578125" style="2"/>
    <col min="13057" max="13057" width="8" style="2" customWidth="1"/>
    <col min="13058" max="13058" width="13.42578125" style="2" customWidth="1"/>
    <col min="13059" max="13059" width="4.28515625" style="2" customWidth="1"/>
    <col min="13060" max="13060" width="4" style="2" customWidth="1"/>
    <col min="13061" max="13061" width="17" style="2" customWidth="1"/>
    <col min="13062" max="13062" width="4.140625" style="2" customWidth="1"/>
    <col min="13063" max="13063" width="11.28515625" style="2" customWidth="1"/>
    <col min="13064" max="13064" width="11" style="2" customWidth="1"/>
    <col min="13065" max="13066" width="2.140625" style="2" customWidth="1"/>
    <col min="13067" max="13067" width="3.28515625" style="2" customWidth="1"/>
    <col min="13068" max="13069" width="0" style="2" hidden="1" customWidth="1"/>
    <col min="13070" max="13070" width="2.85546875" style="2" customWidth="1"/>
    <col min="13071" max="13071" width="3.28515625" style="2" customWidth="1"/>
    <col min="13072" max="13072" width="1.5703125" style="2" customWidth="1"/>
    <col min="13073" max="13073" width="0" style="2" hidden="1" customWidth="1"/>
    <col min="13074" max="13074" width="6.85546875" style="2" customWidth="1"/>
    <col min="13075" max="13075" width="0" style="2" hidden="1" customWidth="1"/>
    <col min="13076" max="13077" width="6.28515625" style="2" customWidth="1"/>
    <col min="13078" max="13078" width="13.85546875" style="2" customWidth="1"/>
    <col min="13079" max="13079" width="10.85546875" style="2" customWidth="1"/>
    <col min="13080" max="13080" width="14.7109375" style="2" customWidth="1"/>
    <col min="13081" max="13081" width="0" style="2" hidden="1" customWidth="1"/>
    <col min="13082" max="13082" width="13" style="2" customWidth="1"/>
    <col min="13083" max="13083" width="12.7109375" style="2" customWidth="1"/>
    <col min="13084" max="13084" width="13.140625" style="2" customWidth="1"/>
    <col min="13085" max="13085" width="14" style="2" customWidth="1"/>
    <col min="13086" max="13086" width="8.140625" style="2" customWidth="1"/>
    <col min="13087" max="13087" width="11.5703125" style="2" customWidth="1"/>
    <col min="13088" max="13088" width="24.7109375" style="2" customWidth="1"/>
    <col min="13089" max="13089" width="12" style="2" customWidth="1"/>
    <col min="13090" max="13091" width="0.28515625" style="2" customWidth="1"/>
    <col min="13092" max="13092" width="1.42578125" style="2" customWidth="1"/>
    <col min="13093" max="13093" width="0" style="2" hidden="1" customWidth="1"/>
    <col min="13094" max="13312" width="11.42578125" style="2"/>
    <col min="13313" max="13313" width="8" style="2" customWidth="1"/>
    <col min="13314" max="13314" width="13.42578125" style="2" customWidth="1"/>
    <col min="13315" max="13315" width="4.28515625" style="2" customWidth="1"/>
    <col min="13316" max="13316" width="4" style="2" customWidth="1"/>
    <col min="13317" max="13317" width="17" style="2" customWidth="1"/>
    <col min="13318" max="13318" width="4.140625" style="2" customWidth="1"/>
    <col min="13319" max="13319" width="11.28515625" style="2" customWidth="1"/>
    <col min="13320" max="13320" width="11" style="2" customWidth="1"/>
    <col min="13321" max="13322" width="2.140625" style="2" customWidth="1"/>
    <col min="13323" max="13323" width="3.28515625" style="2" customWidth="1"/>
    <col min="13324" max="13325" width="0" style="2" hidden="1" customWidth="1"/>
    <col min="13326" max="13326" width="2.85546875" style="2" customWidth="1"/>
    <col min="13327" max="13327" width="3.28515625" style="2" customWidth="1"/>
    <col min="13328" max="13328" width="1.5703125" style="2" customWidth="1"/>
    <col min="13329" max="13329" width="0" style="2" hidden="1" customWidth="1"/>
    <col min="13330" max="13330" width="6.85546875" style="2" customWidth="1"/>
    <col min="13331" max="13331" width="0" style="2" hidden="1" customWidth="1"/>
    <col min="13332" max="13333" width="6.28515625" style="2" customWidth="1"/>
    <col min="13334" max="13334" width="13.85546875" style="2" customWidth="1"/>
    <col min="13335" max="13335" width="10.85546875" style="2" customWidth="1"/>
    <col min="13336" max="13336" width="14.7109375" style="2" customWidth="1"/>
    <col min="13337" max="13337" width="0" style="2" hidden="1" customWidth="1"/>
    <col min="13338" max="13338" width="13" style="2" customWidth="1"/>
    <col min="13339" max="13339" width="12.7109375" style="2" customWidth="1"/>
    <col min="13340" max="13340" width="13.140625" style="2" customWidth="1"/>
    <col min="13341" max="13341" width="14" style="2" customWidth="1"/>
    <col min="13342" max="13342" width="8.140625" style="2" customWidth="1"/>
    <col min="13343" max="13343" width="11.5703125" style="2" customWidth="1"/>
    <col min="13344" max="13344" width="24.7109375" style="2" customWidth="1"/>
    <col min="13345" max="13345" width="12" style="2" customWidth="1"/>
    <col min="13346" max="13347" width="0.28515625" style="2" customWidth="1"/>
    <col min="13348" max="13348" width="1.42578125" style="2" customWidth="1"/>
    <col min="13349" max="13349" width="0" style="2" hidden="1" customWidth="1"/>
    <col min="13350" max="13568" width="11.42578125" style="2"/>
    <col min="13569" max="13569" width="8" style="2" customWidth="1"/>
    <col min="13570" max="13570" width="13.42578125" style="2" customWidth="1"/>
    <col min="13571" max="13571" width="4.28515625" style="2" customWidth="1"/>
    <col min="13572" max="13572" width="4" style="2" customWidth="1"/>
    <col min="13573" max="13573" width="17" style="2" customWidth="1"/>
    <col min="13574" max="13574" width="4.140625" style="2" customWidth="1"/>
    <col min="13575" max="13575" width="11.28515625" style="2" customWidth="1"/>
    <col min="13576" max="13576" width="11" style="2" customWidth="1"/>
    <col min="13577" max="13578" width="2.140625" style="2" customWidth="1"/>
    <col min="13579" max="13579" width="3.28515625" style="2" customWidth="1"/>
    <col min="13580" max="13581" width="0" style="2" hidden="1" customWidth="1"/>
    <col min="13582" max="13582" width="2.85546875" style="2" customWidth="1"/>
    <col min="13583" max="13583" width="3.28515625" style="2" customWidth="1"/>
    <col min="13584" max="13584" width="1.5703125" style="2" customWidth="1"/>
    <col min="13585" max="13585" width="0" style="2" hidden="1" customWidth="1"/>
    <col min="13586" max="13586" width="6.85546875" style="2" customWidth="1"/>
    <col min="13587" max="13587" width="0" style="2" hidden="1" customWidth="1"/>
    <col min="13588" max="13589" width="6.28515625" style="2" customWidth="1"/>
    <col min="13590" max="13590" width="13.85546875" style="2" customWidth="1"/>
    <col min="13591" max="13591" width="10.85546875" style="2" customWidth="1"/>
    <col min="13592" max="13592" width="14.7109375" style="2" customWidth="1"/>
    <col min="13593" max="13593" width="0" style="2" hidden="1" customWidth="1"/>
    <col min="13594" max="13594" width="13" style="2" customWidth="1"/>
    <col min="13595" max="13595" width="12.7109375" style="2" customWidth="1"/>
    <col min="13596" max="13596" width="13.140625" style="2" customWidth="1"/>
    <col min="13597" max="13597" width="14" style="2" customWidth="1"/>
    <col min="13598" max="13598" width="8.140625" style="2" customWidth="1"/>
    <col min="13599" max="13599" width="11.5703125" style="2" customWidth="1"/>
    <col min="13600" max="13600" width="24.7109375" style="2" customWidth="1"/>
    <col min="13601" max="13601" width="12" style="2" customWidth="1"/>
    <col min="13602" max="13603" width="0.28515625" style="2" customWidth="1"/>
    <col min="13604" max="13604" width="1.42578125" style="2" customWidth="1"/>
    <col min="13605" max="13605" width="0" style="2" hidden="1" customWidth="1"/>
    <col min="13606" max="13824" width="11.42578125" style="2"/>
    <col min="13825" max="13825" width="8" style="2" customWidth="1"/>
    <col min="13826" max="13826" width="13.42578125" style="2" customWidth="1"/>
    <col min="13827" max="13827" width="4.28515625" style="2" customWidth="1"/>
    <col min="13828" max="13828" width="4" style="2" customWidth="1"/>
    <col min="13829" max="13829" width="17" style="2" customWidth="1"/>
    <col min="13830" max="13830" width="4.140625" style="2" customWidth="1"/>
    <col min="13831" max="13831" width="11.28515625" style="2" customWidth="1"/>
    <col min="13832" max="13832" width="11" style="2" customWidth="1"/>
    <col min="13833" max="13834" width="2.140625" style="2" customWidth="1"/>
    <col min="13835" max="13835" width="3.28515625" style="2" customWidth="1"/>
    <col min="13836" max="13837" width="0" style="2" hidden="1" customWidth="1"/>
    <col min="13838" max="13838" width="2.85546875" style="2" customWidth="1"/>
    <col min="13839" max="13839" width="3.28515625" style="2" customWidth="1"/>
    <col min="13840" max="13840" width="1.5703125" style="2" customWidth="1"/>
    <col min="13841" max="13841" width="0" style="2" hidden="1" customWidth="1"/>
    <col min="13842" max="13842" width="6.85546875" style="2" customWidth="1"/>
    <col min="13843" max="13843" width="0" style="2" hidden="1" customWidth="1"/>
    <col min="13844" max="13845" width="6.28515625" style="2" customWidth="1"/>
    <col min="13846" max="13846" width="13.85546875" style="2" customWidth="1"/>
    <col min="13847" max="13847" width="10.85546875" style="2" customWidth="1"/>
    <col min="13848" max="13848" width="14.7109375" style="2" customWidth="1"/>
    <col min="13849" max="13849" width="0" style="2" hidden="1" customWidth="1"/>
    <col min="13850" max="13850" width="13" style="2" customWidth="1"/>
    <col min="13851" max="13851" width="12.7109375" style="2" customWidth="1"/>
    <col min="13852" max="13852" width="13.140625" style="2" customWidth="1"/>
    <col min="13853" max="13853" width="14" style="2" customWidth="1"/>
    <col min="13854" max="13854" width="8.140625" style="2" customWidth="1"/>
    <col min="13855" max="13855" width="11.5703125" style="2" customWidth="1"/>
    <col min="13856" max="13856" width="24.7109375" style="2" customWidth="1"/>
    <col min="13857" max="13857" width="12" style="2" customWidth="1"/>
    <col min="13858" max="13859" width="0.28515625" style="2" customWidth="1"/>
    <col min="13860" max="13860" width="1.42578125" style="2" customWidth="1"/>
    <col min="13861" max="13861" width="0" style="2" hidden="1" customWidth="1"/>
    <col min="13862" max="14080" width="11.42578125" style="2"/>
    <col min="14081" max="14081" width="8" style="2" customWidth="1"/>
    <col min="14082" max="14082" width="13.42578125" style="2" customWidth="1"/>
    <col min="14083" max="14083" width="4.28515625" style="2" customWidth="1"/>
    <col min="14084" max="14084" width="4" style="2" customWidth="1"/>
    <col min="14085" max="14085" width="17" style="2" customWidth="1"/>
    <col min="14086" max="14086" width="4.140625" style="2" customWidth="1"/>
    <col min="14087" max="14087" width="11.28515625" style="2" customWidth="1"/>
    <col min="14088" max="14088" width="11" style="2" customWidth="1"/>
    <col min="14089" max="14090" width="2.140625" style="2" customWidth="1"/>
    <col min="14091" max="14091" width="3.28515625" style="2" customWidth="1"/>
    <col min="14092" max="14093" width="0" style="2" hidden="1" customWidth="1"/>
    <col min="14094" max="14094" width="2.85546875" style="2" customWidth="1"/>
    <col min="14095" max="14095" width="3.28515625" style="2" customWidth="1"/>
    <col min="14096" max="14096" width="1.5703125" style="2" customWidth="1"/>
    <col min="14097" max="14097" width="0" style="2" hidden="1" customWidth="1"/>
    <col min="14098" max="14098" width="6.85546875" style="2" customWidth="1"/>
    <col min="14099" max="14099" width="0" style="2" hidden="1" customWidth="1"/>
    <col min="14100" max="14101" width="6.28515625" style="2" customWidth="1"/>
    <col min="14102" max="14102" width="13.85546875" style="2" customWidth="1"/>
    <col min="14103" max="14103" width="10.85546875" style="2" customWidth="1"/>
    <col min="14104" max="14104" width="14.7109375" style="2" customWidth="1"/>
    <col min="14105" max="14105" width="0" style="2" hidden="1" customWidth="1"/>
    <col min="14106" max="14106" width="13" style="2" customWidth="1"/>
    <col min="14107" max="14107" width="12.7109375" style="2" customWidth="1"/>
    <col min="14108" max="14108" width="13.140625" style="2" customWidth="1"/>
    <col min="14109" max="14109" width="14" style="2" customWidth="1"/>
    <col min="14110" max="14110" width="8.140625" style="2" customWidth="1"/>
    <col min="14111" max="14111" width="11.5703125" style="2" customWidth="1"/>
    <col min="14112" max="14112" width="24.7109375" style="2" customWidth="1"/>
    <col min="14113" max="14113" width="12" style="2" customWidth="1"/>
    <col min="14114" max="14115" width="0.28515625" style="2" customWidth="1"/>
    <col min="14116" max="14116" width="1.42578125" style="2" customWidth="1"/>
    <col min="14117" max="14117" width="0" style="2" hidden="1" customWidth="1"/>
    <col min="14118" max="14336" width="11.42578125" style="2"/>
    <col min="14337" max="14337" width="8" style="2" customWidth="1"/>
    <col min="14338" max="14338" width="13.42578125" style="2" customWidth="1"/>
    <col min="14339" max="14339" width="4.28515625" style="2" customWidth="1"/>
    <col min="14340" max="14340" width="4" style="2" customWidth="1"/>
    <col min="14341" max="14341" width="17" style="2" customWidth="1"/>
    <col min="14342" max="14342" width="4.140625" style="2" customWidth="1"/>
    <col min="14343" max="14343" width="11.28515625" style="2" customWidth="1"/>
    <col min="14344" max="14344" width="11" style="2" customWidth="1"/>
    <col min="14345" max="14346" width="2.140625" style="2" customWidth="1"/>
    <col min="14347" max="14347" width="3.28515625" style="2" customWidth="1"/>
    <col min="14348" max="14349" width="0" style="2" hidden="1" customWidth="1"/>
    <col min="14350" max="14350" width="2.85546875" style="2" customWidth="1"/>
    <col min="14351" max="14351" width="3.28515625" style="2" customWidth="1"/>
    <col min="14352" max="14352" width="1.5703125" style="2" customWidth="1"/>
    <col min="14353" max="14353" width="0" style="2" hidden="1" customWidth="1"/>
    <col min="14354" max="14354" width="6.85546875" style="2" customWidth="1"/>
    <col min="14355" max="14355" width="0" style="2" hidden="1" customWidth="1"/>
    <col min="14356" max="14357" width="6.28515625" style="2" customWidth="1"/>
    <col min="14358" max="14358" width="13.85546875" style="2" customWidth="1"/>
    <col min="14359" max="14359" width="10.85546875" style="2" customWidth="1"/>
    <col min="14360" max="14360" width="14.7109375" style="2" customWidth="1"/>
    <col min="14361" max="14361" width="0" style="2" hidden="1" customWidth="1"/>
    <col min="14362" max="14362" width="13" style="2" customWidth="1"/>
    <col min="14363" max="14363" width="12.7109375" style="2" customWidth="1"/>
    <col min="14364" max="14364" width="13.140625" style="2" customWidth="1"/>
    <col min="14365" max="14365" width="14" style="2" customWidth="1"/>
    <col min="14366" max="14366" width="8.140625" style="2" customWidth="1"/>
    <col min="14367" max="14367" width="11.5703125" style="2" customWidth="1"/>
    <col min="14368" max="14368" width="24.7109375" style="2" customWidth="1"/>
    <col min="14369" max="14369" width="12" style="2" customWidth="1"/>
    <col min="14370" max="14371" width="0.28515625" style="2" customWidth="1"/>
    <col min="14372" max="14372" width="1.42578125" style="2" customWidth="1"/>
    <col min="14373" max="14373" width="0" style="2" hidden="1" customWidth="1"/>
    <col min="14374" max="14592" width="11.42578125" style="2"/>
    <col min="14593" max="14593" width="8" style="2" customWidth="1"/>
    <col min="14594" max="14594" width="13.42578125" style="2" customWidth="1"/>
    <col min="14595" max="14595" width="4.28515625" style="2" customWidth="1"/>
    <col min="14596" max="14596" width="4" style="2" customWidth="1"/>
    <col min="14597" max="14597" width="17" style="2" customWidth="1"/>
    <col min="14598" max="14598" width="4.140625" style="2" customWidth="1"/>
    <col min="14599" max="14599" width="11.28515625" style="2" customWidth="1"/>
    <col min="14600" max="14600" width="11" style="2" customWidth="1"/>
    <col min="14601" max="14602" width="2.140625" style="2" customWidth="1"/>
    <col min="14603" max="14603" width="3.28515625" style="2" customWidth="1"/>
    <col min="14604" max="14605" width="0" style="2" hidden="1" customWidth="1"/>
    <col min="14606" max="14606" width="2.85546875" style="2" customWidth="1"/>
    <col min="14607" max="14607" width="3.28515625" style="2" customWidth="1"/>
    <col min="14608" max="14608" width="1.5703125" style="2" customWidth="1"/>
    <col min="14609" max="14609" width="0" style="2" hidden="1" customWidth="1"/>
    <col min="14610" max="14610" width="6.85546875" style="2" customWidth="1"/>
    <col min="14611" max="14611" width="0" style="2" hidden="1" customWidth="1"/>
    <col min="14612" max="14613" width="6.28515625" style="2" customWidth="1"/>
    <col min="14614" max="14614" width="13.85546875" style="2" customWidth="1"/>
    <col min="14615" max="14615" width="10.85546875" style="2" customWidth="1"/>
    <col min="14616" max="14616" width="14.7109375" style="2" customWidth="1"/>
    <col min="14617" max="14617" width="0" style="2" hidden="1" customWidth="1"/>
    <col min="14618" max="14618" width="13" style="2" customWidth="1"/>
    <col min="14619" max="14619" width="12.7109375" style="2" customWidth="1"/>
    <col min="14620" max="14620" width="13.140625" style="2" customWidth="1"/>
    <col min="14621" max="14621" width="14" style="2" customWidth="1"/>
    <col min="14622" max="14622" width="8.140625" style="2" customWidth="1"/>
    <col min="14623" max="14623" width="11.5703125" style="2" customWidth="1"/>
    <col min="14624" max="14624" width="24.7109375" style="2" customWidth="1"/>
    <col min="14625" max="14625" width="12" style="2" customWidth="1"/>
    <col min="14626" max="14627" width="0.28515625" style="2" customWidth="1"/>
    <col min="14628" max="14628" width="1.42578125" style="2" customWidth="1"/>
    <col min="14629" max="14629" width="0" style="2" hidden="1" customWidth="1"/>
    <col min="14630" max="14848" width="11.42578125" style="2"/>
    <col min="14849" max="14849" width="8" style="2" customWidth="1"/>
    <col min="14850" max="14850" width="13.42578125" style="2" customWidth="1"/>
    <col min="14851" max="14851" width="4.28515625" style="2" customWidth="1"/>
    <col min="14852" max="14852" width="4" style="2" customWidth="1"/>
    <col min="14853" max="14853" width="17" style="2" customWidth="1"/>
    <col min="14854" max="14854" width="4.140625" style="2" customWidth="1"/>
    <col min="14855" max="14855" width="11.28515625" style="2" customWidth="1"/>
    <col min="14856" max="14856" width="11" style="2" customWidth="1"/>
    <col min="14857" max="14858" width="2.140625" style="2" customWidth="1"/>
    <col min="14859" max="14859" width="3.28515625" style="2" customWidth="1"/>
    <col min="14860" max="14861" width="0" style="2" hidden="1" customWidth="1"/>
    <col min="14862" max="14862" width="2.85546875" style="2" customWidth="1"/>
    <col min="14863" max="14863" width="3.28515625" style="2" customWidth="1"/>
    <col min="14864" max="14864" width="1.5703125" style="2" customWidth="1"/>
    <col min="14865" max="14865" width="0" style="2" hidden="1" customWidth="1"/>
    <col min="14866" max="14866" width="6.85546875" style="2" customWidth="1"/>
    <col min="14867" max="14867" width="0" style="2" hidden="1" customWidth="1"/>
    <col min="14868" max="14869" width="6.28515625" style="2" customWidth="1"/>
    <col min="14870" max="14870" width="13.85546875" style="2" customWidth="1"/>
    <col min="14871" max="14871" width="10.85546875" style="2" customWidth="1"/>
    <col min="14872" max="14872" width="14.7109375" style="2" customWidth="1"/>
    <col min="14873" max="14873" width="0" style="2" hidden="1" customWidth="1"/>
    <col min="14874" max="14874" width="13" style="2" customWidth="1"/>
    <col min="14875" max="14875" width="12.7109375" style="2" customWidth="1"/>
    <col min="14876" max="14876" width="13.140625" style="2" customWidth="1"/>
    <col min="14877" max="14877" width="14" style="2" customWidth="1"/>
    <col min="14878" max="14878" width="8.140625" style="2" customWidth="1"/>
    <col min="14879" max="14879" width="11.5703125" style="2" customWidth="1"/>
    <col min="14880" max="14880" width="24.7109375" style="2" customWidth="1"/>
    <col min="14881" max="14881" width="12" style="2" customWidth="1"/>
    <col min="14882" max="14883" width="0.28515625" style="2" customWidth="1"/>
    <col min="14884" max="14884" width="1.42578125" style="2" customWidth="1"/>
    <col min="14885" max="14885" width="0" style="2" hidden="1" customWidth="1"/>
    <col min="14886" max="15104" width="11.42578125" style="2"/>
    <col min="15105" max="15105" width="8" style="2" customWidth="1"/>
    <col min="15106" max="15106" width="13.42578125" style="2" customWidth="1"/>
    <col min="15107" max="15107" width="4.28515625" style="2" customWidth="1"/>
    <col min="15108" max="15108" width="4" style="2" customWidth="1"/>
    <col min="15109" max="15109" width="17" style="2" customWidth="1"/>
    <col min="15110" max="15110" width="4.140625" style="2" customWidth="1"/>
    <col min="15111" max="15111" width="11.28515625" style="2" customWidth="1"/>
    <col min="15112" max="15112" width="11" style="2" customWidth="1"/>
    <col min="15113" max="15114" width="2.140625" style="2" customWidth="1"/>
    <col min="15115" max="15115" width="3.28515625" style="2" customWidth="1"/>
    <col min="15116" max="15117" width="0" style="2" hidden="1" customWidth="1"/>
    <col min="15118" max="15118" width="2.85546875" style="2" customWidth="1"/>
    <col min="15119" max="15119" width="3.28515625" style="2" customWidth="1"/>
    <col min="15120" max="15120" width="1.5703125" style="2" customWidth="1"/>
    <col min="15121" max="15121" width="0" style="2" hidden="1" customWidth="1"/>
    <col min="15122" max="15122" width="6.85546875" style="2" customWidth="1"/>
    <col min="15123" max="15123" width="0" style="2" hidden="1" customWidth="1"/>
    <col min="15124" max="15125" width="6.28515625" style="2" customWidth="1"/>
    <col min="15126" max="15126" width="13.85546875" style="2" customWidth="1"/>
    <col min="15127" max="15127" width="10.85546875" style="2" customWidth="1"/>
    <col min="15128" max="15128" width="14.7109375" style="2" customWidth="1"/>
    <col min="15129" max="15129" width="0" style="2" hidden="1" customWidth="1"/>
    <col min="15130" max="15130" width="13" style="2" customWidth="1"/>
    <col min="15131" max="15131" width="12.7109375" style="2" customWidth="1"/>
    <col min="15132" max="15132" width="13.140625" style="2" customWidth="1"/>
    <col min="15133" max="15133" width="14" style="2" customWidth="1"/>
    <col min="15134" max="15134" width="8.140625" style="2" customWidth="1"/>
    <col min="15135" max="15135" width="11.5703125" style="2" customWidth="1"/>
    <col min="15136" max="15136" width="24.7109375" style="2" customWidth="1"/>
    <col min="15137" max="15137" width="12" style="2" customWidth="1"/>
    <col min="15138" max="15139" width="0.28515625" style="2" customWidth="1"/>
    <col min="15140" max="15140" width="1.42578125" style="2" customWidth="1"/>
    <col min="15141" max="15141" width="0" style="2" hidden="1" customWidth="1"/>
    <col min="15142" max="15360" width="11.42578125" style="2"/>
    <col min="15361" max="15361" width="8" style="2" customWidth="1"/>
    <col min="15362" max="15362" width="13.42578125" style="2" customWidth="1"/>
    <col min="15363" max="15363" width="4.28515625" style="2" customWidth="1"/>
    <col min="15364" max="15364" width="4" style="2" customWidth="1"/>
    <col min="15365" max="15365" width="17" style="2" customWidth="1"/>
    <col min="15366" max="15366" width="4.140625" style="2" customWidth="1"/>
    <col min="15367" max="15367" width="11.28515625" style="2" customWidth="1"/>
    <col min="15368" max="15368" width="11" style="2" customWidth="1"/>
    <col min="15369" max="15370" width="2.140625" style="2" customWidth="1"/>
    <col min="15371" max="15371" width="3.28515625" style="2" customWidth="1"/>
    <col min="15372" max="15373" width="0" style="2" hidden="1" customWidth="1"/>
    <col min="15374" max="15374" width="2.85546875" style="2" customWidth="1"/>
    <col min="15375" max="15375" width="3.28515625" style="2" customWidth="1"/>
    <col min="15376" max="15376" width="1.5703125" style="2" customWidth="1"/>
    <col min="15377" max="15377" width="0" style="2" hidden="1" customWidth="1"/>
    <col min="15378" max="15378" width="6.85546875" style="2" customWidth="1"/>
    <col min="15379" max="15379" width="0" style="2" hidden="1" customWidth="1"/>
    <col min="15380" max="15381" width="6.28515625" style="2" customWidth="1"/>
    <col min="15382" max="15382" width="13.85546875" style="2" customWidth="1"/>
    <col min="15383" max="15383" width="10.85546875" style="2" customWidth="1"/>
    <col min="15384" max="15384" width="14.7109375" style="2" customWidth="1"/>
    <col min="15385" max="15385" width="0" style="2" hidden="1" customWidth="1"/>
    <col min="15386" max="15386" width="13" style="2" customWidth="1"/>
    <col min="15387" max="15387" width="12.7109375" style="2" customWidth="1"/>
    <col min="15388" max="15388" width="13.140625" style="2" customWidth="1"/>
    <col min="15389" max="15389" width="14" style="2" customWidth="1"/>
    <col min="15390" max="15390" width="8.140625" style="2" customWidth="1"/>
    <col min="15391" max="15391" width="11.5703125" style="2" customWidth="1"/>
    <col min="15392" max="15392" width="24.7109375" style="2" customWidth="1"/>
    <col min="15393" max="15393" width="12" style="2" customWidth="1"/>
    <col min="15394" max="15395" width="0.28515625" style="2" customWidth="1"/>
    <col min="15396" max="15396" width="1.42578125" style="2" customWidth="1"/>
    <col min="15397" max="15397" width="0" style="2" hidden="1" customWidth="1"/>
    <col min="15398" max="15616" width="11.42578125" style="2"/>
    <col min="15617" max="15617" width="8" style="2" customWidth="1"/>
    <col min="15618" max="15618" width="13.42578125" style="2" customWidth="1"/>
    <col min="15619" max="15619" width="4.28515625" style="2" customWidth="1"/>
    <col min="15620" max="15620" width="4" style="2" customWidth="1"/>
    <col min="15621" max="15621" width="17" style="2" customWidth="1"/>
    <col min="15622" max="15622" width="4.140625" style="2" customWidth="1"/>
    <col min="15623" max="15623" width="11.28515625" style="2" customWidth="1"/>
    <col min="15624" max="15624" width="11" style="2" customWidth="1"/>
    <col min="15625" max="15626" width="2.140625" style="2" customWidth="1"/>
    <col min="15627" max="15627" width="3.28515625" style="2" customWidth="1"/>
    <col min="15628" max="15629" width="0" style="2" hidden="1" customWidth="1"/>
    <col min="15630" max="15630" width="2.85546875" style="2" customWidth="1"/>
    <col min="15631" max="15631" width="3.28515625" style="2" customWidth="1"/>
    <col min="15632" max="15632" width="1.5703125" style="2" customWidth="1"/>
    <col min="15633" max="15633" width="0" style="2" hidden="1" customWidth="1"/>
    <col min="15634" max="15634" width="6.85546875" style="2" customWidth="1"/>
    <col min="15635" max="15635" width="0" style="2" hidden="1" customWidth="1"/>
    <col min="15636" max="15637" width="6.28515625" style="2" customWidth="1"/>
    <col min="15638" max="15638" width="13.85546875" style="2" customWidth="1"/>
    <col min="15639" max="15639" width="10.85546875" style="2" customWidth="1"/>
    <col min="15640" max="15640" width="14.7109375" style="2" customWidth="1"/>
    <col min="15641" max="15641" width="0" style="2" hidden="1" customWidth="1"/>
    <col min="15642" max="15642" width="13" style="2" customWidth="1"/>
    <col min="15643" max="15643" width="12.7109375" style="2" customWidth="1"/>
    <col min="15644" max="15644" width="13.140625" style="2" customWidth="1"/>
    <col min="15645" max="15645" width="14" style="2" customWidth="1"/>
    <col min="15646" max="15646" width="8.140625" style="2" customWidth="1"/>
    <col min="15647" max="15647" width="11.5703125" style="2" customWidth="1"/>
    <col min="15648" max="15648" width="24.7109375" style="2" customWidth="1"/>
    <col min="15649" max="15649" width="12" style="2" customWidth="1"/>
    <col min="15650" max="15651" width="0.28515625" style="2" customWidth="1"/>
    <col min="15652" max="15652" width="1.42578125" style="2" customWidth="1"/>
    <col min="15653" max="15653" width="0" style="2" hidden="1" customWidth="1"/>
    <col min="15654" max="15872" width="11.42578125" style="2"/>
    <col min="15873" max="15873" width="8" style="2" customWidth="1"/>
    <col min="15874" max="15874" width="13.42578125" style="2" customWidth="1"/>
    <col min="15875" max="15875" width="4.28515625" style="2" customWidth="1"/>
    <col min="15876" max="15876" width="4" style="2" customWidth="1"/>
    <col min="15877" max="15877" width="17" style="2" customWidth="1"/>
    <col min="15878" max="15878" width="4.140625" style="2" customWidth="1"/>
    <col min="15879" max="15879" width="11.28515625" style="2" customWidth="1"/>
    <col min="15880" max="15880" width="11" style="2" customWidth="1"/>
    <col min="15881" max="15882" width="2.140625" style="2" customWidth="1"/>
    <col min="15883" max="15883" width="3.28515625" style="2" customWidth="1"/>
    <col min="15884" max="15885" width="0" style="2" hidden="1" customWidth="1"/>
    <col min="15886" max="15886" width="2.85546875" style="2" customWidth="1"/>
    <col min="15887" max="15887" width="3.28515625" style="2" customWidth="1"/>
    <col min="15888" max="15888" width="1.5703125" style="2" customWidth="1"/>
    <col min="15889" max="15889" width="0" style="2" hidden="1" customWidth="1"/>
    <col min="15890" max="15890" width="6.85546875" style="2" customWidth="1"/>
    <col min="15891" max="15891" width="0" style="2" hidden="1" customWidth="1"/>
    <col min="15892" max="15893" width="6.28515625" style="2" customWidth="1"/>
    <col min="15894" max="15894" width="13.85546875" style="2" customWidth="1"/>
    <col min="15895" max="15895" width="10.85546875" style="2" customWidth="1"/>
    <col min="15896" max="15896" width="14.7109375" style="2" customWidth="1"/>
    <col min="15897" max="15897" width="0" style="2" hidden="1" customWidth="1"/>
    <col min="15898" max="15898" width="13" style="2" customWidth="1"/>
    <col min="15899" max="15899" width="12.7109375" style="2" customWidth="1"/>
    <col min="15900" max="15900" width="13.140625" style="2" customWidth="1"/>
    <col min="15901" max="15901" width="14" style="2" customWidth="1"/>
    <col min="15902" max="15902" width="8.140625" style="2" customWidth="1"/>
    <col min="15903" max="15903" width="11.5703125" style="2" customWidth="1"/>
    <col min="15904" max="15904" width="24.7109375" style="2" customWidth="1"/>
    <col min="15905" max="15905" width="12" style="2" customWidth="1"/>
    <col min="15906" max="15907" width="0.28515625" style="2" customWidth="1"/>
    <col min="15908" max="15908" width="1.42578125" style="2" customWidth="1"/>
    <col min="15909" max="15909" width="0" style="2" hidden="1" customWidth="1"/>
    <col min="15910" max="16128" width="11.42578125" style="2"/>
    <col min="16129" max="16129" width="8" style="2" customWidth="1"/>
    <col min="16130" max="16130" width="13.42578125" style="2" customWidth="1"/>
    <col min="16131" max="16131" width="4.28515625" style="2" customWidth="1"/>
    <col min="16132" max="16132" width="4" style="2" customWidth="1"/>
    <col min="16133" max="16133" width="17" style="2" customWidth="1"/>
    <col min="16134" max="16134" width="4.140625" style="2" customWidth="1"/>
    <col min="16135" max="16135" width="11.28515625" style="2" customWidth="1"/>
    <col min="16136" max="16136" width="11" style="2" customWidth="1"/>
    <col min="16137" max="16138" width="2.140625" style="2" customWidth="1"/>
    <col min="16139" max="16139" width="3.28515625" style="2" customWidth="1"/>
    <col min="16140" max="16141" width="0" style="2" hidden="1" customWidth="1"/>
    <col min="16142" max="16142" width="2.85546875" style="2" customWidth="1"/>
    <col min="16143" max="16143" width="3.28515625" style="2" customWidth="1"/>
    <col min="16144" max="16144" width="1.5703125" style="2" customWidth="1"/>
    <col min="16145" max="16145" width="0" style="2" hidden="1" customWidth="1"/>
    <col min="16146" max="16146" width="6.85546875" style="2" customWidth="1"/>
    <col min="16147" max="16147" width="0" style="2" hidden="1" customWidth="1"/>
    <col min="16148" max="16149" width="6.28515625" style="2" customWidth="1"/>
    <col min="16150" max="16150" width="13.85546875" style="2" customWidth="1"/>
    <col min="16151" max="16151" width="10.85546875" style="2" customWidth="1"/>
    <col min="16152" max="16152" width="14.7109375" style="2" customWidth="1"/>
    <col min="16153" max="16153" width="0" style="2" hidden="1" customWidth="1"/>
    <col min="16154" max="16154" width="13" style="2" customWidth="1"/>
    <col min="16155" max="16155" width="12.7109375" style="2" customWidth="1"/>
    <col min="16156" max="16156" width="13.140625" style="2" customWidth="1"/>
    <col min="16157" max="16157" width="14" style="2" customWidth="1"/>
    <col min="16158" max="16158" width="8.140625" style="2" customWidth="1"/>
    <col min="16159" max="16159" width="11.5703125" style="2" customWidth="1"/>
    <col min="16160" max="16160" width="24.7109375" style="2" customWidth="1"/>
    <col min="16161" max="16161" width="12" style="2" customWidth="1"/>
    <col min="16162" max="16163" width="0.28515625" style="2" customWidth="1"/>
    <col min="16164" max="16164" width="1.42578125" style="2" customWidth="1"/>
    <col min="16165" max="16165" width="0" style="2" hidden="1" customWidth="1"/>
    <col min="16166" max="16384" width="11.42578125" style="2"/>
  </cols>
  <sheetData>
    <row r="1" spans="1:38" ht="45" customHeight="1">
      <c r="A1" s="600"/>
      <c r="B1" s="600"/>
      <c r="C1" s="601" t="s">
        <v>0</v>
      </c>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2" t="s">
        <v>95</v>
      </c>
      <c r="AH1" s="3" t="s">
        <v>17</v>
      </c>
      <c r="AI1" s="6" t="s">
        <v>23</v>
      </c>
    </row>
    <row r="2" spans="1:38" ht="45" customHeight="1">
      <c r="A2" s="600"/>
      <c r="B2" s="600"/>
      <c r="C2" s="603" t="s">
        <v>37</v>
      </c>
      <c r="D2" s="603"/>
      <c r="E2" s="603"/>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2"/>
      <c r="AH2" s="2" t="s">
        <v>18</v>
      </c>
      <c r="AI2" s="7" t="s">
        <v>24</v>
      </c>
    </row>
    <row r="3" spans="1:38" ht="6.75" customHeight="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H3" s="3" t="s">
        <v>16</v>
      </c>
      <c r="AI3" s="6" t="s">
        <v>25</v>
      </c>
    </row>
    <row r="4" spans="1:38" ht="30.75" customHeight="1">
      <c r="A4" s="597" t="s">
        <v>5</v>
      </c>
      <c r="B4" s="597"/>
      <c r="C4" s="597"/>
      <c r="D4" s="597"/>
      <c r="E4" s="598" t="s">
        <v>221</v>
      </c>
      <c r="F4" s="598"/>
      <c r="G4" s="598"/>
      <c r="H4" s="598"/>
      <c r="I4" s="598"/>
      <c r="J4" s="598"/>
      <c r="K4" s="598"/>
      <c r="L4" s="598"/>
      <c r="M4" s="598"/>
      <c r="N4" s="598"/>
      <c r="O4" s="598"/>
      <c r="P4" s="598"/>
      <c r="Q4" s="598"/>
      <c r="R4" s="598"/>
      <c r="S4" s="598"/>
      <c r="T4" s="598"/>
      <c r="U4" s="598"/>
      <c r="V4" s="599" t="s">
        <v>20</v>
      </c>
      <c r="W4" s="599"/>
      <c r="X4" s="598" t="s">
        <v>254</v>
      </c>
      <c r="Y4" s="598"/>
      <c r="Z4" s="598"/>
      <c r="AA4" s="598"/>
      <c r="AB4" s="598"/>
      <c r="AC4" s="598"/>
      <c r="AD4" s="599" t="s">
        <v>98</v>
      </c>
      <c r="AE4" s="599"/>
      <c r="AF4" s="134" t="s">
        <v>99</v>
      </c>
      <c r="AH4" s="6" t="s">
        <v>19</v>
      </c>
    </row>
    <row r="5" spans="1:38" ht="4.5" customHeight="1" thickBo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row>
    <row r="6" spans="1:38" ht="57" customHeight="1">
      <c r="A6" s="605" t="s">
        <v>39</v>
      </c>
      <c r="B6" s="606"/>
      <c r="C6" s="599" t="s">
        <v>1</v>
      </c>
      <c r="D6" s="599" t="s">
        <v>100</v>
      </c>
      <c r="E6" s="599"/>
      <c r="F6" s="608" t="s">
        <v>6</v>
      </c>
      <c r="G6" s="599" t="s">
        <v>9</v>
      </c>
      <c r="H6" s="599" t="s">
        <v>2</v>
      </c>
      <c r="I6" s="599" t="s">
        <v>21</v>
      </c>
      <c r="J6" s="599"/>
      <c r="K6" s="599"/>
      <c r="L6" s="599"/>
      <c r="M6" s="599"/>
      <c r="N6" s="599"/>
      <c r="O6" s="599"/>
      <c r="P6" s="599"/>
      <c r="Q6" s="599"/>
      <c r="R6" s="599"/>
      <c r="S6" s="599"/>
      <c r="T6" s="599"/>
      <c r="U6" s="599"/>
      <c r="V6" s="599" t="s">
        <v>101</v>
      </c>
      <c r="W6" s="599" t="s">
        <v>3</v>
      </c>
      <c r="X6" s="599"/>
      <c r="Y6" s="599"/>
      <c r="Z6" s="610" t="s">
        <v>102</v>
      </c>
      <c r="AA6" s="610" t="s">
        <v>103</v>
      </c>
      <c r="AB6" s="610" t="s">
        <v>4</v>
      </c>
      <c r="AC6" s="610"/>
      <c r="AD6" s="599" t="s">
        <v>104</v>
      </c>
      <c r="AE6" s="599" t="s">
        <v>105</v>
      </c>
      <c r="AF6" s="599" t="s">
        <v>106</v>
      </c>
    </row>
    <row r="7" spans="1:38" ht="37.5" customHeight="1" thickBot="1">
      <c r="A7" s="97" t="s">
        <v>40</v>
      </c>
      <c r="B7" s="98" t="s">
        <v>41</v>
      </c>
      <c r="C7" s="607"/>
      <c r="D7" s="607"/>
      <c r="E7" s="607"/>
      <c r="F7" s="609"/>
      <c r="G7" s="607"/>
      <c r="H7" s="607"/>
      <c r="I7" s="607" t="s">
        <v>11</v>
      </c>
      <c r="J7" s="607"/>
      <c r="K7" s="607"/>
      <c r="L7" s="607"/>
      <c r="M7" s="607"/>
      <c r="N7" s="607"/>
      <c r="O7" s="615" t="s">
        <v>12</v>
      </c>
      <c r="P7" s="615"/>
      <c r="Q7" s="615"/>
      <c r="R7" s="615"/>
      <c r="S7" s="615"/>
      <c r="T7" s="615" t="s">
        <v>13</v>
      </c>
      <c r="U7" s="615"/>
      <c r="V7" s="607"/>
      <c r="W7" s="607"/>
      <c r="X7" s="607"/>
      <c r="Y7" s="607"/>
      <c r="Z7" s="611"/>
      <c r="AA7" s="611"/>
      <c r="AB7" s="57" t="s">
        <v>14</v>
      </c>
      <c r="AC7" s="55" t="s">
        <v>15</v>
      </c>
      <c r="AD7" s="607"/>
      <c r="AE7" s="607"/>
      <c r="AF7" s="607"/>
    </row>
    <row r="8" spans="1:38" ht="127.5" customHeight="1" thickBot="1">
      <c r="A8" s="719"/>
      <c r="B8" s="632"/>
      <c r="C8" s="632">
        <v>1</v>
      </c>
      <c r="D8" s="722" t="s">
        <v>255</v>
      </c>
      <c r="E8" s="723"/>
      <c r="F8" s="790" t="s">
        <v>256</v>
      </c>
      <c r="G8" s="731" t="s">
        <v>38</v>
      </c>
      <c r="H8" s="632" t="s">
        <v>23</v>
      </c>
      <c r="I8" s="736" t="s">
        <v>162</v>
      </c>
      <c r="J8" s="737"/>
      <c r="K8" s="737"/>
      <c r="L8" s="737"/>
      <c r="M8" s="737"/>
      <c r="N8" s="738"/>
      <c r="O8" s="736" t="s">
        <v>162</v>
      </c>
      <c r="P8" s="737"/>
      <c r="Q8" s="737"/>
      <c r="R8" s="738"/>
      <c r="S8" s="99"/>
      <c r="T8" s="736" t="s">
        <v>162</v>
      </c>
      <c r="U8" s="738"/>
      <c r="V8" s="712" t="s">
        <v>257</v>
      </c>
      <c r="W8" s="754" t="s">
        <v>258</v>
      </c>
      <c r="X8" s="755"/>
      <c r="Y8" s="756"/>
      <c r="Z8" s="183" t="s">
        <v>259</v>
      </c>
      <c r="AA8" s="184" t="s">
        <v>260</v>
      </c>
      <c r="AB8" s="185" t="s">
        <v>261</v>
      </c>
      <c r="AC8" s="185" t="s">
        <v>262</v>
      </c>
      <c r="AD8" s="168">
        <v>1</v>
      </c>
      <c r="AE8" s="49" t="s">
        <v>17</v>
      </c>
      <c r="AF8" s="164" t="s">
        <v>284</v>
      </c>
      <c r="AG8" s="105"/>
      <c r="AH8" s="105"/>
      <c r="AI8" s="92"/>
      <c r="AJ8" s="92"/>
      <c r="AK8" s="92"/>
      <c r="AL8" s="92"/>
    </row>
    <row r="9" spans="1:38" ht="92.25" customHeight="1" thickBot="1">
      <c r="A9" s="720"/>
      <c r="B9" s="633"/>
      <c r="C9" s="633"/>
      <c r="D9" s="724"/>
      <c r="E9" s="725"/>
      <c r="F9" s="791"/>
      <c r="G9" s="732"/>
      <c r="H9" s="633"/>
      <c r="I9" s="739"/>
      <c r="J9" s="740"/>
      <c r="K9" s="740"/>
      <c r="L9" s="740"/>
      <c r="M9" s="740"/>
      <c r="N9" s="741"/>
      <c r="O9" s="739"/>
      <c r="P9" s="740"/>
      <c r="Q9" s="740"/>
      <c r="R9" s="741"/>
      <c r="S9" s="122"/>
      <c r="T9" s="739"/>
      <c r="U9" s="741"/>
      <c r="V9" s="713"/>
      <c r="W9" s="757" t="s">
        <v>263</v>
      </c>
      <c r="X9" s="758"/>
      <c r="Y9" s="759"/>
      <c r="Z9" s="186" t="s">
        <v>264</v>
      </c>
      <c r="AA9" s="187" t="s">
        <v>265</v>
      </c>
      <c r="AB9" s="188" t="s">
        <v>266</v>
      </c>
      <c r="AC9" s="188" t="s">
        <v>196</v>
      </c>
      <c r="AD9" s="5">
        <v>1</v>
      </c>
      <c r="AE9" s="53" t="s">
        <v>17</v>
      </c>
      <c r="AF9" s="165" t="s">
        <v>267</v>
      </c>
      <c r="AG9" s="105"/>
      <c r="AH9" s="105"/>
      <c r="AI9" s="92"/>
      <c r="AJ9" s="92"/>
      <c r="AK9" s="92"/>
      <c r="AL9" s="92"/>
    </row>
    <row r="10" spans="1:38" ht="72.75" customHeight="1" thickBot="1">
      <c r="A10" s="720"/>
      <c r="B10" s="633"/>
      <c r="C10" s="633"/>
      <c r="D10" s="724"/>
      <c r="E10" s="725"/>
      <c r="F10" s="791"/>
      <c r="G10" s="732"/>
      <c r="H10" s="633"/>
      <c r="I10" s="739"/>
      <c r="J10" s="740"/>
      <c r="K10" s="740"/>
      <c r="L10" s="740"/>
      <c r="M10" s="740"/>
      <c r="N10" s="741"/>
      <c r="O10" s="739"/>
      <c r="P10" s="740"/>
      <c r="Q10" s="740"/>
      <c r="R10" s="741"/>
      <c r="S10" s="122"/>
      <c r="T10" s="739"/>
      <c r="U10" s="741"/>
      <c r="V10" s="713"/>
      <c r="W10" s="757" t="s">
        <v>268</v>
      </c>
      <c r="X10" s="758"/>
      <c r="Y10" s="759"/>
      <c r="Z10" s="189" t="s">
        <v>269</v>
      </c>
      <c r="AA10" s="189" t="s">
        <v>270</v>
      </c>
      <c r="AB10" s="188" t="s">
        <v>176</v>
      </c>
      <c r="AC10" s="188" t="s">
        <v>271</v>
      </c>
      <c r="AD10" s="5">
        <v>1</v>
      </c>
      <c r="AE10" s="53" t="s">
        <v>17</v>
      </c>
      <c r="AF10" s="165" t="s">
        <v>285</v>
      </c>
      <c r="AG10" s="105"/>
      <c r="AH10" s="105"/>
      <c r="AI10" s="92"/>
      <c r="AJ10" s="92"/>
      <c r="AK10" s="92"/>
      <c r="AL10" s="92"/>
    </row>
    <row r="11" spans="1:38" ht="95.25" customHeight="1" thickBot="1">
      <c r="A11" s="720"/>
      <c r="B11" s="633"/>
      <c r="C11" s="633"/>
      <c r="D11" s="724"/>
      <c r="E11" s="725"/>
      <c r="F11" s="791"/>
      <c r="G11" s="732"/>
      <c r="H11" s="633"/>
      <c r="I11" s="739"/>
      <c r="J11" s="740"/>
      <c r="K11" s="740"/>
      <c r="L11" s="740"/>
      <c r="M11" s="740"/>
      <c r="N11" s="741"/>
      <c r="O11" s="739"/>
      <c r="P11" s="740"/>
      <c r="Q11" s="740"/>
      <c r="R11" s="741"/>
      <c r="S11" s="122"/>
      <c r="T11" s="739"/>
      <c r="U11" s="741"/>
      <c r="V11" s="713"/>
      <c r="W11" s="757" t="s">
        <v>272</v>
      </c>
      <c r="X11" s="758"/>
      <c r="Y11" s="759"/>
      <c r="Z11" s="190" t="s">
        <v>273</v>
      </c>
      <c r="AA11" s="189" t="s">
        <v>274</v>
      </c>
      <c r="AB11" s="188" t="s">
        <v>275</v>
      </c>
      <c r="AC11" s="188" t="s">
        <v>912</v>
      </c>
      <c r="AD11" s="5"/>
      <c r="AE11" s="53" t="s">
        <v>16</v>
      </c>
      <c r="AF11" s="165" t="s">
        <v>276</v>
      </c>
      <c r="AG11" s="105"/>
      <c r="AH11" s="105"/>
      <c r="AI11" s="92"/>
      <c r="AJ11" s="92"/>
      <c r="AK11" s="92"/>
      <c r="AL11" s="92"/>
    </row>
    <row r="12" spans="1:38" ht="72" customHeight="1" thickBot="1">
      <c r="A12" s="720"/>
      <c r="B12" s="633"/>
      <c r="C12" s="633"/>
      <c r="D12" s="724"/>
      <c r="E12" s="725"/>
      <c r="F12" s="791"/>
      <c r="G12" s="732"/>
      <c r="H12" s="633"/>
      <c r="I12" s="739"/>
      <c r="J12" s="740"/>
      <c r="K12" s="740"/>
      <c r="L12" s="740"/>
      <c r="M12" s="740"/>
      <c r="N12" s="741"/>
      <c r="O12" s="739"/>
      <c r="P12" s="740"/>
      <c r="Q12" s="740"/>
      <c r="R12" s="741"/>
      <c r="S12" s="122"/>
      <c r="T12" s="739"/>
      <c r="U12" s="741"/>
      <c r="V12" s="713"/>
      <c r="W12" s="757" t="s">
        <v>277</v>
      </c>
      <c r="X12" s="758"/>
      <c r="Y12" s="759"/>
      <c r="Z12" s="190" t="s">
        <v>211</v>
      </c>
      <c r="AA12" s="189" t="s">
        <v>278</v>
      </c>
      <c r="AB12" s="188" t="s">
        <v>275</v>
      </c>
      <c r="AC12" s="188" t="s">
        <v>912</v>
      </c>
      <c r="AD12" s="5"/>
      <c r="AE12" s="53"/>
      <c r="AF12" s="165" t="s">
        <v>276</v>
      </c>
      <c r="AG12" s="105"/>
      <c r="AH12" s="105"/>
      <c r="AI12" s="92"/>
      <c r="AJ12" s="92"/>
      <c r="AK12" s="92"/>
      <c r="AL12" s="92"/>
    </row>
    <row r="13" spans="1:38" ht="62.25" customHeight="1" thickBot="1">
      <c r="A13" s="721"/>
      <c r="B13" s="634"/>
      <c r="C13" s="634"/>
      <c r="D13" s="726"/>
      <c r="E13" s="727"/>
      <c r="F13" s="792"/>
      <c r="G13" s="733"/>
      <c r="H13" s="634"/>
      <c r="I13" s="742"/>
      <c r="J13" s="743"/>
      <c r="K13" s="743"/>
      <c r="L13" s="743"/>
      <c r="M13" s="743"/>
      <c r="N13" s="744"/>
      <c r="O13" s="742"/>
      <c r="P13" s="743"/>
      <c r="Q13" s="743"/>
      <c r="R13" s="744"/>
      <c r="S13" s="191"/>
      <c r="T13" s="742"/>
      <c r="U13" s="744"/>
      <c r="V13" s="714"/>
      <c r="W13" s="760" t="s">
        <v>279</v>
      </c>
      <c r="X13" s="761"/>
      <c r="Y13" s="762"/>
      <c r="Z13" s="192" t="s">
        <v>280</v>
      </c>
      <c r="AA13" s="193" t="s">
        <v>281</v>
      </c>
      <c r="AB13" s="194" t="s">
        <v>275</v>
      </c>
      <c r="AC13" s="194" t="s">
        <v>913</v>
      </c>
      <c r="AD13" s="114"/>
      <c r="AE13" s="115"/>
      <c r="AF13" s="195" t="s">
        <v>276</v>
      </c>
      <c r="AG13" s="105"/>
      <c r="AH13" s="105"/>
      <c r="AI13" s="92"/>
      <c r="AJ13" s="92"/>
      <c r="AK13" s="92"/>
      <c r="AL13" s="92"/>
    </row>
    <row r="14" spans="1:38" ht="6" customHeight="1">
      <c r="A14" s="643"/>
      <c r="B14" s="643"/>
      <c r="C14" s="643"/>
      <c r="D14" s="643"/>
      <c r="E14" s="643"/>
      <c r="F14" s="643"/>
      <c r="G14" s="643"/>
      <c r="H14" s="643"/>
      <c r="I14" s="643"/>
      <c r="J14" s="643"/>
      <c r="K14" s="643"/>
      <c r="L14" s="643"/>
      <c r="M14" s="643"/>
      <c r="N14" s="643"/>
      <c r="O14" s="643"/>
      <c r="P14" s="643"/>
      <c r="Q14" s="643"/>
      <c r="R14" s="643"/>
      <c r="S14" s="643"/>
      <c r="T14" s="643"/>
      <c r="U14" s="643"/>
      <c r="V14" s="643"/>
      <c r="W14" s="643"/>
      <c r="X14" s="643"/>
      <c r="Y14" s="643"/>
      <c r="Z14" s="643"/>
      <c r="AA14" s="643"/>
      <c r="AB14" s="643"/>
      <c r="AC14" s="643"/>
      <c r="AD14" s="643"/>
      <c r="AE14" s="643"/>
      <c r="AF14" s="643"/>
    </row>
    <row r="15" spans="1:38" ht="12.75" customHeight="1">
      <c r="A15" s="644" t="s">
        <v>22</v>
      </c>
      <c r="B15" s="644"/>
      <c r="C15" s="644"/>
      <c r="D15" s="644"/>
      <c r="E15" s="644"/>
      <c r="F15" s="644"/>
      <c r="G15" s="644"/>
      <c r="H15" s="644"/>
      <c r="I15" s="644"/>
      <c r="J15" s="644"/>
      <c r="K15" s="644"/>
      <c r="L15" s="4"/>
      <c r="M15" s="4"/>
      <c r="N15" s="645" t="s">
        <v>34</v>
      </c>
      <c r="O15" s="645"/>
      <c r="P15" s="645"/>
      <c r="Q15" s="645"/>
      <c r="R15" s="645"/>
      <c r="S15" s="645"/>
      <c r="T15" s="645"/>
      <c r="U15" s="645"/>
      <c r="V15" s="645"/>
      <c r="W15" s="645"/>
      <c r="X15" s="645"/>
      <c r="Y15" s="645"/>
      <c r="Z15" s="645"/>
      <c r="AA15" s="645"/>
      <c r="AB15" s="645"/>
      <c r="AC15" s="646" t="s">
        <v>35</v>
      </c>
      <c r="AD15" s="646"/>
      <c r="AE15" s="646"/>
      <c r="AF15" s="646"/>
    </row>
    <row r="16" spans="1:38">
      <c r="A16" s="644"/>
      <c r="B16" s="644"/>
      <c r="C16" s="644"/>
      <c r="D16" s="644"/>
      <c r="E16" s="644"/>
      <c r="F16" s="644"/>
      <c r="G16" s="644"/>
      <c r="H16" s="644"/>
      <c r="I16" s="644"/>
      <c r="J16" s="644"/>
      <c r="K16" s="644"/>
      <c r="L16" s="4"/>
      <c r="M16" s="4"/>
      <c r="N16" s="645"/>
      <c r="O16" s="645"/>
      <c r="P16" s="645"/>
      <c r="Q16" s="645"/>
      <c r="R16" s="645"/>
      <c r="S16" s="645"/>
      <c r="T16" s="645"/>
      <c r="U16" s="645"/>
      <c r="V16" s="645"/>
      <c r="W16" s="645"/>
      <c r="X16" s="645"/>
      <c r="Y16" s="645"/>
      <c r="Z16" s="645"/>
      <c r="AA16" s="645"/>
      <c r="AB16" s="645"/>
      <c r="AC16" s="646"/>
      <c r="AD16" s="646"/>
      <c r="AE16" s="646"/>
      <c r="AF16" s="646"/>
    </row>
    <row r="17" spans="1:35" ht="38.25" customHeight="1">
      <c r="A17" s="715" t="s">
        <v>286</v>
      </c>
      <c r="B17" s="648"/>
      <c r="C17" s="648"/>
      <c r="D17" s="648"/>
      <c r="E17" s="648"/>
      <c r="F17" s="648"/>
      <c r="G17" s="648"/>
      <c r="H17" s="648"/>
      <c r="I17" s="648"/>
      <c r="J17" s="648"/>
      <c r="K17" s="648"/>
      <c r="L17" s="4"/>
      <c r="M17" s="4"/>
      <c r="N17" s="650" t="s">
        <v>283</v>
      </c>
      <c r="O17" s="650"/>
      <c r="P17" s="650"/>
      <c r="Q17" s="650"/>
      <c r="R17" s="650"/>
      <c r="S17" s="650"/>
      <c r="T17" s="650"/>
      <c r="U17" s="650"/>
      <c r="V17" s="650"/>
      <c r="W17" s="650"/>
      <c r="X17" s="650"/>
      <c r="Y17" s="650"/>
      <c r="Z17" s="650"/>
      <c r="AA17" s="650"/>
      <c r="AB17" s="650"/>
      <c r="AC17" s="651" t="s">
        <v>94</v>
      </c>
      <c r="AD17" s="651"/>
      <c r="AE17" s="651"/>
      <c r="AF17" s="651"/>
    </row>
    <row r="18" spans="1:35" ht="15" customHeight="1">
      <c r="A18" s="641" t="s">
        <v>36</v>
      </c>
      <c r="B18" s="641"/>
      <c r="C18" s="641"/>
      <c r="D18" s="641"/>
      <c r="E18" s="641"/>
      <c r="F18" s="641"/>
      <c r="G18" s="641"/>
      <c r="H18" s="641"/>
      <c r="I18" s="641"/>
      <c r="J18" s="641"/>
      <c r="K18" s="641"/>
      <c r="L18" s="641"/>
      <c r="M18" s="641"/>
      <c r="N18" s="641"/>
      <c r="O18" s="641"/>
      <c r="P18" s="641"/>
      <c r="Q18" s="641"/>
      <c r="R18" s="641"/>
      <c r="S18" s="641"/>
      <c r="T18" s="641"/>
      <c r="U18" s="641"/>
      <c r="V18" s="641"/>
      <c r="W18" s="641"/>
      <c r="X18" s="641"/>
      <c r="Y18" s="641"/>
      <c r="Z18" s="641"/>
      <c r="AA18" s="641"/>
      <c r="AB18" s="641"/>
      <c r="AC18" s="641"/>
      <c r="AD18" s="641"/>
      <c r="AE18" s="641"/>
      <c r="AF18" s="641"/>
    </row>
    <row r="19" spans="1:35" ht="15.75" customHeight="1">
      <c r="A19" s="642"/>
      <c r="B19" s="642"/>
      <c r="C19" s="642"/>
      <c r="D19" s="642"/>
      <c r="E19" s="642"/>
      <c r="F19" s="642"/>
      <c r="G19" s="642"/>
      <c r="H19" s="642"/>
      <c r="I19" s="642"/>
      <c r="J19" s="642"/>
      <c r="K19" s="642"/>
      <c r="L19" s="642"/>
      <c r="M19" s="642"/>
      <c r="N19" s="642"/>
      <c r="O19" s="642"/>
      <c r="P19" s="642"/>
      <c r="Q19" s="642"/>
      <c r="R19" s="642"/>
      <c r="S19" s="642"/>
      <c r="T19" s="642"/>
      <c r="U19" s="642"/>
      <c r="V19" s="642"/>
      <c r="W19" s="642"/>
      <c r="X19" s="642"/>
      <c r="Y19" s="642"/>
      <c r="Z19" s="642"/>
      <c r="AA19" s="642"/>
      <c r="AB19" s="642"/>
      <c r="AC19" s="642"/>
      <c r="AD19" s="642"/>
      <c r="AE19" s="642"/>
      <c r="AF19" s="642"/>
      <c r="AG19" s="642"/>
    </row>
    <row r="20" spans="1:35" ht="22.5" customHeight="1">
      <c r="A20" s="642"/>
      <c r="B20" s="642"/>
      <c r="C20" s="642"/>
      <c r="D20" s="642"/>
      <c r="E20" s="642"/>
      <c r="F20" s="642"/>
      <c r="G20" s="642"/>
      <c r="H20" s="642"/>
      <c r="I20" s="642"/>
      <c r="J20" s="642"/>
      <c r="K20" s="642"/>
      <c r="L20" s="642"/>
      <c r="M20" s="642"/>
      <c r="N20" s="642"/>
      <c r="O20" s="642"/>
      <c r="P20" s="642"/>
      <c r="Q20" s="642"/>
      <c r="R20" s="642"/>
      <c r="S20" s="642"/>
      <c r="T20" s="642"/>
      <c r="U20" s="642"/>
      <c r="V20" s="642"/>
      <c r="W20" s="642"/>
      <c r="X20" s="642"/>
      <c r="Y20" s="642"/>
      <c r="Z20" s="642"/>
      <c r="AA20" s="642"/>
      <c r="AB20" s="642"/>
      <c r="AC20" s="642"/>
      <c r="AD20" s="642"/>
      <c r="AE20" s="642"/>
      <c r="AF20" s="642"/>
      <c r="AG20" s="8"/>
      <c r="AH20" s="8"/>
    </row>
    <row r="23" spans="1:35" ht="24.75" customHeight="1">
      <c r="AI23" s="6" t="s">
        <v>38</v>
      </c>
    </row>
    <row r="24" spans="1:35" ht="24.75" customHeight="1">
      <c r="AI24" s="6" t="s">
        <v>10</v>
      </c>
    </row>
    <row r="25" spans="1:35" ht="24.75" customHeight="1">
      <c r="AI25" s="6" t="s">
        <v>42</v>
      </c>
    </row>
    <row r="26" spans="1:35" ht="24.75" customHeight="1">
      <c r="AI26" s="6" t="s">
        <v>43</v>
      </c>
    </row>
    <row r="27" spans="1:35" ht="24.75" customHeight="1">
      <c r="AI27" s="6" t="s">
        <v>44</v>
      </c>
    </row>
    <row r="28" spans="1:35" ht="24.75" customHeight="1">
      <c r="AI28" s="6" t="s">
        <v>26</v>
      </c>
    </row>
    <row r="29" spans="1:35" ht="24.75" customHeight="1">
      <c r="AI29" s="6" t="s">
        <v>27</v>
      </c>
    </row>
    <row r="30" spans="1:35" ht="24.75" customHeight="1">
      <c r="AI30" s="6" t="s">
        <v>28</v>
      </c>
    </row>
    <row r="31" spans="1:35" ht="24.75" customHeight="1">
      <c r="AI31" s="6" t="s">
        <v>30</v>
      </c>
    </row>
    <row r="32" spans="1:35" ht="24.75" customHeight="1">
      <c r="AI32" s="6" t="s">
        <v>29</v>
      </c>
    </row>
    <row r="33" spans="35:35" ht="24.75" customHeight="1">
      <c r="AI33" s="6" t="s">
        <v>31</v>
      </c>
    </row>
    <row r="34" spans="35:35" ht="24.75" customHeight="1">
      <c r="AI34" s="6" t="s">
        <v>32</v>
      </c>
    </row>
    <row r="35" spans="35:35" ht="51">
      <c r="AI35" s="6" t="s">
        <v>33</v>
      </c>
    </row>
  </sheetData>
  <mergeCells count="56">
    <mergeCell ref="A4:D4"/>
    <mergeCell ref="E4:U4"/>
    <mergeCell ref="V4:W4"/>
    <mergeCell ref="X4:AC4"/>
    <mergeCell ref="AD4:AE4"/>
    <mergeCell ref="A1:B2"/>
    <mergeCell ref="C1:AE1"/>
    <mergeCell ref="AF1:AF2"/>
    <mergeCell ref="C2:AE2"/>
    <mergeCell ref="A3:AF3"/>
    <mergeCell ref="AF6:AF7"/>
    <mergeCell ref="A5:AF5"/>
    <mergeCell ref="A6:B6"/>
    <mergeCell ref="C6:C7"/>
    <mergeCell ref="D6:E7"/>
    <mergeCell ref="F6:F7"/>
    <mergeCell ref="G6:G7"/>
    <mergeCell ref="H6:H7"/>
    <mergeCell ref="I6:U6"/>
    <mergeCell ref="V6:V7"/>
    <mergeCell ref="W6:Y7"/>
    <mergeCell ref="Z6:Z7"/>
    <mergeCell ref="AA6:AA7"/>
    <mergeCell ref="AB6:AC6"/>
    <mergeCell ref="AD6:AD7"/>
    <mergeCell ref="AE6:AE7"/>
    <mergeCell ref="I7:N7"/>
    <mergeCell ref="O7:S7"/>
    <mergeCell ref="T7:U7"/>
    <mergeCell ref="A8:A13"/>
    <mergeCell ref="B8:B13"/>
    <mergeCell ref="C8:C13"/>
    <mergeCell ref="D8:E13"/>
    <mergeCell ref="F8:F13"/>
    <mergeCell ref="G8:G13"/>
    <mergeCell ref="H8:H13"/>
    <mergeCell ref="I8:N13"/>
    <mergeCell ref="O8:R13"/>
    <mergeCell ref="T8:U13"/>
    <mergeCell ref="V8:V13"/>
    <mergeCell ref="W8:Y8"/>
    <mergeCell ref="W9:Y9"/>
    <mergeCell ref="W10:Y10"/>
    <mergeCell ref="W11:Y11"/>
    <mergeCell ref="W12:Y12"/>
    <mergeCell ref="W13:Y13"/>
    <mergeCell ref="A18:AF18"/>
    <mergeCell ref="A19:AG19"/>
    <mergeCell ref="A20:AF20"/>
    <mergeCell ref="A14:AF14"/>
    <mergeCell ref="A15:K16"/>
    <mergeCell ref="N15:AB16"/>
    <mergeCell ref="AC15:AF16"/>
    <mergeCell ref="A17:K17"/>
    <mergeCell ref="N17:AB17"/>
    <mergeCell ref="AC17:AF17"/>
  </mergeCells>
  <conditionalFormatting sqref="AD8:AD10">
    <cfRule type="cellIs" dxfId="409" priority="9" operator="between">
      <formula>0.001</formula>
      <formula>0.99</formula>
    </cfRule>
    <cfRule type="cellIs" dxfId="408" priority="10" operator="equal">
      <formula>1</formula>
    </cfRule>
    <cfRule type="cellIs" dxfId="407" priority="11" operator="equal">
      <formula>0</formula>
    </cfRule>
  </conditionalFormatting>
  <conditionalFormatting sqref="AD8:AD10">
    <cfRule type="cellIs" dxfId="406" priority="12" operator="between">
      <formula>0.01</formula>
      <formula>0.99</formula>
    </cfRule>
    <cfRule type="cellIs" dxfId="405" priority="13" operator="equal">
      <formula>1</formula>
    </cfRule>
    <cfRule type="cellIs" dxfId="404" priority="14" operator="equal">
      <formula>0</formula>
    </cfRule>
  </conditionalFormatting>
  <conditionalFormatting sqref="AA8:AA13">
    <cfRule type="cellIs" dxfId="403" priority="7" stopIfTrue="1" operator="greaterThan">
      <formula>#REF!</formula>
    </cfRule>
    <cfRule type="cellIs" dxfId="402" priority="8" stopIfTrue="1" operator="lessThan">
      <formula>#REF!</formula>
    </cfRule>
  </conditionalFormatting>
  <conditionalFormatting sqref="AD11:AD13">
    <cfRule type="cellIs" dxfId="401" priority="1" operator="between">
      <formula>0.001</formula>
      <formula>0.99</formula>
    </cfRule>
    <cfRule type="cellIs" dxfId="400" priority="2" operator="equal">
      <formula>1</formula>
    </cfRule>
    <cfRule type="cellIs" dxfId="399" priority="3" operator="equal">
      <formula>0</formula>
    </cfRule>
  </conditionalFormatting>
  <conditionalFormatting sqref="AD11:AD13">
    <cfRule type="cellIs" dxfId="398" priority="4" operator="between">
      <formula>0.01</formula>
      <formula>0.99</formula>
    </cfRule>
    <cfRule type="cellIs" dxfId="397" priority="5" operator="equal">
      <formula>1</formula>
    </cfRule>
    <cfRule type="cellIs" dxfId="396" priority="6" operator="equal">
      <formula>0</formula>
    </cfRule>
  </conditionalFormatting>
  <dataValidations count="4">
    <dataValidation type="list" allowBlank="1" showInputMessage="1" showErrorMessage="1" sqref="G65543:G65549 VIE8:VIE13 WLS983047:WLS983053 WBW983047:WBW983053 VSA983047:VSA983053 VIE983047:VIE983053 UYI983047:UYI983053 UOM983047:UOM983053 UEQ983047:UEQ983053 TUU983047:TUU983053 TKY983047:TKY983053 TBC983047:TBC983053 SRG983047:SRG983053 SHK983047:SHK983053 RXO983047:RXO983053 RNS983047:RNS983053 RDW983047:RDW983053 QUA983047:QUA983053 QKE983047:QKE983053 QAI983047:QAI983053 PQM983047:PQM983053 PGQ983047:PGQ983053 OWU983047:OWU983053 OMY983047:OMY983053 ODC983047:ODC983053 NTG983047:NTG983053 NJK983047:NJK983053 MZO983047:MZO983053 MPS983047:MPS983053 MFW983047:MFW983053 LWA983047:LWA983053 LME983047:LME983053 LCI983047:LCI983053 KSM983047:KSM983053 KIQ983047:KIQ983053 JYU983047:JYU983053 JOY983047:JOY983053 JFC983047:JFC983053 IVG983047:IVG983053 ILK983047:ILK983053 IBO983047:IBO983053 HRS983047:HRS983053 HHW983047:HHW983053 GYA983047:GYA983053 GOE983047:GOE983053 GEI983047:GEI983053 FUM983047:FUM983053 FKQ983047:FKQ983053 FAU983047:FAU983053 EQY983047:EQY983053 EHC983047:EHC983053 DXG983047:DXG983053 DNK983047:DNK983053 DDO983047:DDO983053 CTS983047:CTS983053 CJW983047:CJW983053 CAA983047:CAA983053 BQE983047:BQE983053 BGI983047:BGI983053 AWM983047:AWM983053 AMQ983047:AMQ983053 ACU983047:ACU983053 SY983047:SY983053 JC983047:JC983053 G983047:G983053 WVO917511:WVO917517 WLS917511:WLS917517 WBW917511:WBW917517 VSA917511:VSA917517 VIE917511:VIE917517 UYI917511:UYI917517 UOM917511:UOM917517 UEQ917511:UEQ917517 TUU917511:TUU917517 TKY917511:TKY917517 TBC917511:TBC917517 SRG917511:SRG917517 SHK917511:SHK917517 RXO917511:RXO917517 RNS917511:RNS917517 RDW917511:RDW917517 QUA917511:QUA917517 QKE917511:QKE917517 QAI917511:QAI917517 PQM917511:PQM917517 PGQ917511:PGQ917517 OWU917511:OWU917517 OMY917511:OMY917517 ODC917511:ODC917517 NTG917511:NTG917517 NJK917511:NJK917517 MZO917511:MZO917517 MPS917511:MPS917517 MFW917511:MFW917517 LWA917511:LWA917517 LME917511:LME917517 LCI917511:LCI917517 KSM917511:KSM917517 KIQ917511:KIQ917517 JYU917511:JYU917517 JOY917511:JOY917517 JFC917511:JFC917517 IVG917511:IVG917517 ILK917511:ILK917517 IBO917511:IBO917517 HRS917511:HRS917517 HHW917511:HHW917517 GYA917511:GYA917517 GOE917511:GOE917517 GEI917511:GEI917517 FUM917511:FUM917517 FKQ917511:FKQ917517 FAU917511:FAU917517 EQY917511:EQY917517 EHC917511:EHC917517 DXG917511:DXG917517 DNK917511:DNK917517 DDO917511:DDO917517 CTS917511:CTS917517 CJW917511:CJW917517 CAA917511:CAA917517 BQE917511:BQE917517 BGI917511:BGI917517 AWM917511:AWM917517 AMQ917511:AMQ917517 ACU917511:ACU917517 SY917511:SY917517 JC917511:JC917517 G917511:G917517 WVO851975:WVO851981 WLS851975:WLS851981 WBW851975:WBW851981 VSA851975:VSA851981 VIE851975:VIE851981 UYI851975:UYI851981 UOM851975:UOM851981 UEQ851975:UEQ851981 TUU851975:TUU851981 TKY851975:TKY851981 TBC851975:TBC851981 SRG851975:SRG851981 SHK851975:SHK851981 RXO851975:RXO851981 RNS851975:RNS851981 RDW851975:RDW851981 QUA851975:QUA851981 QKE851975:QKE851981 QAI851975:QAI851981 PQM851975:PQM851981 PGQ851975:PGQ851981 OWU851975:OWU851981 OMY851975:OMY851981 ODC851975:ODC851981 NTG851975:NTG851981 NJK851975:NJK851981 MZO851975:MZO851981 MPS851975:MPS851981 MFW851975:MFW851981 LWA851975:LWA851981 LME851975:LME851981 LCI851975:LCI851981 KSM851975:KSM851981 KIQ851975:KIQ851981 JYU851975:JYU851981 JOY851975:JOY851981 JFC851975:JFC851981 IVG851975:IVG851981 ILK851975:ILK851981 IBO851975:IBO851981 HRS851975:HRS851981 HHW851975:HHW851981 GYA851975:GYA851981 GOE851975:GOE851981 GEI851975:GEI851981 FUM851975:FUM851981 FKQ851975:FKQ851981 FAU851975:FAU851981 EQY851975:EQY851981 EHC851975:EHC851981 DXG851975:DXG851981 DNK851975:DNK851981 DDO851975:DDO851981 CTS851975:CTS851981 CJW851975:CJW851981 CAA851975:CAA851981 BQE851975:BQE851981 BGI851975:BGI851981 AWM851975:AWM851981 AMQ851975:AMQ851981 ACU851975:ACU851981 SY851975:SY851981 JC851975:JC851981 G851975:G851981 WVO786439:WVO786445 WLS786439:WLS786445 WBW786439:WBW786445 VSA786439:VSA786445 VIE786439:VIE786445 UYI786439:UYI786445 UOM786439:UOM786445 UEQ786439:UEQ786445 TUU786439:TUU786445 TKY786439:TKY786445 TBC786439:TBC786445 SRG786439:SRG786445 SHK786439:SHK786445 RXO786439:RXO786445 RNS786439:RNS786445 RDW786439:RDW786445 QUA786439:QUA786445 QKE786439:QKE786445 QAI786439:QAI786445 PQM786439:PQM786445 PGQ786439:PGQ786445 OWU786439:OWU786445 OMY786439:OMY786445 ODC786439:ODC786445 NTG786439:NTG786445 NJK786439:NJK786445 MZO786439:MZO786445 MPS786439:MPS786445 MFW786439:MFW786445 LWA786439:LWA786445 LME786439:LME786445 LCI786439:LCI786445 KSM786439:KSM786445 KIQ786439:KIQ786445 JYU786439:JYU786445 JOY786439:JOY786445 JFC786439:JFC786445 IVG786439:IVG786445 ILK786439:ILK786445 IBO786439:IBO786445 HRS786439:HRS786445 HHW786439:HHW786445 GYA786439:GYA786445 GOE786439:GOE786445 GEI786439:GEI786445 FUM786439:FUM786445 FKQ786439:FKQ786445 FAU786439:FAU786445 EQY786439:EQY786445 EHC786439:EHC786445 DXG786439:DXG786445 DNK786439:DNK786445 DDO786439:DDO786445 CTS786439:CTS786445 CJW786439:CJW786445 CAA786439:CAA786445 BQE786439:BQE786445 BGI786439:BGI786445 AWM786439:AWM786445 AMQ786439:AMQ786445 ACU786439:ACU786445 SY786439:SY786445 JC786439:JC786445 G786439:G786445 WVO720903:WVO720909 WLS720903:WLS720909 WBW720903:WBW720909 VSA720903:VSA720909 VIE720903:VIE720909 UYI720903:UYI720909 UOM720903:UOM720909 UEQ720903:UEQ720909 TUU720903:TUU720909 TKY720903:TKY720909 TBC720903:TBC720909 SRG720903:SRG720909 SHK720903:SHK720909 RXO720903:RXO720909 RNS720903:RNS720909 RDW720903:RDW720909 QUA720903:QUA720909 QKE720903:QKE720909 QAI720903:QAI720909 PQM720903:PQM720909 PGQ720903:PGQ720909 OWU720903:OWU720909 OMY720903:OMY720909 ODC720903:ODC720909 NTG720903:NTG720909 NJK720903:NJK720909 MZO720903:MZO720909 MPS720903:MPS720909 MFW720903:MFW720909 LWA720903:LWA720909 LME720903:LME720909 LCI720903:LCI720909 KSM720903:KSM720909 KIQ720903:KIQ720909 JYU720903:JYU720909 JOY720903:JOY720909 JFC720903:JFC720909 IVG720903:IVG720909 ILK720903:ILK720909 IBO720903:IBO720909 HRS720903:HRS720909 HHW720903:HHW720909 GYA720903:GYA720909 GOE720903:GOE720909 GEI720903:GEI720909 FUM720903:FUM720909 FKQ720903:FKQ720909 FAU720903:FAU720909 EQY720903:EQY720909 EHC720903:EHC720909 DXG720903:DXG720909 DNK720903:DNK720909 DDO720903:DDO720909 CTS720903:CTS720909 CJW720903:CJW720909 CAA720903:CAA720909 BQE720903:BQE720909 BGI720903:BGI720909 AWM720903:AWM720909 AMQ720903:AMQ720909 ACU720903:ACU720909 SY720903:SY720909 JC720903:JC720909 G720903:G720909 WVO655367:WVO655373 WLS655367:WLS655373 WBW655367:WBW655373 VSA655367:VSA655373 VIE655367:VIE655373 UYI655367:UYI655373 UOM655367:UOM655373 UEQ655367:UEQ655373 TUU655367:TUU655373 TKY655367:TKY655373 TBC655367:TBC655373 SRG655367:SRG655373 SHK655367:SHK655373 RXO655367:RXO655373 RNS655367:RNS655373 RDW655367:RDW655373 QUA655367:QUA655373 QKE655367:QKE655373 QAI655367:QAI655373 PQM655367:PQM655373 PGQ655367:PGQ655373 OWU655367:OWU655373 OMY655367:OMY655373 ODC655367:ODC655373 NTG655367:NTG655373 NJK655367:NJK655373 MZO655367:MZO655373 MPS655367:MPS655373 MFW655367:MFW655373 LWA655367:LWA655373 LME655367:LME655373 LCI655367:LCI655373 KSM655367:KSM655373 KIQ655367:KIQ655373 JYU655367:JYU655373 JOY655367:JOY655373 JFC655367:JFC655373 IVG655367:IVG655373 ILK655367:ILK655373 IBO655367:IBO655373 HRS655367:HRS655373 HHW655367:HHW655373 GYA655367:GYA655373 GOE655367:GOE655373 GEI655367:GEI655373 FUM655367:FUM655373 FKQ655367:FKQ655373 FAU655367:FAU655373 EQY655367:EQY655373 EHC655367:EHC655373 DXG655367:DXG655373 DNK655367:DNK655373 DDO655367:DDO655373 CTS655367:CTS655373 CJW655367:CJW655373 CAA655367:CAA655373 BQE655367:BQE655373 BGI655367:BGI655373 AWM655367:AWM655373 AMQ655367:AMQ655373 ACU655367:ACU655373 SY655367:SY655373 JC655367:JC655373 G655367:G655373 WVO589831:WVO589837 WLS589831:WLS589837 WBW589831:WBW589837 VSA589831:VSA589837 VIE589831:VIE589837 UYI589831:UYI589837 UOM589831:UOM589837 UEQ589831:UEQ589837 TUU589831:TUU589837 TKY589831:TKY589837 TBC589831:TBC589837 SRG589831:SRG589837 SHK589831:SHK589837 RXO589831:RXO589837 RNS589831:RNS589837 RDW589831:RDW589837 QUA589831:QUA589837 QKE589831:QKE589837 QAI589831:QAI589837 PQM589831:PQM589837 PGQ589831:PGQ589837 OWU589831:OWU589837 OMY589831:OMY589837 ODC589831:ODC589837 NTG589831:NTG589837 NJK589831:NJK589837 MZO589831:MZO589837 MPS589831:MPS589837 MFW589831:MFW589837 LWA589831:LWA589837 LME589831:LME589837 LCI589831:LCI589837 KSM589831:KSM589837 KIQ589831:KIQ589837 JYU589831:JYU589837 JOY589831:JOY589837 JFC589831:JFC589837 IVG589831:IVG589837 ILK589831:ILK589837 IBO589831:IBO589837 HRS589831:HRS589837 HHW589831:HHW589837 GYA589831:GYA589837 GOE589831:GOE589837 GEI589831:GEI589837 FUM589831:FUM589837 FKQ589831:FKQ589837 FAU589831:FAU589837 EQY589831:EQY589837 EHC589831:EHC589837 DXG589831:DXG589837 DNK589831:DNK589837 DDO589831:DDO589837 CTS589831:CTS589837 CJW589831:CJW589837 CAA589831:CAA589837 BQE589831:BQE589837 BGI589831:BGI589837 AWM589831:AWM589837 AMQ589831:AMQ589837 ACU589831:ACU589837 SY589831:SY589837 JC589831:JC589837 G589831:G589837 WVO524295:WVO524301 WLS524295:WLS524301 WBW524295:WBW524301 VSA524295:VSA524301 VIE524295:VIE524301 UYI524295:UYI524301 UOM524295:UOM524301 UEQ524295:UEQ524301 TUU524295:TUU524301 TKY524295:TKY524301 TBC524295:TBC524301 SRG524295:SRG524301 SHK524295:SHK524301 RXO524295:RXO524301 RNS524295:RNS524301 RDW524295:RDW524301 QUA524295:QUA524301 QKE524295:QKE524301 QAI524295:QAI524301 PQM524295:PQM524301 PGQ524295:PGQ524301 OWU524295:OWU524301 OMY524295:OMY524301 ODC524295:ODC524301 NTG524295:NTG524301 NJK524295:NJK524301 MZO524295:MZO524301 MPS524295:MPS524301 MFW524295:MFW524301 LWA524295:LWA524301 LME524295:LME524301 LCI524295:LCI524301 KSM524295:KSM524301 KIQ524295:KIQ524301 JYU524295:JYU524301 JOY524295:JOY524301 JFC524295:JFC524301 IVG524295:IVG524301 ILK524295:ILK524301 IBO524295:IBO524301 HRS524295:HRS524301 HHW524295:HHW524301 GYA524295:GYA524301 GOE524295:GOE524301 GEI524295:GEI524301 FUM524295:FUM524301 FKQ524295:FKQ524301 FAU524295:FAU524301 EQY524295:EQY524301 EHC524295:EHC524301 DXG524295:DXG524301 DNK524295:DNK524301 DDO524295:DDO524301 CTS524295:CTS524301 CJW524295:CJW524301 CAA524295:CAA524301 BQE524295:BQE524301 BGI524295:BGI524301 AWM524295:AWM524301 AMQ524295:AMQ524301 ACU524295:ACU524301 SY524295:SY524301 JC524295:JC524301 G524295:G524301 WVO458759:WVO458765 WLS458759:WLS458765 WBW458759:WBW458765 VSA458759:VSA458765 VIE458759:VIE458765 UYI458759:UYI458765 UOM458759:UOM458765 UEQ458759:UEQ458765 TUU458759:TUU458765 TKY458759:TKY458765 TBC458759:TBC458765 SRG458759:SRG458765 SHK458759:SHK458765 RXO458759:RXO458765 RNS458759:RNS458765 RDW458759:RDW458765 QUA458759:QUA458765 QKE458759:QKE458765 QAI458759:QAI458765 PQM458759:PQM458765 PGQ458759:PGQ458765 OWU458759:OWU458765 OMY458759:OMY458765 ODC458759:ODC458765 NTG458759:NTG458765 NJK458759:NJK458765 MZO458759:MZO458765 MPS458759:MPS458765 MFW458759:MFW458765 LWA458759:LWA458765 LME458759:LME458765 LCI458759:LCI458765 KSM458759:KSM458765 KIQ458759:KIQ458765 JYU458759:JYU458765 JOY458759:JOY458765 JFC458759:JFC458765 IVG458759:IVG458765 ILK458759:ILK458765 IBO458759:IBO458765 HRS458759:HRS458765 HHW458759:HHW458765 GYA458759:GYA458765 GOE458759:GOE458765 GEI458759:GEI458765 FUM458759:FUM458765 FKQ458759:FKQ458765 FAU458759:FAU458765 EQY458759:EQY458765 EHC458759:EHC458765 DXG458759:DXG458765 DNK458759:DNK458765 DDO458759:DDO458765 CTS458759:CTS458765 CJW458759:CJW458765 CAA458759:CAA458765 BQE458759:BQE458765 BGI458759:BGI458765 AWM458759:AWM458765 AMQ458759:AMQ458765 ACU458759:ACU458765 SY458759:SY458765 JC458759:JC458765 G458759:G458765 WVO393223:WVO393229 WLS393223:WLS393229 WBW393223:WBW393229 VSA393223:VSA393229 VIE393223:VIE393229 UYI393223:UYI393229 UOM393223:UOM393229 UEQ393223:UEQ393229 TUU393223:TUU393229 TKY393223:TKY393229 TBC393223:TBC393229 SRG393223:SRG393229 SHK393223:SHK393229 RXO393223:RXO393229 RNS393223:RNS393229 RDW393223:RDW393229 QUA393223:QUA393229 QKE393223:QKE393229 QAI393223:QAI393229 PQM393223:PQM393229 PGQ393223:PGQ393229 OWU393223:OWU393229 OMY393223:OMY393229 ODC393223:ODC393229 NTG393223:NTG393229 NJK393223:NJK393229 MZO393223:MZO393229 MPS393223:MPS393229 MFW393223:MFW393229 LWA393223:LWA393229 LME393223:LME393229 LCI393223:LCI393229 KSM393223:KSM393229 KIQ393223:KIQ393229 JYU393223:JYU393229 JOY393223:JOY393229 JFC393223:JFC393229 IVG393223:IVG393229 ILK393223:ILK393229 IBO393223:IBO393229 HRS393223:HRS393229 HHW393223:HHW393229 GYA393223:GYA393229 GOE393223:GOE393229 GEI393223:GEI393229 FUM393223:FUM393229 FKQ393223:FKQ393229 FAU393223:FAU393229 EQY393223:EQY393229 EHC393223:EHC393229 DXG393223:DXG393229 DNK393223:DNK393229 DDO393223:DDO393229 CTS393223:CTS393229 CJW393223:CJW393229 CAA393223:CAA393229 BQE393223:BQE393229 BGI393223:BGI393229 AWM393223:AWM393229 AMQ393223:AMQ393229 ACU393223:ACU393229 SY393223:SY393229 JC393223:JC393229 G393223:G393229 WVO327687:WVO327693 WLS327687:WLS327693 WBW327687:WBW327693 VSA327687:VSA327693 VIE327687:VIE327693 UYI327687:UYI327693 UOM327687:UOM327693 UEQ327687:UEQ327693 TUU327687:TUU327693 TKY327687:TKY327693 TBC327687:TBC327693 SRG327687:SRG327693 SHK327687:SHK327693 RXO327687:RXO327693 RNS327687:RNS327693 RDW327687:RDW327693 QUA327687:QUA327693 QKE327687:QKE327693 QAI327687:QAI327693 PQM327687:PQM327693 PGQ327687:PGQ327693 OWU327687:OWU327693 OMY327687:OMY327693 ODC327687:ODC327693 NTG327687:NTG327693 NJK327687:NJK327693 MZO327687:MZO327693 MPS327687:MPS327693 MFW327687:MFW327693 LWA327687:LWA327693 LME327687:LME327693 LCI327687:LCI327693 KSM327687:KSM327693 KIQ327687:KIQ327693 JYU327687:JYU327693 JOY327687:JOY327693 JFC327687:JFC327693 IVG327687:IVG327693 ILK327687:ILK327693 IBO327687:IBO327693 HRS327687:HRS327693 HHW327687:HHW327693 GYA327687:GYA327693 GOE327687:GOE327693 GEI327687:GEI327693 FUM327687:FUM327693 FKQ327687:FKQ327693 FAU327687:FAU327693 EQY327687:EQY327693 EHC327687:EHC327693 DXG327687:DXG327693 DNK327687:DNK327693 DDO327687:DDO327693 CTS327687:CTS327693 CJW327687:CJW327693 CAA327687:CAA327693 BQE327687:BQE327693 BGI327687:BGI327693 AWM327687:AWM327693 AMQ327687:AMQ327693 ACU327687:ACU327693 SY327687:SY327693 JC327687:JC327693 G327687:G327693 WVO262151:WVO262157 WLS262151:WLS262157 WBW262151:WBW262157 VSA262151:VSA262157 VIE262151:VIE262157 UYI262151:UYI262157 UOM262151:UOM262157 UEQ262151:UEQ262157 TUU262151:TUU262157 TKY262151:TKY262157 TBC262151:TBC262157 SRG262151:SRG262157 SHK262151:SHK262157 RXO262151:RXO262157 RNS262151:RNS262157 RDW262151:RDW262157 QUA262151:QUA262157 QKE262151:QKE262157 QAI262151:QAI262157 PQM262151:PQM262157 PGQ262151:PGQ262157 OWU262151:OWU262157 OMY262151:OMY262157 ODC262151:ODC262157 NTG262151:NTG262157 NJK262151:NJK262157 MZO262151:MZO262157 MPS262151:MPS262157 MFW262151:MFW262157 LWA262151:LWA262157 LME262151:LME262157 LCI262151:LCI262157 KSM262151:KSM262157 KIQ262151:KIQ262157 JYU262151:JYU262157 JOY262151:JOY262157 JFC262151:JFC262157 IVG262151:IVG262157 ILK262151:ILK262157 IBO262151:IBO262157 HRS262151:HRS262157 HHW262151:HHW262157 GYA262151:GYA262157 GOE262151:GOE262157 GEI262151:GEI262157 FUM262151:FUM262157 FKQ262151:FKQ262157 FAU262151:FAU262157 EQY262151:EQY262157 EHC262151:EHC262157 DXG262151:DXG262157 DNK262151:DNK262157 DDO262151:DDO262157 CTS262151:CTS262157 CJW262151:CJW262157 CAA262151:CAA262157 BQE262151:BQE262157 BGI262151:BGI262157 AWM262151:AWM262157 AMQ262151:AMQ262157 ACU262151:ACU262157 SY262151:SY262157 JC262151:JC262157 G262151:G262157 WVO196615:WVO196621 WLS196615:WLS196621 WBW196615:WBW196621 VSA196615:VSA196621 VIE196615:VIE196621 UYI196615:UYI196621 UOM196615:UOM196621 UEQ196615:UEQ196621 TUU196615:TUU196621 TKY196615:TKY196621 TBC196615:TBC196621 SRG196615:SRG196621 SHK196615:SHK196621 RXO196615:RXO196621 RNS196615:RNS196621 RDW196615:RDW196621 QUA196615:QUA196621 QKE196615:QKE196621 QAI196615:QAI196621 PQM196615:PQM196621 PGQ196615:PGQ196621 OWU196615:OWU196621 OMY196615:OMY196621 ODC196615:ODC196621 NTG196615:NTG196621 NJK196615:NJK196621 MZO196615:MZO196621 MPS196615:MPS196621 MFW196615:MFW196621 LWA196615:LWA196621 LME196615:LME196621 LCI196615:LCI196621 KSM196615:KSM196621 KIQ196615:KIQ196621 JYU196615:JYU196621 JOY196615:JOY196621 JFC196615:JFC196621 IVG196615:IVG196621 ILK196615:ILK196621 IBO196615:IBO196621 HRS196615:HRS196621 HHW196615:HHW196621 GYA196615:GYA196621 GOE196615:GOE196621 GEI196615:GEI196621 FUM196615:FUM196621 FKQ196615:FKQ196621 FAU196615:FAU196621 EQY196615:EQY196621 EHC196615:EHC196621 DXG196615:DXG196621 DNK196615:DNK196621 DDO196615:DDO196621 CTS196615:CTS196621 CJW196615:CJW196621 CAA196615:CAA196621 BQE196615:BQE196621 BGI196615:BGI196621 AWM196615:AWM196621 AMQ196615:AMQ196621 ACU196615:ACU196621 SY196615:SY196621 JC196615:JC196621 G196615:G196621 WVO131079:WVO131085 WLS131079:WLS131085 WBW131079:WBW131085 VSA131079:VSA131085 VIE131079:VIE131085 UYI131079:UYI131085 UOM131079:UOM131085 UEQ131079:UEQ131085 TUU131079:TUU131085 TKY131079:TKY131085 TBC131079:TBC131085 SRG131079:SRG131085 SHK131079:SHK131085 RXO131079:RXO131085 RNS131079:RNS131085 RDW131079:RDW131085 QUA131079:QUA131085 QKE131079:QKE131085 QAI131079:QAI131085 PQM131079:PQM131085 PGQ131079:PGQ131085 OWU131079:OWU131085 OMY131079:OMY131085 ODC131079:ODC131085 NTG131079:NTG131085 NJK131079:NJK131085 MZO131079:MZO131085 MPS131079:MPS131085 MFW131079:MFW131085 LWA131079:LWA131085 LME131079:LME131085 LCI131079:LCI131085 KSM131079:KSM131085 KIQ131079:KIQ131085 JYU131079:JYU131085 JOY131079:JOY131085 JFC131079:JFC131085 IVG131079:IVG131085 ILK131079:ILK131085 IBO131079:IBO131085 HRS131079:HRS131085 HHW131079:HHW131085 GYA131079:GYA131085 GOE131079:GOE131085 GEI131079:GEI131085 FUM131079:FUM131085 FKQ131079:FKQ131085 FAU131079:FAU131085 EQY131079:EQY131085 EHC131079:EHC131085 DXG131079:DXG131085 DNK131079:DNK131085 DDO131079:DDO131085 CTS131079:CTS131085 CJW131079:CJW131085 CAA131079:CAA131085 BQE131079:BQE131085 BGI131079:BGI131085 AWM131079:AWM131085 AMQ131079:AMQ131085 ACU131079:ACU131085 SY131079:SY131085 JC131079:JC131085 G131079:G131085 WVO65543:WVO65549 WLS65543:WLS65549 WBW65543:WBW65549 VSA65543:VSA65549 VIE65543:VIE65549 UYI65543:UYI65549 UOM65543:UOM65549 UEQ65543:UEQ65549 TUU65543:TUU65549 TKY65543:TKY65549 TBC65543:TBC65549 SRG65543:SRG65549 SHK65543:SHK65549 RXO65543:RXO65549 RNS65543:RNS65549 RDW65543:RDW65549 QUA65543:QUA65549 QKE65543:QKE65549 QAI65543:QAI65549 PQM65543:PQM65549 PGQ65543:PGQ65549 OWU65543:OWU65549 OMY65543:OMY65549 ODC65543:ODC65549 NTG65543:NTG65549 NJK65543:NJK65549 MZO65543:MZO65549 MPS65543:MPS65549 MFW65543:MFW65549 LWA65543:LWA65549 LME65543:LME65549 LCI65543:LCI65549 KSM65543:KSM65549 KIQ65543:KIQ65549 JYU65543:JYU65549 JOY65543:JOY65549 JFC65543:JFC65549 IVG65543:IVG65549 ILK65543:ILK65549 IBO65543:IBO65549 HRS65543:HRS65549 HHW65543:HHW65549 GYA65543:GYA65549 GOE65543:GOE65549 GEI65543:GEI65549 FUM65543:FUM65549 FKQ65543:FKQ65549 FAU65543:FAU65549 EQY65543:EQY65549 EHC65543:EHC65549 DXG65543:DXG65549 DNK65543:DNK65549 DDO65543:DDO65549 CTS65543:CTS65549 CJW65543:CJW65549 CAA65543:CAA65549 BQE65543:BQE65549 BGI65543:BGI65549 AWM65543:AWM65549 AMQ65543:AMQ65549 ACU65543:ACU65549 SY65543:SY65549 JC65543:JC65549 WVO983047:WVO983053 UYI8:UYI13 UOM8:UOM13 UEQ8:UEQ13 TUU8:TUU13 TKY8:TKY13 TBC8:TBC13 SRG8:SRG13 SHK8:SHK13 RXO8:RXO13 RNS8:RNS13 RDW8:RDW13 QUA8:QUA13 QKE8:QKE13 QAI8:QAI13 PQM8:PQM13 PGQ8:PGQ13 OWU8:OWU13 OMY8:OMY13 ODC8:ODC13 NTG8:NTG13 NJK8:NJK13 MZO8:MZO13 MPS8:MPS13 MFW8:MFW13 LWA8:LWA13 LME8:LME13 LCI8:LCI13 KSM8:KSM13 KIQ8:KIQ13 JYU8:JYU13 JOY8:JOY13 JFC8:JFC13 IVG8:IVG13 ILK8:ILK13 IBO8:IBO13 HRS8:HRS13 HHW8:HHW13 GYA8:GYA13 GOE8:GOE13 GEI8:GEI13 FUM8:FUM13 FKQ8:FKQ13 FAU8:FAU13 EQY8:EQY13 EHC8:EHC13 DXG8:DXG13 DNK8:DNK13 DDO8:DDO13 CTS8:CTS13 CJW8:CJW13 CAA8:CAA13 BQE8:BQE13 BGI8:BGI13 AWM8:AWM13 AMQ8:AMQ13 ACU8:ACU13 SY8:SY13 JC8:JC13 WVO8:WVO13 G8:G13 WLS8:WLS13 WBW8:WBW13 VSA8:VSA13">
      <formula1>$AI$23:$AI$35</formula1>
    </dataValidation>
    <dataValidation type="list" allowBlank="1" showInputMessage="1" showErrorMessage="1" sqref="H65543:H65549 JD65543:JD65549 SZ65543:SZ65549 ACV65543:ACV65549 AMR65543:AMR65549 AWN65543:AWN65549 BGJ65543:BGJ65549 BQF65543:BQF65549 CAB65543:CAB65549 CJX65543:CJX65549 CTT65543:CTT65549 DDP65543:DDP65549 DNL65543:DNL65549 DXH65543:DXH65549 EHD65543:EHD65549 EQZ65543:EQZ65549 FAV65543:FAV65549 FKR65543:FKR65549 FUN65543:FUN65549 GEJ65543:GEJ65549 GOF65543:GOF65549 GYB65543:GYB65549 HHX65543:HHX65549 HRT65543:HRT65549 IBP65543:IBP65549 ILL65543:ILL65549 IVH65543:IVH65549 JFD65543:JFD65549 JOZ65543:JOZ65549 JYV65543:JYV65549 KIR65543:KIR65549 KSN65543:KSN65549 LCJ65543:LCJ65549 LMF65543:LMF65549 LWB65543:LWB65549 MFX65543:MFX65549 MPT65543:MPT65549 MZP65543:MZP65549 NJL65543:NJL65549 NTH65543:NTH65549 ODD65543:ODD65549 OMZ65543:OMZ65549 OWV65543:OWV65549 PGR65543:PGR65549 PQN65543:PQN65549 QAJ65543:QAJ65549 QKF65543:QKF65549 QUB65543:QUB65549 RDX65543:RDX65549 RNT65543:RNT65549 RXP65543:RXP65549 SHL65543:SHL65549 SRH65543:SRH65549 TBD65543:TBD65549 TKZ65543:TKZ65549 TUV65543:TUV65549 UER65543:UER65549 UON65543:UON65549 UYJ65543:UYJ65549 VIF65543:VIF65549 VSB65543:VSB65549 WBX65543:WBX65549 WLT65543:WLT65549 WVP65543:WVP65549 H131079:H131085 JD131079:JD131085 SZ131079:SZ131085 ACV131079:ACV131085 AMR131079:AMR131085 AWN131079:AWN131085 BGJ131079:BGJ131085 BQF131079:BQF131085 CAB131079:CAB131085 CJX131079:CJX131085 CTT131079:CTT131085 DDP131079:DDP131085 DNL131079:DNL131085 DXH131079:DXH131085 EHD131079:EHD131085 EQZ131079:EQZ131085 FAV131079:FAV131085 FKR131079:FKR131085 FUN131079:FUN131085 GEJ131079:GEJ131085 GOF131079:GOF131085 GYB131079:GYB131085 HHX131079:HHX131085 HRT131079:HRT131085 IBP131079:IBP131085 ILL131079:ILL131085 IVH131079:IVH131085 JFD131079:JFD131085 JOZ131079:JOZ131085 JYV131079:JYV131085 KIR131079:KIR131085 KSN131079:KSN131085 LCJ131079:LCJ131085 LMF131079:LMF131085 LWB131079:LWB131085 MFX131079:MFX131085 MPT131079:MPT131085 MZP131079:MZP131085 NJL131079:NJL131085 NTH131079:NTH131085 ODD131079:ODD131085 OMZ131079:OMZ131085 OWV131079:OWV131085 PGR131079:PGR131085 PQN131079:PQN131085 QAJ131079:QAJ131085 QKF131079:QKF131085 QUB131079:QUB131085 RDX131079:RDX131085 RNT131079:RNT131085 RXP131079:RXP131085 SHL131079:SHL131085 SRH131079:SRH131085 TBD131079:TBD131085 TKZ131079:TKZ131085 TUV131079:TUV131085 UER131079:UER131085 UON131079:UON131085 UYJ131079:UYJ131085 VIF131079:VIF131085 VSB131079:VSB131085 WBX131079:WBX131085 WLT131079:WLT131085 WVP131079:WVP131085 H196615:H196621 JD196615:JD196621 SZ196615:SZ196621 ACV196615:ACV196621 AMR196615:AMR196621 AWN196615:AWN196621 BGJ196615:BGJ196621 BQF196615:BQF196621 CAB196615:CAB196621 CJX196615:CJX196621 CTT196615:CTT196621 DDP196615:DDP196621 DNL196615:DNL196621 DXH196615:DXH196621 EHD196615:EHD196621 EQZ196615:EQZ196621 FAV196615:FAV196621 FKR196615:FKR196621 FUN196615:FUN196621 GEJ196615:GEJ196621 GOF196615:GOF196621 GYB196615:GYB196621 HHX196615:HHX196621 HRT196615:HRT196621 IBP196615:IBP196621 ILL196615:ILL196621 IVH196615:IVH196621 JFD196615:JFD196621 JOZ196615:JOZ196621 JYV196615:JYV196621 KIR196615:KIR196621 KSN196615:KSN196621 LCJ196615:LCJ196621 LMF196615:LMF196621 LWB196615:LWB196621 MFX196615:MFX196621 MPT196615:MPT196621 MZP196615:MZP196621 NJL196615:NJL196621 NTH196615:NTH196621 ODD196615:ODD196621 OMZ196615:OMZ196621 OWV196615:OWV196621 PGR196615:PGR196621 PQN196615:PQN196621 QAJ196615:QAJ196621 QKF196615:QKF196621 QUB196615:QUB196621 RDX196615:RDX196621 RNT196615:RNT196621 RXP196615:RXP196621 SHL196615:SHL196621 SRH196615:SRH196621 TBD196615:TBD196621 TKZ196615:TKZ196621 TUV196615:TUV196621 UER196615:UER196621 UON196615:UON196621 UYJ196615:UYJ196621 VIF196615:VIF196621 VSB196615:VSB196621 WBX196615:WBX196621 WLT196615:WLT196621 WVP196615:WVP196621 H262151:H262157 JD262151:JD262157 SZ262151:SZ262157 ACV262151:ACV262157 AMR262151:AMR262157 AWN262151:AWN262157 BGJ262151:BGJ262157 BQF262151:BQF262157 CAB262151:CAB262157 CJX262151:CJX262157 CTT262151:CTT262157 DDP262151:DDP262157 DNL262151:DNL262157 DXH262151:DXH262157 EHD262151:EHD262157 EQZ262151:EQZ262157 FAV262151:FAV262157 FKR262151:FKR262157 FUN262151:FUN262157 GEJ262151:GEJ262157 GOF262151:GOF262157 GYB262151:GYB262157 HHX262151:HHX262157 HRT262151:HRT262157 IBP262151:IBP262157 ILL262151:ILL262157 IVH262151:IVH262157 JFD262151:JFD262157 JOZ262151:JOZ262157 JYV262151:JYV262157 KIR262151:KIR262157 KSN262151:KSN262157 LCJ262151:LCJ262157 LMF262151:LMF262157 LWB262151:LWB262157 MFX262151:MFX262157 MPT262151:MPT262157 MZP262151:MZP262157 NJL262151:NJL262157 NTH262151:NTH262157 ODD262151:ODD262157 OMZ262151:OMZ262157 OWV262151:OWV262157 PGR262151:PGR262157 PQN262151:PQN262157 QAJ262151:QAJ262157 QKF262151:QKF262157 QUB262151:QUB262157 RDX262151:RDX262157 RNT262151:RNT262157 RXP262151:RXP262157 SHL262151:SHL262157 SRH262151:SRH262157 TBD262151:TBD262157 TKZ262151:TKZ262157 TUV262151:TUV262157 UER262151:UER262157 UON262151:UON262157 UYJ262151:UYJ262157 VIF262151:VIF262157 VSB262151:VSB262157 WBX262151:WBX262157 WLT262151:WLT262157 WVP262151:WVP262157 H327687:H327693 JD327687:JD327693 SZ327687:SZ327693 ACV327687:ACV327693 AMR327687:AMR327693 AWN327687:AWN327693 BGJ327687:BGJ327693 BQF327687:BQF327693 CAB327687:CAB327693 CJX327687:CJX327693 CTT327687:CTT327693 DDP327687:DDP327693 DNL327687:DNL327693 DXH327687:DXH327693 EHD327687:EHD327693 EQZ327687:EQZ327693 FAV327687:FAV327693 FKR327687:FKR327693 FUN327687:FUN327693 GEJ327687:GEJ327693 GOF327687:GOF327693 GYB327687:GYB327693 HHX327687:HHX327693 HRT327687:HRT327693 IBP327687:IBP327693 ILL327687:ILL327693 IVH327687:IVH327693 JFD327687:JFD327693 JOZ327687:JOZ327693 JYV327687:JYV327693 KIR327687:KIR327693 KSN327687:KSN327693 LCJ327687:LCJ327693 LMF327687:LMF327693 LWB327687:LWB327693 MFX327687:MFX327693 MPT327687:MPT327693 MZP327687:MZP327693 NJL327687:NJL327693 NTH327687:NTH327693 ODD327687:ODD327693 OMZ327687:OMZ327693 OWV327687:OWV327693 PGR327687:PGR327693 PQN327687:PQN327693 QAJ327687:QAJ327693 QKF327687:QKF327693 QUB327687:QUB327693 RDX327687:RDX327693 RNT327687:RNT327693 RXP327687:RXP327693 SHL327687:SHL327693 SRH327687:SRH327693 TBD327687:TBD327693 TKZ327687:TKZ327693 TUV327687:TUV327693 UER327687:UER327693 UON327687:UON327693 UYJ327687:UYJ327693 VIF327687:VIF327693 VSB327687:VSB327693 WBX327687:WBX327693 WLT327687:WLT327693 WVP327687:WVP327693 H393223:H393229 JD393223:JD393229 SZ393223:SZ393229 ACV393223:ACV393229 AMR393223:AMR393229 AWN393223:AWN393229 BGJ393223:BGJ393229 BQF393223:BQF393229 CAB393223:CAB393229 CJX393223:CJX393229 CTT393223:CTT393229 DDP393223:DDP393229 DNL393223:DNL393229 DXH393223:DXH393229 EHD393223:EHD393229 EQZ393223:EQZ393229 FAV393223:FAV393229 FKR393223:FKR393229 FUN393223:FUN393229 GEJ393223:GEJ393229 GOF393223:GOF393229 GYB393223:GYB393229 HHX393223:HHX393229 HRT393223:HRT393229 IBP393223:IBP393229 ILL393223:ILL393229 IVH393223:IVH393229 JFD393223:JFD393229 JOZ393223:JOZ393229 JYV393223:JYV393229 KIR393223:KIR393229 KSN393223:KSN393229 LCJ393223:LCJ393229 LMF393223:LMF393229 LWB393223:LWB393229 MFX393223:MFX393229 MPT393223:MPT393229 MZP393223:MZP393229 NJL393223:NJL393229 NTH393223:NTH393229 ODD393223:ODD393229 OMZ393223:OMZ393229 OWV393223:OWV393229 PGR393223:PGR393229 PQN393223:PQN393229 QAJ393223:QAJ393229 QKF393223:QKF393229 QUB393223:QUB393229 RDX393223:RDX393229 RNT393223:RNT393229 RXP393223:RXP393229 SHL393223:SHL393229 SRH393223:SRH393229 TBD393223:TBD393229 TKZ393223:TKZ393229 TUV393223:TUV393229 UER393223:UER393229 UON393223:UON393229 UYJ393223:UYJ393229 VIF393223:VIF393229 VSB393223:VSB393229 WBX393223:WBX393229 WLT393223:WLT393229 WVP393223:WVP393229 H458759:H458765 JD458759:JD458765 SZ458759:SZ458765 ACV458759:ACV458765 AMR458759:AMR458765 AWN458759:AWN458765 BGJ458759:BGJ458765 BQF458759:BQF458765 CAB458759:CAB458765 CJX458759:CJX458765 CTT458759:CTT458765 DDP458759:DDP458765 DNL458759:DNL458765 DXH458759:DXH458765 EHD458759:EHD458765 EQZ458759:EQZ458765 FAV458759:FAV458765 FKR458759:FKR458765 FUN458759:FUN458765 GEJ458759:GEJ458765 GOF458759:GOF458765 GYB458759:GYB458765 HHX458759:HHX458765 HRT458759:HRT458765 IBP458759:IBP458765 ILL458759:ILL458765 IVH458759:IVH458765 JFD458759:JFD458765 JOZ458759:JOZ458765 JYV458759:JYV458765 KIR458759:KIR458765 KSN458759:KSN458765 LCJ458759:LCJ458765 LMF458759:LMF458765 LWB458759:LWB458765 MFX458759:MFX458765 MPT458759:MPT458765 MZP458759:MZP458765 NJL458759:NJL458765 NTH458759:NTH458765 ODD458759:ODD458765 OMZ458759:OMZ458765 OWV458759:OWV458765 PGR458759:PGR458765 PQN458759:PQN458765 QAJ458759:QAJ458765 QKF458759:QKF458765 QUB458759:QUB458765 RDX458759:RDX458765 RNT458759:RNT458765 RXP458759:RXP458765 SHL458759:SHL458765 SRH458759:SRH458765 TBD458759:TBD458765 TKZ458759:TKZ458765 TUV458759:TUV458765 UER458759:UER458765 UON458759:UON458765 UYJ458759:UYJ458765 VIF458759:VIF458765 VSB458759:VSB458765 WBX458759:WBX458765 WLT458759:WLT458765 WVP458759:WVP458765 H524295:H524301 JD524295:JD524301 SZ524295:SZ524301 ACV524295:ACV524301 AMR524295:AMR524301 AWN524295:AWN524301 BGJ524295:BGJ524301 BQF524295:BQF524301 CAB524295:CAB524301 CJX524295:CJX524301 CTT524295:CTT524301 DDP524295:DDP524301 DNL524295:DNL524301 DXH524295:DXH524301 EHD524295:EHD524301 EQZ524295:EQZ524301 FAV524295:FAV524301 FKR524295:FKR524301 FUN524295:FUN524301 GEJ524295:GEJ524301 GOF524295:GOF524301 GYB524295:GYB524301 HHX524295:HHX524301 HRT524295:HRT524301 IBP524295:IBP524301 ILL524295:ILL524301 IVH524295:IVH524301 JFD524295:JFD524301 JOZ524295:JOZ524301 JYV524295:JYV524301 KIR524295:KIR524301 KSN524295:KSN524301 LCJ524295:LCJ524301 LMF524295:LMF524301 LWB524295:LWB524301 MFX524295:MFX524301 MPT524295:MPT524301 MZP524295:MZP524301 NJL524295:NJL524301 NTH524295:NTH524301 ODD524295:ODD524301 OMZ524295:OMZ524301 OWV524295:OWV524301 PGR524295:PGR524301 PQN524295:PQN524301 QAJ524295:QAJ524301 QKF524295:QKF524301 QUB524295:QUB524301 RDX524295:RDX524301 RNT524295:RNT524301 RXP524295:RXP524301 SHL524295:SHL524301 SRH524295:SRH524301 TBD524295:TBD524301 TKZ524295:TKZ524301 TUV524295:TUV524301 UER524295:UER524301 UON524295:UON524301 UYJ524295:UYJ524301 VIF524295:VIF524301 VSB524295:VSB524301 WBX524295:WBX524301 WLT524295:WLT524301 WVP524295:WVP524301 H589831:H589837 JD589831:JD589837 SZ589831:SZ589837 ACV589831:ACV589837 AMR589831:AMR589837 AWN589831:AWN589837 BGJ589831:BGJ589837 BQF589831:BQF589837 CAB589831:CAB589837 CJX589831:CJX589837 CTT589831:CTT589837 DDP589831:DDP589837 DNL589831:DNL589837 DXH589831:DXH589837 EHD589831:EHD589837 EQZ589831:EQZ589837 FAV589831:FAV589837 FKR589831:FKR589837 FUN589831:FUN589837 GEJ589831:GEJ589837 GOF589831:GOF589837 GYB589831:GYB589837 HHX589831:HHX589837 HRT589831:HRT589837 IBP589831:IBP589837 ILL589831:ILL589837 IVH589831:IVH589837 JFD589831:JFD589837 JOZ589831:JOZ589837 JYV589831:JYV589837 KIR589831:KIR589837 KSN589831:KSN589837 LCJ589831:LCJ589837 LMF589831:LMF589837 LWB589831:LWB589837 MFX589831:MFX589837 MPT589831:MPT589837 MZP589831:MZP589837 NJL589831:NJL589837 NTH589831:NTH589837 ODD589831:ODD589837 OMZ589831:OMZ589837 OWV589831:OWV589837 PGR589831:PGR589837 PQN589831:PQN589837 QAJ589831:QAJ589837 QKF589831:QKF589837 QUB589831:QUB589837 RDX589831:RDX589837 RNT589831:RNT589837 RXP589831:RXP589837 SHL589831:SHL589837 SRH589831:SRH589837 TBD589831:TBD589837 TKZ589831:TKZ589837 TUV589831:TUV589837 UER589831:UER589837 UON589831:UON589837 UYJ589831:UYJ589837 VIF589831:VIF589837 VSB589831:VSB589837 WBX589831:WBX589837 WLT589831:WLT589837 WVP589831:WVP589837 H655367:H655373 JD655367:JD655373 SZ655367:SZ655373 ACV655367:ACV655373 AMR655367:AMR655373 AWN655367:AWN655373 BGJ655367:BGJ655373 BQF655367:BQF655373 CAB655367:CAB655373 CJX655367:CJX655373 CTT655367:CTT655373 DDP655367:DDP655373 DNL655367:DNL655373 DXH655367:DXH655373 EHD655367:EHD655373 EQZ655367:EQZ655373 FAV655367:FAV655373 FKR655367:FKR655373 FUN655367:FUN655373 GEJ655367:GEJ655373 GOF655367:GOF655373 GYB655367:GYB655373 HHX655367:HHX655373 HRT655367:HRT655373 IBP655367:IBP655373 ILL655367:ILL655373 IVH655367:IVH655373 JFD655367:JFD655373 JOZ655367:JOZ655373 JYV655367:JYV655373 KIR655367:KIR655373 KSN655367:KSN655373 LCJ655367:LCJ655373 LMF655367:LMF655373 LWB655367:LWB655373 MFX655367:MFX655373 MPT655367:MPT655373 MZP655367:MZP655373 NJL655367:NJL655373 NTH655367:NTH655373 ODD655367:ODD655373 OMZ655367:OMZ655373 OWV655367:OWV655373 PGR655367:PGR655373 PQN655367:PQN655373 QAJ655367:QAJ655373 QKF655367:QKF655373 QUB655367:QUB655373 RDX655367:RDX655373 RNT655367:RNT655373 RXP655367:RXP655373 SHL655367:SHL655373 SRH655367:SRH655373 TBD655367:TBD655373 TKZ655367:TKZ655373 TUV655367:TUV655373 UER655367:UER655373 UON655367:UON655373 UYJ655367:UYJ655373 VIF655367:VIF655373 VSB655367:VSB655373 WBX655367:WBX655373 WLT655367:WLT655373 WVP655367:WVP655373 H720903:H720909 JD720903:JD720909 SZ720903:SZ720909 ACV720903:ACV720909 AMR720903:AMR720909 AWN720903:AWN720909 BGJ720903:BGJ720909 BQF720903:BQF720909 CAB720903:CAB720909 CJX720903:CJX720909 CTT720903:CTT720909 DDP720903:DDP720909 DNL720903:DNL720909 DXH720903:DXH720909 EHD720903:EHD720909 EQZ720903:EQZ720909 FAV720903:FAV720909 FKR720903:FKR720909 FUN720903:FUN720909 GEJ720903:GEJ720909 GOF720903:GOF720909 GYB720903:GYB720909 HHX720903:HHX720909 HRT720903:HRT720909 IBP720903:IBP720909 ILL720903:ILL720909 IVH720903:IVH720909 JFD720903:JFD720909 JOZ720903:JOZ720909 JYV720903:JYV720909 KIR720903:KIR720909 KSN720903:KSN720909 LCJ720903:LCJ720909 LMF720903:LMF720909 LWB720903:LWB720909 MFX720903:MFX720909 MPT720903:MPT720909 MZP720903:MZP720909 NJL720903:NJL720909 NTH720903:NTH720909 ODD720903:ODD720909 OMZ720903:OMZ720909 OWV720903:OWV720909 PGR720903:PGR720909 PQN720903:PQN720909 QAJ720903:QAJ720909 QKF720903:QKF720909 QUB720903:QUB720909 RDX720903:RDX720909 RNT720903:RNT720909 RXP720903:RXP720909 SHL720903:SHL720909 SRH720903:SRH720909 TBD720903:TBD720909 TKZ720903:TKZ720909 TUV720903:TUV720909 UER720903:UER720909 UON720903:UON720909 UYJ720903:UYJ720909 VIF720903:VIF720909 VSB720903:VSB720909 WBX720903:WBX720909 WLT720903:WLT720909 WVP720903:WVP720909 H786439:H786445 JD786439:JD786445 SZ786439:SZ786445 ACV786439:ACV786445 AMR786439:AMR786445 AWN786439:AWN786445 BGJ786439:BGJ786445 BQF786439:BQF786445 CAB786439:CAB786445 CJX786439:CJX786445 CTT786439:CTT786445 DDP786439:DDP786445 DNL786439:DNL786445 DXH786439:DXH786445 EHD786439:EHD786445 EQZ786439:EQZ786445 FAV786439:FAV786445 FKR786439:FKR786445 FUN786439:FUN786445 GEJ786439:GEJ786445 GOF786439:GOF786445 GYB786439:GYB786445 HHX786439:HHX786445 HRT786439:HRT786445 IBP786439:IBP786445 ILL786439:ILL786445 IVH786439:IVH786445 JFD786439:JFD786445 JOZ786439:JOZ786445 JYV786439:JYV786445 KIR786439:KIR786445 KSN786439:KSN786445 LCJ786439:LCJ786445 LMF786439:LMF786445 LWB786439:LWB786445 MFX786439:MFX786445 MPT786439:MPT786445 MZP786439:MZP786445 NJL786439:NJL786445 NTH786439:NTH786445 ODD786439:ODD786445 OMZ786439:OMZ786445 OWV786439:OWV786445 PGR786439:PGR786445 PQN786439:PQN786445 QAJ786439:QAJ786445 QKF786439:QKF786445 QUB786439:QUB786445 RDX786439:RDX786445 RNT786439:RNT786445 RXP786439:RXP786445 SHL786439:SHL786445 SRH786439:SRH786445 TBD786439:TBD786445 TKZ786439:TKZ786445 TUV786439:TUV786445 UER786439:UER786445 UON786439:UON786445 UYJ786439:UYJ786445 VIF786439:VIF786445 VSB786439:VSB786445 WBX786439:WBX786445 WLT786439:WLT786445 WVP786439:WVP786445 H851975:H851981 JD851975:JD851981 SZ851975:SZ851981 ACV851975:ACV851981 AMR851975:AMR851981 AWN851975:AWN851981 BGJ851975:BGJ851981 BQF851975:BQF851981 CAB851975:CAB851981 CJX851975:CJX851981 CTT851975:CTT851981 DDP851975:DDP851981 DNL851975:DNL851981 DXH851975:DXH851981 EHD851975:EHD851981 EQZ851975:EQZ851981 FAV851975:FAV851981 FKR851975:FKR851981 FUN851975:FUN851981 GEJ851975:GEJ851981 GOF851975:GOF851981 GYB851975:GYB851981 HHX851975:HHX851981 HRT851975:HRT851981 IBP851975:IBP851981 ILL851975:ILL851981 IVH851975:IVH851981 JFD851975:JFD851981 JOZ851975:JOZ851981 JYV851975:JYV851981 KIR851975:KIR851981 KSN851975:KSN851981 LCJ851975:LCJ851981 LMF851975:LMF851981 LWB851975:LWB851981 MFX851975:MFX851981 MPT851975:MPT851981 MZP851975:MZP851981 NJL851975:NJL851981 NTH851975:NTH851981 ODD851975:ODD851981 OMZ851975:OMZ851981 OWV851975:OWV851981 PGR851975:PGR851981 PQN851975:PQN851981 QAJ851975:QAJ851981 QKF851975:QKF851981 QUB851975:QUB851981 RDX851975:RDX851981 RNT851975:RNT851981 RXP851975:RXP851981 SHL851975:SHL851981 SRH851975:SRH851981 TBD851975:TBD851981 TKZ851975:TKZ851981 TUV851975:TUV851981 UER851975:UER851981 UON851975:UON851981 UYJ851975:UYJ851981 VIF851975:VIF851981 VSB851975:VSB851981 WBX851975:WBX851981 WLT851975:WLT851981 WVP851975:WVP851981 H917511:H917517 JD917511:JD917517 SZ917511:SZ917517 ACV917511:ACV917517 AMR917511:AMR917517 AWN917511:AWN917517 BGJ917511:BGJ917517 BQF917511:BQF917517 CAB917511:CAB917517 CJX917511:CJX917517 CTT917511:CTT917517 DDP917511:DDP917517 DNL917511:DNL917517 DXH917511:DXH917517 EHD917511:EHD917517 EQZ917511:EQZ917517 FAV917511:FAV917517 FKR917511:FKR917517 FUN917511:FUN917517 GEJ917511:GEJ917517 GOF917511:GOF917517 GYB917511:GYB917517 HHX917511:HHX917517 HRT917511:HRT917517 IBP917511:IBP917517 ILL917511:ILL917517 IVH917511:IVH917517 JFD917511:JFD917517 JOZ917511:JOZ917517 JYV917511:JYV917517 KIR917511:KIR917517 KSN917511:KSN917517 LCJ917511:LCJ917517 LMF917511:LMF917517 LWB917511:LWB917517 MFX917511:MFX917517 MPT917511:MPT917517 MZP917511:MZP917517 NJL917511:NJL917517 NTH917511:NTH917517 ODD917511:ODD917517 OMZ917511:OMZ917517 OWV917511:OWV917517 PGR917511:PGR917517 PQN917511:PQN917517 QAJ917511:QAJ917517 QKF917511:QKF917517 QUB917511:QUB917517 RDX917511:RDX917517 RNT917511:RNT917517 RXP917511:RXP917517 SHL917511:SHL917517 SRH917511:SRH917517 TBD917511:TBD917517 TKZ917511:TKZ917517 TUV917511:TUV917517 UER917511:UER917517 UON917511:UON917517 UYJ917511:UYJ917517 VIF917511:VIF917517 VSB917511:VSB917517 WBX917511:WBX917517 WLT917511:WLT917517 WVP917511:WVP917517 H983047:H983053 JD983047:JD983053 SZ983047:SZ983053 ACV983047:ACV983053 AMR983047:AMR983053 AWN983047:AWN983053 BGJ983047:BGJ983053 BQF983047:BQF983053 CAB983047:CAB983053 CJX983047:CJX983053 CTT983047:CTT983053 DDP983047:DDP983053 DNL983047:DNL983053 DXH983047:DXH983053 EHD983047:EHD983053 EQZ983047:EQZ983053 FAV983047:FAV983053 FKR983047:FKR983053 FUN983047:FUN983053 GEJ983047:GEJ983053 GOF983047:GOF983053 GYB983047:GYB983053 HHX983047:HHX983053 HRT983047:HRT983053 IBP983047:IBP983053 ILL983047:ILL983053 IVH983047:IVH983053 JFD983047:JFD983053 JOZ983047:JOZ983053 JYV983047:JYV983053 KIR983047:KIR983053 KSN983047:KSN983053 LCJ983047:LCJ983053 LMF983047:LMF983053 LWB983047:LWB983053 MFX983047:MFX983053 MPT983047:MPT983053 MZP983047:MZP983053 NJL983047:NJL983053 NTH983047:NTH983053 ODD983047:ODD983053 OMZ983047:OMZ983053 OWV983047:OWV983053 PGR983047:PGR983053 PQN983047:PQN983053 QAJ983047:QAJ983053 QKF983047:QKF983053 QUB983047:QUB983053 RDX983047:RDX983053 RNT983047:RNT983053 RXP983047:RXP983053 SHL983047:SHL983053 SRH983047:SRH983053 TBD983047:TBD983053 TKZ983047:TKZ983053 TUV983047:TUV983053 UER983047:UER983053 UON983047:UON983053 UYJ983047:UYJ983053 VIF983047:VIF983053 VSB983047:VSB983053 WBX983047:WBX983053 WLT983047:WLT983053 WVP983047:WVP983053 WBX8:WBX13 H8:H13 VSB8:VSB13 VIF8:VIF13 UYJ8:UYJ13 UON8:UON13 UER8:UER13 TUV8:TUV13 TKZ8:TKZ13 TBD8:TBD13 SRH8:SRH13 SHL8:SHL13 RXP8:RXP13 RNT8:RNT13 RDX8:RDX13 QUB8:QUB13 QKF8:QKF13 QAJ8:QAJ13 PQN8:PQN13 PGR8:PGR13 OWV8:OWV13 OMZ8:OMZ13 ODD8:ODD13 NTH8:NTH13 NJL8:NJL13 MZP8:MZP13 MPT8:MPT13 MFX8:MFX13 LWB8:LWB13 LMF8:LMF13 LCJ8:LCJ13 KSN8:KSN13 KIR8:KIR13 JYV8:JYV13 JOZ8:JOZ13 JFD8:JFD13 IVH8:IVH13 ILL8:ILL13 IBP8:IBP13 HRT8:HRT13 HHX8:HHX13 GYB8:GYB13 GOF8:GOF13 GEJ8:GEJ13 FUN8:FUN13 FKR8:FKR13 FAV8:FAV13 EQZ8:EQZ13 EHD8:EHD13 DXH8:DXH13 DNL8:DNL13 DDP8:DDP13 CTT8:CTT13 CJX8:CJX13 CAB8:CAB13 BQF8:BQF13 BGJ8:BGJ13 AWN8:AWN13 AMR8:AMR13 ACV8:ACV13 SZ8:SZ13 JD8:JD13 WLT8:WLT13 WVP8:WVP13">
      <formula1>$AI$1:$AI$3</formula1>
    </dataValidation>
    <dataValidation type="list" allowBlank="1" showInputMessage="1" showErrorMessage="1" sqref="AE65543:AE65549 KA65543:KA65549 TW65543:TW65549 ADS65543:ADS65549 ANO65543:ANO65549 AXK65543:AXK65549 BHG65543:BHG65549 BRC65543:BRC65549 CAY65543:CAY65549 CKU65543:CKU65549 CUQ65543:CUQ65549 DEM65543:DEM65549 DOI65543:DOI65549 DYE65543:DYE65549 EIA65543:EIA65549 ERW65543:ERW65549 FBS65543:FBS65549 FLO65543:FLO65549 FVK65543:FVK65549 GFG65543:GFG65549 GPC65543:GPC65549 GYY65543:GYY65549 HIU65543:HIU65549 HSQ65543:HSQ65549 ICM65543:ICM65549 IMI65543:IMI65549 IWE65543:IWE65549 JGA65543:JGA65549 JPW65543:JPW65549 JZS65543:JZS65549 KJO65543:KJO65549 KTK65543:KTK65549 LDG65543:LDG65549 LNC65543:LNC65549 LWY65543:LWY65549 MGU65543:MGU65549 MQQ65543:MQQ65549 NAM65543:NAM65549 NKI65543:NKI65549 NUE65543:NUE65549 OEA65543:OEA65549 ONW65543:ONW65549 OXS65543:OXS65549 PHO65543:PHO65549 PRK65543:PRK65549 QBG65543:QBG65549 QLC65543:QLC65549 QUY65543:QUY65549 REU65543:REU65549 ROQ65543:ROQ65549 RYM65543:RYM65549 SII65543:SII65549 SSE65543:SSE65549 TCA65543:TCA65549 TLW65543:TLW65549 TVS65543:TVS65549 UFO65543:UFO65549 UPK65543:UPK65549 UZG65543:UZG65549 VJC65543:VJC65549 VSY65543:VSY65549 WCU65543:WCU65549 WMQ65543:WMQ65549 WWM65543:WWM65549 AE131079:AE131085 KA131079:KA131085 TW131079:TW131085 ADS131079:ADS131085 ANO131079:ANO131085 AXK131079:AXK131085 BHG131079:BHG131085 BRC131079:BRC131085 CAY131079:CAY131085 CKU131079:CKU131085 CUQ131079:CUQ131085 DEM131079:DEM131085 DOI131079:DOI131085 DYE131079:DYE131085 EIA131079:EIA131085 ERW131079:ERW131085 FBS131079:FBS131085 FLO131079:FLO131085 FVK131079:FVK131085 GFG131079:GFG131085 GPC131079:GPC131085 GYY131079:GYY131085 HIU131079:HIU131085 HSQ131079:HSQ131085 ICM131079:ICM131085 IMI131079:IMI131085 IWE131079:IWE131085 JGA131079:JGA131085 JPW131079:JPW131085 JZS131079:JZS131085 KJO131079:KJO131085 KTK131079:KTK131085 LDG131079:LDG131085 LNC131079:LNC131085 LWY131079:LWY131085 MGU131079:MGU131085 MQQ131079:MQQ131085 NAM131079:NAM131085 NKI131079:NKI131085 NUE131079:NUE131085 OEA131079:OEA131085 ONW131079:ONW131085 OXS131079:OXS131085 PHO131079:PHO131085 PRK131079:PRK131085 QBG131079:QBG131085 QLC131079:QLC131085 QUY131079:QUY131085 REU131079:REU131085 ROQ131079:ROQ131085 RYM131079:RYM131085 SII131079:SII131085 SSE131079:SSE131085 TCA131079:TCA131085 TLW131079:TLW131085 TVS131079:TVS131085 UFO131079:UFO131085 UPK131079:UPK131085 UZG131079:UZG131085 VJC131079:VJC131085 VSY131079:VSY131085 WCU131079:WCU131085 WMQ131079:WMQ131085 WWM131079:WWM131085 AE196615:AE196621 KA196615:KA196621 TW196615:TW196621 ADS196615:ADS196621 ANO196615:ANO196621 AXK196615:AXK196621 BHG196615:BHG196621 BRC196615:BRC196621 CAY196615:CAY196621 CKU196615:CKU196621 CUQ196615:CUQ196621 DEM196615:DEM196621 DOI196615:DOI196621 DYE196615:DYE196621 EIA196615:EIA196621 ERW196615:ERW196621 FBS196615:FBS196621 FLO196615:FLO196621 FVK196615:FVK196621 GFG196615:GFG196621 GPC196615:GPC196621 GYY196615:GYY196621 HIU196615:HIU196621 HSQ196615:HSQ196621 ICM196615:ICM196621 IMI196615:IMI196621 IWE196615:IWE196621 JGA196615:JGA196621 JPW196615:JPW196621 JZS196615:JZS196621 KJO196615:KJO196621 KTK196615:KTK196621 LDG196615:LDG196621 LNC196615:LNC196621 LWY196615:LWY196621 MGU196615:MGU196621 MQQ196615:MQQ196621 NAM196615:NAM196621 NKI196615:NKI196621 NUE196615:NUE196621 OEA196615:OEA196621 ONW196615:ONW196621 OXS196615:OXS196621 PHO196615:PHO196621 PRK196615:PRK196621 QBG196615:QBG196621 QLC196615:QLC196621 QUY196615:QUY196621 REU196615:REU196621 ROQ196615:ROQ196621 RYM196615:RYM196621 SII196615:SII196621 SSE196615:SSE196621 TCA196615:TCA196621 TLW196615:TLW196621 TVS196615:TVS196621 UFO196615:UFO196621 UPK196615:UPK196621 UZG196615:UZG196621 VJC196615:VJC196621 VSY196615:VSY196621 WCU196615:WCU196621 WMQ196615:WMQ196621 WWM196615:WWM196621 AE262151:AE262157 KA262151:KA262157 TW262151:TW262157 ADS262151:ADS262157 ANO262151:ANO262157 AXK262151:AXK262157 BHG262151:BHG262157 BRC262151:BRC262157 CAY262151:CAY262157 CKU262151:CKU262157 CUQ262151:CUQ262157 DEM262151:DEM262157 DOI262151:DOI262157 DYE262151:DYE262157 EIA262151:EIA262157 ERW262151:ERW262157 FBS262151:FBS262157 FLO262151:FLO262157 FVK262151:FVK262157 GFG262151:GFG262157 GPC262151:GPC262157 GYY262151:GYY262157 HIU262151:HIU262157 HSQ262151:HSQ262157 ICM262151:ICM262157 IMI262151:IMI262157 IWE262151:IWE262157 JGA262151:JGA262157 JPW262151:JPW262157 JZS262151:JZS262157 KJO262151:KJO262157 KTK262151:KTK262157 LDG262151:LDG262157 LNC262151:LNC262157 LWY262151:LWY262157 MGU262151:MGU262157 MQQ262151:MQQ262157 NAM262151:NAM262157 NKI262151:NKI262157 NUE262151:NUE262157 OEA262151:OEA262157 ONW262151:ONW262157 OXS262151:OXS262157 PHO262151:PHO262157 PRK262151:PRK262157 QBG262151:QBG262157 QLC262151:QLC262157 QUY262151:QUY262157 REU262151:REU262157 ROQ262151:ROQ262157 RYM262151:RYM262157 SII262151:SII262157 SSE262151:SSE262157 TCA262151:TCA262157 TLW262151:TLW262157 TVS262151:TVS262157 UFO262151:UFO262157 UPK262151:UPK262157 UZG262151:UZG262157 VJC262151:VJC262157 VSY262151:VSY262157 WCU262151:WCU262157 WMQ262151:WMQ262157 WWM262151:WWM262157 AE327687:AE327693 KA327687:KA327693 TW327687:TW327693 ADS327687:ADS327693 ANO327687:ANO327693 AXK327687:AXK327693 BHG327687:BHG327693 BRC327687:BRC327693 CAY327687:CAY327693 CKU327687:CKU327693 CUQ327687:CUQ327693 DEM327687:DEM327693 DOI327687:DOI327693 DYE327687:DYE327693 EIA327687:EIA327693 ERW327687:ERW327693 FBS327687:FBS327693 FLO327687:FLO327693 FVK327687:FVK327693 GFG327687:GFG327693 GPC327687:GPC327693 GYY327687:GYY327693 HIU327687:HIU327693 HSQ327687:HSQ327693 ICM327687:ICM327693 IMI327687:IMI327693 IWE327687:IWE327693 JGA327687:JGA327693 JPW327687:JPW327693 JZS327687:JZS327693 KJO327687:KJO327693 KTK327687:KTK327693 LDG327687:LDG327693 LNC327687:LNC327693 LWY327687:LWY327693 MGU327687:MGU327693 MQQ327687:MQQ327693 NAM327687:NAM327693 NKI327687:NKI327693 NUE327687:NUE327693 OEA327687:OEA327693 ONW327687:ONW327693 OXS327687:OXS327693 PHO327687:PHO327693 PRK327687:PRK327693 QBG327687:QBG327693 QLC327687:QLC327693 QUY327687:QUY327693 REU327687:REU327693 ROQ327687:ROQ327693 RYM327687:RYM327693 SII327687:SII327693 SSE327687:SSE327693 TCA327687:TCA327693 TLW327687:TLW327693 TVS327687:TVS327693 UFO327687:UFO327693 UPK327687:UPK327693 UZG327687:UZG327693 VJC327687:VJC327693 VSY327687:VSY327693 WCU327687:WCU327693 WMQ327687:WMQ327693 WWM327687:WWM327693 AE393223:AE393229 KA393223:KA393229 TW393223:TW393229 ADS393223:ADS393229 ANO393223:ANO393229 AXK393223:AXK393229 BHG393223:BHG393229 BRC393223:BRC393229 CAY393223:CAY393229 CKU393223:CKU393229 CUQ393223:CUQ393229 DEM393223:DEM393229 DOI393223:DOI393229 DYE393223:DYE393229 EIA393223:EIA393229 ERW393223:ERW393229 FBS393223:FBS393229 FLO393223:FLO393229 FVK393223:FVK393229 GFG393223:GFG393229 GPC393223:GPC393229 GYY393223:GYY393229 HIU393223:HIU393229 HSQ393223:HSQ393229 ICM393223:ICM393229 IMI393223:IMI393229 IWE393223:IWE393229 JGA393223:JGA393229 JPW393223:JPW393229 JZS393223:JZS393229 KJO393223:KJO393229 KTK393223:KTK393229 LDG393223:LDG393229 LNC393223:LNC393229 LWY393223:LWY393229 MGU393223:MGU393229 MQQ393223:MQQ393229 NAM393223:NAM393229 NKI393223:NKI393229 NUE393223:NUE393229 OEA393223:OEA393229 ONW393223:ONW393229 OXS393223:OXS393229 PHO393223:PHO393229 PRK393223:PRK393229 QBG393223:QBG393229 QLC393223:QLC393229 QUY393223:QUY393229 REU393223:REU393229 ROQ393223:ROQ393229 RYM393223:RYM393229 SII393223:SII393229 SSE393223:SSE393229 TCA393223:TCA393229 TLW393223:TLW393229 TVS393223:TVS393229 UFO393223:UFO393229 UPK393223:UPK393229 UZG393223:UZG393229 VJC393223:VJC393229 VSY393223:VSY393229 WCU393223:WCU393229 WMQ393223:WMQ393229 WWM393223:WWM393229 AE458759:AE458765 KA458759:KA458765 TW458759:TW458765 ADS458759:ADS458765 ANO458759:ANO458765 AXK458759:AXK458765 BHG458759:BHG458765 BRC458759:BRC458765 CAY458759:CAY458765 CKU458759:CKU458765 CUQ458759:CUQ458765 DEM458759:DEM458765 DOI458759:DOI458765 DYE458759:DYE458765 EIA458759:EIA458765 ERW458759:ERW458765 FBS458759:FBS458765 FLO458759:FLO458765 FVK458759:FVK458765 GFG458759:GFG458765 GPC458759:GPC458765 GYY458759:GYY458765 HIU458759:HIU458765 HSQ458759:HSQ458765 ICM458759:ICM458765 IMI458759:IMI458765 IWE458759:IWE458765 JGA458759:JGA458765 JPW458759:JPW458765 JZS458759:JZS458765 KJO458759:KJO458765 KTK458759:KTK458765 LDG458759:LDG458765 LNC458759:LNC458765 LWY458759:LWY458765 MGU458759:MGU458765 MQQ458759:MQQ458765 NAM458759:NAM458765 NKI458759:NKI458765 NUE458759:NUE458765 OEA458759:OEA458765 ONW458759:ONW458765 OXS458759:OXS458765 PHO458759:PHO458765 PRK458759:PRK458765 QBG458759:QBG458765 QLC458759:QLC458765 QUY458759:QUY458765 REU458759:REU458765 ROQ458759:ROQ458765 RYM458759:RYM458765 SII458759:SII458765 SSE458759:SSE458765 TCA458759:TCA458765 TLW458759:TLW458765 TVS458759:TVS458765 UFO458759:UFO458765 UPK458759:UPK458765 UZG458759:UZG458765 VJC458759:VJC458765 VSY458759:VSY458765 WCU458759:WCU458765 WMQ458759:WMQ458765 WWM458759:WWM458765 AE524295:AE524301 KA524295:KA524301 TW524295:TW524301 ADS524295:ADS524301 ANO524295:ANO524301 AXK524295:AXK524301 BHG524295:BHG524301 BRC524295:BRC524301 CAY524295:CAY524301 CKU524295:CKU524301 CUQ524295:CUQ524301 DEM524295:DEM524301 DOI524295:DOI524301 DYE524295:DYE524301 EIA524295:EIA524301 ERW524295:ERW524301 FBS524295:FBS524301 FLO524295:FLO524301 FVK524295:FVK524301 GFG524295:GFG524301 GPC524295:GPC524301 GYY524295:GYY524301 HIU524295:HIU524301 HSQ524295:HSQ524301 ICM524295:ICM524301 IMI524295:IMI524301 IWE524295:IWE524301 JGA524295:JGA524301 JPW524295:JPW524301 JZS524295:JZS524301 KJO524295:KJO524301 KTK524295:KTK524301 LDG524295:LDG524301 LNC524295:LNC524301 LWY524295:LWY524301 MGU524295:MGU524301 MQQ524295:MQQ524301 NAM524295:NAM524301 NKI524295:NKI524301 NUE524295:NUE524301 OEA524295:OEA524301 ONW524295:ONW524301 OXS524295:OXS524301 PHO524295:PHO524301 PRK524295:PRK524301 QBG524295:QBG524301 QLC524295:QLC524301 QUY524295:QUY524301 REU524295:REU524301 ROQ524295:ROQ524301 RYM524295:RYM524301 SII524295:SII524301 SSE524295:SSE524301 TCA524295:TCA524301 TLW524295:TLW524301 TVS524295:TVS524301 UFO524295:UFO524301 UPK524295:UPK524301 UZG524295:UZG524301 VJC524295:VJC524301 VSY524295:VSY524301 WCU524295:WCU524301 WMQ524295:WMQ524301 WWM524295:WWM524301 AE589831:AE589837 KA589831:KA589837 TW589831:TW589837 ADS589831:ADS589837 ANO589831:ANO589837 AXK589831:AXK589837 BHG589831:BHG589837 BRC589831:BRC589837 CAY589831:CAY589837 CKU589831:CKU589837 CUQ589831:CUQ589837 DEM589831:DEM589837 DOI589831:DOI589837 DYE589831:DYE589837 EIA589831:EIA589837 ERW589831:ERW589837 FBS589831:FBS589837 FLO589831:FLO589837 FVK589831:FVK589837 GFG589831:GFG589837 GPC589831:GPC589837 GYY589831:GYY589837 HIU589831:HIU589837 HSQ589831:HSQ589837 ICM589831:ICM589837 IMI589831:IMI589837 IWE589831:IWE589837 JGA589831:JGA589837 JPW589831:JPW589837 JZS589831:JZS589837 KJO589831:KJO589837 KTK589831:KTK589837 LDG589831:LDG589837 LNC589831:LNC589837 LWY589831:LWY589837 MGU589831:MGU589837 MQQ589831:MQQ589837 NAM589831:NAM589837 NKI589831:NKI589837 NUE589831:NUE589837 OEA589831:OEA589837 ONW589831:ONW589837 OXS589831:OXS589837 PHO589831:PHO589837 PRK589831:PRK589837 QBG589831:QBG589837 QLC589831:QLC589837 QUY589831:QUY589837 REU589831:REU589837 ROQ589831:ROQ589837 RYM589831:RYM589837 SII589831:SII589837 SSE589831:SSE589837 TCA589831:TCA589837 TLW589831:TLW589837 TVS589831:TVS589837 UFO589831:UFO589837 UPK589831:UPK589837 UZG589831:UZG589837 VJC589831:VJC589837 VSY589831:VSY589837 WCU589831:WCU589837 WMQ589831:WMQ589837 WWM589831:WWM589837 AE655367:AE655373 KA655367:KA655373 TW655367:TW655373 ADS655367:ADS655373 ANO655367:ANO655373 AXK655367:AXK655373 BHG655367:BHG655373 BRC655367:BRC655373 CAY655367:CAY655373 CKU655367:CKU655373 CUQ655367:CUQ655373 DEM655367:DEM655373 DOI655367:DOI655373 DYE655367:DYE655373 EIA655367:EIA655373 ERW655367:ERW655373 FBS655367:FBS655373 FLO655367:FLO655373 FVK655367:FVK655373 GFG655367:GFG655373 GPC655367:GPC655373 GYY655367:GYY655373 HIU655367:HIU655373 HSQ655367:HSQ655373 ICM655367:ICM655373 IMI655367:IMI655373 IWE655367:IWE655373 JGA655367:JGA655373 JPW655367:JPW655373 JZS655367:JZS655373 KJO655367:KJO655373 KTK655367:KTK655373 LDG655367:LDG655373 LNC655367:LNC655373 LWY655367:LWY655373 MGU655367:MGU655373 MQQ655367:MQQ655373 NAM655367:NAM655373 NKI655367:NKI655373 NUE655367:NUE655373 OEA655367:OEA655373 ONW655367:ONW655373 OXS655367:OXS655373 PHO655367:PHO655373 PRK655367:PRK655373 QBG655367:QBG655373 QLC655367:QLC655373 QUY655367:QUY655373 REU655367:REU655373 ROQ655367:ROQ655373 RYM655367:RYM655373 SII655367:SII655373 SSE655367:SSE655373 TCA655367:TCA655373 TLW655367:TLW655373 TVS655367:TVS655373 UFO655367:UFO655373 UPK655367:UPK655373 UZG655367:UZG655373 VJC655367:VJC655373 VSY655367:VSY655373 WCU655367:WCU655373 WMQ655367:WMQ655373 WWM655367:WWM655373 AE720903:AE720909 KA720903:KA720909 TW720903:TW720909 ADS720903:ADS720909 ANO720903:ANO720909 AXK720903:AXK720909 BHG720903:BHG720909 BRC720903:BRC720909 CAY720903:CAY720909 CKU720903:CKU720909 CUQ720903:CUQ720909 DEM720903:DEM720909 DOI720903:DOI720909 DYE720903:DYE720909 EIA720903:EIA720909 ERW720903:ERW720909 FBS720903:FBS720909 FLO720903:FLO720909 FVK720903:FVK720909 GFG720903:GFG720909 GPC720903:GPC720909 GYY720903:GYY720909 HIU720903:HIU720909 HSQ720903:HSQ720909 ICM720903:ICM720909 IMI720903:IMI720909 IWE720903:IWE720909 JGA720903:JGA720909 JPW720903:JPW720909 JZS720903:JZS720909 KJO720903:KJO720909 KTK720903:KTK720909 LDG720903:LDG720909 LNC720903:LNC720909 LWY720903:LWY720909 MGU720903:MGU720909 MQQ720903:MQQ720909 NAM720903:NAM720909 NKI720903:NKI720909 NUE720903:NUE720909 OEA720903:OEA720909 ONW720903:ONW720909 OXS720903:OXS720909 PHO720903:PHO720909 PRK720903:PRK720909 QBG720903:QBG720909 QLC720903:QLC720909 QUY720903:QUY720909 REU720903:REU720909 ROQ720903:ROQ720909 RYM720903:RYM720909 SII720903:SII720909 SSE720903:SSE720909 TCA720903:TCA720909 TLW720903:TLW720909 TVS720903:TVS720909 UFO720903:UFO720909 UPK720903:UPK720909 UZG720903:UZG720909 VJC720903:VJC720909 VSY720903:VSY720909 WCU720903:WCU720909 WMQ720903:WMQ720909 WWM720903:WWM720909 AE786439:AE786445 KA786439:KA786445 TW786439:TW786445 ADS786439:ADS786445 ANO786439:ANO786445 AXK786439:AXK786445 BHG786439:BHG786445 BRC786439:BRC786445 CAY786439:CAY786445 CKU786439:CKU786445 CUQ786439:CUQ786445 DEM786439:DEM786445 DOI786439:DOI786445 DYE786439:DYE786445 EIA786439:EIA786445 ERW786439:ERW786445 FBS786439:FBS786445 FLO786439:FLO786445 FVK786439:FVK786445 GFG786439:GFG786445 GPC786439:GPC786445 GYY786439:GYY786445 HIU786439:HIU786445 HSQ786439:HSQ786445 ICM786439:ICM786445 IMI786439:IMI786445 IWE786439:IWE786445 JGA786439:JGA786445 JPW786439:JPW786445 JZS786439:JZS786445 KJO786439:KJO786445 KTK786439:KTK786445 LDG786439:LDG786445 LNC786439:LNC786445 LWY786439:LWY786445 MGU786439:MGU786445 MQQ786439:MQQ786445 NAM786439:NAM786445 NKI786439:NKI786445 NUE786439:NUE786445 OEA786439:OEA786445 ONW786439:ONW786445 OXS786439:OXS786445 PHO786439:PHO786445 PRK786439:PRK786445 QBG786439:QBG786445 QLC786439:QLC786445 QUY786439:QUY786445 REU786439:REU786445 ROQ786439:ROQ786445 RYM786439:RYM786445 SII786439:SII786445 SSE786439:SSE786445 TCA786439:TCA786445 TLW786439:TLW786445 TVS786439:TVS786445 UFO786439:UFO786445 UPK786439:UPK786445 UZG786439:UZG786445 VJC786439:VJC786445 VSY786439:VSY786445 WCU786439:WCU786445 WMQ786439:WMQ786445 WWM786439:WWM786445 AE851975:AE851981 KA851975:KA851981 TW851975:TW851981 ADS851975:ADS851981 ANO851975:ANO851981 AXK851975:AXK851981 BHG851975:BHG851981 BRC851975:BRC851981 CAY851975:CAY851981 CKU851975:CKU851981 CUQ851975:CUQ851981 DEM851975:DEM851981 DOI851975:DOI851981 DYE851975:DYE851981 EIA851975:EIA851981 ERW851975:ERW851981 FBS851975:FBS851981 FLO851975:FLO851981 FVK851975:FVK851981 GFG851975:GFG851981 GPC851975:GPC851981 GYY851975:GYY851981 HIU851975:HIU851981 HSQ851975:HSQ851981 ICM851975:ICM851981 IMI851975:IMI851981 IWE851975:IWE851981 JGA851975:JGA851981 JPW851975:JPW851981 JZS851975:JZS851981 KJO851975:KJO851981 KTK851975:KTK851981 LDG851975:LDG851981 LNC851975:LNC851981 LWY851975:LWY851981 MGU851975:MGU851981 MQQ851975:MQQ851981 NAM851975:NAM851981 NKI851975:NKI851981 NUE851975:NUE851981 OEA851975:OEA851981 ONW851975:ONW851981 OXS851975:OXS851981 PHO851975:PHO851981 PRK851975:PRK851981 QBG851975:QBG851981 QLC851975:QLC851981 QUY851975:QUY851981 REU851975:REU851981 ROQ851975:ROQ851981 RYM851975:RYM851981 SII851975:SII851981 SSE851975:SSE851981 TCA851975:TCA851981 TLW851975:TLW851981 TVS851975:TVS851981 UFO851975:UFO851981 UPK851975:UPK851981 UZG851975:UZG851981 VJC851975:VJC851981 VSY851975:VSY851981 WCU851975:WCU851981 WMQ851975:WMQ851981 WWM851975:WWM851981 AE917511:AE917517 KA917511:KA917517 TW917511:TW917517 ADS917511:ADS917517 ANO917511:ANO917517 AXK917511:AXK917517 BHG917511:BHG917517 BRC917511:BRC917517 CAY917511:CAY917517 CKU917511:CKU917517 CUQ917511:CUQ917517 DEM917511:DEM917517 DOI917511:DOI917517 DYE917511:DYE917517 EIA917511:EIA917517 ERW917511:ERW917517 FBS917511:FBS917517 FLO917511:FLO917517 FVK917511:FVK917517 GFG917511:GFG917517 GPC917511:GPC917517 GYY917511:GYY917517 HIU917511:HIU917517 HSQ917511:HSQ917517 ICM917511:ICM917517 IMI917511:IMI917517 IWE917511:IWE917517 JGA917511:JGA917517 JPW917511:JPW917517 JZS917511:JZS917517 KJO917511:KJO917517 KTK917511:KTK917517 LDG917511:LDG917517 LNC917511:LNC917517 LWY917511:LWY917517 MGU917511:MGU917517 MQQ917511:MQQ917517 NAM917511:NAM917517 NKI917511:NKI917517 NUE917511:NUE917517 OEA917511:OEA917517 ONW917511:ONW917517 OXS917511:OXS917517 PHO917511:PHO917517 PRK917511:PRK917517 QBG917511:QBG917517 QLC917511:QLC917517 QUY917511:QUY917517 REU917511:REU917517 ROQ917511:ROQ917517 RYM917511:RYM917517 SII917511:SII917517 SSE917511:SSE917517 TCA917511:TCA917517 TLW917511:TLW917517 TVS917511:TVS917517 UFO917511:UFO917517 UPK917511:UPK917517 UZG917511:UZG917517 VJC917511:VJC917517 VSY917511:VSY917517 WCU917511:WCU917517 WMQ917511:WMQ917517 WWM917511:WWM917517 AE983047:AE983053 KA983047:KA983053 TW983047:TW983053 ADS983047:ADS983053 ANO983047:ANO983053 AXK983047:AXK983053 BHG983047:BHG983053 BRC983047:BRC983053 CAY983047:CAY983053 CKU983047:CKU983053 CUQ983047:CUQ983053 DEM983047:DEM983053 DOI983047:DOI983053 DYE983047:DYE983053 EIA983047:EIA983053 ERW983047:ERW983053 FBS983047:FBS983053 FLO983047:FLO983053 FVK983047:FVK983053 GFG983047:GFG983053 GPC983047:GPC983053 GYY983047:GYY983053 HIU983047:HIU983053 HSQ983047:HSQ983053 ICM983047:ICM983053 IMI983047:IMI983053 IWE983047:IWE983053 JGA983047:JGA983053 JPW983047:JPW983053 JZS983047:JZS983053 KJO983047:KJO983053 KTK983047:KTK983053 LDG983047:LDG983053 LNC983047:LNC983053 LWY983047:LWY983053 MGU983047:MGU983053 MQQ983047:MQQ983053 NAM983047:NAM983053 NKI983047:NKI983053 NUE983047:NUE983053 OEA983047:OEA983053 ONW983047:ONW983053 OXS983047:OXS983053 PHO983047:PHO983053 PRK983047:PRK983053 QBG983047:QBG983053 QLC983047:QLC983053 QUY983047:QUY983053 REU983047:REU983053 ROQ983047:ROQ983053 RYM983047:RYM983053 SII983047:SII983053 SSE983047:SSE983053 TCA983047:TCA983053 TLW983047:TLW983053 TVS983047:TVS983053 UFO983047:UFO983053 UPK983047:UPK983053 UZG983047:UZG983053 VJC983047:VJC983053 VSY983047:VSY983053 WCU983047:WCU983053 WMQ983047:WMQ983053 WWM983047:WWM983053 WCU8:WCU13 VSY8:VSY13 VJC8:VJC13 UZG8:UZG13 UPK8:UPK13 UFO8:UFO13 TVS8:TVS13 TLW8:TLW13 TCA8:TCA13 SSE8:SSE13 SII8:SII13 RYM8:RYM13 ROQ8:ROQ13 REU8:REU13 QUY8:QUY13 QLC8:QLC13 QBG8:QBG13 PRK8:PRK13 PHO8:PHO13 OXS8:OXS13 ONW8:ONW13 OEA8:OEA13 NUE8:NUE13 NKI8:NKI13 NAM8:NAM13 MQQ8:MQQ13 MGU8:MGU13 LWY8:LWY13 LNC8:LNC13 LDG8:LDG13 KTK8:KTK13 KJO8:KJO13 JZS8:JZS13 JPW8:JPW13 JGA8:JGA13 IWE8:IWE13 IMI8:IMI13 ICM8:ICM13 HSQ8:HSQ13 HIU8:HIU13 GYY8:GYY13 GPC8:GPC13 GFG8:GFG13 FVK8:FVK13 FLO8:FLO13 FBS8:FBS13 ERW8:ERW13 EIA8:EIA13 DYE8:DYE13 DOI8:DOI13 DEM8:DEM13 CUQ8:CUQ13 CKU8:CKU13 CAY8:CAY13 BRC8:BRC13 BHG8:BHG13 AXK8:AXK13 ANO8:ANO13 ADS8:ADS13 TW8:TW13 KA8:KA13 WMQ8:WMQ13 WWM8:WWM13 AE8:AE13">
      <formula1>$AH$1:$AH$4</formula1>
    </dataValidation>
    <dataValidation type="date" showInputMessage="1" showErrorMessage="1" error="Debe Digitar una Fecha Valida o Verificar la Fecha Inicial" sqref="AC65543 JY65543 TU65543 ADQ65543 ANM65543 AXI65543 BHE65543 BRA65543 CAW65543 CKS65543 CUO65543 DEK65543 DOG65543 DYC65543 EHY65543 ERU65543 FBQ65543 FLM65543 FVI65543 GFE65543 GPA65543 GYW65543 HIS65543 HSO65543 ICK65543 IMG65543 IWC65543 JFY65543 JPU65543 JZQ65543 KJM65543 KTI65543 LDE65543 LNA65543 LWW65543 MGS65543 MQO65543 NAK65543 NKG65543 NUC65543 ODY65543 ONU65543 OXQ65543 PHM65543 PRI65543 QBE65543 QLA65543 QUW65543 RES65543 ROO65543 RYK65543 SIG65543 SSC65543 TBY65543 TLU65543 TVQ65543 UFM65543 UPI65543 UZE65543 VJA65543 VSW65543 WCS65543 WMO65543 WWK65543 AC131079 JY131079 TU131079 ADQ131079 ANM131079 AXI131079 BHE131079 BRA131079 CAW131079 CKS131079 CUO131079 DEK131079 DOG131079 DYC131079 EHY131079 ERU131079 FBQ131079 FLM131079 FVI131079 GFE131079 GPA131079 GYW131079 HIS131079 HSO131079 ICK131079 IMG131079 IWC131079 JFY131079 JPU131079 JZQ131079 KJM131079 KTI131079 LDE131079 LNA131079 LWW131079 MGS131079 MQO131079 NAK131079 NKG131079 NUC131079 ODY131079 ONU131079 OXQ131079 PHM131079 PRI131079 QBE131079 QLA131079 QUW131079 RES131079 ROO131079 RYK131079 SIG131079 SSC131079 TBY131079 TLU131079 TVQ131079 UFM131079 UPI131079 UZE131079 VJA131079 VSW131079 WCS131079 WMO131079 WWK131079 AC196615 JY196615 TU196615 ADQ196615 ANM196615 AXI196615 BHE196615 BRA196615 CAW196615 CKS196615 CUO196615 DEK196615 DOG196615 DYC196615 EHY196615 ERU196615 FBQ196615 FLM196615 FVI196615 GFE196615 GPA196615 GYW196615 HIS196615 HSO196615 ICK196615 IMG196615 IWC196615 JFY196615 JPU196615 JZQ196615 KJM196615 KTI196615 LDE196615 LNA196615 LWW196615 MGS196615 MQO196615 NAK196615 NKG196615 NUC196615 ODY196615 ONU196615 OXQ196615 PHM196615 PRI196615 QBE196615 QLA196615 QUW196615 RES196615 ROO196615 RYK196615 SIG196615 SSC196615 TBY196615 TLU196615 TVQ196615 UFM196615 UPI196615 UZE196615 VJA196615 VSW196615 WCS196615 WMO196615 WWK196615 AC262151 JY262151 TU262151 ADQ262151 ANM262151 AXI262151 BHE262151 BRA262151 CAW262151 CKS262151 CUO262151 DEK262151 DOG262151 DYC262151 EHY262151 ERU262151 FBQ262151 FLM262151 FVI262151 GFE262151 GPA262151 GYW262151 HIS262151 HSO262151 ICK262151 IMG262151 IWC262151 JFY262151 JPU262151 JZQ262151 KJM262151 KTI262151 LDE262151 LNA262151 LWW262151 MGS262151 MQO262151 NAK262151 NKG262151 NUC262151 ODY262151 ONU262151 OXQ262151 PHM262151 PRI262151 QBE262151 QLA262151 QUW262151 RES262151 ROO262151 RYK262151 SIG262151 SSC262151 TBY262151 TLU262151 TVQ262151 UFM262151 UPI262151 UZE262151 VJA262151 VSW262151 WCS262151 WMO262151 WWK262151 AC327687 JY327687 TU327687 ADQ327687 ANM327687 AXI327687 BHE327687 BRA327687 CAW327687 CKS327687 CUO327687 DEK327687 DOG327687 DYC327687 EHY327687 ERU327687 FBQ327687 FLM327687 FVI327687 GFE327687 GPA327687 GYW327687 HIS327687 HSO327687 ICK327687 IMG327687 IWC327687 JFY327687 JPU327687 JZQ327687 KJM327687 KTI327687 LDE327687 LNA327687 LWW327687 MGS327687 MQO327687 NAK327687 NKG327687 NUC327687 ODY327687 ONU327687 OXQ327687 PHM327687 PRI327687 QBE327687 QLA327687 QUW327687 RES327687 ROO327687 RYK327687 SIG327687 SSC327687 TBY327687 TLU327687 TVQ327687 UFM327687 UPI327687 UZE327687 VJA327687 VSW327687 WCS327687 WMO327687 WWK327687 AC393223 JY393223 TU393223 ADQ393223 ANM393223 AXI393223 BHE393223 BRA393223 CAW393223 CKS393223 CUO393223 DEK393223 DOG393223 DYC393223 EHY393223 ERU393223 FBQ393223 FLM393223 FVI393223 GFE393223 GPA393223 GYW393223 HIS393223 HSO393223 ICK393223 IMG393223 IWC393223 JFY393223 JPU393223 JZQ393223 KJM393223 KTI393223 LDE393223 LNA393223 LWW393223 MGS393223 MQO393223 NAK393223 NKG393223 NUC393223 ODY393223 ONU393223 OXQ393223 PHM393223 PRI393223 QBE393223 QLA393223 QUW393223 RES393223 ROO393223 RYK393223 SIG393223 SSC393223 TBY393223 TLU393223 TVQ393223 UFM393223 UPI393223 UZE393223 VJA393223 VSW393223 WCS393223 WMO393223 WWK393223 AC458759 JY458759 TU458759 ADQ458759 ANM458759 AXI458759 BHE458759 BRA458759 CAW458759 CKS458759 CUO458759 DEK458759 DOG458759 DYC458759 EHY458759 ERU458759 FBQ458759 FLM458759 FVI458759 GFE458759 GPA458759 GYW458759 HIS458759 HSO458759 ICK458759 IMG458759 IWC458759 JFY458759 JPU458759 JZQ458759 KJM458759 KTI458759 LDE458759 LNA458759 LWW458759 MGS458759 MQO458759 NAK458759 NKG458759 NUC458759 ODY458759 ONU458759 OXQ458759 PHM458759 PRI458759 QBE458759 QLA458759 QUW458759 RES458759 ROO458759 RYK458759 SIG458759 SSC458759 TBY458759 TLU458759 TVQ458759 UFM458759 UPI458759 UZE458759 VJA458759 VSW458759 WCS458759 WMO458759 WWK458759 AC524295 JY524295 TU524295 ADQ524295 ANM524295 AXI524295 BHE524295 BRA524295 CAW524295 CKS524295 CUO524295 DEK524295 DOG524295 DYC524295 EHY524295 ERU524295 FBQ524295 FLM524295 FVI524295 GFE524295 GPA524295 GYW524295 HIS524295 HSO524295 ICK524295 IMG524295 IWC524295 JFY524295 JPU524295 JZQ524295 KJM524295 KTI524295 LDE524295 LNA524295 LWW524295 MGS524295 MQO524295 NAK524295 NKG524295 NUC524295 ODY524295 ONU524295 OXQ524295 PHM524295 PRI524295 QBE524295 QLA524295 QUW524295 RES524295 ROO524295 RYK524295 SIG524295 SSC524295 TBY524295 TLU524295 TVQ524295 UFM524295 UPI524295 UZE524295 VJA524295 VSW524295 WCS524295 WMO524295 WWK524295 AC589831 JY589831 TU589831 ADQ589831 ANM589831 AXI589831 BHE589831 BRA589831 CAW589831 CKS589831 CUO589831 DEK589831 DOG589831 DYC589831 EHY589831 ERU589831 FBQ589831 FLM589831 FVI589831 GFE589831 GPA589831 GYW589831 HIS589831 HSO589831 ICK589831 IMG589831 IWC589831 JFY589831 JPU589831 JZQ589831 KJM589831 KTI589831 LDE589831 LNA589831 LWW589831 MGS589831 MQO589831 NAK589831 NKG589831 NUC589831 ODY589831 ONU589831 OXQ589831 PHM589831 PRI589831 QBE589831 QLA589831 QUW589831 RES589831 ROO589831 RYK589831 SIG589831 SSC589831 TBY589831 TLU589831 TVQ589831 UFM589831 UPI589831 UZE589831 VJA589831 VSW589831 WCS589831 WMO589831 WWK589831 AC655367 JY655367 TU655367 ADQ655367 ANM655367 AXI655367 BHE655367 BRA655367 CAW655367 CKS655367 CUO655367 DEK655367 DOG655367 DYC655367 EHY655367 ERU655367 FBQ655367 FLM655367 FVI655367 GFE655367 GPA655367 GYW655367 HIS655367 HSO655367 ICK655367 IMG655367 IWC655367 JFY655367 JPU655367 JZQ655367 KJM655367 KTI655367 LDE655367 LNA655367 LWW655367 MGS655367 MQO655367 NAK655367 NKG655367 NUC655367 ODY655367 ONU655367 OXQ655367 PHM655367 PRI655367 QBE655367 QLA655367 QUW655367 RES655367 ROO655367 RYK655367 SIG655367 SSC655367 TBY655367 TLU655367 TVQ655367 UFM655367 UPI655367 UZE655367 VJA655367 VSW655367 WCS655367 WMO655367 WWK655367 AC720903 JY720903 TU720903 ADQ720903 ANM720903 AXI720903 BHE720903 BRA720903 CAW720903 CKS720903 CUO720903 DEK720903 DOG720903 DYC720903 EHY720903 ERU720903 FBQ720903 FLM720903 FVI720903 GFE720903 GPA720903 GYW720903 HIS720903 HSO720903 ICK720903 IMG720903 IWC720903 JFY720903 JPU720903 JZQ720903 KJM720903 KTI720903 LDE720903 LNA720903 LWW720903 MGS720903 MQO720903 NAK720903 NKG720903 NUC720903 ODY720903 ONU720903 OXQ720903 PHM720903 PRI720903 QBE720903 QLA720903 QUW720903 RES720903 ROO720903 RYK720903 SIG720903 SSC720903 TBY720903 TLU720903 TVQ720903 UFM720903 UPI720903 UZE720903 VJA720903 VSW720903 WCS720903 WMO720903 WWK720903 AC786439 JY786439 TU786439 ADQ786439 ANM786439 AXI786439 BHE786439 BRA786439 CAW786439 CKS786439 CUO786439 DEK786439 DOG786439 DYC786439 EHY786439 ERU786439 FBQ786439 FLM786439 FVI786439 GFE786439 GPA786439 GYW786439 HIS786439 HSO786439 ICK786439 IMG786439 IWC786439 JFY786439 JPU786439 JZQ786439 KJM786439 KTI786439 LDE786439 LNA786439 LWW786439 MGS786439 MQO786439 NAK786439 NKG786439 NUC786439 ODY786439 ONU786439 OXQ786439 PHM786439 PRI786439 QBE786439 QLA786439 QUW786439 RES786439 ROO786439 RYK786439 SIG786439 SSC786439 TBY786439 TLU786439 TVQ786439 UFM786439 UPI786439 UZE786439 VJA786439 VSW786439 WCS786439 WMO786439 WWK786439 AC851975 JY851975 TU851975 ADQ851975 ANM851975 AXI851975 BHE851975 BRA851975 CAW851975 CKS851975 CUO851975 DEK851975 DOG851975 DYC851975 EHY851975 ERU851975 FBQ851975 FLM851975 FVI851975 GFE851975 GPA851975 GYW851975 HIS851975 HSO851975 ICK851975 IMG851975 IWC851975 JFY851975 JPU851975 JZQ851975 KJM851975 KTI851975 LDE851975 LNA851975 LWW851975 MGS851975 MQO851975 NAK851975 NKG851975 NUC851975 ODY851975 ONU851975 OXQ851975 PHM851975 PRI851975 QBE851975 QLA851975 QUW851975 RES851975 ROO851975 RYK851975 SIG851975 SSC851975 TBY851975 TLU851975 TVQ851975 UFM851975 UPI851975 UZE851975 VJA851975 VSW851975 WCS851975 WMO851975 WWK851975 AC917511 JY917511 TU917511 ADQ917511 ANM917511 AXI917511 BHE917511 BRA917511 CAW917511 CKS917511 CUO917511 DEK917511 DOG917511 DYC917511 EHY917511 ERU917511 FBQ917511 FLM917511 FVI917511 GFE917511 GPA917511 GYW917511 HIS917511 HSO917511 ICK917511 IMG917511 IWC917511 JFY917511 JPU917511 JZQ917511 KJM917511 KTI917511 LDE917511 LNA917511 LWW917511 MGS917511 MQO917511 NAK917511 NKG917511 NUC917511 ODY917511 ONU917511 OXQ917511 PHM917511 PRI917511 QBE917511 QLA917511 QUW917511 RES917511 ROO917511 RYK917511 SIG917511 SSC917511 TBY917511 TLU917511 TVQ917511 UFM917511 UPI917511 UZE917511 VJA917511 VSW917511 WCS917511 WMO917511 WWK917511 AC983047 JY983047 TU983047 ADQ983047 ANM983047 AXI983047 BHE983047 BRA983047 CAW983047 CKS983047 CUO983047 DEK983047 DOG983047 DYC983047 EHY983047 ERU983047 FBQ983047 FLM983047 FVI983047 GFE983047 GPA983047 GYW983047 HIS983047 HSO983047 ICK983047 IMG983047 IWC983047 JFY983047 JPU983047 JZQ983047 KJM983047 KTI983047 LDE983047 LNA983047 LWW983047 MGS983047 MQO983047 NAK983047 NKG983047 NUC983047 ODY983047 ONU983047 OXQ983047 PHM983047 PRI983047 QBE983047 QLA983047 QUW983047 RES983047 ROO983047 RYK983047 SIG983047 SSC983047 TBY983047 TLU983047 TVQ983047 UFM983047 UPI983047 UZE983047 VJA983047 VSW983047 WCS983047 WMO983047 WWK983047 AC65545:AC65549 JY65545:JY65549 TU65545:TU65549 ADQ65545:ADQ65549 ANM65545:ANM65549 AXI65545:AXI65549 BHE65545:BHE65549 BRA65545:BRA65549 CAW65545:CAW65549 CKS65545:CKS65549 CUO65545:CUO65549 DEK65545:DEK65549 DOG65545:DOG65549 DYC65545:DYC65549 EHY65545:EHY65549 ERU65545:ERU65549 FBQ65545:FBQ65549 FLM65545:FLM65549 FVI65545:FVI65549 GFE65545:GFE65549 GPA65545:GPA65549 GYW65545:GYW65549 HIS65545:HIS65549 HSO65545:HSO65549 ICK65545:ICK65549 IMG65545:IMG65549 IWC65545:IWC65549 JFY65545:JFY65549 JPU65545:JPU65549 JZQ65545:JZQ65549 KJM65545:KJM65549 KTI65545:KTI65549 LDE65545:LDE65549 LNA65545:LNA65549 LWW65545:LWW65549 MGS65545:MGS65549 MQO65545:MQO65549 NAK65545:NAK65549 NKG65545:NKG65549 NUC65545:NUC65549 ODY65545:ODY65549 ONU65545:ONU65549 OXQ65545:OXQ65549 PHM65545:PHM65549 PRI65545:PRI65549 QBE65545:QBE65549 QLA65545:QLA65549 QUW65545:QUW65549 RES65545:RES65549 ROO65545:ROO65549 RYK65545:RYK65549 SIG65545:SIG65549 SSC65545:SSC65549 TBY65545:TBY65549 TLU65545:TLU65549 TVQ65545:TVQ65549 UFM65545:UFM65549 UPI65545:UPI65549 UZE65545:UZE65549 VJA65545:VJA65549 VSW65545:VSW65549 WCS65545:WCS65549 WMO65545:WMO65549 WWK65545:WWK65549 AC131081:AC131085 JY131081:JY131085 TU131081:TU131085 ADQ131081:ADQ131085 ANM131081:ANM131085 AXI131081:AXI131085 BHE131081:BHE131085 BRA131081:BRA131085 CAW131081:CAW131085 CKS131081:CKS131085 CUO131081:CUO131085 DEK131081:DEK131085 DOG131081:DOG131085 DYC131081:DYC131085 EHY131081:EHY131085 ERU131081:ERU131085 FBQ131081:FBQ131085 FLM131081:FLM131085 FVI131081:FVI131085 GFE131081:GFE131085 GPA131081:GPA131085 GYW131081:GYW131085 HIS131081:HIS131085 HSO131081:HSO131085 ICK131081:ICK131085 IMG131081:IMG131085 IWC131081:IWC131085 JFY131081:JFY131085 JPU131081:JPU131085 JZQ131081:JZQ131085 KJM131081:KJM131085 KTI131081:KTI131085 LDE131081:LDE131085 LNA131081:LNA131085 LWW131081:LWW131085 MGS131081:MGS131085 MQO131081:MQO131085 NAK131081:NAK131085 NKG131081:NKG131085 NUC131081:NUC131085 ODY131081:ODY131085 ONU131081:ONU131085 OXQ131081:OXQ131085 PHM131081:PHM131085 PRI131081:PRI131085 QBE131081:QBE131085 QLA131081:QLA131085 QUW131081:QUW131085 RES131081:RES131085 ROO131081:ROO131085 RYK131081:RYK131085 SIG131081:SIG131085 SSC131081:SSC131085 TBY131081:TBY131085 TLU131081:TLU131085 TVQ131081:TVQ131085 UFM131081:UFM131085 UPI131081:UPI131085 UZE131081:UZE131085 VJA131081:VJA131085 VSW131081:VSW131085 WCS131081:WCS131085 WMO131081:WMO131085 WWK131081:WWK131085 AC196617:AC196621 JY196617:JY196621 TU196617:TU196621 ADQ196617:ADQ196621 ANM196617:ANM196621 AXI196617:AXI196621 BHE196617:BHE196621 BRA196617:BRA196621 CAW196617:CAW196621 CKS196617:CKS196621 CUO196617:CUO196621 DEK196617:DEK196621 DOG196617:DOG196621 DYC196617:DYC196621 EHY196617:EHY196621 ERU196617:ERU196621 FBQ196617:FBQ196621 FLM196617:FLM196621 FVI196617:FVI196621 GFE196617:GFE196621 GPA196617:GPA196621 GYW196617:GYW196621 HIS196617:HIS196621 HSO196617:HSO196621 ICK196617:ICK196621 IMG196617:IMG196621 IWC196617:IWC196621 JFY196617:JFY196621 JPU196617:JPU196621 JZQ196617:JZQ196621 KJM196617:KJM196621 KTI196617:KTI196621 LDE196617:LDE196621 LNA196617:LNA196621 LWW196617:LWW196621 MGS196617:MGS196621 MQO196617:MQO196621 NAK196617:NAK196621 NKG196617:NKG196621 NUC196617:NUC196621 ODY196617:ODY196621 ONU196617:ONU196621 OXQ196617:OXQ196621 PHM196617:PHM196621 PRI196617:PRI196621 QBE196617:QBE196621 QLA196617:QLA196621 QUW196617:QUW196621 RES196617:RES196621 ROO196617:ROO196621 RYK196617:RYK196621 SIG196617:SIG196621 SSC196617:SSC196621 TBY196617:TBY196621 TLU196617:TLU196621 TVQ196617:TVQ196621 UFM196617:UFM196621 UPI196617:UPI196621 UZE196617:UZE196621 VJA196617:VJA196621 VSW196617:VSW196621 WCS196617:WCS196621 WMO196617:WMO196621 WWK196617:WWK196621 AC262153:AC262157 JY262153:JY262157 TU262153:TU262157 ADQ262153:ADQ262157 ANM262153:ANM262157 AXI262153:AXI262157 BHE262153:BHE262157 BRA262153:BRA262157 CAW262153:CAW262157 CKS262153:CKS262157 CUO262153:CUO262157 DEK262153:DEK262157 DOG262153:DOG262157 DYC262153:DYC262157 EHY262153:EHY262157 ERU262153:ERU262157 FBQ262153:FBQ262157 FLM262153:FLM262157 FVI262153:FVI262157 GFE262153:GFE262157 GPA262153:GPA262157 GYW262153:GYW262157 HIS262153:HIS262157 HSO262153:HSO262157 ICK262153:ICK262157 IMG262153:IMG262157 IWC262153:IWC262157 JFY262153:JFY262157 JPU262153:JPU262157 JZQ262153:JZQ262157 KJM262153:KJM262157 KTI262153:KTI262157 LDE262153:LDE262157 LNA262153:LNA262157 LWW262153:LWW262157 MGS262153:MGS262157 MQO262153:MQO262157 NAK262153:NAK262157 NKG262153:NKG262157 NUC262153:NUC262157 ODY262153:ODY262157 ONU262153:ONU262157 OXQ262153:OXQ262157 PHM262153:PHM262157 PRI262153:PRI262157 QBE262153:QBE262157 QLA262153:QLA262157 QUW262153:QUW262157 RES262153:RES262157 ROO262153:ROO262157 RYK262153:RYK262157 SIG262153:SIG262157 SSC262153:SSC262157 TBY262153:TBY262157 TLU262153:TLU262157 TVQ262153:TVQ262157 UFM262153:UFM262157 UPI262153:UPI262157 UZE262153:UZE262157 VJA262153:VJA262157 VSW262153:VSW262157 WCS262153:WCS262157 WMO262153:WMO262157 WWK262153:WWK262157 AC327689:AC327693 JY327689:JY327693 TU327689:TU327693 ADQ327689:ADQ327693 ANM327689:ANM327693 AXI327689:AXI327693 BHE327689:BHE327693 BRA327689:BRA327693 CAW327689:CAW327693 CKS327689:CKS327693 CUO327689:CUO327693 DEK327689:DEK327693 DOG327689:DOG327693 DYC327689:DYC327693 EHY327689:EHY327693 ERU327689:ERU327693 FBQ327689:FBQ327693 FLM327689:FLM327693 FVI327689:FVI327693 GFE327689:GFE327693 GPA327689:GPA327693 GYW327689:GYW327693 HIS327689:HIS327693 HSO327689:HSO327693 ICK327689:ICK327693 IMG327689:IMG327693 IWC327689:IWC327693 JFY327689:JFY327693 JPU327689:JPU327693 JZQ327689:JZQ327693 KJM327689:KJM327693 KTI327689:KTI327693 LDE327689:LDE327693 LNA327689:LNA327693 LWW327689:LWW327693 MGS327689:MGS327693 MQO327689:MQO327693 NAK327689:NAK327693 NKG327689:NKG327693 NUC327689:NUC327693 ODY327689:ODY327693 ONU327689:ONU327693 OXQ327689:OXQ327693 PHM327689:PHM327693 PRI327689:PRI327693 QBE327689:QBE327693 QLA327689:QLA327693 QUW327689:QUW327693 RES327689:RES327693 ROO327689:ROO327693 RYK327689:RYK327693 SIG327689:SIG327693 SSC327689:SSC327693 TBY327689:TBY327693 TLU327689:TLU327693 TVQ327689:TVQ327693 UFM327689:UFM327693 UPI327689:UPI327693 UZE327689:UZE327693 VJA327689:VJA327693 VSW327689:VSW327693 WCS327689:WCS327693 WMO327689:WMO327693 WWK327689:WWK327693 AC393225:AC393229 JY393225:JY393229 TU393225:TU393229 ADQ393225:ADQ393229 ANM393225:ANM393229 AXI393225:AXI393229 BHE393225:BHE393229 BRA393225:BRA393229 CAW393225:CAW393229 CKS393225:CKS393229 CUO393225:CUO393229 DEK393225:DEK393229 DOG393225:DOG393229 DYC393225:DYC393229 EHY393225:EHY393229 ERU393225:ERU393229 FBQ393225:FBQ393229 FLM393225:FLM393229 FVI393225:FVI393229 GFE393225:GFE393229 GPA393225:GPA393229 GYW393225:GYW393229 HIS393225:HIS393229 HSO393225:HSO393229 ICK393225:ICK393229 IMG393225:IMG393229 IWC393225:IWC393229 JFY393225:JFY393229 JPU393225:JPU393229 JZQ393225:JZQ393229 KJM393225:KJM393229 KTI393225:KTI393229 LDE393225:LDE393229 LNA393225:LNA393229 LWW393225:LWW393229 MGS393225:MGS393229 MQO393225:MQO393229 NAK393225:NAK393229 NKG393225:NKG393229 NUC393225:NUC393229 ODY393225:ODY393229 ONU393225:ONU393229 OXQ393225:OXQ393229 PHM393225:PHM393229 PRI393225:PRI393229 QBE393225:QBE393229 QLA393225:QLA393229 QUW393225:QUW393229 RES393225:RES393229 ROO393225:ROO393229 RYK393225:RYK393229 SIG393225:SIG393229 SSC393225:SSC393229 TBY393225:TBY393229 TLU393225:TLU393229 TVQ393225:TVQ393229 UFM393225:UFM393229 UPI393225:UPI393229 UZE393225:UZE393229 VJA393225:VJA393229 VSW393225:VSW393229 WCS393225:WCS393229 WMO393225:WMO393229 WWK393225:WWK393229 AC458761:AC458765 JY458761:JY458765 TU458761:TU458765 ADQ458761:ADQ458765 ANM458761:ANM458765 AXI458761:AXI458765 BHE458761:BHE458765 BRA458761:BRA458765 CAW458761:CAW458765 CKS458761:CKS458765 CUO458761:CUO458765 DEK458761:DEK458765 DOG458761:DOG458765 DYC458761:DYC458765 EHY458761:EHY458765 ERU458761:ERU458765 FBQ458761:FBQ458765 FLM458761:FLM458765 FVI458761:FVI458765 GFE458761:GFE458765 GPA458761:GPA458765 GYW458761:GYW458765 HIS458761:HIS458765 HSO458761:HSO458765 ICK458761:ICK458765 IMG458761:IMG458765 IWC458761:IWC458765 JFY458761:JFY458765 JPU458761:JPU458765 JZQ458761:JZQ458765 KJM458761:KJM458765 KTI458761:KTI458765 LDE458761:LDE458765 LNA458761:LNA458765 LWW458761:LWW458765 MGS458761:MGS458765 MQO458761:MQO458765 NAK458761:NAK458765 NKG458761:NKG458765 NUC458761:NUC458765 ODY458761:ODY458765 ONU458761:ONU458765 OXQ458761:OXQ458765 PHM458761:PHM458765 PRI458761:PRI458765 QBE458761:QBE458765 QLA458761:QLA458765 QUW458761:QUW458765 RES458761:RES458765 ROO458761:ROO458765 RYK458761:RYK458765 SIG458761:SIG458765 SSC458761:SSC458765 TBY458761:TBY458765 TLU458761:TLU458765 TVQ458761:TVQ458765 UFM458761:UFM458765 UPI458761:UPI458765 UZE458761:UZE458765 VJA458761:VJA458765 VSW458761:VSW458765 WCS458761:WCS458765 WMO458761:WMO458765 WWK458761:WWK458765 AC524297:AC524301 JY524297:JY524301 TU524297:TU524301 ADQ524297:ADQ524301 ANM524297:ANM524301 AXI524297:AXI524301 BHE524297:BHE524301 BRA524297:BRA524301 CAW524297:CAW524301 CKS524297:CKS524301 CUO524297:CUO524301 DEK524297:DEK524301 DOG524297:DOG524301 DYC524297:DYC524301 EHY524297:EHY524301 ERU524297:ERU524301 FBQ524297:FBQ524301 FLM524297:FLM524301 FVI524297:FVI524301 GFE524297:GFE524301 GPA524297:GPA524301 GYW524297:GYW524301 HIS524297:HIS524301 HSO524297:HSO524301 ICK524297:ICK524301 IMG524297:IMG524301 IWC524297:IWC524301 JFY524297:JFY524301 JPU524297:JPU524301 JZQ524297:JZQ524301 KJM524297:KJM524301 KTI524297:KTI524301 LDE524297:LDE524301 LNA524297:LNA524301 LWW524297:LWW524301 MGS524297:MGS524301 MQO524297:MQO524301 NAK524297:NAK524301 NKG524297:NKG524301 NUC524297:NUC524301 ODY524297:ODY524301 ONU524297:ONU524301 OXQ524297:OXQ524301 PHM524297:PHM524301 PRI524297:PRI524301 QBE524297:QBE524301 QLA524297:QLA524301 QUW524297:QUW524301 RES524297:RES524301 ROO524297:ROO524301 RYK524297:RYK524301 SIG524297:SIG524301 SSC524297:SSC524301 TBY524297:TBY524301 TLU524297:TLU524301 TVQ524297:TVQ524301 UFM524297:UFM524301 UPI524297:UPI524301 UZE524297:UZE524301 VJA524297:VJA524301 VSW524297:VSW524301 WCS524297:WCS524301 WMO524297:WMO524301 WWK524297:WWK524301 AC589833:AC589837 JY589833:JY589837 TU589833:TU589837 ADQ589833:ADQ589837 ANM589833:ANM589837 AXI589833:AXI589837 BHE589833:BHE589837 BRA589833:BRA589837 CAW589833:CAW589837 CKS589833:CKS589837 CUO589833:CUO589837 DEK589833:DEK589837 DOG589833:DOG589837 DYC589833:DYC589837 EHY589833:EHY589837 ERU589833:ERU589837 FBQ589833:FBQ589837 FLM589833:FLM589837 FVI589833:FVI589837 GFE589833:GFE589837 GPA589833:GPA589837 GYW589833:GYW589837 HIS589833:HIS589837 HSO589833:HSO589837 ICK589833:ICK589837 IMG589833:IMG589837 IWC589833:IWC589837 JFY589833:JFY589837 JPU589833:JPU589837 JZQ589833:JZQ589837 KJM589833:KJM589837 KTI589833:KTI589837 LDE589833:LDE589837 LNA589833:LNA589837 LWW589833:LWW589837 MGS589833:MGS589837 MQO589833:MQO589837 NAK589833:NAK589837 NKG589833:NKG589837 NUC589833:NUC589837 ODY589833:ODY589837 ONU589833:ONU589837 OXQ589833:OXQ589837 PHM589833:PHM589837 PRI589833:PRI589837 QBE589833:QBE589837 QLA589833:QLA589837 QUW589833:QUW589837 RES589833:RES589837 ROO589833:ROO589837 RYK589833:RYK589837 SIG589833:SIG589837 SSC589833:SSC589837 TBY589833:TBY589837 TLU589833:TLU589837 TVQ589833:TVQ589837 UFM589833:UFM589837 UPI589833:UPI589837 UZE589833:UZE589837 VJA589833:VJA589837 VSW589833:VSW589837 WCS589833:WCS589837 WMO589833:WMO589837 WWK589833:WWK589837 AC655369:AC655373 JY655369:JY655373 TU655369:TU655373 ADQ655369:ADQ655373 ANM655369:ANM655373 AXI655369:AXI655373 BHE655369:BHE655373 BRA655369:BRA655373 CAW655369:CAW655373 CKS655369:CKS655373 CUO655369:CUO655373 DEK655369:DEK655373 DOG655369:DOG655373 DYC655369:DYC655373 EHY655369:EHY655373 ERU655369:ERU655373 FBQ655369:FBQ655373 FLM655369:FLM655373 FVI655369:FVI655373 GFE655369:GFE655373 GPA655369:GPA655373 GYW655369:GYW655373 HIS655369:HIS655373 HSO655369:HSO655373 ICK655369:ICK655373 IMG655369:IMG655373 IWC655369:IWC655373 JFY655369:JFY655373 JPU655369:JPU655373 JZQ655369:JZQ655373 KJM655369:KJM655373 KTI655369:KTI655373 LDE655369:LDE655373 LNA655369:LNA655373 LWW655369:LWW655373 MGS655369:MGS655373 MQO655369:MQO655373 NAK655369:NAK655373 NKG655369:NKG655373 NUC655369:NUC655373 ODY655369:ODY655373 ONU655369:ONU655373 OXQ655369:OXQ655373 PHM655369:PHM655373 PRI655369:PRI655373 QBE655369:QBE655373 QLA655369:QLA655373 QUW655369:QUW655373 RES655369:RES655373 ROO655369:ROO655373 RYK655369:RYK655373 SIG655369:SIG655373 SSC655369:SSC655373 TBY655369:TBY655373 TLU655369:TLU655373 TVQ655369:TVQ655373 UFM655369:UFM655373 UPI655369:UPI655373 UZE655369:UZE655373 VJA655369:VJA655373 VSW655369:VSW655373 WCS655369:WCS655373 WMO655369:WMO655373 WWK655369:WWK655373 AC720905:AC720909 JY720905:JY720909 TU720905:TU720909 ADQ720905:ADQ720909 ANM720905:ANM720909 AXI720905:AXI720909 BHE720905:BHE720909 BRA720905:BRA720909 CAW720905:CAW720909 CKS720905:CKS720909 CUO720905:CUO720909 DEK720905:DEK720909 DOG720905:DOG720909 DYC720905:DYC720909 EHY720905:EHY720909 ERU720905:ERU720909 FBQ720905:FBQ720909 FLM720905:FLM720909 FVI720905:FVI720909 GFE720905:GFE720909 GPA720905:GPA720909 GYW720905:GYW720909 HIS720905:HIS720909 HSO720905:HSO720909 ICK720905:ICK720909 IMG720905:IMG720909 IWC720905:IWC720909 JFY720905:JFY720909 JPU720905:JPU720909 JZQ720905:JZQ720909 KJM720905:KJM720909 KTI720905:KTI720909 LDE720905:LDE720909 LNA720905:LNA720909 LWW720905:LWW720909 MGS720905:MGS720909 MQO720905:MQO720909 NAK720905:NAK720909 NKG720905:NKG720909 NUC720905:NUC720909 ODY720905:ODY720909 ONU720905:ONU720909 OXQ720905:OXQ720909 PHM720905:PHM720909 PRI720905:PRI720909 QBE720905:QBE720909 QLA720905:QLA720909 QUW720905:QUW720909 RES720905:RES720909 ROO720905:ROO720909 RYK720905:RYK720909 SIG720905:SIG720909 SSC720905:SSC720909 TBY720905:TBY720909 TLU720905:TLU720909 TVQ720905:TVQ720909 UFM720905:UFM720909 UPI720905:UPI720909 UZE720905:UZE720909 VJA720905:VJA720909 VSW720905:VSW720909 WCS720905:WCS720909 WMO720905:WMO720909 WWK720905:WWK720909 AC786441:AC786445 JY786441:JY786445 TU786441:TU786445 ADQ786441:ADQ786445 ANM786441:ANM786445 AXI786441:AXI786445 BHE786441:BHE786445 BRA786441:BRA786445 CAW786441:CAW786445 CKS786441:CKS786445 CUO786441:CUO786445 DEK786441:DEK786445 DOG786441:DOG786445 DYC786441:DYC786445 EHY786441:EHY786445 ERU786441:ERU786445 FBQ786441:FBQ786445 FLM786441:FLM786445 FVI786441:FVI786445 GFE786441:GFE786445 GPA786441:GPA786445 GYW786441:GYW786445 HIS786441:HIS786445 HSO786441:HSO786445 ICK786441:ICK786445 IMG786441:IMG786445 IWC786441:IWC786445 JFY786441:JFY786445 JPU786441:JPU786445 JZQ786441:JZQ786445 KJM786441:KJM786445 KTI786441:KTI786445 LDE786441:LDE786445 LNA786441:LNA786445 LWW786441:LWW786445 MGS786441:MGS786445 MQO786441:MQO786445 NAK786441:NAK786445 NKG786441:NKG786445 NUC786441:NUC786445 ODY786441:ODY786445 ONU786441:ONU786445 OXQ786441:OXQ786445 PHM786441:PHM786445 PRI786441:PRI786445 QBE786441:QBE786445 QLA786441:QLA786445 QUW786441:QUW786445 RES786441:RES786445 ROO786441:ROO786445 RYK786441:RYK786445 SIG786441:SIG786445 SSC786441:SSC786445 TBY786441:TBY786445 TLU786441:TLU786445 TVQ786441:TVQ786445 UFM786441:UFM786445 UPI786441:UPI786445 UZE786441:UZE786445 VJA786441:VJA786445 VSW786441:VSW786445 WCS786441:WCS786445 WMO786441:WMO786445 WWK786441:WWK786445 AC851977:AC851981 JY851977:JY851981 TU851977:TU851981 ADQ851977:ADQ851981 ANM851977:ANM851981 AXI851977:AXI851981 BHE851977:BHE851981 BRA851977:BRA851981 CAW851977:CAW851981 CKS851977:CKS851981 CUO851977:CUO851981 DEK851977:DEK851981 DOG851977:DOG851981 DYC851977:DYC851981 EHY851977:EHY851981 ERU851977:ERU851981 FBQ851977:FBQ851981 FLM851977:FLM851981 FVI851977:FVI851981 GFE851977:GFE851981 GPA851977:GPA851981 GYW851977:GYW851981 HIS851977:HIS851981 HSO851977:HSO851981 ICK851977:ICK851981 IMG851977:IMG851981 IWC851977:IWC851981 JFY851977:JFY851981 JPU851977:JPU851981 JZQ851977:JZQ851981 KJM851977:KJM851981 KTI851977:KTI851981 LDE851977:LDE851981 LNA851977:LNA851981 LWW851977:LWW851981 MGS851977:MGS851981 MQO851977:MQO851981 NAK851977:NAK851981 NKG851977:NKG851981 NUC851977:NUC851981 ODY851977:ODY851981 ONU851977:ONU851981 OXQ851977:OXQ851981 PHM851977:PHM851981 PRI851977:PRI851981 QBE851977:QBE851981 QLA851977:QLA851981 QUW851977:QUW851981 RES851977:RES851981 ROO851977:ROO851981 RYK851977:RYK851981 SIG851977:SIG851981 SSC851977:SSC851981 TBY851977:TBY851981 TLU851977:TLU851981 TVQ851977:TVQ851981 UFM851977:UFM851981 UPI851977:UPI851981 UZE851977:UZE851981 VJA851977:VJA851981 VSW851977:VSW851981 WCS851977:WCS851981 WMO851977:WMO851981 WWK851977:WWK851981 AC917513:AC917517 JY917513:JY917517 TU917513:TU917517 ADQ917513:ADQ917517 ANM917513:ANM917517 AXI917513:AXI917517 BHE917513:BHE917517 BRA917513:BRA917517 CAW917513:CAW917517 CKS917513:CKS917517 CUO917513:CUO917517 DEK917513:DEK917517 DOG917513:DOG917517 DYC917513:DYC917517 EHY917513:EHY917517 ERU917513:ERU917517 FBQ917513:FBQ917517 FLM917513:FLM917517 FVI917513:FVI917517 GFE917513:GFE917517 GPA917513:GPA917517 GYW917513:GYW917517 HIS917513:HIS917517 HSO917513:HSO917517 ICK917513:ICK917517 IMG917513:IMG917517 IWC917513:IWC917517 JFY917513:JFY917517 JPU917513:JPU917517 JZQ917513:JZQ917517 KJM917513:KJM917517 KTI917513:KTI917517 LDE917513:LDE917517 LNA917513:LNA917517 LWW917513:LWW917517 MGS917513:MGS917517 MQO917513:MQO917517 NAK917513:NAK917517 NKG917513:NKG917517 NUC917513:NUC917517 ODY917513:ODY917517 ONU917513:ONU917517 OXQ917513:OXQ917517 PHM917513:PHM917517 PRI917513:PRI917517 QBE917513:QBE917517 QLA917513:QLA917517 QUW917513:QUW917517 RES917513:RES917517 ROO917513:ROO917517 RYK917513:RYK917517 SIG917513:SIG917517 SSC917513:SSC917517 TBY917513:TBY917517 TLU917513:TLU917517 TVQ917513:TVQ917517 UFM917513:UFM917517 UPI917513:UPI917517 UZE917513:UZE917517 VJA917513:VJA917517 VSW917513:VSW917517 WCS917513:WCS917517 WMO917513:WMO917517 WWK917513:WWK917517 AC983049:AC983053 JY983049:JY983053 TU983049:TU983053 ADQ983049:ADQ983053 ANM983049:ANM983053 AXI983049:AXI983053 BHE983049:BHE983053 BRA983049:BRA983053 CAW983049:CAW983053 CKS983049:CKS983053 CUO983049:CUO983053 DEK983049:DEK983053 DOG983049:DOG983053 DYC983049:DYC983053 EHY983049:EHY983053 ERU983049:ERU983053 FBQ983049:FBQ983053 FLM983049:FLM983053 FVI983049:FVI983053 GFE983049:GFE983053 GPA983049:GPA983053 GYW983049:GYW983053 HIS983049:HIS983053 HSO983049:HSO983053 ICK983049:ICK983053 IMG983049:IMG983053 IWC983049:IWC983053 JFY983049:JFY983053 JPU983049:JPU983053 JZQ983049:JZQ983053 KJM983049:KJM983053 KTI983049:KTI983053 LDE983049:LDE983053 LNA983049:LNA983053 LWW983049:LWW983053 MGS983049:MGS983053 MQO983049:MQO983053 NAK983049:NAK983053 NKG983049:NKG983053 NUC983049:NUC983053 ODY983049:ODY983053 ONU983049:ONU983053 OXQ983049:OXQ983053 PHM983049:PHM983053 PRI983049:PRI983053 QBE983049:QBE983053 QLA983049:QLA983053 QUW983049:QUW983053 RES983049:RES983053 ROO983049:ROO983053 RYK983049:RYK983053 SIG983049:SIG983053 SSC983049:SSC983053 TBY983049:TBY983053 TLU983049:TLU983053 TVQ983049:TVQ983053 UFM983049:UFM983053 UPI983049:UPI983053 UZE983049:UZE983053 VJA983049:VJA983053 VSW983049:VSW983053 WCS983049:WCS983053 WMO983049:WMO983053 WWK983049:WWK983053 ADQ8:ADQ13 ANM8:ANM13 AXI8:AXI13 BHE8:BHE13 BRA8:BRA13 CAW8:CAW13 CKS8:CKS13 CUO8:CUO13 DEK8:DEK13 DOG8:DOG13 DYC8:DYC13 EHY8:EHY13 ERU8:ERU13 FBQ8:FBQ13 FLM8:FLM13 FVI8:FVI13 GFE8:GFE13 GPA8:GPA13 GYW8:GYW13 HIS8:HIS13 HSO8:HSO13 ICK8:ICK13 IMG8:IMG13 IWC8:IWC13 JFY8:JFY13 JPU8:JPU13 JZQ8:JZQ13 KJM8:KJM13 KTI8:KTI13 LDE8:LDE13 LNA8:LNA13 LWW8:LWW13 MGS8:MGS13 MQO8:MQO13 NAK8:NAK13 NKG8:NKG13 NUC8:NUC13 ODY8:ODY13 ONU8:ONU13 OXQ8:OXQ13 PHM8:PHM13 PRI8:PRI13 QBE8:QBE13 QLA8:QLA13 QUW8:QUW13 RES8:RES13 ROO8:ROO13 RYK8:RYK13 SIG8:SIG13 SSC8:SSC13 TBY8:TBY13 TLU8:TLU13 TVQ8:TVQ13 UFM8:UFM13 UPI8:UPI13 UZE8:UZE13 VJA8:VJA13 VSW8:VSW13 WCS8:WCS13 WMO8:WMO13 WWK8:WWK13 JY8:JY13 TU8:TU13">
      <formula1>AB8</formula1>
      <formula2>IF(AB8&lt;&gt;0,IF(AC8-AB8&gt;=0,AC8,),)</formula2>
    </dataValidation>
  </dataValidations>
  <printOptions horizontalCentered="1"/>
  <pageMargins left="0.39370078740157483" right="0.19" top="0.59055118110236227" bottom="0.59055118110236227" header="0.31496062992125984" footer="0.31496062992125984"/>
  <pageSetup paperSize="345" scale="51" orientation="landscape" r:id="rId1"/>
  <headerFooter>
    <oddFooter>&amp;C&amp;"Tahoma,Cursiva"&amp;K365F91Si usted ha accedido a este formato a través de un medio diferente al sitio http://www.unicordoba.edu.co/index.php/documentossigec/documentos-calidad asegúrese que ésta es la versión vigente</oddFooter>
  </headerFooter>
  <rowBreaks count="1" manualBreakCount="1">
    <brk id="19" max="3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31</vt:i4>
      </vt:variant>
    </vt:vector>
  </HeadingPairs>
  <TitlesOfParts>
    <vt:vector size="61" baseType="lpstr">
      <vt:lpstr>Planeación</vt:lpstr>
      <vt:lpstr>Planeación 2</vt:lpstr>
      <vt:lpstr>Calidad</vt:lpstr>
      <vt:lpstr>Internacionalización</vt:lpstr>
      <vt:lpstr>Internacionalización 2</vt:lpstr>
      <vt:lpstr>Docencia</vt:lpstr>
      <vt:lpstr>Docencia 2</vt:lpstr>
      <vt:lpstr>EDUC-AGRICOLAS-VICE-POS</vt:lpstr>
      <vt:lpstr>AGRICOLAS-SALUD</vt:lpstr>
      <vt:lpstr>POSGRADO</vt:lpstr>
      <vt:lpstr>Investigación</vt:lpstr>
      <vt:lpstr>Extensión</vt:lpstr>
      <vt:lpstr>Extensión 2</vt:lpstr>
      <vt:lpstr>Biblioteca</vt:lpstr>
      <vt:lpstr>Admisiones</vt:lpstr>
      <vt:lpstr>Financiera</vt:lpstr>
      <vt:lpstr>Dllo. Tecnologico</vt:lpstr>
      <vt:lpstr>Dllo Tecnologico 2</vt:lpstr>
      <vt:lpstr>Talento Humano</vt:lpstr>
      <vt:lpstr>Talento Humano2</vt:lpstr>
      <vt:lpstr>Talento Humano 3</vt:lpstr>
      <vt:lpstr>Contratacion</vt:lpstr>
      <vt:lpstr>Contratacion 2</vt:lpstr>
      <vt:lpstr>Infraestructura</vt:lpstr>
      <vt:lpstr>Infraestructura2</vt:lpstr>
      <vt:lpstr>Documental</vt:lpstr>
      <vt:lpstr>Documental 2</vt:lpstr>
      <vt:lpstr>Gestión Legal</vt:lpstr>
      <vt:lpstr>Seguimiento y Control</vt:lpstr>
      <vt:lpstr>Seg y Control 2</vt:lpstr>
      <vt:lpstr>Admisiones!Área_de_impresión</vt:lpstr>
      <vt:lpstr>'AGRICOLAS-SALUD'!Área_de_impresión</vt:lpstr>
      <vt:lpstr>Biblioteca!Área_de_impresión</vt:lpstr>
      <vt:lpstr>Calidad!Área_de_impresión</vt:lpstr>
      <vt:lpstr>Contratacion!Área_de_impresión</vt:lpstr>
      <vt:lpstr>'Contratacion 2'!Área_de_impresión</vt:lpstr>
      <vt:lpstr>'Dllo Tecnologico 2'!Área_de_impresión</vt:lpstr>
      <vt:lpstr>'Dllo. Tecnologico'!Área_de_impresión</vt:lpstr>
      <vt:lpstr>Docencia!Área_de_impresión</vt:lpstr>
      <vt:lpstr>'Docencia 2'!Área_de_impresión</vt:lpstr>
      <vt:lpstr>Documental!Área_de_impresión</vt:lpstr>
      <vt:lpstr>'Documental 2'!Área_de_impresión</vt:lpstr>
      <vt:lpstr>'EDUC-AGRICOLAS-VICE-POS'!Área_de_impresión</vt:lpstr>
      <vt:lpstr>Extensión!Área_de_impresión</vt:lpstr>
      <vt:lpstr>'Extensión 2'!Área_de_impresión</vt:lpstr>
      <vt:lpstr>Financiera!Área_de_impresión</vt:lpstr>
      <vt:lpstr>'Gestión Legal'!Área_de_impresión</vt:lpstr>
      <vt:lpstr>Infraestructura!Área_de_impresión</vt:lpstr>
      <vt:lpstr>Infraestructura2!Área_de_impresión</vt:lpstr>
      <vt:lpstr>Internacionalización!Área_de_impresión</vt:lpstr>
      <vt:lpstr>'Internacionalización 2'!Área_de_impresión</vt:lpstr>
      <vt:lpstr>Investigación!Área_de_impresión</vt:lpstr>
      <vt:lpstr>Planeación!Área_de_impresión</vt:lpstr>
      <vt:lpstr>'Planeación 2'!Área_de_impresión</vt:lpstr>
      <vt:lpstr>POSGRADO!Área_de_impresión</vt:lpstr>
      <vt:lpstr>'Seg y Control 2'!Área_de_impresión</vt:lpstr>
      <vt:lpstr>'Seguimiento y Control'!Área_de_impresión</vt:lpstr>
      <vt:lpstr>'Talento Humano'!Área_de_impresión</vt:lpstr>
      <vt:lpstr>'Talento Humano 3'!Área_de_impresión</vt:lpstr>
      <vt:lpstr>'Talento Humano2'!Área_de_impresión</vt:lpstr>
      <vt:lpstr>Contratacion!Títulos_a_imprimir</vt:lpstr>
    </vt:vector>
  </TitlesOfParts>
  <Company>Peruxxoft2</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Aseg. de la Calidad</dc:creator>
  <cp:lastModifiedBy>unicordoba</cp:lastModifiedBy>
  <cp:lastPrinted>2019-12-05T21:09:34Z</cp:lastPrinted>
  <dcterms:created xsi:type="dcterms:W3CDTF">2010-04-21T21:52:59Z</dcterms:created>
  <dcterms:modified xsi:type="dcterms:W3CDTF">2020-09-21T04:24:15Z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1VYpbnlCybwse-lDWdBQV3SrSKRAe0caKJXmYADhrjf8</vt:lpwstr>
  </property>
  <property fmtid="{D5CDD505-2E9C-101B-9397-08002B2CF9AE}" pid="4" name="Google.Documents.RevisionId">
    <vt:lpwstr>17640600807268421020</vt:lpwstr>
  </property>
  <property fmtid="{D5CDD505-2E9C-101B-9397-08002B2CF9AE}" pid="5" name="Google.Documents.PreviousRevisionId">
    <vt:lpwstr>03437747951899328724</vt:lpwstr>
  </property>
  <property fmtid="{D5CDD505-2E9C-101B-9397-08002B2CF9AE}" pid="6" name="Google.Documents.PluginVersion">
    <vt:lpwstr>2.0.2424.7283</vt:lpwstr>
  </property>
  <property fmtid="{D5CDD505-2E9C-101B-9397-08002B2CF9AE}" pid="7" name="Google.Documents.MergeIncapabilityFlags">
    <vt:i4>0</vt:i4>
  </property>
</Properties>
</file>